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TPI Leaderboard" sheetId="1" r:id="rId4"/>
    <sheet state="visible" name="Active Players - for selection " sheetId="2" r:id="rId5"/>
    <sheet state="visible" name="OPTI Leadboard Last Week" sheetId="3" r:id="rId6"/>
    <sheet state="visible" name="Position Lookup" sheetId="4" r:id="rId7"/>
    <sheet state="visible" name="Kits Washed" sheetId="5" r:id="rId8"/>
    <sheet state="visible" name="TOTW" sheetId="6" r:id="rId9"/>
    <sheet state="visible" name="Teams of the week" sheetId="7" r:id="rId10"/>
    <sheet state="visible" name="Email Creator" sheetId="8" r:id="rId11"/>
    <sheet state="visible" name="Match Subs Filter" sheetId="9" r:id="rId12"/>
    <sheet state="visible" name="Match Day Fees" sheetId="10" r:id="rId13"/>
    <sheet state="visible" name="Main Team" sheetId="11" r:id="rId14"/>
    <sheet state="visible" name="Last Team" sheetId="12" r:id="rId15"/>
    <sheet state="visible" name="Scoring System" sheetId="13" r:id="rId16"/>
    <sheet state="visible" name="OTPI Scores" sheetId="14" r:id="rId17"/>
    <sheet state="visible" name="Last 5" sheetId="15" r:id="rId18"/>
    <sheet state="visible" name="1s Sheet" sheetId="16" r:id="rId19"/>
    <sheet state="visible" name="2s Sheet" sheetId="17" r:id="rId20"/>
    <sheet state="visible" name="3s Sheet" sheetId="18" r:id="rId21"/>
    <sheet state="visible" name="4s Sheet" sheetId="19" r:id="rId22"/>
    <sheet state="visible" name="5s Sheet" sheetId="20" r:id="rId23"/>
    <sheet state="visible" name="6s Sheet" sheetId="21" r:id="rId24"/>
    <sheet state="visible" name="Vets" sheetId="22" r:id="rId25"/>
    <sheet state="visible" name="Appearance Filter" sheetId="23" r:id="rId26"/>
    <sheet state="visible" name="Fixtures" sheetId="24" r:id="rId27"/>
    <sheet state="visible" name="Player filter" sheetId="25" r:id="rId28"/>
    <sheet state="visible" name="Weekly Top Scorers" sheetId="26" r:id="rId29"/>
  </sheets>
  <definedNames/>
  <calcPr/>
</workbook>
</file>

<file path=xl/sharedStrings.xml><?xml version="1.0" encoding="utf-8"?>
<sst xmlns="http://schemas.openxmlformats.org/spreadsheetml/2006/main" count="16456" uniqueCount="2295">
  <si>
    <t>Ranking</t>
  </si>
  <si>
    <t>Points Per Game</t>
  </si>
  <si>
    <t>This Weeks Points</t>
  </si>
  <si>
    <t>Position Change</t>
  </si>
  <si>
    <t>All weeks</t>
  </si>
  <si>
    <t>Weeks to Use:</t>
  </si>
  <si>
    <t>Active Players As list</t>
  </si>
  <si>
    <t>Last Game Played</t>
  </si>
  <si>
    <t>GK</t>
  </si>
  <si>
    <t>ATT</t>
  </si>
  <si>
    <t>MID</t>
  </si>
  <si>
    <t>DEF</t>
  </si>
  <si>
    <t>LB</t>
  </si>
  <si>
    <t>LCB</t>
  </si>
  <si>
    <t>CB</t>
  </si>
  <si>
    <t>RCB</t>
  </si>
  <si>
    <t>RB</t>
  </si>
  <si>
    <t>LWB</t>
  </si>
  <si>
    <t>RWB</t>
  </si>
  <si>
    <t>DCM</t>
  </si>
  <si>
    <t>CM</t>
  </si>
  <si>
    <t>ACM</t>
  </si>
  <si>
    <t>LW</t>
  </si>
  <si>
    <t>RW</t>
  </si>
  <si>
    <t>CF</t>
  </si>
  <si>
    <t xml:space="preserve">Match Week </t>
  </si>
  <si>
    <t>Top 16 Players</t>
  </si>
  <si>
    <t>Top Per Position</t>
  </si>
  <si>
    <t>POS</t>
  </si>
  <si>
    <t>Name</t>
  </si>
  <si>
    <t>Points</t>
  </si>
  <si>
    <t>Rating</t>
  </si>
  <si>
    <t>Team</t>
  </si>
  <si>
    <t>Auto Picked</t>
  </si>
  <si>
    <t>Pos Rank</t>
  </si>
  <si>
    <t>Must Picks</t>
  </si>
  <si>
    <t>Test</t>
  </si>
  <si>
    <t>TOTW</t>
  </si>
  <si>
    <t>Nick Chimonides</t>
  </si>
  <si>
    <t>Chris Douthwaite</t>
  </si>
  <si>
    <t>Jonny Simmons</t>
  </si>
  <si>
    <t>Gaz Wheldale</t>
  </si>
  <si>
    <t>Joe Vincent</t>
  </si>
  <si>
    <t>Tam de Lacey</t>
  </si>
  <si>
    <t>Sean Rowlett</t>
  </si>
  <si>
    <t>Masood Hamidi</t>
  </si>
  <si>
    <t>Alex Stevens</t>
  </si>
  <si>
    <t>Jarvis Cheek</t>
  </si>
  <si>
    <t>Dan Klin</t>
  </si>
  <si>
    <t>Automated Selection</t>
  </si>
  <si>
    <t>PLAYER</t>
  </si>
  <si>
    <t>POINTS</t>
  </si>
  <si>
    <t>Final Selection</t>
  </si>
  <si>
    <t>John Harrison</t>
  </si>
  <si>
    <t>Tom Taylor</t>
  </si>
  <si>
    <t>Rich Lundie</t>
  </si>
  <si>
    <t>Max Watson</t>
  </si>
  <si>
    <t>Ollie Sewell</t>
  </si>
  <si>
    <t>Harry Fripp</t>
  </si>
  <si>
    <t>Cameron Pashley</t>
  </si>
  <si>
    <t>Josh Sherriff-Jolly</t>
  </si>
  <si>
    <t>Corey Cleave</t>
  </si>
  <si>
    <t>Adam Platten</t>
  </si>
  <si>
    <t>Week</t>
  </si>
  <si>
    <t>Pos</t>
  </si>
  <si>
    <t>Player</t>
  </si>
  <si>
    <t>Appearances</t>
  </si>
  <si>
    <t>Yemi Oviosu</t>
  </si>
  <si>
    <t>Matt Crowe</t>
  </si>
  <si>
    <t>Aaron Snelling</t>
  </si>
  <si>
    <t>Tali Kiwanuka</t>
  </si>
  <si>
    <t>Andres Ahlgren</t>
  </si>
  <si>
    <t>Calum Bennett</t>
  </si>
  <si>
    <t>Alex Dockerill</t>
  </si>
  <si>
    <t>Rob Edmonds</t>
  </si>
  <si>
    <t>Parimal Patel</t>
  </si>
  <si>
    <t>Theo Horton</t>
  </si>
  <si>
    <t>Ben Dockerill</t>
  </si>
  <si>
    <t>Tom Riley</t>
  </si>
  <si>
    <t>Richard Jones</t>
  </si>
  <si>
    <t>Oliver Golzari</t>
  </si>
  <si>
    <t>Seb Curle</t>
  </si>
  <si>
    <t>Joe Docherty</t>
  </si>
  <si>
    <t>Sam Laidler</t>
  </si>
  <si>
    <t>Lawrence Asante</t>
  </si>
  <si>
    <t>Matthew Thomas</t>
  </si>
  <si>
    <t>Alex Mansfield</t>
  </si>
  <si>
    <t>Shavon Muir</t>
  </si>
  <si>
    <t>AM</t>
  </si>
  <si>
    <t>Josh Billings</t>
  </si>
  <si>
    <t>James Timmins</t>
  </si>
  <si>
    <t>Will Sollory</t>
  </si>
  <si>
    <t>Sean Staunton</t>
  </si>
  <si>
    <t>Keaton Cohen</t>
  </si>
  <si>
    <t>George Havord</t>
  </si>
  <si>
    <t>Ciaran Curran</t>
  </si>
  <si>
    <t>James Rodriguez</t>
  </si>
  <si>
    <t>Ellis Forrester</t>
  </si>
  <si>
    <t>Jabari Dixon</t>
  </si>
  <si>
    <t>Peter Green</t>
  </si>
  <si>
    <t>Jamie Arkell</t>
  </si>
  <si>
    <t>Dereece Pinder</t>
  </si>
  <si>
    <t>Matt Price</t>
  </si>
  <si>
    <t>Christian King</t>
  </si>
  <si>
    <t>Finn Coolen</t>
  </si>
  <si>
    <t>Anish Philips</t>
  </si>
  <si>
    <t>Alex Scott-Ruddock</t>
  </si>
  <si>
    <t>Jamie Wood</t>
  </si>
  <si>
    <t>Charlie Doe</t>
  </si>
  <si>
    <t>George Connolly</t>
  </si>
  <si>
    <t>Luke Dyges</t>
  </si>
  <si>
    <t>Connor White</t>
  </si>
  <si>
    <t>Nathan Baverstock</t>
  </si>
  <si>
    <t>Nathan Nzau</t>
  </si>
  <si>
    <t>Paul Ball</t>
  </si>
  <si>
    <t>ST</t>
  </si>
  <si>
    <t>Ade Lawal</t>
  </si>
  <si>
    <t>Lee Clark</t>
  </si>
  <si>
    <t>Andrew Barclay</t>
  </si>
  <si>
    <t>Oli Barton</t>
  </si>
  <si>
    <t>Henry Pepperell</t>
  </si>
  <si>
    <t>W</t>
  </si>
  <si>
    <t>Max Miles</t>
  </si>
  <si>
    <t>Harold Kiyingi</t>
  </si>
  <si>
    <t>Pearl Bakengela</t>
  </si>
  <si>
    <t>Tom Love</t>
  </si>
  <si>
    <t>Kevin Gonzalez</t>
  </si>
  <si>
    <t>Joe France</t>
  </si>
  <si>
    <t>Calum Edwards</t>
  </si>
  <si>
    <t>Ste Calder</t>
  </si>
  <si>
    <t>Will French</t>
  </si>
  <si>
    <t>Richard Scott</t>
  </si>
  <si>
    <t>Ed Wightman</t>
  </si>
  <si>
    <t>Jack Harris</t>
  </si>
  <si>
    <t>Aidan Byrne</t>
  </si>
  <si>
    <t>Kai Clack</t>
  </si>
  <si>
    <t>Nima Naghdi</t>
  </si>
  <si>
    <t>Stanley Timms</t>
  </si>
  <si>
    <t>Stu Jordan</t>
  </si>
  <si>
    <t>Chris Claeys</t>
  </si>
  <si>
    <t>Emi Muhadri</t>
  </si>
  <si>
    <t>Jerome Goncalves</t>
  </si>
  <si>
    <t>Mark Roberts</t>
  </si>
  <si>
    <t>Jack Hind</t>
  </si>
  <si>
    <t>Billy King</t>
  </si>
  <si>
    <t>Sidney Hopper-Kelly</t>
  </si>
  <si>
    <t>Deji Ogunyemi</t>
  </si>
  <si>
    <t>Jason Heath</t>
  </si>
  <si>
    <t>Claudien Mwalimu</t>
  </si>
  <si>
    <t>Joel Wright</t>
  </si>
  <si>
    <t>Pierce Bennett</t>
  </si>
  <si>
    <t>Dan Russell</t>
  </si>
  <si>
    <t>Wayne Ebanks</t>
  </si>
  <si>
    <t>Steve Francis</t>
  </si>
  <si>
    <t>Anthony Ball</t>
  </si>
  <si>
    <t>Ewan Harris</t>
  </si>
  <si>
    <t>CAM</t>
  </si>
  <si>
    <t>Vets</t>
  </si>
  <si>
    <t>Goals</t>
  </si>
  <si>
    <t>Assists</t>
  </si>
  <si>
    <t>MOM</t>
  </si>
  <si>
    <t>- V -</t>
  </si>
  <si>
    <t>Lookup</t>
  </si>
  <si>
    <t>Player Names</t>
  </si>
  <si>
    <t>Expected Cost Per Game</t>
  </si>
  <si>
    <t>Games Played</t>
  </si>
  <si>
    <t>Expected Cost</t>
  </si>
  <si>
    <t>Match Fees Owed</t>
  </si>
  <si>
    <t>Match Fees Paid</t>
  </si>
  <si>
    <t>Remaining</t>
  </si>
  <si>
    <t>Last Team</t>
  </si>
  <si>
    <t>Main Team</t>
  </si>
  <si>
    <t>Rules</t>
  </si>
  <si>
    <t>Score</t>
  </si>
  <si>
    <t>Apperance</t>
  </si>
  <si>
    <t>Penalty Save</t>
  </si>
  <si>
    <t>Clean Sheet (GK and DEF)</t>
  </si>
  <si>
    <t>Clean Sheet (MID)</t>
  </si>
  <si>
    <t>Goal Scored (GK and DEF)</t>
  </si>
  <si>
    <t>Goal Scored (Mid)</t>
  </si>
  <si>
    <t>Goal Scored (ATT)</t>
  </si>
  <si>
    <t>Conceeds 3 or More (GK and DEF)</t>
  </si>
  <si>
    <t>Assist</t>
  </si>
  <si>
    <t>Yellow Card</t>
  </si>
  <si>
    <t>Red Card</t>
  </si>
  <si>
    <t>Sin Bin</t>
  </si>
  <si>
    <t>Penalty Miss</t>
  </si>
  <si>
    <t>Own Goal</t>
  </si>
  <si>
    <t>MOTM</t>
  </si>
  <si>
    <t>GK Draw</t>
  </si>
  <si>
    <t>Less Goals Conceded then Highest Teams</t>
  </si>
  <si>
    <t>DEF Draw</t>
  </si>
  <si>
    <t>MID Draw</t>
  </si>
  <si>
    <t>More Goals / Assists then Highest Teams</t>
  </si>
  <si>
    <t>ATT Draw</t>
  </si>
  <si>
    <t>Game Date</t>
  </si>
  <si>
    <t>Competition</t>
  </si>
  <si>
    <t>Player Name</t>
  </si>
  <si>
    <t>Position</t>
  </si>
  <si>
    <t>OT Team</t>
  </si>
  <si>
    <t>Opposition Name</t>
  </si>
  <si>
    <t>Result</t>
  </si>
  <si>
    <t>Goals Conceded</t>
  </si>
  <si>
    <t>Yellow Cards</t>
  </si>
  <si>
    <t>Red Cards</t>
  </si>
  <si>
    <t>Clean Sheet?</t>
  </si>
  <si>
    <t>Penalties Missed</t>
  </si>
  <si>
    <t>Penalties Saved</t>
  </si>
  <si>
    <t>Own Goals</t>
  </si>
  <si>
    <t>MOTM?</t>
  </si>
  <si>
    <t>Kit</t>
  </si>
  <si>
    <t>Amount Owed</t>
  </si>
  <si>
    <t>Match day rating</t>
  </si>
  <si>
    <t>Comments</t>
  </si>
  <si>
    <t>Formation</t>
  </si>
  <si>
    <t>Team Report</t>
  </si>
  <si>
    <t>Score For</t>
  </si>
  <si>
    <t>Score Against</t>
  </si>
  <si>
    <t>OPTI Score</t>
  </si>
  <si>
    <t>Missing</t>
  </si>
  <si>
    <t>This Week</t>
  </si>
  <si>
    <t>Mapped POS</t>
  </si>
  <si>
    <t>Friendly</t>
  </si>
  <si>
    <t>Thorns Yellow</t>
  </si>
  <si>
    <t>WIN</t>
  </si>
  <si>
    <t>James Bashford</t>
  </si>
  <si>
    <t>Andreas Andreou</t>
  </si>
  <si>
    <t>Jason Nwakaeze</t>
  </si>
  <si>
    <t>Gulled Hersi</t>
  </si>
  <si>
    <t>Wimbledonians 2s</t>
  </si>
  <si>
    <t>Loss</t>
  </si>
  <si>
    <t>Janam Satra</t>
  </si>
  <si>
    <t>Mike Moon</t>
  </si>
  <si>
    <t>Chris Tong</t>
  </si>
  <si>
    <t>Ryan Cochrane</t>
  </si>
  <si>
    <t>Matt Hope</t>
  </si>
  <si>
    <t>Charlie Brooks</t>
  </si>
  <si>
    <t>Sam A'Court</t>
  </si>
  <si>
    <t xml:space="preserve">London Hibs                </t>
  </si>
  <si>
    <t>Micah Pinnock</t>
  </si>
  <si>
    <t>Anitej Rao</t>
  </si>
  <si>
    <t>Surrey Casuals</t>
  </si>
  <si>
    <t>Draw</t>
  </si>
  <si>
    <t>Harry Calvesbert</t>
  </si>
  <si>
    <t>Christian Cleave</t>
  </si>
  <si>
    <t>Nikolay Machev</t>
  </si>
  <si>
    <t>Nathan Davis</t>
  </si>
  <si>
    <t>Thorns Blue</t>
  </si>
  <si>
    <t>Cameron Hildebrandt-Brooks</t>
  </si>
  <si>
    <t>Colin Paterson</t>
  </si>
  <si>
    <t>Ollie Eldridge</t>
  </si>
  <si>
    <t>Magno Pinto</t>
  </si>
  <si>
    <t>Daniel Salazar Ponce</t>
  </si>
  <si>
    <t>Ben Himpe</t>
  </si>
  <si>
    <t>Denver Lalonde</t>
  </si>
  <si>
    <t>Rutlishians 2s</t>
  </si>
  <si>
    <t>Ismail Wall</t>
  </si>
  <si>
    <t>Mileek Delisser</t>
  </si>
  <si>
    <t>Rob Pritchard-Jones</t>
  </si>
  <si>
    <t>Martin Goodson</t>
  </si>
  <si>
    <t>Shene 3s</t>
  </si>
  <si>
    <t>Joe Tanner</t>
  </si>
  <si>
    <t>Kolawole Kehinde</t>
  </si>
  <si>
    <t>Gus Neill</t>
  </si>
  <si>
    <t>Stu Halliday</t>
  </si>
  <si>
    <t>Kye Williams</t>
  </si>
  <si>
    <t>Leuman Coronado</t>
  </si>
  <si>
    <t>Fraser Wylie</t>
  </si>
  <si>
    <t>Christian Roach</t>
  </si>
  <si>
    <t>Nassim Sandjakeddine</t>
  </si>
  <si>
    <t>Niall Wootten</t>
  </si>
  <si>
    <t>Tooting Bec 2s</t>
  </si>
  <si>
    <t>Billy Mclean</t>
  </si>
  <si>
    <t>Jordan Davis</t>
  </si>
  <si>
    <t>Reiss Hutton</t>
  </si>
  <si>
    <t>Bank of England</t>
  </si>
  <si>
    <t>Alex Clark</t>
  </si>
  <si>
    <t>Ewan Porteous</t>
  </si>
  <si>
    <t>Joey Wackrill</t>
  </si>
  <si>
    <t>Meads 2s</t>
  </si>
  <si>
    <t>Sean Woodhouse</t>
  </si>
  <si>
    <t>Meads 3/4s</t>
  </si>
  <si>
    <t>Leigh Cremin</t>
  </si>
  <si>
    <t>Landry Naubo</t>
  </si>
  <si>
    <t>Jay Mair</t>
  </si>
  <si>
    <t>Kian Leslie-Bigby</t>
  </si>
  <si>
    <t>Meads 6s</t>
  </si>
  <si>
    <t>Raj Ramful</t>
  </si>
  <si>
    <t>Liam Gover</t>
  </si>
  <si>
    <t>Chris Marx</t>
  </si>
  <si>
    <t>Paul Jalil</t>
  </si>
  <si>
    <t>Chris Lang</t>
  </si>
  <si>
    <t>Si Thomas</t>
  </si>
  <si>
    <t>Chris Boden</t>
  </si>
  <si>
    <t>Dave Webster</t>
  </si>
  <si>
    <t>Ben Roberts</t>
  </si>
  <si>
    <t>Joseph Smith</t>
  </si>
  <si>
    <t>Lewis Young</t>
  </si>
  <si>
    <t>Jose Cortez</t>
  </si>
  <si>
    <t>Tim Ward</t>
  </si>
  <si>
    <t>Old Tenisonians</t>
  </si>
  <si>
    <t>Suttonians 5s</t>
  </si>
  <si>
    <t>Sam Bowen</t>
  </si>
  <si>
    <t>Suttonians 4s</t>
  </si>
  <si>
    <t>Jack Butcher</t>
  </si>
  <si>
    <t>Old Tenisonians 2s</t>
  </si>
  <si>
    <t>Westminister Casuals</t>
  </si>
  <si>
    <t>Dean Wright</t>
  </si>
  <si>
    <t>Hallam Wye</t>
  </si>
  <si>
    <t>League</t>
  </si>
  <si>
    <t xml:space="preserve">No shots of note to test him. The bad one big chance but the fella scuffed it, John made a decent foot save. Looked very shakey on balls over the top, calling was all over the place. Much like the team performance, not at his best but got the job done. </t>
  </si>
  <si>
    <t>3-5-2</t>
  </si>
  <si>
    <t xml:space="preserve">Fast paced game from the start with both teams playing 100 miles an hour. The hectic nature of the game saw us forget all of the excellent pre season work and resort to lumping the ball forward. Of all the days to start kicking and chasing he ball in the heat. First drinks break was key opportunity to get the instructions to get into our build up shape. We started doing this and the pattern of the game changed. Unfortunately we had an issue with the 2 CMs. Keaton and Stan just couldn't work their partnership out at all and no build up was going through them. It's was nice build up but one of the wide CBs was only really bad the eu g back ball or if Jarvis had dropped deep. Matt Thomas was in the 10 and without him deeper we struggled. This was down to Josh being so late, turned up 30 mins before kick off, so disappointing after his performance last week, letting his team mates down. Both starting 11s were well matched up in terms of quality, it was the quality of our subs that won the game. Josh being late turned out to be the key to victory. He came on at half time alongside Dockers and the pair of them added an energy Tenisons couldn't handle given what they had put into the first half. Paz came on later and added more of the same. With a completely new CM pairing of Dockers and Matt Thomas our build up was a lot sharper. For the goal Yemi powered forward and found Josh on the edge of the box. They allowed him time to tee up the shot and he smashed it into the bottom corner. We saw the game out reasonably well. It wasn't quite keep ball like last week, at times it was at times it was us being sensible and defending well in a back 5. So really a slightly below par 1-0 win. We got the job done and that's all that matters. </t>
  </si>
  <si>
    <t xml:space="preserve">Had an immense pre season and carried that on here. Smashed into any fools in his way. Dominated in the air, passing on point.  </t>
  </si>
  <si>
    <t xml:space="preserve">After the initial opening quarter he was quality. Some strange sloppiness form him rarely seen. As you would expect from Aaron. Sorted himself out and was superb after. </t>
  </si>
  <si>
    <t xml:space="preserve">Decent. For some reason decided to over cover - a lot. Couple of times he went past the middle CB, gave Jamie a huge problem having to cover the LCB and LWB areas. Theo is a class act and listened to instructions. Just a minor tweak of his staring positions allowed Jamie to be further forward. Was still in a position to cover as well. Talked to him about this afterwards and he is a player keen to learn. </t>
  </si>
  <si>
    <t xml:space="preserve">Picked Yemi ahead of Dockers at RWB purely on Yemi's powerhouse showing and domination of the same opponent last week. It was more of the same here. When Dockers came on had Ben in CM and Yemi RWB and was comfortable with that. As the season goes on will look to have Yemi's energy in CM. For now though he is running riot down the right. Nice assist. </t>
  </si>
  <si>
    <t xml:space="preserve">Superb from Jamie, defending on point. Did a full 90 on a big pitch at LWB in that heat. Really impressive. </t>
  </si>
  <si>
    <t xml:space="preserve">Decent but but below his levels. Still made the difference having him deeper. Didn't really have the effect I expected in the 10. Will try him there again, we couldn't really get the ball to him so tough to judge. </t>
  </si>
  <si>
    <t xml:space="preserve">Not sure if first day nerves or the heat but didn't look himself at all. Passing off, stopped showing. Battled well. </t>
  </si>
  <si>
    <t xml:space="preserve">Well below par which is a shame given his recent form. As the senior CM expected him to sort out the partnership and he didn't. Booked for a ridiculous tackle, dived in when just needed to stay on feet and allowed a dangerous counter. </t>
  </si>
  <si>
    <t xml:space="preserve">In this heat who would expect the old man to be up there with the most yards run? He was everywhere, running chanels, tackling back, chasing down lost causes and making something from them. Nearly settled the game with a nice run to the front post, effort was half blocked and spun across goal narrowly going past the far post. </t>
  </si>
  <si>
    <t xml:space="preserve">Marked as an 8. That's below his level but he still caused the oppo big problems. Most of them knew him before the games and over the last 2 weeks everyone in their team knows him. Their is visible panic when he picks the ball up. Made clowns out of them at times, coughed the ball up cheap at times. Expected for the flair player he is. Worked a good partnership with Foxy, first half when we struggled to get on the ball in CM intelligently dropped deep. </t>
  </si>
  <si>
    <t xml:space="preserve">Most unfortunate not to start. Cracking pre season but tactical decision to start with Yemi. Showed his adaptability in CM. Whenever we have struggled for energy in CM Dockers is the go to man and once again stepped up here. Running with the ball adds a dynamic our game. Played last 10 mins RWB and running again key there. </t>
  </si>
  <si>
    <t xml:space="preserve">Lateness not acceptable. Performance very acceptable. Came on half time and his freshness along with his quality really stood out. Ran them ragged. Took the decision well and made it up to his team mates. </t>
  </si>
  <si>
    <t xml:space="preserve">Played last 30 mins. Was really good. Very lucky to be in the squad given he missed all pre season. Was superb when he came on. Offered a threat and worked his socks off. </t>
  </si>
  <si>
    <t>Chim - GK 
Great to have Chim in the sticks, did a good job overall, don't blame him for the goal and kept us in it at the end and. Needs to be more vocal as it nearly cost us when he didn't call for it - think this will come with time and his growing confidence, but also may not be his personality.</t>
  </si>
  <si>
    <t>4-4-2</t>
  </si>
  <si>
    <t>On what was typical british september day, rockin in at 32 degrees for kick off, it was bound to be challenging regardless of what happened on the pitch. We started off in a 442 with myself on the bench, however we started badly, seems to be a bit typical of the 2's in that we seem to be a bit scared! No leaders on the pitch, very quiet, with only Tom Riley, Harold and Seb Curle looking like they wanted to play. Made 2 subs at the water break and we started to push on, with Tenisonians having a man sin binned for dissent, however we couldnt take advantage of it, not putting our opportunities away,  the sun took its toll, and with their no. 10 coming back on refreshed he made a difference and we conceded.
Second half Cam Ward and Harry C in CM who were both fresh and put themselves about, we took a bit more control again and were again pushing for chances. Harry had to come off from an awful challenge the ref ignored (it's a contusion, he's got a crutch now, out for a few weeks likely). We continued to push and made it 1-1 with a free kick from yours truly into the box with Alex dockerill heading home. Even with this we kept pushing on and managed to get a 2nd within 15 mins, with Alex dockerill hitting a shot just inside the area, with very little space around him, slotting home in the far corner.
Frustratingly we didn't control the game, and they were pushing on us now, with Chim doing really well claiming a lot of crosses. Referee started to take the piss, not giving blatant fouls, bookings and free kicks and throw ins which were just ridiculous. Marked him badly in the report, it was like he wanted them to score. 
final whistle came, we were fucked and could barely celebrate from the heat and the battle we just had - walshy wasn't sutre if we had won. Really pleased with the teams fighting spirit though, coming back from 1 down in that heat with the ref against us.... against a reasonable team (they've just merged with another club, think they could do well in this league) and got the job done - however Alex Dockerill will have to start now, but really enjoying the level of quality and depth we have.</t>
  </si>
  <si>
    <t>Max watson - RB - 
Usual Max, battles well for headers and with his man, pretty good on the ball, however a few errors at times. Doesn't shine, but definitely does not let the side down at all - a handful of opportunities came down his side.</t>
  </si>
  <si>
    <t xml:space="preserve">Seb Curle - RB - 
Seb's a great player, particularly going forward, really good with the ball at his feet which I love from fullbacks. He didn't get forward much, but was always offering and was comfortabler ecieving the ball. Started to lead as the game went on. Defensively don't remember anyone getting by him either.
</t>
  </si>
  <si>
    <t>Micah - ST -
 needs to do 2 things more - really use his size / presence / physicality to hold the ball up, and score. Quite often he sticks a leg out and defenders will just get their body in between. Saying that he still does a good job, does some good running, but just need the ball to go in the back of the net. Had a few chances, some wide, some saved. Could argue he is creating them, but need the final product now from Micah.</t>
  </si>
  <si>
    <t xml:space="preserve">OG - ST -
text me late the night before saying he felt he was coming down with something, but he wanted to play - it showed, he was struggling to catch up his breath, so was subbed off at 22 mins and then back on at the end when we had an injury - he was better at the end, but he was nowhere near his best as what we've seen recently - probably shouldn't have played. </t>
  </si>
  <si>
    <t>Cameron Ward</t>
  </si>
  <si>
    <t xml:space="preserve">Cam Wad - CM 
Came on at half time and personally felt he did a great job, put his enormous legs about, hassling players, but then also got the ball down and played some nice football. </t>
  </si>
  <si>
    <t>Harold - RM
had a good game, causing them trouble, very nearly scored a couple as well but the keeper made some good saves. We've been playing him left wing, however he was excellent right wing, getting the ball down and driving either down the line or come across - I feel this is a better position for him as on the left he seems a bit lost in comparison.</t>
  </si>
  <si>
    <t>Harry - CM
 had a poor first 22 mins, which he admitted he couldn't get in to it for some reason, so took him off for myself. Brought him back on 2nd half and he was much better, got the ball down, played some nice easy football and ran the park well with Cam. Took a bad tackle off their 10 and had to come off and is now on a crutch... good thing we have a few CM's knocking around.</t>
  </si>
  <si>
    <t xml:space="preserve">Finn - CM - 
has an incredibly blasé attitude, which means he always plays his game and is never phased (which we need) but then also seems to lack intensity as well. Lets call it compsosure as opposed to being stoned. Nice lad, good footballer, always does his stuff, really glides past people, great ball carrier, however would like to see an end product from him, goals, assists etc. </t>
  </si>
  <si>
    <t>Jed Evamy</t>
  </si>
  <si>
    <t>Jed - CB -
 expected more of Jed at CB, having come down from being a long standing 1's player, he seemed to have a bit of trouble at times with their players and wasn't as composed as I would have expected - however saying we did only concede 1, and it was desperately hot, and their 10 was a useful player.</t>
  </si>
  <si>
    <t xml:space="preserve">Joe D - CB 
Another good game from Joe D, few times he wasn't hard enough on their 10 and let him walk about, but again possibly a bit harsh given the heat and he played 90. </t>
  </si>
  <si>
    <t>Alex Dockerill - ST 
Our saviour on Saturday with 2 really well taken goals. only reason I haven't started him is cause he's newer than others really, however he absoutely will be starting this week. Works hard, both defensively and attacking, quite skillful and battles well. Scored a good header and right footed shot from the right hand side within the box to the bottle left of the goal. Great debut for Alex with 2 goals.</t>
  </si>
  <si>
    <t>Tiffinians</t>
  </si>
  <si>
    <t xml:space="preserve">Great of him to turn up for us today, and was solid too. A few really nice 1on1 saves, and you just feel safe with him there. Hopefully we can get him to stick around in the club this year. </t>
  </si>
  <si>
    <t>4-3-3</t>
  </si>
  <si>
    <t xml:space="preserve">Comfortable win to start our campaign. Started at 442 and went down 1-0 early, didn’t panic, and quickly got it back to 1-2 before the 22 min drink break. Switched to 433 at the drinks break to match their 3 in midfield and after that, for the last 20 minutes of the first half we absolutely battered them, hit the post twice, multiple chances. Just couldn’t score. 2nd half was tougher, but once that 3rd goal finally came it was put to bed. Bit shaky last 15 as they pushed on but managed to see it out. </t>
  </si>
  <si>
    <t xml:space="preserve">Again, as for Hallam, not an amazing performance but not terrible either. Sometimes just looked lost on the ball and pumped it long instead of looking inside for a CM. They had a strong, fast winger who gave him a bit of trouble. Kye is a better defender, but bombs on more where as Joel mostly stays put and gives you numbers but isn’t as good 1on1. </t>
  </si>
  <si>
    <t xml:space="preserve">Commanding, loves to get stuck in and push up on a striker, can see why he’s been doing well in the 2s. </t>
  </si>
  <si>
    <t xml:space="preserve">Great game from Kye, he’s very tricky and loves to bomb on so was good that I was there on the sideline telling him to track back etc. </t>
  </si>
  <si>
    <t xml:space="preserve">Came off injured after only about 10 mins, so tough to judge. Came back on for the last 10 at LW and seemed to do well there too. He’s very strong comfortable on the ball, so feel he’s a good player you can play in many positions if you had to. </t>
  </si>
  <si>
    <t xml:space="preserve">Obviously a bit unfit after not playing for a while, so tried to rotate him most. Didn’t stick out like I would expect a 2s player to do, but was asking him to be more defensive than his usual B2B. Played a beautiful ball for our 2nd goal. </t>
  </si>
  <si>
    <t xml:space="preserve">Late today, turned up 15 mins before KO. Most people were a little late due to traffic, but he was the latest. Didn’t shine as much as he has in previous games, but still a great asset to the team.  </t>
  </si>
  <si>
    <t xml:space="preserve">Started him out wide as we had loads of CMs today, but brought him back into CM after the formation change. Scored an outrageous goal straight from a corner, and put in a great ball from a corner for our 3rd. Wasn’t as good on the ball as I remember in previous games, but it’s his moments of quality that helped us win the game. </t>
  </si>
  <si>
    <t xml:space="preserve">Partnered with Jonny well, for a big guy, he doesn’t like to get stuck in as much as his CB partner, but he’s very comfortable on the ball and talks well too. </t>
  </si>
  <si>
    <t xml:space="preserve">A great utility man performance from Will. Started up top but dropped to CDM when we switched to 433. He’s more defensive than the other CMs so was good to have him taking the ball off the defence and also getting stuck in to give them a bit of cover. </t>
  </si>
  <si>
    <t xml:space="preserve">Absolute out and out winger this guy. LOVES to run at people, and the fullbacks just could not handle him. Rapid in behind and uses stepovers to tie people into knots. Was unlucky not to score when his volley hit the post. On first glance, don’t think he’s quite up there with his brother, but defo should be pushing the higher teams. </t>
  </si>
  <si>
    <t xml:space="preserve">Felt like it was a tough game for Sean, I sort of sacrificed him minutes-wise as I knew it was his last game for a while so didn’t have too much time to shine. But a few promising balls through he just couldn't control, and a 1 on 1 he absolutely fluffed. Him going away sort of saves us from a selection headache as I reckon other players would push for his place. </t>
  </si>
  <si>
    <t xml:space="preserve">Good to have Rob back in the mix after dilly dallying with reg fee and if he was gonna play this season. Think 2 goals should give him the bug. He’s just so strong on the ball, loves to hold it up and can finish very well. Think he was dropping in too much to get the ball, when really you want him pushing the oppo’s back line up, but it’s not really his game so you make do. </t>
  </si>
  <si>
    <t xml:space="preserve">Average Hallam performance was a bit wild on the challenges and struggled under a few bouncing balls. He does listen really well though, and responded well to me giving him instructions from the side. As Denver said last week, not our starting LB, but a good alternative option. </t>
  </si>
  <si>
    <t>Wandsworth 3s</t>
  </si>
  <si>
    <t>decent game from kev. not too much to do as their strikers were trash. good distribution and at times dribbled few too many times.</t>
  </si>
  <si>
    <t xml:space="preserve">final pre season game of the season. wanted a good performance from the boys and we got 1.  the oppo were not as good as we were expecting and the heat affected more than it did for us. we actually conceded the 1st goal but then went on a rampage of scoring 5 goals each half. should have had way more goals. and given the personnel think I've tuned in the formation wanting to play for the season. few new boys being seen for the 1st time also. </t>
  </si>
  <si>
    <t>there's a good player hidden in ade. however his fitness and weight and at times decision making plays a part in his downfall. Still an OK game for him</t>
  </si>
  <si>
    <t xml:space="preserve">Well composed and set pieces were well delivered. started passages of play and communicated well with rest of the team </t>
  </si>
  <si>
    <t>really needs to get his fitness up and physicality. played him up top 2nd half and despite numerous chances couldn't finish. could have had 4 goals</t>
  </si>
  <si>
    <t>played 1st half only as had to leave. did well. got in behind few times. communicates well however ends up him being a commentator at times.</t>
  </si>
  <si>
    <t>1st in nets. no complaints. composed on the ball. doesn't do anything outrageous. keeps the ball moving. another one who needs to really work on fitness.</t>
  </si>
  <si>
    <t>tricky winger. who can beat a player. Good link up play. listens well to comms. 2 well taken goals and links up well.</t>
  </si>
  <si>
    <t>physical lad. not the best dribbler. needs to play with his head up more. likes a challenge</t>
  </si>
  <si>
    <t xml:space="preserve"> decent game from gus. showed good pace and got in behind defence few times. got an assist from a shot he took and scored a goal. overall decent game </t>
  </si>
  <si>
    <t xml:space="preserve"> composed at the back. good comms. coning back from an injury so building his minutes back up. good to see him playing his confident self again. would just say he needs snap in his challenges</t>
  </si>
  <si>
    <t xml:space="preserve">4 goals from tali. 3 tap ins. 1 well taken goal. tries to do the right things. Still undecided </t>
  </si>
  <si>
    <t>anther one undecided about. has the stature of a cm but not the fitness. no real influence on games. keeps the ball moving.</t>
  </si>
  <si>
    <t>decent game from Andy. scored a good header from corner. bit delayed on taking on board info. puts himself about</t>
  </si>
  <si>
    <t>Wandsworth 5s</t>
  </si>
  <si>
    <t>Poor game - tough for the 1st goal but at fault for the 2nd. Must do better if playing in goal</t>
  </si>
  <si>
    <t xml:space="preserve">We flew out of the blocks although it was not difficult against a team that had no desire to press us at all. We knocked the ball around well at times and broke the deadlock after some neat play and a good lay off from Chris C to Callum who slotted home well. We then however failed to deal with a good, flat long throw right at the near post and their striker flicked into the net point blank. We kept on playing and still did some really good things despite the changes but we just could not create enough in the final 3rd. We did however with 20 mins left score a 2nd from a corner, only for the dodgy keeper to miss what should have been a simple save. 2-2 it finished and it felt like we got out of the game with a bit of a loss as they were so poor but some positives to take into the next game for sure </t>
  </si>
  <si>
    <t xml:space="preserve">Solid game from Jack but not his best. Reached a stage where all he wanted to do was smash the ball out. Needed to be calmer on the ball. Recovered well though and had a better 2nd half </t>
  </si>
  <si>
    <t xml:space="preserve">Turned up 30 mins after kick off due to bus issues - it's really starting to piss me off that he's late every week and substantially late each time too. Played well when he was on the pitch though </t>
  </si>
  <si>
    <t xml:space="preserve">Definitely LB is his best position. Very poor when played higher up or at right back. His lack of quality shows and can get you into trouble at times and we got away with one of those chances thankfully </t>
  </si>
  <si>
    <t xml:space="preserve">Good game from the big man, he's starting to lead the back line well. Sometimes lost him man but overall a good game, it's great to see him back </t>
  </si>
  <si>
    <t xml:space="preserve">He's gotten fitter over the last few weeks which is good. Not his best game and went off injured but he could probably do a job this season </t>
  </si>
  <si>
    <t xml:space="preserve">Overall a decent game from Ciaran. Put in some really good delivery at corners which caused the oppo massive issues. Would like him to take his man on more but solid game </t>
  </si>
  <si>
    <t xml:space="preserve">Class game from Callum he's someone I'd like to be building my midfield around. Scored 2 decent goals as well </t>
  </si>
  <si>
    <t xml:space="preserve">Great to see Emi back playing again. He gives you energy all game long and has a bit quality to hold the ball </t>
  </si>
  <si>
    <t xml:space="preserve">Good to see Charlie first hand, I can see that he's a decent player and can definitely do a good job in the middle of the park. He controlled the game in the opening 30 mins and was a really good pivot to have in front of the back line </t>
  </si>
  <si>
    <t xml:space="preserve">It's the first time I have played with Sidney and he's very composed on the ball but also a very solid defender. He listens well and is keen to learn </t>
  </si>
  <si>
    <t>Very pleasantly surprised by Chris. He's a decent lad and actually a better player than I thought. He lasted a good hour injury free which is good and he was full of running, overlapping his winger and giving good attacking options</t>
  </si>
  <si>
    <t xml:space="preserve">He turned up 10 mins before kick off so I dropped him to the bench. When he came on he played at the base of the 3 in CM and was his usual class self. Composed on the ball and always trying to start the attacks going toward. Lang has found his ideal position here and it's paying off </t>
  </si>
  <si>
    <t xml:space="preserve">He was better than I expected but I wasn't expecting much. Actually played ok. The oppo were poor but overall he tried a few things, some came off some didn't but I liked that he tried. Took himself off with an injury and didn't hang around after. It would be good if we could integrate him more into the club as he seems isolated </t>
  </si>
  <si>
    <t xml:space="preserve">Happy with Chris' performance, he got an assist and did the donkey work well, chasing down the oppo's CB's and was always a forward option. Decent guy too - be good to have him around </t>
  </si>
  <si>
    <t>Matt Powell</t>
  </si>
  <si>
    <t>Victor Lemmer</t>
  </si>
  <si>
    <t>Sonny Kombo</t>
  </si>
  <si>
    <t>Nick Daley</t>
  </si>
  <si>
    <t>Jason Raife</t>
  </si>
  <si>
    <t xml:space="preserve">Tom was one of the few in first half who was playing well, getting the ball down and moving it around. He was doing well this week moving it on before taking on too many people, overall had a good game but again needs assists or goal to be pushing on, or assisting an assist! </t>
  </si>
  <si>
    <t>Wandsworth Borough</t>
  </si>
  <si>
    <t xml:space="preserve">Very little to do but did it well. No shots on target, claimed a couple of cresses / long throws. </t>
  </si>
  <si>
    <t xml:space="preserve">Very good performance, controlled the game.  Possession must have been around 80%.  Slight concerns around the easy chances missed, the dominance we had should have been a 4/5-0 game. Watching back on the video how we are setting up from the back is spot on the vast majority of the time, this is allowing us to control games.  Second goal Teho cuts out a long ball on the haalfway line, 12 passes later the ball is in the back of the net, lovley whipped ball in from Jarvis and finish from Paz.  </t>
  </si>
  <si>
    <t xml:space="preserve">This is looking like the Seb of old.  Is a nailed on wing back.  Throughout the game had the LW pinned back on top of his full back.  Was the main passing outlet and powered down the right.  Put in some lovley crosses. </t>
  </si>
  <si>
    <t xml:space="preserve">Powerhouse as he does on a weekly basis.  Check out the RPJ picture of his leap for the header, oppo had 90 mins of that. </t>
  </si>
  <si>
    <t xml:space="preserve">Hes not got the minutes under his belt the other players do, sort of showed but his classs also showed and was able to steady himself. On 20 mins jared knee.  Could be out a few weeks. </t>
  </si>
  <si>
    <t>Picked up MOTM, vote was tight but so many played well  Given so many good displays speaks volumes Theo won it.  Calm on the ball, agressive without it. Superb.</t>
  </si>
  <si>
    <t xml:space="preserve">Really took one for the team here allowing us to keep the shape by doing a job at LWB, his power running was there but not quite as effective.  On instruction tucked inside when Josh made his LW trademark overlap.  Looked more comfortaable there.  Intelligently still ran the FB down the line to show he wasn't 100% looking to cut in. </t>
  </si>
  <si>
    <t>Started in CM, misplaced a couple of passes.  Usually grows into his passing as the games goes on.  Forced to put into RCB with Jed going off early. He was an absolute rock there, nothing got passed him.</t>
  </si>
  <si>
    <t>Nice recovery from last weeks poor showing.  Really good on the ball, got us moving through the mideifld which we really missed last week.z</t>
  </si>
  <si>
    <t xml:space="preserve">Superb performance.  Played an hour ACM where he drifted all over the pitch, oppo could not contain him.  Dropped back into CM, first time Ive played him there in a while.  For the second goal he has possession of the ball 5 times in a 12 pass move, orginally collected the ball at LB and worked us all the way up the pitch.  Great showing. </t>
  </si>
  <si>
    <t xml:space="preserve">Was very good, he is always very good.  Missed an open goal and a pen. In the last minute had a 3 vs 1 and paassed straight to their keeper.  Marked as an 8 because he was that good.  Should really have been coming out of this game with a hatrrick and MOTM. </t>
  </si>
  <si>
    <t xml:space="preserve">Started Plats over Foxy which was hard but given what he did to Wandsworth last season they would have been delighted with him on the bench. They just dont have anyone close to being able to contain him and he ran roit.  How he came off the pitch without a goal or assist is a crime.  Was about to score and waas hooked back from behind, clear red but the ref bottled it.  Jarvis pen waas saved. </t>
  </si>
  <si>
    <t xml:space="preserve">Despite a superb performance vs Tenisons maade the hard call to start Foxy on the bench.  It typical Foxy style he said he would have done the same and was nothing but supportive.  Came on for final 35 and was great.  Offered more of a focal point, got on the end of goal kicks that nobody else gets anywhere near. Nice front post run for goal creating space back stick for Paz to score. </t>
  </si>
  <si>
    <t xml:space="preserve">On early and was a big influence of the game.  Settled paassing, strong tackling.  Really good with his positioning when Plats, Josh, Jarvis are dropping in he presses up.  Its something he feels he is still learning on aand constantly looking for help with, truth is he is 90% there with it.  Reaally pressing a claim to remain part of the squad, every time he has been 1s recently he has been superb. </t>
  </si>
  <si>
    <t>Antoher pressing his claim strongly.  Came on at RWB and looked like he played ther all his liife.  Given the dominance of the game and Yemi behind him he could really get forward and he did that to great effect for his goal.</t>
  </si>
  <si>
    <t>Clapham Old Xavarians</t>
  </si>
  <si>
    <t>Not chims best game as I would have liked that he would have done more when getting harassed from corners, either calling the ref loud or being more aggressive with the oppo. Still great to have him in there, just on this occasion a taller keeper wouldn't have conceded those goals.</t>
  </si>
  <si>
    <t xml:space="preserve">good performance from what is an almost unrecognisable team from last year, with 8 new signings in the team today, 5 of which are under 23, the futures bright. However we're here for silverware this year! Oppo turned up in a shambles, with 10 men and no keeper, asked us to delay, to which we said no fucking chance. Lads worked really together, getting the ball down and playing nice easy football, making the ball do the work, creating loads of chances. Went 3-0 up in 30 mins, however they were dirty on the corners and kept fouling chim, and scored twice from it. Needed to settle the game down a bit more, we started to get panicky at the back - but once we made it 4-2 we took the wind out their sales and again moved the ball well. We missed a lot of easy chances, which hopefully as the season goes on we'll become more clinical. </t>
  </si>
  <si>
    <t xml:space="preserve">Great touch, great at going past players, literally glides past them, draws them in as well and leaves them behind. Definitely not a CDM, but a very good ball carrying CM. Just need to get him some OPTI points now. </t>
  </si>
  <si>
    <t xml:space="preserve">Was very late (turned up after kick off) which is not normally his style, came on half time, he was doing well apart from missing an open goal, then took a bad challenge and has a broken rib, so will likely be sidelined for 6 weeks, which is a shame. </t>
  </si>
  <si>
    <t xml:space="preserve">Earnt his starting place with a brace last week, and repaid with our first goal! Worked hard, running everywhere, battling, somehow missed a one on one when he had all the time in the world, but we've all been there. Definitely a permanent name on the 2's sheet. </t>
  </si>
  <si>
    <t xml:space="preserve">Really enjoy playing with Paul, he's a good defender, but his composure on the ball make him a real asset and outlet at left back, which suits us really well. linked up well with Tom Riley and assisted OG's goal. </t>
  </si>
  <si>
    <t>Toms a tidy player, he seems to have matured a bit this year, rarely on the piss the night before a game, and it shows with him playing well, and feel he's been getting better each game. great feet, makes good runs and plays the easy ball when it's on, but also gets past players easily. 2 assists from him as well, good work.</t>
  </si>
  <si>
    <t xml:space="preserve">Thought I played well, breaking up their attacks regularly and redistributing, as well as keeping the team calm and composed, retaining possession. Goal was more of a mistake from the defender, but took us to 4-2 so was an important one regardless of how it came about. </t>
  </si>
  <si>
    <t xml:space="preserve">Clarky seems to be back, playing regularly and training - and whilst he was rusty he's definitely getting it back quickly. Subbed on for myself at 30 mins, did a good job in at CM, however it did feel a bit unstable with Finn and Clarky in the centre together, need one of them to lead in there and they're both quite quiet. Still had a good game. </t>
  </si>
  <si>
    <t>Ismail's quality is his technical skill, very happy to have the ball at his feet and get his head up. Played a great pass for the first goal. Wouldn't be my first choice as against better attackers think he'd get found out, but was a good stand in.</t>
  </si>
  <si>
    <t xml:space="preserve">Good game from OG, doing his usual stuff, running about, holding the ball up, bringing the game into the final third. Missed an absolute sitter, however took 2 goals really well. Injured as well though, said likely out for a few weeks. </t>
  </si>
  <si>
    <t xml:space="preserve">Brought him on at half time, however the oppo's winger turned up (literally, physically turned up) and gave jordan a tough time, resulting in him making a few fouls and panicky errors. Took jordan off for Paul to calm the game towards the end. Think he's better than what he showed, but he didn't show it today. </t>
  </si>
  <si>
    <t xml:space="preserve">Good lad, gets stuck in, has a good left foot and is comfortable on the ball. Would like him to play with someone more experienced to help him develop. </t>
  </si>
  <si>
    <t xml:space="preserve">Connor and Ollie down the right was causing the oppo so many issues. He's calm on the ball, can run for days, and does. Was overlapping so nicely with Ollie. Defensively could be better, but still good and always gets goal side. </t>
  </si>
  <si>
    <t xml:space="preserve">Worked really well with Connor, these 2 were causing loads of problems, as soon as it went down the right they were threatened. Moving well, passing lines were good. </t>
  </si>
  <si>
    <t>Witan</t>
  </si>
  <si>
    <t>Barcs is a good goalkeeper and very comfortably 3s level. Not much to do but when called upon he delivered.</t>
  </si>
  <si>
    <t>Began out in a 4-4-2 and whilst they only had 10 men we really struggled to do anything. Switched to a 4-3-3 after about 15 mins and looked the better side. Went 1-0 after a hospital ball from yours truly (Denver) before equalising and going ahead 2-1 at half time both from Rich. 3 quick goals in the second half saw off the tired Witan and Through a bit of complacency they got a 2nd but at that point no danger.</t>
  </si>
  <si>
    <t>Wasn't my best game today, but I am my harshest critic. Bad ball in to Will put him into danger which ultimately led to the goal. Cross to Rich Jones was good and 2nd half was better.)</t>
  </si>
  <si>
    <t>Very versatile player and played in all of the central roles today. Getting on and can tell in his fitness but towards the end of the game his class showed. So effective holding the ball up. Easily still a 3s standard.</t>
  </si>
  <si>
    <t>Played RB, LB and LM today and very good in all. Has an absolute engine and good with both feet. Very effective down the line and can play midfield and full back</t>
  </si>
  <si>
    <t>Kye is a good player. Wins most things in the air and continued that today. Can get caught out at CB a couple of times which is why he's not an 8/10. Keen to play wider which I understand and gave him 15/20mins out there where he was super effective.</t>
  </si>
  <si>
    <t>Not his standard today although still good. Perhaps needs a little more fitness but still easily a 3s player. Good engine to have in the midfield.</t>
  </si>
  <si>
    <t>Quality from Dan today. Played okay centrally but all three did. Played out wide in 2nd half and put a shift in.</t>
  </si>
  <si>
    <t>Played CM and CB today. Not his best performance but still strong in there. Very strong in that tackle and willing to do a job anywhere.</t>
  </si>
  <si>
    <t>Could only play the first half. Has another gear or two in him and certainly wasn't as effective as normal.</t>
  </si>
  <si>
    <t>Not his best today and can play a lot better. Dropped into CM when switched to 4-3-3 and was good in there but think he has another gear. He knows it as messaged in our chat to say this.</t>
  </si>
  <si>
    <t>First game back at OTs and wanted to take him as a familiar face. Was surprised as ran a lot and was very effective at times. Good to have him back and certainly an asset to the 3s.</t>
  </si>
  <si>
    <t>Very poor first half, probably worst out there and again held his hand up. 2nd half he turned up and created 2 goals through some good work down the line. Ended on 7/10 because a 5 in the first half but 8/9 in the second.</t>
  </si>
  <si>
    <t>What a game today. Rich can be unpredictable but given he started on the bench and came on to score 4 was clearly the player we needed to turn it around today. Bullied the back line, held up the ball really well and just couldn't miss 😂</t>
  </si>
  <si>
    <t>For a 45 year old he is so reliable. Strong in the air and did us a favour at CB. Couple of misplaced passes but nothing out of the ordinary on a dry pitch like today.</t>
  </si>
  <si>
    <t>Ali Koc</t>
  </si>
  <si>
    <t>Old Paulines 2s</t>
  </si>
  <si>
    <t>Not an 11 aside keeper as he did mention before hand but only at fault for maybe 1 of the goals. He could be good addition to the club should he stick around. Training will be g good for him and to get up to speed quick. Another one who cant take goal kicks. Decent handling and vocal. probs say a 5s keeper.</t>
  </si>
  <si>
    <t>5-3-2</t>
  </si>
  <si>
    <t>Terrible day in the office for the opening game of the season for the 4s. Another rebuilding job given the new players that have come in and will need to gel quickly to be able to have a good season. Started the season with a 5-3-2 as was looking for this to be my favoured formation however few of the lads didnt stick to their roles. 1st half first 25 we actually played some decent flowing football however fitness started showing early on and mental stamina from a few players. A misplaced pass in the middle of the park resulted in them pouncing on us and scoring a flukyish goal. Followed by a 2nd equally fluky goal which the keeper should have done better with. Gave the lads a few moments to gather their focus during half time before laying into them for being in the position that we are. 2nd half scored 30seconds in straight after kick off which bamboozled the oppo. I was thinking game on. Yet again fitness started to show and players not picking up the oppo. The oppo to be fair were a fit bunch and were rotating players to keep them fresh. They started to get back in to the game after 20 mins and the more leggy we got the more mistakes that happened. we conceded 3 goals second half which summed up how far off our standards we were. There were nice phases of play through out the game but not enough to deserve a win. We deserved to lose.</t>
  </si>
  <si>
    <t xml:space="preserve">skipper for the day. Did ok. yet again same old story with ade. just needs to build his fitness. there is a player some where there hidden under his lack of fitness. Won his duels. Maybe didnt organise his back line as best he could. </t>
  </si>
  <si>
    <t>Not his best performance. got taken out a few times and then lost his head. needs to not allow the ball the bounce so much. passing was ok. below par performance from him.</t>
  </si>
  <si>
    <t>really not a good game from him in my opinion. loses foxus on the game and doenst react or track his guy very much and not too much in terms of distribution. likes a good long ball but doesnt come to much most times. was not impressed to be frank.</t>
  </si>
  <si>
    <t>a nice lad off the pitch but it showed on the pitch. Needs more grit and agression. which after the social he now knows. Linked up well with nish second half. 5s pushing 4s</t>
  </si>
  <si>
    <t>probably the best defender from the back line. Great distribution and focus. PLayed the ball out with confidence. Did a good job and impressed. may struggle against pacy players and needs more agression.</t>
  </si>
  <si>
    <t>someone i had high hopes for seeing him play at the inter friendly however his fitness was shocking and the oppo figured that out early doors. struggled to get himself about in the middle of the park. However he is someone that can make a difference with a pass however didnt have the time or fitness to do so on the day</t>
  </si>
  <si>
    <t>another one with fitness issues. Specially middle of the park is somewhere were you  dont want to do. got caught too many times in the middle of the park and couldnt get back to make up for it. He has good intentions but not the physicality to make it happen</t>
  </si>
  <si>
    <t>good game from gaffer. got myself about and into great positions to receive the ball and initiate attacking plays. practically all attacking phases started through me. Set pieces were also good. unlucky not to score 2 goals as keeper made a worldie of a save for 1 of my efforts. plenty of mazy runs and at 1 point oppo turned around and started complimenting me. told him to shut up as it didnt make a difference we were still losing. voted motm</t>
  </si>
  <si>
    <t>he really needs to understand how to an influence a game. has great physical attributes but does not know how to use them yet. can be effective in small spells. passing needs improving.</t>
  </si>
  <si>
    <t>well taken goal. did well in bits. tried to over dribble at times and oppo clamped him. he cant play as a 1 uptop will need a strikiing partner to be effective</t>
  </si>
  <si>
    <t>first match and wasnt massively impressed. his fitness was lacking as well. was the one who gave the ball away middle of the park for the oppo to pick up and score first goal. just needs to improve his fitness and decision making and could be a useful midfielder.</t>
  </si>
  <si>
    <t>came on as a sub and was the 1 who assisted for pearls goal. literally got the ball from kick off and decided to run at 2 players and got a wicked ball in to which pearl tapped in. other than that he didnt influence the game massively.</t>
  </si>
  <si>
    <t>typical physical performance from gus. gave away a few free kicks in dangerous positions for the oppo. couldnt influence the game too much. needs to improve technically a lot more to impose in games.</t>
  </si>
  <si>
    <t>Old Wokingians 5s</t>
  </si>
  <si>
    <t xml:space="preserve">Worst game I've seen Joey play - turns out he had Covid! </t>
  </si>
  <si>
    <t>It was a weird performance to be honest. We knew Woking would press high and fly out the blocks and on a bobbly pitch we did alright…we had a few wobbles but overall we kept the ball. Then we throw it away with a back pass which could have been avoided, which was then picked up and we go 1-0 down. That fuelled the Woking fire and they pressed hard. 2 OG's from the covid stricken Joey meant we would be on the back foot and despite huffing and puffing we couldn't find a way through</t>
  </si>
  <si>
    <t xml:space="preserve">Not great from Jack tbh. He's a grumpy man and he needs to learn to channel that rather than take it out on his team mates </t>
  </si>
  <si>
    <t xml:space="preserve">Found a position for him at LB and it worked a treat! Looked more comfortable and bombed forward well. </t>
  </si>
  <si>
    <t xml:space="preserve">Looked shaky for the opening 15 mins as shown when he didn't hear a huge should 5 yards away and collided with Jack who still won the header. Much better after the 15-20 min mark and had a decent game then </t>
  </si>
  <si>
    <t>Very shaky at LB but looked much happier when he came back on at RB</t>
  </si>
  <si>
    <t>Solid, reads the game well and snuck MOTM</t>
  </si>
  <si>
    <t>Poor game from Sam - he looked lost at times which is not like him</t>
  </si>
  <si>
    <t>Solid game - did what he does best, holds it up and plays the game dictating the tempo</t>
  </si>
  <si>
    <t xml:space="preserve">Struggled to get into the game much and got crowded out. The pace of the game looked like it got him a bit </t>
  </si>
  <si>
    <t>David Holmes-White</t>
  </si>
  <si>
    <t>Great to have him back! Made a difference in the middle of the park - our fortunes changed when he came on</t>
  </si>
  <si>
    <t xml:space="preserve">Frustrating game from Emi - he worked hard but no end product </t>
  </si>
  <si>
    <t>Not as good this week. Looked ineffective both out wide and up top</t>
  </si>
  <si>
    <t xml:space="preserve">Struggled and looked rusty. Missed from 6 yards out, keeper saved it but he should have scored. A sharp Scotty would have done </t>
  </si>
  <si>
    <t>Old Sedcopians 2s</t>
  </si>
  <si>
    <t>atleast 2 of the goals he could of done better. anything high he struggles with - 
conceded from a looping header,and a direct free kick which was atleast 30 yards.
also turned up 15 mins before kick off.</t>
  </si>
  <si>
    <t>Not the start we wanted but had some good spells in this game and unlucky not
to get on the scoresheet. Went with 433 with 2 holding mids which worked well
with them struggling to break us down and create anything meaninful in open 
play. Unfortunately we got done on 4 setpieces. 1 from a freekick, 2 corners, and a 
direct free kick from 35 yards which flew in over Martin. Stuff to work on but 
for the most part it was a positive day, and not overly stressful for my 1st proper 
game in charge, just dissapointing not to get on the scoresheet. They won the
division below last year and will go close in this league. They had a red late on for
dissent.</t>
  </si>
  <si>
    <t>went close for motm  -hard worker, not gifted technically but used his 
frame well - Captains performance, upset he wasnt playing upfront, not sure why.</t>
  </si>
  <si>
    <t>mediocre game at best. quiet yesterday and didnt help us going forward - 6s at 
best. asked to come off again in 2nd half saying he rolled his ankle, didnt look too
serious.</t>
  </si>
  <si>
    <t>just doesent have a football brain - makes weird decisions, constanly trying to go
past a man in tight areas and losing the ball. battles well but beaten 1 v 1 so often.</t>
  </si>
  <si>
    <t>asked to come off because he was hot - not helpful. shame because hes been 
very helpful, almost an assistant on matchday. Defensively sound but very negative
at the end of the game.</t>
  </si>
  <si>
    <t>probably still a bit rusty but good to get more minutes in the tank. played dcm and 
acm - some decent runs/ touches but not one of my best games -few stray passes.</t>
  </si>
  <si>
    <t>ran well for a 38 year old and gets in the right positions to score, but missed a couple
sitters unfortunately. lively when he came on - 6s striker at best but aware he goes off
for a few months soon.</t>
  </si>
  <si>
    <t>had a bit of a bust up with him - moaned about playing in front 3 right before we kicked off.
everyone else just got on with it. I feel like some of these boys get a game or 2 for the 4s
or whatever and think they are too good for 6s. Also questioned a sub i was about to make
out of spite - nice guy but immature today. passing was way off compared to others.</t>
  </si>
  <si>
    <t>played in the middle of front 3, limited us - cant play a through ball to him - unfortunately
playing him deeper would put us in trouble. had very few touches, didnt make an impression.</t>
  </si>
  <si>
    <t>played full 90, looked composed in dcm - some nice touches and worked hard - 
this is the best i've seen him - still too quiet but tidy on the ball this week.</t>
  </si>
  <si>
    <t>did ok in CM, not great on the ball but fights hard and a good attitude. 6's a good fit 
for him. would like to see him do things a bit quicker.</t>
  </si>
  <si>
    <t>turned up 10 mins before kick off. missed the talk, warm up etc - not ideal.
plays the game like a madman, almost like he tries too hard. chased after the ball 
like school football, doesent understand the game well but gives his all. maybe fullback
could work better for him.</t>
  </si>
  <si>
    <t>should of scored in the 1st half. decent save off the line by defender.
didnt make a great impression on the game but you can still see he has some qualities
played out wide but didnt take on his man enough, looked a bit worn out in 2nd half.</t>
  </si>
  <si>
    <t>decent 1st half, very quiet 2nd half where i needed more from him. did well in cam in trying to create -
did little in right forward of a 3 - can see hes a decent player but not much to write home about today.</t>
  </si>
  <si>
    <t>Dorkinians</t>
  </si>
  <si>
    <t xml:space="preserve">Lots of sweeping and crosses to collect. Few back passes. One great save and so unlucky with the rebound. </t>
  </si>
  <si>
    <t xml:space="preserve">Big away win Vs last years champions. They have struggled in first 2 games missing 52 goal Craig Kingswell, he was back which only made our lads even more up for it. Start of the game we complete dominated possession and territory, set up continues to cause oppo confusion and gets our key players on the ball in dangerous positions. We split them open down the middle twice, Josh with a lovely run in behind and found with a slide rule pass, he then inexplicably slowed right down and made a mess of the 1v1. The next time we sliced them open Josh made a beautiful cruff turn like flick pass to find great arched run from Foxy, the old man made no mistakes with his 1v1 burying it in the bottom corner. We continued the pressure, throwing Crowe up for a long throw, he won the header Vs 2 men and the ball bounced across the 6 yard box with nobody anywhere near doing their jobs and following in. Worse was to come as those same players allowed a counter, Theo dived in when he really should have stayed on his feet, some lovely skill from their LW James Aide who is absolutely superb found their striker in the 6 yard box, John made an unreal point blank save, so unfortunate for him and Aaron that they couldn't find the lose ball quicker than their striker who reacted well to score. A really poor goal to concede that gave Dorking momentum. Instantly it was a much more even game.  Both teams really attacking each other and showing off the class players, really good advert for our league. We defended well and continued to create the better chances. Josh made a bursting run from midfield again and hit a thunderous shot from about 20 yards onto the bar, as Foxy followed up the defender used his arm to block the ball going passed him and Foxy getting a 1v1, ref didn't give it ridiculously bad decision and another was to follow. Another Jarvis long throw, Crowe again had 2 men on him, this time they climbed all over him to stop him getting off the ground, one of their defenders headed the ball into his own net, unbelievably the ref gave a foul against Crowe he was the one being climbed on and the lad who headed it was nowhere near Crowe. We have previous with this ref so it was really pleasing the lads just didn't let this get to them and kept on with the high intensity.  Second half more of the same followed from both teams. About 10 mins in took Jamie off, he was seeing a lot of the ball and generally the RW wasn't tracking him, Jamie playing really well so was harsh but needed some forward thinking quality from the space they were offering. Ollie Sewell to left wing back really showed our attacking intentions, Paz on upfront at the same time saw us able to keep up the high intensity. Kingswell was on at HT and played LW but as a striker not tracking. Ben and then Yemi sat in to nullify the threat and with Ollie high on the other side we had a massively lopsided formation but one that was causing the oppo more issues then us. Their keeper made 3 really good low saves as we continued to hunt the winner. Dorking had 2 shots on target all game, the one that John saved and the rebound from that shot. We clocked up probably 10 shots on target. I always felt we would get another chance in the final 10 mins and in the last min Ollie put a ball into the box, in one motion Jarvis pulled it out of the sky and smashed a left footed effort past the keeper at his near post who had no time to set himself such was the skill of the control and rapid fire shot. Absolute chaos, 13 man pile up celebration, brilliant stuff to see. That was Jarvis last touch, instantly took him off to get Jamie back on and close up that side. We formed a back 5 for the final seconds but an absolute age of added time followed, they forced a corner which we defended well, Ollie then carried the ball into the corner and forced a corner. Josh protected the ball from the short corner very sensibly to see the game out. Quality win and well deserved, robbed of a goal and a pen, didn't let it effect us and forced the issue for the winner. </t>
  </si>
  <si>
    <t xml:space="preserve">Narrowly lost MOTM vote. Superb performance. Absolutely crunched Kingswell multiple times. Was an animal from the long throws and free kicks, virtually always gets first contact. Superb. </t>
  </si>
  <si>
    <t>Had a tough task of dealing with a nippy and very strong number 9. Did really well, had a couple of shaky moment during a 5 min period after their goal. Recovered well and was himself after this.</t>
  </si>
  <si>
    <t xml:space="preserve">Really good again from Theo. Couple of times dived in when he should have stayed on his feet. Did win lots of tackles and all his aerial dual.  </t>
  </si>
  <si>
    <t xml:space="preserve">Back in at wing back. Did really well getting up and down the big pitch. Really good understating with Crowe. Got forward well and overlaps we're key. Came off after taking a big hit, dead leg. Hopefully ok for next week. </t>
  </si>
  <si>
    <t>As mentioned in the match report, very unlucky to be subbed. Didn't put a foot wrong, just wanted some more forward thinking play with the space he was getting. Superb when on and overlaps created space for Josh / Jarvis.</t>
  </si>
  <si>
    <t>Funny old game from Yemi. Passing was off in CM and this caused us a couple of issues playing out. Off the ball was his usual self winning back tackles. Took off at halftime. Back on at RWB and was part of the unit that nullified Kingswell.</t>
  </si>
  <si>
    <t xml:space="preserve">Absolutely brilliant performance. He got injured early in the last game Vs Dorking. Showed here what we missed that game. Link up play was so good. Picked the ball off the defenders and broke the lines into Jarvis or Josh multiple times. Naughty nutmeg on one of their players second half that ended up creating a chance. </t>
  </si>
  <si>
    <t xml:space="preserve">Buzzed all over the pitch and created well. Really poor with the early 1v1, almost ended up at walking pace and fluffed his line. Reacted well to this. Superb skill to put Foxy in 1v1. Very unlucky with his effort that came off the bar. Now he is fit again his final 30 mins really showed through his class. </t>
  </si>
  <si>
    <t xml:space="preserve">Magical goal. Brilliant performance and the pricks that run the league rep team swarming all over him. Playing CF role in a manor where the oppo don't know where he plays. One of their supporters called him "the best winger in the league". As with Tenisons when he picked up the ball their is visual panic from the defenders. </t>
  </si>
  <si>
    <t xml:space="preserve">Once again, all the young faces around him playing 100 mile an hour football and the 39 year old does not look out of place. Superb goal, full of running. Absolutely laid one on the goalkeeper fairly that had him down for about 5 mins. Great performance. </t>
  </si>
  <si>
    <t xml:space="preserve">Turned up at kick off. New to London, communicated his issues early. He had been messaging Dockerill yesterday to find out our formation and style of play. Super enthusiastic and knowledgeable player. Effectively played as a winger but got back and supported LCB when needed. Had a great chance back stick from a cross, took the ball down really well, finish was not great. Played really well though and got assist for winner. </t>
  </si>
  <si>
    <t xml:space="preserve">Continues to knock the door down for a starting spot. He changes the dynamic when he comes on and did so brilliantly here. </t>
  </si>
  <si>
    <t xml:space="preserve">On at half time to try and get 2 of our CMs passing the ball. Sort of worked sort of didn't. Interesting from Billy. At times held onto the ball too long. Rarely lost it though. Put in some massive tackles, one very brave header when fouled. Continues to show why he should be part of the set up. </t>
  </si>
  <si>
    <t>Shene Old Grammerians</t>
  </si>
  <si>
    <t>whilst he kept a clean sheet, he had a few moments where he lost his cool, a few kicks that were awful going straight up and putting us under pressure, and another whre he had a total brainfart, putting the ball on the ground, then picking it back up and conceding an indirect free kick - but that sets the tone of the day.</t>
  </si>
  <si>
    <t xml:space="preserve">a wholly frustrating day, we had huge churn from last weeks game with only 4 of the same players, unfortunately with this the quality dropped a lot - felt like last years team as we struggled to create opportunities, despite there being a lot of what I'd call 2's 'household' names in the squad. Overall the movement and communication is what killed us, when players had the ball, we weren't giving instructions, man on, 1-2, turn out etc., and most importantly it seemed when someone had the ball everyone switched off and felt their job was done, which meant we had no options and either hoofed it or got caught on the ball. when we were on the ball the passes were shit as well. That was not a title challenging team, that felt like the team that got relegated. Will be making wholesale changes next week should availablity allow it.
Started off 442, and the quality was just shit. Clarkly and Ewan both playing stray passes, laidler kicking it straight out of play, Tom Riley showing his skill but started losing confidence in his team mates passing it to them less and less as the game went on. First half we had a messy corner, with the ball dropping nicely for Ewan around the 6 yard box but he couldn't find the back of the net. Rich Jones and clarky also had some messy chances in the area, again unable to put the ball in the back of the net. However the chances were scrappy, shit chances, nothing worked well or created well, no composure. Second half we were under pressure a good bit, had some chances, didn't convert. Had some patches of play where we were making chances, but again felt shit, no one getting the ball down and moving it around. A well played pass to harold could have been a chance, 1 touch forward and was 1 on 1 - his touch was shocking and he had to chase it down to the corner. </t>
  </si>
  <si>
    <t>below par for Seb today, but felt the support structure wasn't there for him and ended up being isolated, resulting in him not wanting the ball, which broke down our football.</t>
  </si>
  <si>
    <t xml:space="preserve">Jonny got MOTM, I like him as he listens to instruction and doesn't get aggy or have an attitude, few times gave him bits of advice, he took it on board and improved throughout the game. he's young, well built, think he could be a good CB if he continues to develop. </t>
  </si>
  <si>
    <t>Standard performance from Joe D, however his moving forward with the ball on a regular basis results in the midfield being really compacted, as opposed to opening up the space. Battled well throughtout the game though, and ultimately kept a clean sheet.</t>
  </si>
  <si>
    <t>not great from Laids, overwhelmingly left footed which hinders him a lot - few times was running back, instead of playing it to his CB's with his right foot, he'll do an awkard 180 to get it onto his left and kick it out of play. Wasn't moving for the ball meaning CB's and midfield didn't have good outlets.</t>
  </si>
  <si>
    <t>started well, ended up playing shit along with the rest of the team.</t>
  </si>
  <si>
    <t>my rating of clarky in games is not as high as others, I'm not sure if I'm missing something, but I find he often misplaces passes, loses the ball while in possession despite having an option or his first touch lets him down - think he may still be a bit rusty, overall didn't contribute a lot.</t>
  </si>
  <si>
    <t>marking him down for his attitude, was poor and went missing, will need to speak to him about staying positive in a game. brought him off at 30 minutes which clearly pissed him off. 2nd half he came on playing LW, we were defending a corner, I call him back and he stropped. his attitude came through in his performance, when the pass came to him for the opportunity he wasn't on his toes and the touch went wide, opportunity lost.</t>
  </si>
  <si>
    <t>one of the few players who played well - however it felt like the team playing shit was infectious and he ended up catching it as he got worse as the game went on. Tom and I were playing well at the start, getting it down and passing, but then whoever we'd pass it to would lose it, then the confidence was going and people weren't offering for it. Tom's been consistent for us this season, always getting it down and watning to play football</t>
  </si>
  <si>
    <t>felt Rich struggled to get into the game and have an impact, however can't fault his work rate or attitude, he also wasn't getting good service either.</t>
  </si>
  <si>
    <t>felt chris played really well when he came on, was positive, moving for the ball, could play a pass to the man he wanted to which was an improvement on most of us. today he was my preferred CM.</t>
  </si>
  <si>
    <t>James Black</t>
  </si>
  <si>
    <t xml:space="preserve">james came on at 30, and played well. he's a good player, and he was frustrated at the end of the game which I understand. Despite his stature, battled well, and is a decent player, have an inkling he may have an attitude though. see what comes, hopefully he stays as think he mentioned about playing higher. </t>
  </si>
  <si>
    <t xml:space="preserve">Got the same from Ewan as always, effort, movement, communication, not the most technically skilled player, and decision making wasn't the best today, but it was his first game back. </t>
  </si>
  <si>
    <t>Michael Dill</t>
  </si>
  <si>
    <t>London Welsh</t>
  </si>
  <si>
    <t>Loves a proper moan, I’m talking incessantly for 90 minutes, dictating where the back line should be all game against what I was saying, slagging people off for playing poor passes, but really making everybody feel pretty worthless, made a couple of nice saves and distribution was okay, but I hated playing with him.</t>
  </si>
  <si>
    <t xml:space="preserve">Lundie managed this week and it was clear from messages that the lack of cohesion from the messages. Went 1-0 really early from Shavon. But then seemed to capitulate. 1-1 at half time 3-1 at full time. Biggest call out was lack of midfield which is odd in a 4-3-3 but it's like due to no Dan Russell and no Nathan Baverstock. </t>
  </si>
  <si>
    <t>One of the better players today, worked very hard and it was a noticeable drop off in quality. When I book Jack on for him, he put in a fantastic cross along the floor for Jack to tap in in the second half when we were 2-1 down, still can’t believe Jack missed the goal from 2 yards out.</t>
  </si>
  <si>
    <t xml:space="preserve">Lundie managed this week and it was clear from messages that the lack of cohesion from the messages. Went 1-0 really early from Shavon. But then seemed to capitulate. 1-1 at half time 3-1 at full time. Biggest call out was lack of midfield which is odd in a 4-3-3 but it's like due to no Dan Russell and no Nathan Baverstock.  </t>
  </si>
  <si>
    <t>I played pretty rubbish today, conceded an own goal, although the striker kicked my leg onto the ball. Won my usual amount of headers, but passing was shocking, kept putting the team under pressure.</t>
  </si>
  <si>
    <t>Good game from him today, confident, vocal, passing was great, just surrounded by nervous players who didn’t want the ball.</t>
  </si>
  <si>
    <t>Pretty steady game from him, didn’t do anything particularly good or bad but worked hard for 90 minutes</t>
  </si>
  <si>
    <t>Same as Andres Really, started off well when we were playing nice football at our the beginning, but then made a few mistakes and went into his shell a bit second half, nice guy though and worked hard all game.</t>
  </si>
  <si>
    <t>he’s a very good player, lovely on the half term when receiving the ball, he was the only player in that midfield three who was coming towards the ball, wanting to receive it all the time, very good game .</t>
  </si>
  <si>
    <t>I thought all my dreams had come true when I saw him turn up at half-time, but I guess he had just played another game. He was looking a bit tired, not his usual self, did okay on a couple of occasions, but never really threatened the goal, but in the second half The opposition were the better side, so we didn’t get much ball up to him.</t>
  </si>
  <si>
    <t>Subbed him off a bit prematurely just after half-time, he was actually playing quite well, but wanted to get Harold on the pitch so had to get inventive. Good leadership qualities, today, vocal and he led the warmup, I made him captain, which he seemed to enjoy</t>
  </si>
  <si>
    <t>Scored the opening goal and it was a lovely goal. Top corner from about 18 yards out. Also a lovely guy and worked very hard and looks fit, he could easily have done 90 minutes but again I subbed him off for half an hour to get Rob Edmonds back on.</t>
  </si>
  <si>
    <t>Played a bit like he’d had a heavy night on the beer, turned up late and looked leggy, didn’t really get involved much, when I brought him back on after subbing him second half, he had a bit more fire in his belly, and was throwing his body around, which was good, but in general, he didn’t do anything much all game.</t>
  </si>
  <si>
    <t>Started off very well, some confident touches but flagged in the second half, wasn’t really a game changer, although I think he might have it in him.</t>
  </si>
  <si>
    <t>He was full of himself before the game, and said he was gutted not to be starting, so I presumed he was quite a good player, when he came on for Hallam after 40 minutes, the quality level immediately dropped, and it was obvious, he can’t even take a throw in, which is a big red flag for me, was never in a position when we were defending and missed an open goal, and was generally crap, not threes level in my opinion .</t>
  </si>
  <si>
    <t>Old Tenisonians 3s</t>
  </si>
  <si>
    <t>Tuned up 30 mins to kick off. Very laid back and not bothered approach. Could have done better with a few of the goals. Doesnt take goal kicks and doesnt really communicate. The club really need to find and field better goalkeepers who want to work for their clean sheets.</t>
  </si>
  <si>
    <t xml:space="preserve">Yet again another dissappointing resulting in spite of the performance. The result massively flatters the opposition as we had nearly 70% posession of the ball through out the game just couldnt find the end product. Again team trying to gel together with so many new faces. 1st half literally had the oppo pinned in to their own half as the formation was allowing us to play freely and play nice football. However that being said nice football doesnt always relay with results which is something we need to improve on massively. 1st half all over them and had chances and shots on target however their keeper and 2 cbs were having a great game. 1 throw in from oppo and indecision between our cbs resulted in them to score a tap in to go in to half time 1 - 0 down. That being said it was the tone for the 2nd half. indecision at the back underminded all our hard work and allowed to simple tap ins. An own goal or 2 and also. Had a thorough chat with the boys post match that we need to boune back straight away to be able to get a grip in the league. We are 1 of the far better teams in the league based on the 2 games played however we are in a results based indutry and judged on our results. We need to learn to take our chances and to create more clear cut opportunities. Not the best opening 2 games and sitting rock bottom of the league atm. Will be looking at becoming more agressive for the coming games and to do better with the ball when we have so much of it. </t>
  </si>
  <si>
    <t>Not his best game at all. Ade needs to have a look at himself regarding fitness as it his biggest weakness as a player and when playing at the heart of defence needs to be more assertive. No communcation between him and Kev for the first goal conceded. Also scored an OG. Club really needs an influx of CBs</t>
  </si>
  <si>
    <t>Good distribution at the back and battled well at times. Let the ball bounce in a our box too much at times also.</t>
  </si>
  <si>
    <t>Played well at RWB. physical and composed. Good spirited kid. Did well and followed instructions well.</t>
  </si>
  <si>
    <t>Physical and competetive put himself about and as one of the younger lads actually lead by example. decent game from him and had a few Motm votes.</t>
  </si>
  <si>
    <t>Played him at LCB this week as last week fitness was showing in the middle of the park. PLayed much better at LCB and had great distribution and used his height well. Had alot of the ball through out the game and used it well. got overall MOTM</t>
  </si>
  <si>
    <t xml:space="preserve">Better than last week. Passing was better and played well with his CM partner. Would like to see him transfer his physicality over from training to match day. </t>
  </si>
  <si>
    <t>Fitness is improving and decision making. Played better than last week. Another who needs to improve his physicality and end product.</t>
  </si>
  <si>
    <t xml:space="preserve">An ok perfromance from me. Sprayed the well and started attacking phases well and unlucky not to get few assists with lads missing their chances. Influenced the game but nowhere near my usual standard of game productivity.  </t>
  </si>
  <si>
    <t xml:space="preserve">Gave him a good 70-75 minutes and he did well in phases. No shots on target but in fairness to him he didnt have clear cut chances. </t>
  </si>
  <si>
    <t>Lets the oppo get in to his head at times which plays in to their hands. Had to remind him a few times to igrnore the oppo and focus on his game. He can beat his man easily 1v1 and almost scored 1st half with a whipped in ball from the gaffer.</t>
  </si>
  <si>
    <t>Bought him on 2nd half. Another one in Cm who really doesnt influence the game and just plays safe balls. Tall lad who doesnt really put himself about</t>
  </si>
  <si>
    <t>Liam Gunn</t>
  </si>
  <si>
    <t>Turned up 20 mins before KO with no shorts or socks. Had to accomadate. Gave him last 30 mins subsequenetly. Not actually a bad footballer just had to integrate as cant really communicate with him. Good passer of the ball but other than that not phsical enough. Could do a good job for the 5s in my opinion.</t>
  </si>
  <si>
    <t>Bought him on end of 1st half as he was a little late and had to make sure that everyone learns to be on time as a sign of respect. Not his most influencial game as played him as striking partner.</t>
  </si>
  <si>
    <t>Brent 3s</t>
  </si>
  <si>
    <t xml:space="preserve">Pulled off a couple of good saves but catching wasn't up to standard. Kicking was decent enough but to blame for the 1st goal. Must be better </t>
  </si>
  <si>
    <t xml:space="preserve">A frustrating one this one. A game of what ifs? We played some really good football and I am enjoying seeing us play like this. It's great to watch. The main issue which I am hoping will fix itself with time and training was the final delivery - it was either behind the player or the player at the back post wasn't up with play so missed a tap in chance. Brent scored 2 goals that they'd do well to score again and that keeps on happening but we twice got level and the fight is there to see! We just need to to get that first win soon and I think we'll start seeing more </t>
  </si>
  <si>
    <t xml:space="preserve">Class from Niall who at times made me look like Pep with an inverted full back. I didn't want to sub him off but had to get another play on - it's great to see him linking up so well with Emi too on the right </t>
  </si>
  <si>
    <t xml:space="preserve">Where to fucking start?? I'm getting beyond sick and tired now of him turning up so late! He arrived at the kick off time because he could not find his socks! No text, no call. Simply nowt! Dropped him to the bench but we missed him. He's a good CB for the 5's but he needs to get his shit together and fast! He's nearly vets age but acts like he's 12. </t>
  </si>
  <si>
    <t xml:space="preserve">Definitely not a CB, his positioning and discipline is dreadful. He would have started at LB had Anthony arrived on time. He looks however so much better at full back. He was making runs and was so much more composed. He even got on the score sheet to make it 2-2 </t>
  </si>
  <si>
    <t xml:space="preserve">Had a shaky start with the partnership with Lawrence but looked much more assured alongside Anthony. If he's around more I'll keep on picking him for sure. His dad also comes to watch and it's great to have. Maybe his dad can help get Anthony into some sort of adult </t>
  </si>
  <si>
    <t xml:space="preserve">Overall Lee had a pretty good game. He's struggling a bit with fitness after a long time out so building him back up. Looked good at LB and will be happy playing him there again. Took him off at 1/2 time to rest him and then struggled to get him back on as we were playing so well. But he definitely is starting to look a good player </t>
  </si>
  <si>
    <t xml:space="preserve">Much better game from Sam this week. He looked off the pace last week whereas this week he looked more like himself. </t>
  </si>
  <si>
    <t>Not his best game. Did alright but he was just off the pace a bit at times. He could have had a couple of goals if he had gambled into the box in the first half. Set piece delivery was good however</t>
  </si>
  <si>
    <t xml:space="preserve">Made him skipper and he stepped up. He was the engine room today. He ran the show and if I can build my side around Callum, Sam &amp; David then it could be a good season </t>
  </si>
  <si>
    <t xml:space="preserve">Not quite as good as he was last week but still a decent game. When he came off you could see the drop off in quality. Wanted him back on the pitch but again couldn't get him on due to needing to give the others game time </t>
  </si>
  <si>
    <t xml:space="preserve">Again another better performance than last week. He never stops running and chasing defenders which I love!! Linked well with Josh and that could be a good partnership too. Got a goal which he fully deserved </t>
  </si>
  <si>
    <t xml:space="preserve">All Josh needs is a goal! He still looks a little rusty but that'll come. He played really well and was such a good outlet, holding the ball up really well and bringing others into play. Missed a couple and could have had 2 or 3 by half time. Got 2 assists though </t>
  </si>
  <si>
    <t>Much better compared to last week. He had a threat and a purpose about him. I think having Niall behind him worked really well and they developed a good understanding. He created some good chances that just needed the opposite winger to get on the end of</t>
  </si>
  <si>
    <t>Afnan Khan</t>
  </si>
  <si>
    <t xml:space="preserve">Seems a nice bloke and has some technical ability but he goes down far too easily and he also was the weak link today. He didn't look great in training on Thursday and wasn't the best today but worth another look. He'd possibly improve the 6's with Charlie Brooks going so worth a look in there </t>
  </si>
  <si>
    <t>Old Suttonians 5s</t>
  </si>
  <si>
    <t>Great of him to step in- did not dissapoint. handling and kicking good and made a couple
1 v 1 stops. Shame he seemed reluctant to continue here, who knows. voted motm.</t>
  </si>
  <si>
    <t>Naive defending was our biggest problem here. Clearly Sutts knew the ball over the back
line was working - this is how they scored the 2nd and 3rd and could of had more from it.
on the flip side we need to do better with our chances up top. HFripp had a great chance 
to level before the break. We hade a good team talk and then concede 20 seconds into
2nd half from a looped ball putting them 1 v 1. This is where I need Jabari and Peter to step
up and call/dictate the line as like today we'll have various full backs through the season.
Despite team talk still way too many pointless 6 yard passes inviting pressure - will have to go back 
over this next week. Some positives in dominating for parts of the game against a well organised 
sutts. Next week a great chance to get out first W of the season up in sunny guildford. Boys are still
upbeat but we really need to be finding the net this Saturday.</t>
  </si>
  <si>
    <t>still very naive defending but willing to learn. puts plenty into his performance but
currently playing with  all effort and not intelligence. Think I can improve him by end 
of season or sooner - not technically but getting the basics right will help him alot.</t>
  </si>
  <si>
    <t>Think this guy may be hard of hearing? pre game and during game I had to repeat the
same thing 6 times until he snapped out of his trance. A lovely fella so trying to be 
patient but needs to switch on. came back onto pitch clearly unsure of where he was
playing and didnt ask for any instruction. technically ok but loves a pointless 5 yard pass.</t>
  </si>
  <si>
    <t>Ability wise Peter can play beyond the 6s but who wants a defender who randomly asks 
to be subbed off every single game - can be 20 mins in, can be 60 - this week it was 60.</t>
  </si>
  <si>
    <t>individually did ok but want more from him organising the backline as we kept getting
done by basic balls over the top. Gives alot and a calm head for captain. One of our better
players this game, stayed busy.</t>
  </si>
  <si>
    <t>moments of decent play but still looks like he can go up a gear, blazed a sitter over the 
bar in first half which would of done him great to score. Seems a little unfit but always 
willing to put himself about.</t>
  </si>
  <si>
    <t>his lack of consistency playing has caused him to be shakey - started in front 3 without
end product. Exposed us at full back, bombs on carelessly and got done by diagonal ball
over his head for 3rd goal - clearly new to 11 aside and struggles a bit with the lingo - no 
comms isnt doing him favours, summed up when he didnt know name of his motm vote.</t>
  </si>
  <si>
    <t>always a runner/battler but has tunnel vision when on the ball - needs to get his head up 
and see the whole pitch, like a few today. looks ok in mid at times, other times sketchy in
losing the ball.</t>
  </si>
  <si>
    <t>Tom Davidson</t>
  </si>
  <si>
    <t>Came into dcm earlier than i hoped with Brooks injury after 25 mins. Hasnt played 11 aside
before and it showed. Think there is something to work with though - good lad. He will listen
and learn from instruction.</t>
  </si>
  <si>
    <t>Good to see Matt back on the pitch - good player, loves everything short which probably
isnt the best way for 6s to go about business. Too many touches at times when he could
move the ball on quicker but willing runner and good tackles. few motm votes.</t>
  </si>
  <si>
    <t>Abz Marfa</t>
  </si>
  <si>
    <t>First intro to Abz - bit raw but full of running on the left, and then right flank. needs to
release ball earlier - but can be an asset for 6's and maybe even 4/5s if they need a direct
wide man. fitness is good and brave enough to try and take people on.</t>
  </si>
  <si>
    <t>Getting there, still not sharp as I could be but some good moments running at full back.
played mostly on the right as abz wanted left. missed a half decent chance at end which 
flew over bar. took kit.</t>
  </si>
  <si>
    <t>not as effective as last week. we didnt create too much for him to feed off but didnt influence
the game much himslelf. has an ok touch but got bullied too much here. better displays to come.</t>
  </si>
  <si>
    <t>played 20/25 before injury.</t>
  </si>
  <si>
    <t>Bealonians</t>
  </si>
  <si>
    <t xml:space="preserve">One mad moment at the end of the first half from a corner. Made about 4 shouts of away / keepers/ head away. Caused confusion and he dropped the ball. We scrambled clear. Only mistake of the game, sweeping and distribution on point. Fantastic 1v1 save at key time. </t>
  </si>
  <si>
    <t xml:space="preserve">Another solid win. Not as free flowing as in previous weeks. Oppo wanted a fight and they got one that they soundly lost. In the last game Vs this oppo we didn’t have the personnel / knowledge to carry out instructions to stop them playing out from goal kicks. With the pre season work we have done on this we completely nullified a tactic they work on in depth and the confused looks on their faces was very nice to see. Jarvis and Foxy pushed right onto the edge of the box, Josh pushed ahead of their DCM blocking the passing lanes into him, both wing backs pinning in the full backs. As worked on in training we invited the pass by standing off and pouncing as the ball travelled to them. Really good stuff. Only need a bit of organised pressure on this lot, they are nowhere near as good as they think they are. All three goals came as a result of either a press or a counter press, enabled us to control the game even without our usual possession. Pattern of the first part of the game was us applying pressure and kept them pinned in with the press. They kept shouting it’s 3v3 up here - referring to their front 3 Vs our back 3. Happy with that and when they decided to go long, Yemi, Crowe and Theo dominated them. Off the ball we were very good but on the ball just seemed to be missing a slight cutting edge. Passing slightly off and was a bit sideways. Bit of a silly moment from Jarvis about midway through first half, managed to get himself sinbinned. Their dickhead manager who seemed to spend more time on the pithc than some of the players was telling the ref to book Jarvis and was on first name terms with him. Jarvis bit and asked the ref who was in charge, ref didn’t like that. Understandable but when you consider how many times their players / manager told the ref to fuck off it’s a massive inconsistency. Anyway down to 10 men, really didn’t change the game much, we stayed as front foot as we could. They scored a great volley, really nice goal nobody really at fault. Still with 10 men we pressed and won a corner. Josh with a wicked delivery, flat and powerful, they didn’t have anyone strong in the front post zone, Foxy from about 2 yards in absolutely thundered the header past the keeper, was close to him but so powerful had zero reaction time. Jarvis came back on and we continued to press. We played out less and less, oppo CBs were terrible at competing long balls so was easy to find Foxy or Jarvis and play in their half. Pitch is massive and I’m really bad shape considering who early in the season it is. 
Second half the game became more physical. They have a massive CF who seemed to just get away with foul after foul. Didn’t really make a difference, Crowe beat him up. Not only did them getting more physical make no difference to the game, they embarrassed themselves by losing the battles. This is the team that gave Seb a concussion last season. Twats. Early in the second half Dockers won the ball back high up, lost it briefly before wining it again even higher up in their box, found an unmarked Josh inside the 6 yard box, easy finish. The game became even more scrappy after the goal, we misplaced too many passes in bad areas allowing some dangerous counters back 3 did well. They got a 1v1 but John dealt with it comfortably, his 1v1 goalkeeping is absolutely outstanding, using his own textbook model, waited for the touch and pounced smothering the angle. As it was happening I just knew he would save it, odd feeling for a 1v1 but that’s how good he is. 
Towards the end of the game we started putting moments of quality together. Ollie was looking dangerous linking with Jarvis. Pulled a couple of shots wide, well worked moves. They threw men forward to little effect. We killed the game off Ollie working an opportunity for Josh, first shot was saved on the line but he rammed in the follow up. 
Last 5 mins their instructions from the side was “the game is lost let’s kick them”. Disgraceful. 2 kicks outs of the ball completely missed. Upset me way more than it did the players. I refused to shake hands at the end of the game. No time for shit like that. 
Really good away win done in a fighting fashion. </t>
  </si>
  <si>
    <t xml:space="preserve">Very good job in the back line. Couple of times he pressed up the pitch and lost the first tackle. His recovery is insane though, both times he reeled the man in so can't mark him down on that. He won a lot of the ball high up backing up the press. </t>
  </si>
  <si>
    <t xml:space="preserve">Ideal match up having Crowe middle CB Vs the physical striker. Comfortably won the battle of the giants.  </t>
  </si>
  <si>
    <t>Solid from Theo. Probably his quietest game but by no means a bad thing. Took care of his side of the pitch well</t>
  </si>
  <si>
    <t xml:space="preserve">Started at RWB. Worked with the unit really well pressing them. Couple of moments but just didn't quite happen in forward positions. Defended really well when required. Plays the role very differently to Dockers. Plays slightly infield, has its benefits got him the goal Vs Wandsworth, has its drawbacks as well. Good to know we have the 2 options though. </t>
  </si>
  <si>
    <t xml:space="preserve">Played full 90 at wing back on a massive pitch and did not look tired at the end. Still pressing int he 90th min. Played a massive part in 2nd goal, charged up the pitch, lost ball, counter pressed instantly keeping attack alive. Really good performance. </t>
  </si>
  <si>
    <t xml:space="preserve">Very good game. When we did get our passing game going it was all through Matt. Loved the fight as well though. </t>
  </si>
  <si>
    <t xml:space="preserve">2 goals, assist and star of the show MOTM. Blocked off their play maker off the ball, buzzed around the pitch in possession. Rewarded with his forward runs with 2 goals. Finally got a tap in, brilliant. </t>
  </si>
  <si>
    <t xml:space="preserve">Decent from Billy. Started ahead of Stan given recent contributions from the bench. Bit slow on the ball at times particularly in the opening 20 mins, was caught out a few times. Used his strength really well in the battle though and in this regard was the perfect person to have next to Matt. Won a lot in the air. </t>
  </si>
  <si>
    <t xml:space="preserve">Class performance. Made clowns of the CBs, won so many long balls, was winning them comfortably and getting us playing in final third. Was so easy for him made passing out slightly pointless. Brilliant trademark header for the equaliser. </t>
  </si>
  <si>
    <t xml:space="preserve">Not his day in terms of goal output. Silly getting himself wound up by oppo manager. Did play well though and always a threat. </t>
  </si>
  <si>
    <t xml:space="preserve">Another game changing performance from the bench. This kid is class. Real cutting edge to his play. Needs to work on finishing. Could have grabbed himself a goal over last 2 weeks. </t>
  </si>
  <si>
    <t xml:space="preserve">Started on bench. Cup game and wanted to get Paz a start, he also had a knock from last week. Came on and instantly made a difference, stretched play and gave others space. Created goal for 2-1 almost instantly. </t>
  </si>
  <si>
    <t xml:space="preserve">Not his best display, lost the ball in CM too many times. Grew into game though. He will get back to levels soon. </t>
  </si>
  <si>
    <t>Old Guilfordians 3s</t>
  </si>
  <si>
    <t>martin booked early on after 1 v 1 clash with forward. then went down trying to take a goalkick just after.
handling was ok today and didnt have many shots to deal with. mobility is his biggest weakness. struggles 
to move/get up off the ground quick enough. had no chance with goal volleyed in from 8 yards.</t>
  </si>
  <si>
    <t>An away win to be proud of given the circumstances. 2 late drop outs from attacking players leaving us with 
12 and not much balance in the team. Warm up was shocking as the changing rooms didnt open til 35 mins from kick off. Leo was 45 mins late but fair play to the efforts of everyone else to get to guilford on time with these 'strikes.'
Oppo were very casual and arrived at the pitch after us, could see right away they werent of a high standard.
Clearly the play from them was to put the best players in midfield and the worst players at the back. We went 442 this week
and it worked well with us carving out the better chances early on but it nearly went pear shaped when martin didnt get to 
a 1 v 1 and took the player out near the area - Ellis covering meant it was only a yellow. 0 - 0 at half time and our players were for some reason laughing and high fiving even though drawing 0 - 0 with this lot - very strange. Told the boys to keep the intensity up as game was due to go to penalities if 0 - 0 after 90. Got 2 deserved goals, and fluffed a few more. They scored 30 seconds from the end and never threatened an equaliser in the final moments. Still alot of instructions not being followed but was crucial to win here. some good performances today but sometimes you're only as strong as your weakest link and that always gave the oppo slight hope. A speedster like Gus would of relished today but we had to do with him and shevon dropping out.</t>
  </si>
  <si>
    <t>jabari did well as he almost had 2 jobs to do with tom constantly wandering up the pitch.
took goal kicks for martin and won headers. decent playing out from the back. happy with the captain.</t>
  </si>
  <si>
    <t>Ellis is getting better week by week, potential motm today i think. he still needs to play the ball and man 
as he seems to focus alot on barging players without knowing where ball is, starting to understand how to play out
from the back now. put in alot of good tackles and interceptions today - his ability is limited but lots of effort.</t>
  </si>
  <si>
    <t>JT was tenacious and got a good assist with another couple decent crosses provided. full of energy at rigtht back
but would like to see it used more defensively with discipline rather than bombing forward when we'e not chasing the game.
passing a little rusty in 1st half but it will come.</t>
  </si>
  <si>
    <t>ben is a good player but as i thought he's just too aggy for 6's. negative in telling me that
him and leo couldnt play together and huffed and puffed when i asked him to play cm. also delivered a 
corner with 20 seconds to see out at 2 -1 when we all asked him to keep it. decent half volley for his goal 
but he seemed a bit rusty in general play.</t>
  </si>
  <si>
    <t>tom the nuisance. moaned about playing cb when thats where we needed someone to fill in, then constantly
wondered out of position despite being told. bombed forward as a striker right after they scored too, bizzare.
weak link today and he nearly let them in a couple times. I think someone new to 11 aside and of low ability
should just be pleased to get a game, not try and displace an actual cm.</t>
  </si>
  <si>
    <t>George was taking way too many needless touches in the 1st half, improved in the 2nd half with heading and 
passing and won motm infront of his mum on the sideline. took kit.</t>
  </si>
  <si>
    <t>mark hasnt played 11 aside in a while and it showed, wants to do the right thing and run at full back but
has lost a yard of pace which means he didnt get much change out of fullback. still did ok overall with his passing.
went off at the end as he was knackered which meant i had to bring tom back on. can still potentially be 5s level again.</t>
  </si>
  <si>
    <t>gaffer got kick off time mixed up and ended up bringing him off 22 mins into match, he took it well.
was playing way too deep anyway - came on 2nd half as a striker and caused problems, has a good touch
but his age means he doesent win races against decently fast defenders. held the ball up well.</t>
  </si>
  <si>
    <t>I started sub out of nicencess to leo, came on 22 mins in and got running directly at fullback early on via left wing.
same theme 2nd half, although it was frustrating as i really should of skipped past him more times but touch
wasnt always the best to get away from him. assist from corner for ben.</t>
  </si>
  <si>
    <t>leo turned up 45 mins late, asked for a lift at the last moment when i made a whatsapp group the day before
specifically for this. overly relaxed attitude on pitch. asked him to come back on and do a  warm up - just stayed on his phone til i asked again.
i think his lack of english doesent help, doesent follow instruction - has ability with an ok touch but the language barrier
is an issue here i think. strange as he was motm his last game for us - just didnt seem bothered today.</t>
  </si>
  <si>
    <t>matt hope back with a bang, netting our first goal of the season with a tidy finish - his hold up play was good. hes in good
shape now after his boxing exploits but clearly not football fit as he got leggy in 2nd half and was a tad greedy also.
not the quickest but put himself into battles with defenders.</t>
  </si>
  <si>
    <t>LOB Intermediate Cup</t>
  </si>
  <si>
    <t>Dorkinians 2s</t>
  </si>
  <si>
    <t>got injured early on, and felt could have done more for the goals but definitely not at total fault. wish him a speedy recovery.</t>
  </si>
  <si>
    <t>3-4-3</t>
  </si>
  <si>
    <t xml:space="preserve">Weird day, performance was good, had a lot of possession, moved the ball well around at the back, played into midfield, however final third we were struggling to stay calm, keep the ball and create good chances. Conceded first goal as Paul Ball came rushing out to close someone down, leaving his man free, who got a ball played straight down the wing and put a great cross in for an easy header in, 1-0. made subs at 30 mins. next a corner went straight in - paul ball, IMO, fell asleep at the front post and wasn't paying attention, and joey then injured himself scrambling for it, meaning alex dockerill had to go in - 2-0. 3-0 goal was just a defensive mess, then 4-0 was a shot that deflected up in the air and looped in. Game over
THen came the come back, Tom Riley had to come up so put myself up top, long throw in from seb down the right, first time pass to Alex Clark who had an unbelievable strike top bins from outside the box. 4-1. consolation goal.
We're playing better now, have 80% possession, move it round them, people are losing the ball and making bad decisions at times though, which is why we hadn't scored in the first half.
Keats gets some space outside the box and takes a shot, I pre-emptively follow in and a few ricochets and it's rolling around in the area, a race between me and the keeper, get there first, round him, boom, 4-2. Maybe.
we're pushing, but still 1 goals off, struggling to make enough chances to convert. Will Sollory has the ball in space at LB, and he always passes to me whenever I ask it. I make a diagonal run from RM across the field, screaming for it, Sollory has a great left, plays a perfect ball in behind, I'm sprinting to get on the end to it, feel like I'm guna get clattered as my eyes are on the ball, boot it on the half volley blind with my left foot and find top left, with the keeper only a few yards away. Fuck me we might just do this.
We keep pushing harder, really creating chances, Rich Jones, has 2 gears, top bins crackers or total fucking scuffs, and he was in the latter today after scuffing a great opportunity to equality in the dying minutes. Paul Ball pokes a great chance with his standing foot as he's about to strike, another chance, then Paul Ball gets sin binned, but we were still pressing. 5 more minutes and we would have equalised, but it wasn't to be today. 
Good performance overall, need to stop the scramble defending as felt they scored too easily, but the way we kept possession was excellent - need to capitalise on it to shut these games out.
</t>
  </si>
  <si>
    <t>played mid for 30 mins and did well, came off and we conceded 3, came on second half and got an assist and 2 goals. unfortunately counted for nothing. may play this lad higher up though, got potential, think Pete Walsh should be considering him.</t>
  </si>
  <si>
    <t>very good player, confident on the ball, sometimes felt didn't make the right decisions, but was very comforting having him in that role, knew you could rely on him to play football. had some moments of excellence. Team voted him MOTM, shows how everyone felt he played.</t>
  </si>
  <si>
    <t>arrived late, however appreciate there are traffic problems, but I told everyone to be aware. Felt he came on moody cause of it, and I felt he was poor, lost the ball regularly, breaking down attacking phases of play. hopefully get the previous harold back.</t>
  </si>
  <si>
    <t>he's a very good player, I'm a big fan of his capability, but today he was at fault for 2 goals and also got sin binned for dissent. Other than that reasonable performance.</t>
  </si>
  <si>
    <t>Tom's been good this year, he's skillful, keeps hold of it, skins up players, and feel he is maturing as well. unfortunately got injured second half. Felt he was working well with Alex D.</t>
  </si>
  <si>
    <t>i like Chris D, played him at CB, he's comfortable on the ball and a big lad as well. Will likely keep him in, need to watchi his defensive capability closer though.</t>
  </si>
  <si>
    <t>Good player, however didn't seem to have the legs for RWB today, however he got injured at some point which seemed to get worse as the game got on so not sure when that affected him. Hope to see him regularly.</t>
  </si>
  <si>
    <t>Big fan of Will, he takes all feedback on board, is very capapble, and got a lovely left foot, however is not quite there defensively.</t>
  </si>
  <si>
    <t>i took him off at 30, which was a mistake, as he was playing well but just making a few errors breaking down the play. However he went in goal for the remainder of the game (c 40 mins) after joey came off and I thought he did really well. Sacrificed himself for the team when no one else was offering, and stopped me having to do it as well, hence the 10. WIll be starting this week and not coming off as I know coming off frustrated him.</t>
  </si>
  <si>
    <t xml:space="preserve">good performance from Seb as always, led the line well, instructed the other 2 who are still new to the club. </t>
  </si>
  <si>
    <t>turned up after kick off, and then when asked to come on he didn't have his shin pads on (frustrating as fuck) however I do like him, he's great on the ball and composes the team. Needs to get down the gym and a bit of defensive training, but overall a good player, and is committed to coming training from now on (had availability issues) so would like to see him battle other good players</t>
  </si>
  <si>
    <t xml:space="preserve">came 2nd in the MOTM vote, scored a great goal, however every time he went to play a pass to me he fucked it up - as very odd, my experience of Alex's game seemed very different to everyone elses, so think I'll need to pay close attention to him as I feel i'm missing something! overall solid player </t>
  </si>
  <si>
    <t xml:space="preserve">been a bit disappointed with Rich Jones again, haven't seen him create any opportunities in 2 weeks now and he's had 90 mins both games. </t>
  </si>
  <si>
    <t>Witan 3s</t>
  </si>
  <si>
    <t>Pulled off a worldy but not the game for him to make his debut. Said at the end he's retiring as lost his desire and drive</t>
  </si>
  <si>
    <t>We started the game well…for 2 minutes before we gave away a sloppy penalty. Andreas held the ball too long and when he finally passed it Callum was blindsided by the attacker when he went to clear. No doubt it was a pen. Despite this we kept going. It should have been 1-1 moments later but Josh Billings' air shot 3 yards out with the goal at his mercy continued to set the tone. Not long later, we conceded from our own corner. We had 2 vs 1 at the back but Joe went to win something he was never winning on the half way line, they were then 2 on 1 with fast breaking midfielders that became 3 on 1 and we were toast. Almost straight from the kick off we went and scored though. Ciaran sent through on the right by Joe Smith and puts in a great ball for Chris to score. Alas when it's not your day, it's not your day…5 mins later Niall has the ball in space inside the box. He goes to pass it but kicks the ground and goes down in a heap, their players pounce first and it's now 3-1. We kept on going but we're too easy to score past. A corner by the oppo this time and Andreas ducks at the near post. This kills us and the player behind him heads home from 5 yards. 2nd half we came out and played really for 10 mins but then conceded another sloppy goal by not tracking runners. The 6th came from our own corner with a breakaway again but by this point we had no CB's and down to 10 men. Joe Smith then went down injured so finished with 9</t>
  </si>
  <si>
    <t>Arrived late due to coming back from Lincoln but also had to leave early for work. Played well in the middle…</t>
  </si>
  <si>
    <t>Not a good game for Joe. Looked a little lost and got done for the 2nd goal whilst in no man's land. Came off after 55 mins with chest pains which are a result of the covid issues  he's had in the past</t>
  </si>
  <si>
    <t>Got caught a little bit out of position at times but had looked a threat going forward. Broke his own ankle by kicking the ground which cost us a goal and a decent player - out for a month or so</t>
  </si>
  <si>
    <t xml:space="preserve">Looked out of his depth at CB but it was him or Andreas so grateful he gave it a go. He's not a CB and it showed but never stopped fighting </t>
  </si>
  <si>
    <t>Finally admitting defeat here. Even the players after the game were saying they can't play with him. For a 6 foot lad who's pretty solid he's as timid as a new born kitten! He looks scared of players and the ball at times. Ducked at a corner to concede the 4th</t>
  </si>
  <si>
    <t xml:space="preserve">Did ok and got an assist to the assist. Another who went off injured though after a bad challenge </t>
  </si>
  <si>
    <t xml:space="preserve">Bobbly pitch killed off Callum's touch and he struggled through the game because of it. Scored but overall not a great showing </t>
  </si>
  <si>
    <t xml:space="preserve">Started on the bench but when he came on he looked a threat. Then another to go off with an ankle injury </t>
  </si>
  <si>
    <t xml:space="preserve">Put in some good set pieces and got the assist for Chris's goal. Slim picking for man of the match but just nicked it </t>
  </si>
  <si>
    <t>Scored a goal and hassled the oppo well but struggled to hold the ball up. Granted his service wasn't the best and on another day may have scored more</t>
  </si>
  <si>
    <t xml:space="preserve">Hard day for Joe. Started off well in the middle but due to injuries etc he ended up in a back 3 which struggled - never moaned once though </t>
  </si>
  <si>
    <t>Missed an open goal 3 yards out with an air shot and it kinda sums him up at the moment - very rusty! Build up play and touch is still very good but his finishing needs work. As does using his left foot</t>
  </si>
  <si>
    <t xml:space="preserve">Solid job from Emi but he continues to frustrate at times. He holds the ball too long and goes into a cul-de-sac. Needs to release it sooner but will work on this </t>
  </si>
  <si>
    <t>Old Suttonians 3s</t>
  </si>
  <si>
    <t>talked to the lads and had decent kicking. not too much to do but the things he did, did well</t>
  </si>
  <si>
    <t>Much better performance from the 4s this week however result not in our favour yet again. Should have capiralised as they were playing with 10 men first 10 mins. 1st half boys were playing some lovely stuff however despite the chanes being created couldnt put them away. 4s really needs a striker that can put away efforts. Last season having Lundie helped as there was a target man and not having that luxury means that were having to adapt and play more intricate stuff. 1st half had them pinned in their own half and they were just punting the ball away and we were just recycling the ball back into their half again. Chances came however none taken. we couldnt convert our chances. That being said dont think our keeper had to make a save 1st half or the 2nd half. 1st half 20 mins in their striker drove into the box and kev went to make a challenge pulled out and the striker clipped his own legs and ref gave a pen. 1 nil just like that to them. We still continued to dominate. 2nd half had to make a string of changes as laidler was injured towards end of 1st half and kev 2nd half. Went to a 4 4 2 to try and pile more pressure down the wings. again made numerous chances but couldnt convert. Jason could have scored but skyed it. Jason also crossed a lovely ball to andreas who got good connection but aimed header right at the keeper, anywhere else and would have been 1-1. That being said didnt take our chances and one of their players went on a direct run through 3 of our players and rather than us taking him out he scored a lovely goal that barcs couldnt have too much to prevent. End result was a loss and another kick in the teeth.</t>
  </si>
  <si>
    <t>played him at CB with 2 other cbs around him. he did will until he pulled his quad 35 mins in.</t>
  </si>
  <si>
    <t>good performance from oli. good distribution however needs to be more agressive  and commanding</t>
  </si>
  <si>
    <t>great play from gaz. strong in the challenge and won majority of his headers. good distribution also from him. Did the basics well.</t>
  </si>
  <si>
    <t>had an ok game from kev. Didnt have too much to do as they werent threatening too much going forward. was the one who got suckered in for the pen. His knee went 70 odd mins and had to come off</t>
  </si>
  <si>
    <t>Winger by trade but just asked him to do more deep lying runs and not to forget about his defensive duties. was leggy about 25mins -30 mins in. so gave him a breather. bough him back on last 30mins to affect game more. is a good dribbler just needs to gel more with the team</t>
  </si>
  <si>
    <t>good battler and does the simple stuff well. not the best in terms of ball distribution but have others for that job. did well overall</t>
  </si>
  <si>
    <t>played well. did some great passing. travelled with the ball well. did lose the ball at times. was positive througout out the game and did the full 90.</t>
  </si>
  <si>
    <t xml:space="preserve">did ok in phases. brought the rest of the team in with clinical passing. battled well. touch was slightly off which is mot common. set pieces were lovely. </t>
  </si>
  <si>
    <t xml:space="preserve">played him as a striker as didn't have any natural strikers in the team. told him before game started what I wanted and he delivered. he committed defenders in the box time and time again. played some lovely 1-2s with the team. did his job as a striker and got a few motm votes. </t>
  </si>
  <si>
    <t xml:space="preserve">same story as always from nish. no real end product. he doesn't pass well and positioning is torid. when Alex was driving the ball into the 18 yard box looking for someone to drill the ball into nish was practically holding hands with him. talks far too much in the game kind of like a commentator. he needs to realise he had good attributes to be an effective player. just doesn't utilise his strengths. I don't believe he has good footballing intelligence. </t>
  </si>
  <si>
    <t xml:space="preserve">turned up literally right before kick off -due to traffic. always his excuse. didn't start him based on this. his attitude was good and did well had to bring him on instead of laidz. battled well and decent distribution. </t>
  </si>
  <si>
    <t>jason pissed me off even before game started. had a good 10 min winge because he didn't start. was saying he was better than the front 2. literally moaned as a result of not starting. did bring him on after 25 for nish and he took a while to get into the game. had chances. over dribbled at times. someone who thinks he's a lot better than he is. attitude stank. performance was at most a 6/10.</t>
  </si>
  <si>
    <t xml:space="preserve">Turned up 25 mins into kick off. said he tried calling but we were all already playing. bought him on last 30 up top to be an aerial presence. his first few touches were all flicks. didn't influence the game at all and lost the ball ample times. Head a golden chance for a header but head it right at the keeper. any other side and would have been 1-1. not really impressed. </t>
  </si>
  <si>
    <t>Al Humphrey</t>
  </si>
  <si>
    <t>Ryan Sketchley</t>
  </si>
  <si>
    <t>Ash Mayers</t>
  </si>
  <si>
    <t>Phil Boden</t>
  </si>
  <si>
    <t>HAC</t>
  </si>
  <si>
    <t>Nice pen save, went short too often when we had 10 men particulary last 10 mins when I wanted an airial assualt with Foxy back on.  Other than that good showing, great pen save, great 1v1 save. Solid handling and as John does in big games stepped up his levels</t>
  </si>
  <si>
    <t xml:space="preserve">Opening 20 mins was very scrappy from both teams.  We could not get our passing going at all.  Our decison making was poor and not sharp enough.  Thankfully the oppo were suffering from the same so it was even.  We sat too deep aloowing them to flatten out our back line into a 5.  When we adressed this and were brave leaving their wingers with the side CB's we were able to get numbers up the pitch and apply pressure. They scored an offside goal, we gave the ball away cheaply in CM and allowed a danergous atack down the centre of the pitch, striker was played in but clearly offside.   We had a really good period from 20 mins to 38 mins, had them pinned in with a good press and were well on top.......when the game turned to shit.  Aaron incorrectly sent off for denying a goalscoring opportunity, laws of the game were not applied correctly, advatage was played therefore Aaron can only be booked.  Striker was offside as well....shocking. Josh then went completley brainless and got himself sin binned, he has only ever been sinbinned twice, both times vs HAC, both times constenting a sending off leaving us with 9.  For the freekick Ben put his hands up to block it, penalty, John saves.  What a 2 mins that was.  Had to sacifice Foxy for Ollie who went to LWB with Jamie at LCB and we sat in a 5-3 shape.  A nice bit of skill from the best payer in the league Harry Howat saw him get to the byline and cut back for 2-0.  We defended very well in this period and managed to keep ourself in the contest.  few mins into the second half we were back up to 10.  Paz into CM, Yemi sat in the middle and 2 either side of him took it in turns to support Jarvis in attack.  The plan was to sit in and try to stay in the contest and final 20 mins commit men forward.  This worked pretty well, unfortunaltey Crowe lost his first header since 2002 from a corner and the CB buried it for 3-0.  We just didn't give up and what followed was a perofmance that made me really proud.  To get numbers up the pitch when we had the ball on of the CB's stepped into midfield, we got a pen (that was not a pen) which Jarvis scored.  Paz had a chance 6 yards out that he somehow missed, this would have set up a grandstand finish. The final 10 mins got Foxy back on and we went 3-4-2 we were camped in their half unreal stuff from the lads. So the top of the table clash was ruined by a terrible ref.  We go again. </t>
  </si>
  <si>
    <t xml:space="preserve">Not quite at his best.  Poor losing the header, cant be too critcal concidering he wins 99.9999% of his arial duals.  Not poor but below his best on a day we couldnt afford that. </t>
  </si>
  <si>
    <t xml:space="preserve">Sending off incident sort of not his fault, striker offside.  Got back goalside and then did foul him, striker had his back to goal so not even sure how it can be deemed denying a goal socring opprtunity.  Then of course the major issue with it is the rules of the game state he can omnly be booked as advantage was played. Anyway once in the situation he was in poor to foul the man, just bear hugged him. Had one poor header but generally played well before wringly sent off. </t>
  </si>
  <si>
    <t xml:space="preserve">What a guy.  Supeb game and legend for going in nets 6s. Really good game, particularlly stood out venturing into mideld adding the extra numbver when we were gambeling at the end.  I also pushed Paz right up the pitch at the end so at times was asked to cover a massive area of the pitch, was unreal. </t>
  </si>
  <si>
    <t xml:space="preserve">He got close on the MOTM votes.  I thought it wasn't his best game.  Brain dead to give away the handball from the free kick when we had 9 men.  Quilty of wining the ball back and then being caught on it himself a lot.  Still decent though, only taken off for tactical reasons in wanting to have gamble up the pitch at the end of the game. </t>
  </si>
  <si>
    <t>Very decent from Jamie, got done for the second goal, 9 men and vs best player in the league no shame in that.  Stuck to his task well, got up the pitch well.  At home LCB</t>
  </si>
  <si>
    <t xml:space="preserve">Orginally put 7 but on reflection upgraded to an 8.  With 11 v 11 wasn't having hie best game.  When up against it though Yemi really stood out as the player fighing and leading the most.  Captined really well in Aarons abense. </t>
  </si>
  <si>
    <t>Caught on the ball a lot and dissapointly was made aware thats the oppo tactic before the game.  Fought well and dug in with 9 and 10 men.</t>
  </si>
  <si>
    <t>Have to mark down for the poor sin bin.  Attitude at me not letting him back on after the 10 min period was up was so poor. Evetually sorted himself out and when he came back on was good.  Was good in opening exchanges as well.  Needs to not let this effect him</t>
  </si>
  <si>
    <t>Wasn't great in opening exchanges, bunch of his mates watching the game and dont think that helped. Put a great chance over and rushed most things he did which is so out of chracter. One blip in a great run of form that goes back to feb</t>
  </si>
  <si>
    <t xml:space="preserve">Unlucky to be sarcifced for Aaron.  Showed good energy and fight 11v11.  Back on last 10 mins and was causing oppo issues. </t>
  </si>
  <si>
    <t>Good from stan.  Gave us calmness on the ball we were lacking, even with 10 men always seemed to find his pass</t>
  </si>
  <si>
    <t xml:space="preserve">great shift from Ollie.  Have to find a way of getting him a start.  Defended really well and of course an attacking threat. </t>
  </si>
  <si>
    <t>Excellent from Paz off the bench one more time.  Was sensible and calculated in the period I asked for a solid shape to stay in the game.  When switched to RWB stayed high up the pitch in the gamble.  Game knoweldge is sound and needed</t>
  </si>
  <si>
    <t>Old Pauline</t>
  </si>
  <si>
    <t xml:space="preserve">Massively appreciated John coming in to help. Although he conceded 3 goals, he wasn't at fault for any, and generally had a very solid performance. </t>
  </si>
  <si>
    <t xml:space="preserve">Starting to get a bad habit of conceding a of goals before we start playing well, going 3-0 down early in the first half due to a number of defensive errors. Made subs at 25 mins which improved our game, winning a pen that Josh converted. 2nd half went to 442 which helped again, scoring 2 goals in the space of 3 minutes to level it up. I missed a chance from a great cross from max which would have completed the comeback. Fortunately Finn saved the day making a tackle high up and taking a nice finish with 7 mins to go, which we held on to lock up the 3 points and go clear at the top of the league. Great comeback by the lads. </t>
  </si>
  <si>
    <t xml:space="preserve">One of the 3 CB's who didn't give away a goal. Good performance from Jonny overall, he's getting more comfortable on the ball as well which is great. Big lad, strong, young, think he could be a great asset. Regularly misjudged a header though. </t>
  </si>
  <si>
    <t>Poor game from Chris, really bad for the pass back that gave them a goal. Subbed off at the half.</t>
  </si>
  <si>
    <t xml:space="preserve">Usual good performance from seb, he's got a great throw in as well which has been proving difficult for oppo, regularly creating chances for us, in particular this game which was an assist for the leveller. </t>
  </si>
  <si>
    <t xml:space="preserve">Awful first half from Joe D, but made up for it in the second half. Gave away a penalty in the first half to top it off. His mum said he was rubbish as well. </t>
  </si>
  <si>
    <t xml:space="preserve">Not a great first half, but similar story across the board. Good assist for OG and a goal in the second half, bringing the game from 3-1 to 3-3. Missed an easy header that could have cost us, fortunately it did not. </t>
  </si>
  <si>
    <t>Winning goal that was well taken, game wasn't up to his usual standard though, said his asthma was playing up. Dangerous player, glad he got the goal to start showing something for his performances.</t>
  </si>
  <si>
    <t xml:space="preserve">Average game for Paul, didn't do a huge amount. No chances created, no major tackles, but still gets the ball down and plays football which I like. </t>
  </si>
  <si>
    <t xml:space="preserve">Not a major contributor in terms of game play, however did score, although it was put on a plate - he was there though! Scores a goal a game I'll be happy, which he is doing atm. </t>
  </si>
  <si>
    <t xml:space="preserve">Have had rich for the last few weeks, and have had no g/a contributions from him, which is disappointing considering he's played every minute up front. Need more from him. </t>
  </si>
  <si>
    <t>Josh played for us after Harold dropped out, and did a job. Scored a penalty (very well) would have liked more from him, had some good chances but still got the win.</t>
  </si>
  <si>
    <t xml:space="preserve">Fucker turned up late, so was on the bench. Came on at half time and did a good job. Nearly got an assist. </t>
  </si>
  <si>
    <t xml:space="preserve">Matt did a very good job when he came on, his usual calm / composed play, hasn't lost his touch. Improved the game when we he came on, and won the pen. MOTM also, showing his contribution. </t>
  </si>
  <si>
    <t xml:space="preserve">Game of 2 halves for Cam, first half awful, took off early, second half was excellent, playing the simple stuff, battling and being a good option. </t>
  </si>
  <si>
    <t>Cup</t>
  </si>
  <si>
    <t>Dorkinians 3s</t>
  </si>
  <si>
    <t>Good performance from Michael, he's obviously played at a high level before. A few crucial saves that not many keepers at the club would make. He's very loud and some players might find that annoying, but most of the time he's right, so we'll let him have it. Hopefully, he sticks around but as we know can be a bit flakey. Think, he needs to be made to feel special.</t>
  </si>
  <si>
    <t xml:space="preserve">Not our best performance, even harder when playing against a very one-sided ref, but the team showed great determination, kept their heads up and grinded out the win. </t>
  </si>
  <si>
    <t>Joe's first game for OTs and took him a little time to get up to speed. Was strong in the tackle but think lacks confidence. I am likely gonna try him at CB given the shortage of them and we will see how he does.</t>
  </si>
  <si>
    <t xml:space="preserve">Good defensive performance from Ismail, however very annoying in other areas. He was constantly playing long balls when we didn't have target men. Yes, he can spray it well, but it wasn't what we needed and we didn't have the players up top for it. And for some reason, he always hit them left, he never looked right. Insert Zoolander reference here. </t>
  </si>
  <si>
    <t xml:space="preserve">Solid from Ewan, led the defence well and would have had a clean sheet if not for the useless ref. </t>
  </si>
  <si>
    <t xml:space="preserve">Good game from Denver, nice to see him getting stuck in and putting his body on the line. Did a bit of an RPJ at times and threw himself in too much, just needs to keep an eye on tracking his man better. </t>
  </si>
  <si>
    <t>Okay perfromance from Alex M. He's very good at holding the ball up and creating some space. Misplaced a few passes and put us under pressure sometimes but still played at a 3s level</t>
  </si>
  <si>
    <t>Dan Russell performance. Nippy, uses his body well. well taken goal with a header which space was created by Will. Yellow seemed harsh from Ref but he was shocking so no surprise wrong decision on the card.</t>
  </si>
  <si>
    <t xml:space="preserve">Not sure nath deserved MOTM today, played him as a holding CM but kept trying to push up the pitch when we had 2 other CMs to do that, and then we were susceptible to attacks. He always fights well though, gets stuck in and puts his body on the line. The heart is always there, let's work on the head. </t>
  </si>
  <si>
    <t xml:space="preserve">This guy is good, really stood out today. Out and out winger, fast, runs at people. Will pick again. </t>
  </si>
  <si>
    <t>Not Will's best game. Think he needs 2 up top. Alex Stevens back next week and think that will be a deadly partnership. Pragmatic leader in the 3s.</t>
  </si>
  <si>
    <t xml:space="preserve">Turned up 5mins after kick off, and was useless on the pitch. Played him at right wing, gets the ball, then instead of taking someone on, or sprinting into space, he just stops, starts doing stepovers and doesn't actually take the ball anywhere. </t>
  </si>
  <si>
    <t>Disputed performance from Nish. Denver (I) think he played relatively well: 2 assists and the right play you need for a game like today. Will and RPJ not convinced he's 3s which I understand. Will see where we go from next week.</t>
  </si>
  <si>
    <t>Harry's first words to me on the sideline were 'why am I in this team?', and that lack of confidence showed on the pitch too. Never really settled, gave the ball away too much. Think he's happier being a bigger fish in a smaller pond.</t>
  </si>
  <si>
    <t>old secopians</t>
  </si>
  <si>
    <t>Tired of martin. Turns up late. Doesnt do any stretches or warm ups. Just smokes his portable chimney. First goal we conceded he was lobbed from behind half way line with no pressure on him from free kick. Then concdeds 3 front post goals which were his fault. Defenders have said to me they dont feel confident when he is nets and plays on their minds. He needs to go</t>
  </si>
  <si>
    <t>4-2-3-1</t>
  </si>
  <si>
    <t>For a team that was on a 6 game unbeaten run beginning of the last season to a team that has shipped in 18 goals in 3 league games and only managed to score 1 is highly concerning. Losing key players from last year and no atual goalkeeper has been our undoing. Having to rebuild a team again with lesser quality is going to be a big ask but 1 i wont shy away from. The league is still unsettled with who is going to dominate. As 1 win will catapault us off the bottom and in the mid table. Had only 12 players after Cameron pulled out friday night due to work. 1st half started off well with a 5-4-1 formation to start off with. However they had 3 in the middle of the park and needed to bring Tom in to the centre to try and stop that. We were the team that had the early chanes with the missed pen by Pearl and the volley he should have scored. Then we lost our way. They scored the first goal via a big deflection from one of our defenders. Then the 2nd goal we conceded could have easily been avoided if we didnt have a traffic cone in nets. For a player who has played in nets for a number of seasons and most of his life HOW THE HELL DO YOU GET LOBBED FROM THE HALF WAY LINE? 2-0 down first half but something we could salvage through the positive chances created in the 1st half. 2nd half the oppo grew in confidence and after a few turned over of our passes and launched counter attacks which for whatever reason could not deal with at the back. last 20-25 mins the boys capitulated as the ref went on a card giving spree. The ref didnt help the flow of the game but cannot blame him for us shipping in the goals. Second half got another penalty that again failed to convert. Lesson taken is have to take the chances given and to stop being our own worst enemy, Will need to start making changes in personnel.</t>
  </si>
  <si>
    <t>Standard Ade. Has a good football brain just his fitness and decision making at times is questionable. Was at fault for one of the goals when he didnt clear the ball. Did ok but we have shipped in 18 goals since he came up to the 4s</t>
  </si>
  <si>
    <t xml:space="preserve">Battled well. Was at fault for one of the goals. when he over dribbled at the back. They turned the ball over and ran at us and scored as a result. Won a few headers and tackles. </t>
  </si>
  <si>
    <t>Made him captain for the day and was positive through out the game. Not much influence on the proceedings of the game through gameplay. there is a player there just not sure his fitness is still there to compete in the centre of the park.</t>
  </si>
  <si>
    <t xml:space="preserve">I gave him MOTM and didnt go around asking the others for MOTM votes as was really fuming with the result. Everyone was in agreement. He ran constantly and worked hard and battled even harder. Was positive through out the game and passed the ball well. shining light in an abysmal team performance. </t>
  </si>
  <si>
    <t xml:space="preserve">First time seeing him play. He's a weird one. Temperament is pretty bad. His passing was 50/50 not finding the player or wayward at times. Not aggressive enough in the challenge. Did ok in a back 5 as he had cover. When we went to a back 4 was vulnerable. Wil randomly stop mid game when things dont go his way and shout out for the ref to make a call whilst the game is still being played. He would literally just stop. </t>
  </si>
  <si>
    <t xml:space="preserve">Was the only one who would drive at the oppo with the ball and find passes. Won some cracking balls in the air and dominating the oppo physically with winning the ball in 50/50s. Also got taken out a few times by the oppo as they started targetting him. Dropped deeper when other players were not being disciplined enough. </t>
  </si>
  <si>
    <t xml:space="preserve">DId well in phases. Mazy runs through players but no players were offering themselves for the pass. Had a few shots first half that were goal bound. Missed a pen he won in the 2nd half. </t>
  </si>
  <si>
    <t>At 0-0 he had the games 2 most clear cut chances which could have changed the entire outcome of the game. He won a penalty 20 minutes in which the keeper subsequently saved. Then couple minutes later took a ball down and half volleyed the ball over which should have been another one. He lost his head with the oppo and was being rash in challenges. Had to remind him again that he needs to stop talking to the oppo. He sent me a whatsapp after the game apologising for his performance and said he will do better, which i appreciated.</t>
  </si>
  <si>
    <t>Played him RW to start off with as prefer Pearl through the middle. Does not really have too much fitness and had to sub him 25 mins gone. He told me that all that running was doing him in. Then put him up top through the middle when pearl picked up a little niggle. Poor first touch and decision making. Not really seeing a player there.</t>
  </si>
  <si>
    <t>First time seeing him play. Did well in phases. Has good control of the ball but maybe not the legs. Told me he doesnt like to win headers as he cracked his head first season with OT's which is not something you want to hear as a manager when he plays in the middle of the park. Can play ball and has good footballing intelligence. Needs to be more dominating in the middle of the park.</t>
  </si>
  <si>
    <t xml:space="preserve">Came on as a sub 25 mins in to replace tali who was gassed. Worked well and his fitness is coming through. Passed the ball well and battled well and was cautioned early on as we had a crazy ref. Had to tell him to calm down on a number of occasions to avoid us being a man down. Would stop at times during the game if one of the lads would lose the ball and not drop into position. </t>
  </si>
  <si>
    <t xml:space="preserve">Brent </t>
  </si>
  <si>
    <t>Kicked and caught well, probably not much chance with any of the goals but definitely a long term solution - we need to get a keeper in</t>
  </si>
  <si>
    <t>4-3-2</t>
  </si>
  <si>
    <t xml:space="preserve">An absolute game of 2 halves. First half we were very good, we defended well overall and we attacked brilliantly. Should have had an absolute stone wall pen and red card when George was scythed down from behind having already rounded the keeper. Got done by a good finish but otherwise we did well and we came back from 1 down to go in at half time 1-1. We then conceded a penalty for handball that hit the player in the face early in the 2nd half and the momentum shifted. We go 3-1 down and the mistakes started to come back. We got our own pen which wasn't one but then another 2 players hacked down in or around their box and nothing given - the 2nd one led to a ball of the top, Sidney tries to head back to me but gets nothing on it and I'm lobbed having come out to make it easier. We get a 3rd but we concede a 5th so it doesn't matter. It was a fighting performance but we really need to cut out poor errors. The work continues </t>
  </si>
  <si>
    <t xml:space="preserve">Turned up late so I dropped him. Came on and did ok but admitted after the game that he wasn't focused on the other defenders, he was more worried about making a mistake which is a worry. Noted for training however that we can't bring fear into it. We need to help them feel more confident and better </t>
  </si>
  <si>
    <t xml:space="preserve">Started Stu on the right and he played well. He spoke well too to let players know where others were and helped lead the line - which we really needed. Wasn't as affective later on when moved to left back but solid game, coulda used him lasting a bit longer on the pitch </t>
  </si>
  <si>
    <t xml:space="preserve">Started at CB and led the line brilliantly. We actually lost this when he moved to RB. He was able to attack and played well at RB but we lost his leading and shape afterwards. Will keep him CB next time </t>
  </si>
  <si>
    <t xml:space="preserve">Worst game I've seen from Sidney, he looked lost at times. He also looked distant. Went wide on the 3rd goal when the play was on the other side of the pitch saying he didn't expect us to lose it and wanted to give an option, when we lost it he was 25 yards out of position. Needs to learn to 'sniff the danger' before worrying about us playing the ball out as we weren't in control of the ball when he did it </t>
  </si>
  <si>
    <t>Another good game from him. Love having him at the base of the midfield, he'll get the ball and you just know he won't lose it, then he'll do something with it too. Want to be building my midfield around him and Callum for sure this season</t>
  </si>
  <si>
    <t>Solid if not spectacular from him. Had his nose broken by their CB early in the 2nd half and he was a miss. He'll be out for a few weeks now with it until it's re-set</t>
  </si>
  <si>
    <t xml:space="preserve">Decent game from Sam but he's not at the levels yet he was last season. He needs a goal to get him going I think. </t>
  </si>
  <si>
    <t xml:space="preserve">Best game from Ciaran so far this season. Scored a very good goal and looked a threat. Surprised he didn't get booked with his verbals towards the ref - if the ref wasn't Italian and Ciaran Irish he might have understood him better and been booked. </t>
  </si>
  <si>
    <t xml:space="preserve">Better game from Emi this week. Scored a good goal and looked a nuisance. Didn't dribble into cul-de-sacs this week and he benefitted from it </t>
  </si>
  <si>
    <t xml:space="preserve">Started and looked a threat from the get go. Unlucky not to get a goal. With injuries behind him I then asked him to do a job in CM and he did without any issues which shows his character, happy to do a job for the team </t>
  </si>
  <si>
    <t xml:space="preserve">What a find this guy is. He was an absolute pest to the oppo's CB's all game. Won our pen and hit the post as well. Should have had 3 probably but that'll come. Hoping after this game he'll be sharper and the finishing will improve </t>
  </si>
  <si>
    <t>Solid debut. Started on the left of the front 3 and looked comfortable. I wanted him to take on his full back but slotted into the side well. Seems a decent guy, and scored a very good pen into the side netting</t>
  </si>
  <si>
    <t xml:space="preserve">Started him LB and he looked decent. Got caught for the 1st goal wrong side of their attacker but he did have 2 on 1 to be fair. Just needs to get his fitness sorted as came off twice, the 2nd time as he was shattered. Nice guy though and once fit he'll be a decent player </t>
  </si>
  <si>
    <t xml:space="preserve">East Barnet Old Grammarians 3s </t>
  </si>
  <si>
    <t>made all the difference having him in net, joined us with 5 minutes on the clock and 
seemed to take this game as seriously as he would a 1's game. kicking was good, sharp
off his line, catching was flawless and a couple of good stops aswell. Great of him to help
us out - rivals foxy for best outfield can do goalkeeeper at the club probably. 1st assist
was slightly dubious as his goalkick had a touch off oppo before Josh finished, but 
deserves both. 1 assist from the floor and another from his hands - knew how to play 
to our strenghts. great shift, great guy.</t>
  </si>
  <si>
    <t>Great to get a clean sheet against a very decent side - the boys were clearly up for it from
kick off and restricted the oppo into going long as they couldnt get any passing rhythm
going. Obviously the keeper was massive for us today and underlines the importance of 
trying to bring in some solid all round goalkeepers for the lower teams to help the club 
progress. Had a few players i'd not seen much of before but everyone did a job today and 
2 - 0 probably flattered the oppo a little bit with us missing atleast 3 really good chances
in the 2nd half. The biggest moment from the oppo was a freekick that hit the bar at 1- 0,
beyond that they offered little and our CB's were happy to scrap it out with the big lump
they had up top. I had an abundence of attacking options for the 1st time this season and 
went 4 - 3 -3 to utilise what I had. Theo's kicking meant the 3 up top were able to stretch
the oppo time and time again.
side notes: oppo thought kick off was 1.30 as it was a cup game, and say they werent aware
of 2pm kick off time. not sure if this made them extra aggy but they did not shut up.
ref turned up at 14:20 due to traffic.
fixture not available on full time, have emailed.</t>
  </si>
  <si>
    <t>couple wild moments where he completely missed the ball and air kicked but did well
in his physical battle against number 9, enjoys this. not great today in terms of positioning
or calling the line - may ask peter to do more of this. mostly solid overall and won many
aerial battles. a few motm votes - captain annoyingly away next week.</t>
  </si>
  <si>
    <t>minute 30 was his ' i need to come off' call today. started the game putting in great
challenges as he always seems to then said something about his back hurting. without 
jabari next week i could really do with him getting 90 minutes in. came back on in 2nd half
and did well in helping us keep a clean sheet.</t>
  </si>
  <si>
    <t>Another spirited performance from the youngest player in the 6s - listens to instructions
and unlike some of the boys doesent give me any backchat when i point out an error,
holds his hand up and gets on with it.
got the better of the winger and put in a couple decent deliveries. will captain next week.</t>
  </si>
  <si>
    <t>havent seen much of josh but know asr rates him highly and after today i can see why,
header with back to goal was outstanding and left keeper with no chance. nice moments
taking on the fullback also. only critique is he loves a few extra touches before releasing
the ball. 2nd on motm to Theo.</t>
  </si>
  <si>
    <t>mixed bag but i think there is a good player in there after a few more games. Can see he 
is good technically but also very casual and slow to get to the ball. His energy just seems
really low all round, vocally and in terms of running when he needs to. did well in his 
duels considering he is tiny. I like this lad, can see him doing well if he sticks around.</t>
  </si>
  <si>
    <t>absolute mare early on, had about 6 touches and 3/4 of them were giving it straight to the 
oppo before i hooked him after 20 mins - had to get him out there. did better in acm
in 2nd half although he did miss a sitter. think he struggles in dcm and struggles to find
passes/options.</t>
  </si>
  <si>
    <t>average game - still way too quiet for my liking but didnt do much wrong today.
some good clearances in dcm but didnt offer much going forward.</t>
  </si>
  <si>
    <t>clearly rusty. I remember Jay being really good in a 4s game last year but this wasnt 
the same player - was trying silly flicks early on and shooting was off. better 2nd half
but still needs to find form as he can do better - didnt run the fullback at all, gunshy.</t>
  </si>
  <si>
    <t>5 mins in net waiting on theo, then off and back on as LW and DCM in 2nd half. boys were
playing well and it made sense to get a better view of things from the sideline in 1st half.
started off sketchy on pitch then ran the right back a couple times and probably unlucky
not to get an assist or two as janam will admit. saw game out at dcm as I know the role.</t>
  </si>
  <si>
    <t>Had a good game, played on the right of a front 3 and gave the fullback problems in both
halfs. topped off a busy performance with a lovely half volley dink over the keeper in final
moments - pleased with him.</t>
  </si>
  <si>
    <t>Jayden Wong</t>
  </si>
  <si>
    <t>1st game, fit him in at acm. kept busy and run himself into the ground. good lad and 
perhaps worth asr looking at, in my opinion not technically good enough for 4s but
he could have a good impact for 5s.</t>
  </si>
  <si>
    <t>late but did let me know, started sub. volunteered for cb after peter green asekd to come
off. played here for 15 minutes and did ok in the air, although lack of pace nearly let striker
in - played up front 2nd half and was a handful again, does well in physcial battles- solid shift.</t>
  </si>
  <si>
    <t>cant fault this fella, did what i asked - put himself about, was brave and another one to 
run himself into the ground for a clean sheet. limited technically but in dcm he is a nuisance
to the oppo. plenty bite in his tackles and will get better with coaching. might be worth another
look at for 5s if needing a high energy mid.</t>
  </si>
  <si>
    <t>Manorians</t>
  </si>
  <si>
    <t>Dissapointed not to get a clean sheet.  Dispite the scoreline was quite busy particularly in the second half.  Did well at corners vs a giant team relieving some pressure.  Good 1v1 save</t>
  </si>
  <si>
    <t>As evident from the scoreline good performance although doesnt quite tell the full story.  We started off at a high intensity, the opo didn't really do a warm up and looked ill prepared.  We pressed at a level they just could not handle.  We scored early with Paz catching the DCM on the ball and driving to the edge of the box, he released Plats who rammed his left footed shot into the top corner.  2-0 followed quickly, this time Yemi forming the extra man in the press and was on hand to catch the keeper out driving high up the pitch and slotting home.  Oppo were absolutley shell shocked.  They knew the next goal was probably the game even this early and threw men at us, John made a good save.  They are a massive team and at corners caused us issues, they were not so fond of tracking back and we hit them with a superb counter for 3-0 after about 25 mins.  Oppo were now in damage limitation mode.  We were knocking the ball around so well and creating gaps.  Their right back I think must have been a CB as he just didn't want to mark Jamie, the winger wasn't tracking him eiather and the switch ball to him was ripping them apart.  This led to Jamies first goal for the 1s! Jarvis who was by this stage in magician mode releasing him on the halfway line and Jamie raced clear to ram his shot in the bottom corner.  Keaton got in on the scoring again Jarvis assist.  5-0 at half time.   From 45-70 mins we were not good and fair to say they were the better team, too many backwards passes, lack of energy /mobility in midfield and generally all round too lathargic.  The main issue came in CM, I took Yemi off for Billy at half time.  Billy and Keaton in CM just didn't work, both played well when Yemi was next to them but without the enforcer on the pitch the oppo comfortabley won the CM battle.  I gave it too much time for them to work things out really, things got better when I brought Paz on to sit in front of them but had to call it and get yemi back on and after this we took control back of the midfield and the game.  Plats smash home our 6th.  Then took him off to see how Luke was after his injuy, he bagged the final 2 goals to complete the rout.  Missed the easiest chance of the game and could have had a hattrick.  Superb showing, just that period in the second half we need to learn from, missing Josh, Matt and Aaron so exceptional result.  Good to bouce back in style.</t>
  </si>
  <si>
    <t>Did well, given stop start season he has had have to say this was a good showing.  Can tell he is light on games though.</t>
  </si>
  <si>
    <t xml:space="preserve">So turns out he is mortal.  Decent showing but the big CF turned him a couple of times. Overall Crowe won the battle of course but not without incident and was strage seeing Crowe on occasions out muscled. </t>
  </si>
  <si>
    <t xml:space="preserve">Super agressive display, some of the tackles were probably not the right decison but again when he comes out with the ball 90% of the time have to accept that.  Won tackles he had no right to win and got us on the front foot.  During the period of absolute domination the the first half he stepped into midfield pushing one of the CMs up. </t>
  </si>
  <si>
    <t xml:space="preserve">Superb performance, energy down the right gave them a real problem.  Won the ball high up a lot, offered overlaps creating space for others.  </t>
  </si>
  <si>
    <t xml:space="preserve">What a display from Jamie, the goal has been coming in last few games.  Cracking finish.  Overall brilliant display, matched Dockers energy.  Was a genuine attacking and creative threat, good link up play with Jarvis in particular. </t>
  </si>
  <si>
    <t xml:space="preserve">Went with starting Paz in CM over Billy and Keaton.  Wa a decision I pondered on all week so was absolutley delighted when he made the first goal winning the ball back up high.  He was playing absolutley superbly but had to hook him.  3-0 up he got booked for a really bad tackle, 2 mins later he made another foul and going to 10 men would have been the only way back in it for the oppo.  Was off the pitch maybe 20 mins either side of half time.  Solved the CM somewhat by coming on in front of the 2 CMs with intructions to not play as a 10.  Went to RWB for last 20 mins and played in his way offering another body in atack and unlucky not to grab a goal. </t>
  </si>
  <si>
    <t>"you dont warm up on me and expect me not to ruin you" great quote from Yemi about oppo.  Captained superbly and set tone for a high press performance where the game was won early.  Nice finish for his goal spotting the keeper had lost his barings. He looked even better when I hooked him at half time and the other 2 CM's lacked energy.  Came back on to solve the issue and almost single handidly wrestled control of the midfield back</t>
  </si>
  <si>
    <t>First strt for Ollie, we scored 8 and he didn't get any or any asissts.  Bit of a head scratcher that because he was superb.  Reacted well to some Jarvis abuse by immedailtey skinning 3 players and giving himself a 1v1.  Keeper smothered him well.  At ACM he roamed all over the pitch which was the instruction, naturally drifts wide giving us overloads.  Came off for a short spell and back on a LWB, he playes this role with dicipline you just would not expect from a young flair player.  Got to the byline and cut back for Luke who fluffed the easiest chance of the game.</t>
  </si>
  <si>
    <t>Ruined them, Plats in full flight mode.  Pleasure to watch</t>
  </si>
  <si>
    <t>Magestic display, some of the ball control and skills on another level. Hat trick of assists.  2 of them absoltley threated through the eye of a needle to give Keats and Luke tap ins. Assist for Jamie also superb.</t>
  </si>
  <si>
    <t>Off the pace today, made an odd comment from the bench about wanting to come on last 20 mins CF.  Never know with Billy if serious so took with pinch of salt. Caaght on the ball too many times.  even off the pace though Billy will always put in a shift and was a good outlet for long goal kicks. I will have to take some of the respobsinility as left him an a CM partnership with Keats too long, just not the energy required at this level even vs an oppo we dominated.  Marked imporvement in his game with Yemi next to him</t>
  </si>
  <si>
    <t xml:space="preserve">On early-ish due to the Paz booking.  Looked really sharp when he fir came on, got forward to grab himself a goal.  Rotated the ball really well first half.  It was strt of second half without Yemi next to him he started to look a little shakey, then started hie weird run thing where you are not sure if he is injured or not.  Pushed into the 10, while he lacked movement there he was able to create from this postion.  Randomly ended up on the left wing at one point, half limping, suddenly sprung into life, skinned 4 players cutting inside and smashed a rocket off the bar from the edge of the box.  Was like that for him second half, looked injured but then very much didnt look injured.  Weird but good. </t>
  </si>
  <si>
    <t xml:space="preserve">Came on with 20 to go.  As to be expected looked off the pace at first.  Mis placed passes, timing not there.  Then misplaced a pass that tricked through to the goalkeeper, he was annoyed at himself and ran after what was essentially a lost cause, keeper thought he could take him on in the box, big mistake.  Luke robbed him and was then hauled back in what would no doubt been a red, Luke showed amazing strenght to not go down and evenutally bush the keeper off to tap in, score and save the keeper the £45 red card fine. This of course gave him the confidence booster.  Started to play better all round.  missed a sitter after superb work from Ollie.  Grabbed a second from a tap in after more superb work from Jarvis. </t>
  </si>
  <si>
    <t>Hamptonians 2s</t>
  </si>
  <si>
    <t>Typical usual complaining throughout the whole game. Had a bit of a bust up with Deji around setting the wall. Says he has quit and left the group so tbh not really much point in writing anymore.</t>
  </si>
  <si>
    <t>A match which, going into it, should have seen us comfortably winning 6/7 - nil. 2 leagues below us but showed us up. Think a couple of weak links up top caused us some issues and will be having to pick a little bit more aggressively going forward. Perhaps should have had the result but when we have double digit shots on goal and only 2 converted tells you all we need to know. Missed Dan Russell in the midfield.</t>
  </si>
  <si>
    <t>Couple of man of the match votes I guess highlight a good game from me. Played a full 120mins which was good to get in the legs. Got an assist by forcing a penalty and in the latter halves created a lot of chances from balls into the box. Unfortunate not to get another couple of assists.</t>
  </si>
  <si>
    <t>Better performance from Ish but still rash when he kicks the ball over the top instead of keeping it. Need to drill it out of him.</t>
  </si>
  <si>
    <t>Only other player to play 120 mins which is surprising. Is a real leader in the 3s and certainly versatile. Will keep here as positive for the team.</t>
  </si>
  <si>
    <t xml:space="preserve">Got injured a couple of times which caused a lot of squad rotation but strong in the tackle and good overall squad player. </t>
  </si>
  <si>
    <t>Again strange performance from Alex. Had to move him around a bit to RB and RM due to injuries. did a lot of running and overall okay performance but lots of mistakes.</t>
  </si>
  <si>
    <t>Nathan is a deceptively weird one. Looks to dominate but only really gets physical because he's lost the ball. At fault for the final goal. Left his man at a throw in to switch with Deji whilst they were taking it. In hindsight got to stay there.</t>
  </si>
  <si>
    <t>One of the only good performances today. Carried the ball well, found some unbelievable passes and played a lot more minutes than expected given his injuries. Will need a couple more weeks in the 3s I think.</t>
  </si>
  <si>
    <t>More of a hinderance with subs than useful. Brought him on and should have won us the game with a looped ball into his feet. Lundie was square and he's hit it straight at the keeper. Poor today</t>
  </si>
  <si>
    <t>Okay performance from Will, Missed 2 sitters which on another day he buries. He also jumped out of a couple of challenges which I don't condone but is slightly injured so can understand why.</t>
  </si>
  <si>
    <t>Rusty performance from him but first time he's kicked a ball in 4/5 months. Was the only player up there who looked dangerous.</t>
  </si>
  <si>
    <t>Won MoTM today. I wouldn't have given it to him personally but seems to have won the players over. Okay performance from him, holds the ball up well but fitness lets him down and speed.</t>
  </si>
  <si>
    <t>Was probably the most effective winger today but competition was slim so take that with a pinch of salt. Very aggresive runner with the ball but despite beating some players down the wing the product just isn't there.</t>
  </si>
  <si>
    <t>Isaac Adepegba</t>
  </si>
  <si>
    <t>He's not at this level. A top guy and should be useful 4/5/6s but can't play up at this standard just yet.</t>
  </si>
  <si>
    <t>Charlie Heptinstall</t>
  </si>
  <si>
    <t>Fulham Compton 2s</t>
  </si>
  <si>
    <t xml:space="preserve">Good debut. Good kicking. Good hands although at times dropped but regained the ball. Good comms as defenders where saying. hopefully he'll stick about. </t>
  </si>
  <si>
    <t>better performance from the boys. had a keeper which makes a big difference to the confidence of the lads. played a 4 2 3 1. same old story 5 games played and only 1 goal scored In all. team is really in need of a goalscorer. 1st half played relatively well. 1st goal was conceded via calamitous decision making. People calling there name for their header and not doing so they had a tap in. 2nd goal was a good goal from the oppo as the defender kept backing off and encouraged the shot which was a pile driver, not much our keeper could have done. that being said we had chances to score but never took them. 2nd half we took the game to them 1st 20 however fitness started to show from a few boys. Jay had an open goal from like 4yards out and put over the bar. could have been 2-1 and change the outlook of the game. oppo bolstered and started playing better as a result. there winger who wasn't great then drifted a few players and slotted home. could have avoided if someone took him out. result flattered them but the new boys did Well on their debuts. performance was better but not the result. same old story. build up play nice but no goalscorer in the team.</t>
  </si>
  <si>
    <t xml:space="preserve">battled well as always. I'd say he was at fault for 2nd goal as he kept backing off the oppo. got bloodied up from oppo elbowing him. then played far more agressivley from then on. </t>
  </si>
  <si>
    <t>recommended by Jason and was a welcomed addition. won most of his headers and loved a slide tackle. needs more games with us to build up his partnership with the other cb. got motm.</t>
  </si>
  <si>
    <t>not his best game and he said so himself. battles well no doubted but decison making was wayward. at fault for the first goal</t>
  </si>
  <si>
    <t xml:space="preserve">played him at rb. and captained him. played well enough in a position he doesn't usually play. battled well and overplayed at times. stayed positive through out. </t>
  </si>
  <si>
    <t xml:space="preserve">most composed in the back line. reads game well and could see him becoming a quiet leader amongst the boys. potential Skipper material in the making. Good passing and decision making. </t>
  </si>
  <si>
    <t xml:space="preserve">not the gaffers best game. physical through out but feel like carrying a glute/hammy injury which needs to be looked as its taking out of my speed and shooting. got caught on ball few times. however passing was still good and started phases. </t>
  </si>
  <si>
    <t xml:space="preserve">gave Christian 70 mins. just frustrates as I don't think he's got legs in for 90 and goes missing at times. he always makes himself available for the ball. however was always playing deeper and allowing oppo to come on to us. needs to improve fitness and physicality massively. </t>
  </si>
  <si>
    <t xml:space="preserve">played well. Great dribbling but one for him to find in final 3rd. was fouled a few times and linked up nicely with others. did grow frustrated as others didn't play the simple stuff. </t>
  </si>
  <si>
    <t xml:space="preserve">don't know what to make of tali. he doesn't hold ball up well. and doesn't really link up with others and complains when he doesn't get ball played through. got in to verbal with the oppo few times. believe he called one of their players an Irish gypsy had to speak with oppo to calm him down. then got into an altercation with their mouthy keeper at the strike of half time. apparently he kicked the keeper after he punched tali in the chest. the ref did not see but based on the noise another team was making on the sidelines he was booked for this. and ref told me that if he came back on at half time that he would just book him again. told me I can't bring him on. which was a weird call. </t>
  </si>
  <si>
    <t xml:space="preserve">he played on the right of front 3. had an older lb who he did not expose after numerous times of being asked to. had a chance first half which he didn't capitalise on. in my opinion he just does not influence the game the way he should and that's down to lack of footballing intelligence. when you have a lb who can't match your pace. you expose that for 90 mins. </t>
  </si>
  <si>
    <t xml:space="preserve">brought him on end of first half. he had a few glimpses of good play but that withered away as I feel his fitness started playing up. his ankle was heavily strapped also prior to kick off. he missed a clear sitter which could have put us back in the game. </t>
  </si>
  <si>
    <t>brought on last 35mins. for some calmness in middle of the park. for a tall lad..needs to use his body more. took few too many touches at times. none the less played ok when he came on.</t>
  </si>
  <si>
    <t xml:space="preserve">bought him on 2nd half. not really a difference maker but likes to put pressure on oppo. haven't seen enough of him other than the 45 played to see if he's a 4s player </t>
  </si>
  <si>
    <t>Reigate 3s</t>
  </si>
  <si>
    <t>Blame myself for the first goal but otherwise did ok. Couple of routine saves to make 1st half and then later in the game, a very good reaction save after a deflection and then saved the pen. Swept well and kept things simple putting out for a throw. Annoying to say but starting to feel part of the back 5</t>
  </si>
  <si>
    <t xml:space="preserve">We started the game really well, we were on the front foot and made some good chances, Josh scoring but being given offside a few minutes in. Not long later however, we then did score, Andreas putting George in to score past the keeper. We kept putting them under pressure and they weren't a good side. We were dominating the game and came close to scoring again, whilst also cutting out those stupid errors we have been committing in defence. We were playing some really good football and it paid off when Emi was fouled near the edge of the box and Josh scored directly from the free kick. We kept going and nearly got a 3rd. A huge kick from ASR then bounced over the CB and put George in, only for him to hit the bar. We did well and managed the game for the rest of the half and went in 2-0 up at half time. Second half we didn't start as well as Reigate however we still created chances. A keeper error however gave them a foothold back in the game, only for Josh to score again 5 minutes later and put us 3-1 up. We were holding our own until one of those basic mistakes happened. Instead of clearing it for a throw, Anthony hesitated and did nothing…allowing their striker to grab the ball and slot home to make it 3-2. Again though, we showed great spirit and character, going again. This time some great play with Harry and Jack out Harry in behind their full back and picked out George in the middle to make it 4-2. Not long later, we win a penalty to make it 5-2 however Emi then missed the target. We hold on through until the last few minutes. Firstly their striker gets a shot away which deflects off Anthony and I manage to get an arm on it to deflect it wide. Then in the last minute, a corner comes in which Sam heads away…alas he heads it towards our top corner. Lee does a Suarez and claws it out, conceding a pen in the process. Up steps their player who gave Emi some after he missed his pen…for ASR to save it. Alas the rebound fell to him and he smashed it top corner, I got a hand to it but couldn't keep it out. That was that though, our first 3 points of the season and the first of many more to come </t>
  </si>
  <si>
    <t>Best game I've seen from Jack. Up there for me as MOTM. Was good in defence but also got up the pitch well. Good lad in the dressing room too</t>
  </si>
  <si>
    <t>Led the line much better this week and talked the other defenders through the game. One brain fade which led to the 2nd goal but that aside, played well</t>
  </si>
  <si>
    <t>Much better this week. Kept things simple after we had some clear the air talks. Starting to build a good relationship alongside Anthony which is good to see</t>
  </si>
  <si>
    <t>I hadn't realised but he's quite a big student of the game and it's starting to show now he's getting fitter. Learned a lot from last week and mostly, put it right. Also technically a good player and when moved to CM he looked very comfortable</t>
  </si>
  <si>
    <t xml:space="preserve">Arrived at kick off which wasn't the best, and actually when replacing Lee you could see that Lee had been playing better. Came into the game a bit more as the game went on, but sometimes went too long when we were trying to retain possession - not his best game </t>
  </si>
  <si>
    <t>Another one who was late due to his bus not turning up, so started on the bench. When he came on he took a little while to get going but once he did, he showed his quality. Got 2 assists and is now going to give me a selection headache for sure</t>
  </si>
  <si>
    <t>This guy oozes calm on the ball and it's great to see. Slightly slow around the pitch at times but he's worth it when he's on the ball. Probably better slightly further forward in the midfield but great having him back</t>
  </si>
  <si>
    <t xml:space="preserve">Sam still looks a little off it this season but starting to see signs of him getting back to where he was. Just needs a goal or assist to get him going </t>
  </si>
  <si>
    <t>Good debut from Max. Sometimes sat too deep in the CDM role but most of the time he covered the others well. Got better as the game went on and jumped in to defend his mate when on the receiving end of a bad challenge, great to see</t>
  </si>
  <si>
    <t xml:space="preserve">This guy is just a pest to opposition defenders. He never lets them settle and it's infectious as others follow and we then win the ball back higher up the pitch. Linked well with Josh and this could be a good partnership </t>
  </si>
  <si>
    <t xml:space="preserve">Emi is starting to find his rhythm now which is great to see. Worked well with Jack on the right hand side. Won a penalty but then missed it but at least he put his hand up and said he wanted it </t>
  </si>
  <si>
    <t>Very good from Josh today, only for it to end with a hammy going pop as he scored his 2nd goal. Was a menace and could have had 3 or 4 in the 55 minutes he played. Hopefully he's back soon</t>
  </si>
  <si>
    <t xml:space="preserve">Looked class. Hadn't seen him much before but very good on the ball. Surprised if I get to keep him but if I do, it gives me headaches in the best way as was a very good addition </t>
  </si>
  <si>
    <t>Reigate 4s</t>
  </si>
  <si>
    <t>didnt have much of a chance with the goals. little to write about - got him to do a warm 
up but did it with 30% effort. Always seems to not want to warm up, very strange.</t>
  </si>
  <si>
    <t>4-2-1-3</t>
  </si>
  <si>
    <t xml:space="preserve">Probably the weakest squad we've had out so far and it showed quite a bit today - basic 
mistakes and little created up front. 1 cb, and 1 lb was all we had defensively so Mark
Roberts played in an unfamiliar RB role with myself as the 2nd CB in a back 4. The ref as
expected caused chaos, gave them every shout and gave us grief when we contensed a 
blatant offside but in general the boys were well behaved. 2 - 0 down after 55 mins, got it
back to 1 - 2, then 2- 3 and then a clumsy penalty killed us off with 15 minutes to go. 
They are decent with a couple players but I give us a real chance playing them at home
 next week. Will have a better ref, intel on them and likely a better squad.
</t>
  </si>
  <si>
    <t>Settled in to the role after 10 &amp; eventually started winning his battles vs winger, didnt look out
of place here, saw his potential to play here on thursday with the 1 v 1's. Good option to have.</t>
  </si>
  <si>
    <t>mediocre, nothing outstanding but no real legit mistakes. moans too much about everything.
came off after 70 when I really could of done with him on as only natural cb.tbf he did warn 
me pregame. took kit.</t>
  </si>
  <si>
    <t>A step backwards after a couple good showings, lost the ball too often and passing up the 
line was off. Spoke well as Captain for the day but maybe made him try to do too much.</t>
  </si>
  <si>
    <t>bad mix up between me and Ellis for the first goal, he was 2 v 1 and I simply didnt react
quick enough to it. Settled after this and won most battles but not a great game.</t>
  </si>
  <si>
    <t>Passing from cdm was good and is getting better at winning headers. plays the role well.
his 2nd motm in 4 games with us, might be time for 4s/5s to have a look?</t>
  </si>
  <si>
    <t>Simply someone I had to use but didnt want to. Would of never made it through this 
years trials. lovely guy but badly overweight for 11aside, offered little and conceded the 
pen after trying to go past attacker in the box then wrestling him to floor.</t>
  </si>
  <si>
    <t>turned up after kick off and played just the 2nd half. got himself on the scoresheet. Matt
hope flicked on a long throw and poor defending meant it found him 6 yards out to slot
home. generally did ok in dcm.</t>
  </si>
  <si>
    <t>impressive today, for me he was motm. won plenty tackles and headers and did well
going forward. was clearly up for this after a poor showing last week.</t>
  </si>
  <si>
    <t>played him on the right of a front 3, tbf he offered little. hard to find an area to play him
effectively. has been out for a weeks so hopefully can improve and get sharper.</t>
  </si>
  <si>
    <t>1st proper game for the club, did ok - not sure if he can play beyond the 6's yet - lack of
involvement up front but did take his 1 v 1 goal well. good attitude, not aggy as I heard.</t>
  </si>
  <si>
    <t>quiet today, did get himself a decent assist. think the pitch being wide but short had an 
impact on a few of the forward players. Need to see more next week, demanding ball behind.</t>
  </si>
  <si>
    <t>decent technically, played 2 roles ok today- some good touches but would like to see him
start getting G/A's as hes drawn a blank so far depsite some good opportunities.</t>
  </si>
  <si>
    <t>Brent</t>
  </si>
  <si>
    <t>At fault for the first two goals. Both speculative efforts from outside the box, one he let slip underneath him, the other was a simple catch/tap over the bar which he pushed straight into the roof of the net. Little he could do about the third.</t>
  </si>
  <si>
    <t>0-3 loss. 4-3-3. Disappointing performance and result. Went 0-2 down within 10 minutes, unfortunately both unforced errors from Barcs. In typical fashion he was quick to take responsibility after the game but it’s now three weeks on the bounce that we’ve conceded three or more goals, with the majority coming from individual errors rather than defensive frailties. This makes it hard to pin-point a particular issue, and in each game so far this season we’ve played well for sustained periods, kept the ball and moved it quickly, but a lack of decision making and quality in the final third compounded by the individual mistakes in defence are reflected in the scorelines of teams we should be rolling over. The oppo were a step up from last week, but we need to be a lot better. Important to keep hold of and (hopefully) add more quality to the team. Likes of Reiss, Finn, Alex D are at the required level. Feel Dan R could be if given time. Lacking creativity and someone to get us a goal out of nothing, all a bit predictable.</t>
  </si>
  <si>
    <t>Did OK, caught on the ball a few times unnecessarily. One of the lads that we need to keep reminding of standards and mentality.</t>
  </si>
  <si>
    <t>Looks out of place at CM (in my opinion). Always has a good attitude and put in some great corners, but would prefer him at fullback.</t>
  </si>
  <si>
    <t xml:space="preserve">I started but subbed myself off after 10 mins to see if there was an underlying issue with formation/setup. </t>
  </si>
  <si>
    <t>Connor started as sub but came on for me and played rest of the game. Another 6/10 performance, feel he has a lot more to give as technically he is sound, but needs to be more mobile.</t>
  </si>
  <si>
    <t>At his best when covering ground, breaking up play and carrying the ball. Did it in parts, but not enough. Second half I pushed him higher up the pitch after we went 0-2 to pressure their CDM, perhaps should of done this earlier.</t>
  </si>
  <si>
    <t>Not his best performance. Didn’t do enough to challenge their full backs, but has the legs and quality needed in the team.</t>
  </si>
  <si>
    <t>Didn’t get too much of the ball, but needs to do more with it when he does. Would love for him to be a bit more aggressive in holdup play, and mix his game up a bit more (dropping deeper to get the ball, connecting the forwards etc).  More legs and mobility than Rich.</t>
  </si>
  <si>
    <t>Started on the bench, came on after 30 minutes. Lacking the mobility required for 2s football and isn’t to the same level as Alex D or OG. If both are available next week, would put Rich in the 3s as its not working for him at the moment.</t>
  </si>
  <si>
    <t>Has the quality required, and great work ethic. Needs better service.</t>
  </si>
  <si>
    <t>Technical skills evident, struggled with lack of forward options. Needs gametime to get back up to pace, but good to have someone of the technical level required.</t>
  </si>
  <si>
    <t>Sadly his final game was very similar to performances over past two weeks. Can tell he’s not a CB, and was lucky not to give away a penalty.</t>
  </si>
  <si>
    <t>Came on after 30 minutes and offers alot more than Cam in CM. Would have him again and start with him at CM with Finn (and hopefully Reiss) to build some chemistry.</t>
  </si>
  <si>
    <t>Clapham OX</t>
  </si>
  <si>
    <t xml:space="preserve">Great having John in, know you can rely on him. Clean sheet, didn't have loads to do, but when he did he was great. </t>
  </si>
  <si>
    <t xml:space="preserve">Game of 2 halves, we were shit first half, had one shot that went in that was from the by line, keeper made a big error letting that in. We were doing the same shit we did last season, rushing when we had the ball, playing forward in a rush, running away from the ball as opposed to towards it. Second half we calmed down, kept possession, played easy passes, and created a lot of chances. Had some ridiculous decisions from the ref; we scored, but the ref brought it back for a penalty, I was lined up to take it, he was standing on the by line, then just changes his mind. Mental. VAR'd himself. OG was intentionally fouled in the box, defender was wrong side and he Ramos'd him - OG is now out for 4 months. Was their free kick. Paul balls goal was good, however he also missed a sitter from out a yard away. Harold missed the target from a yard and a half, ball at his feet, loads of time. Good to get a win again and go joint top, but need a few more leaders in the team as it's very young at the moment, with decision making pulling us away from our potential. </t>
  </si>
  <si>
    <t>Max did his usual stuff, thought he played well, showing he is a 2's player and I should be picking him every week. Will be asking more from him as a more senior player, can talk and be really good on his day.</t>
  </si>
  <si>
    <t xml:space="preserve">Quality as always from Crowey, good leadership skills as well, communicating a lot. </t>
  </si>
  <si>
    <t xml:space="preserve">Excellent from seb, had one of the better players on the pitch against him, and he relished in it, excellent 1 on 1 marking, dogged. Should have got MOTM. </t>
  </si>
  <si>
    <t xml:space="preserve">Thought Connor did really well, didn't get down the wing as much as before but that was fine as Corey had it covered. Solid defensively. </t>
  </si>
  <si>
    <t>Fairly standard performance I felt from me, think I do well in bringing the team to a calmer state getting the ball down, however need it from a few others also.</t>
  </si>
  <si>
    <t xml:space="preserve">Not finns best game, failed to make an impact, feel he's very quiet for a CM when there's only 2 of us, may work better in a 3 or a position that needs less leadership. </t>
  </si>
  <si>
    <t xml:space="preserve">Frustrating with Harold, can be so difficult for the opposition with his pace, but so often makes bad decisions that mean we lose the ball. If decision making could be improved, would be a 1's player IMO. </t>
  </si>
  <si>
    <t xml:space="preserve">Paul came on in the first half and does what he does really well - gets the ball down. He's composed, technically very good, and recently I've found his decision making is much better as he's releasing it earlier and holding it when it's right. He made us more composed when he came on, which is our downfall very often. Scored a good goal. Missed a sitter too though. </t>
  </si>
  <si>
    <t xml:space="preserve">Great to have Corey back, although I find he also rushes things at time. Was being mouthy with me so I brought him off for Paul, he didn't like it. Hopefully won't get mouthy again. Probably won't make a difference. When he came back on second half he was much better, and nearly got MOTM. </t>
  </si>
  <si>
    <t xml:space="preserve">Dislocated shoulder early in the 2nd half - won't see him for a while which is a shame. </t>
  </si>
  <si>
    <t xml:space="preserve">Much better 2nd half, playing east passes, but was wearing moulds and clearly was struggling to change direction. told him he's benched if ye doesn't buy studs </t>
  </si>
  <si>
    <t xml:space="preserve">Did well when he came on, bit too quiet though - Finn and Dan in the middle was a recipe for disaster, with the oppo all over us for those 10 mins they were in together. Really young, got good potential. Great assist from him.  </t>
  </si>
  <si>
    <t>First time I felt he looked out of place - he had some excellent defenders round him who were strong and fit, so maybe it was the cheerleader effect. Didn't do badly, but was shakey in parts.</t>
  </si>
  <si>
    <t>Woking &amp; Maybury</t>
  </si>
  <si>
    <t>Good to have Theo step in for us, didn't really have much to do but because he's so good with his feet you can treat him like another person in the back line to pass around. At fault for the second goal but luckily it didn't matter.</t>
  </si>
  <si>
    <t>Coming out to Woking and getting slapped about is never fun and I must admit coming into this fixture without Will F, Dan Russell, Alex Mansfield and a GK had me worried. Grass was terribly long which ended up playing into our advantage as it held up through balls and allowed our fitness to be a key defining factor. Started as a 4-3-3 which allowed us to control midfield and led to 3 very quick goals. Half time saw us come out very passively and they snatched 2 quick goals and put us on the back foot. Todays game was won by mentality. With 20 left to go we made some subs and scored from a miscommunication by us from a corner to make it 4-2. Took the corner and asked Hal to come short. He heard let it run and so jumped over the cross and Nathan Baverstock buried it. Alex Stevens picks off a back pass to make it 5-2 and we saw out the rest of the game comfortably.</t>
  </si>
  <si>
    <t>Lewis Anderson</t>
  </si>
  <si>
    <t xml:space="preserve">Absolute banger of a performance from Lewis and personally my MOTM. Played in three different positions and performed in all. </t>
  </si>
  <si>
    <t xml:space="preserve">Only played for the last 15/20 mins, but looked promising at LW. Came on and seemed to have the confidence he has at training, taking people on, nice passing and great balls in. Got the assist for the corner thanks to a nice dummy assist from Hal. Could Denver be a LW? We're the managers so Denver can be anything he wants to be. </t>
  </si>
  <si>
    <t xml:space="preserve">I'm in two minds about Charlie, was a ruthless defender who absolutely flys in, a little bit recklessly at times. Good in the air too. BUT...isn't good with the ball at his feet. He probably needs to be next to another more confident CB. </t>
  </si>
  <si>
    <t xml:space="preserve">Not a good game for Joel, just never comfortable with the ball and seemed to panic every time. Got beaten lots and even a few foul throws in promising positions which cost us a turnover. Lewis at RB is where we hope to be really. </t>
  </si>
  <si>
    <t>He's back and with a bang. Controlled the midfield and actually his calmness brought out a better part of Nathan B. MOTM without any goal contributions in a 5 goal game tells you all you need to know about this performance. Nathan Squared could be the new base of the midfield.</t>
  </si>
  <si>
    <t>Other half of Nathan Squared. Last couple of games he's been a bit off: putting himself in danger but today shone through that. Leaders performance today and was pivotal in keeping our heads today.</t>
  </si>
  <si>
    <t>RPJ and I disagreed on this one massively. He said Hal was not noticeable today but I thought the complete opposite (probs cause I'm the tactical genius of the pair 😉). Hal played in the 10 just behind Rob/Alex and played really well. Caused them problems as defended in a 3 and then drifted into an attacking role which meant he could play off of the knockdowns from Rob E. took his first goal on the volley well and the little 1-2s were sublime.</t>
  </si>
  <si>
    <t xml:space="preserve">Not my best game, but first one back in 3 months. Was having good success down the line in the first 30 mins, easily beating their fullback putting in some good crosses and getting an assist for the first. But not match fit and had wingers on the bench so subbed off early. Came back on at 60 and just knee started giving me pain, got a yellow for a mistimed tackle then subbed myself back off. </t>
  </si>
  <si>
    <t xml:space="preserve">Solid game from Rob, he just holds up the ball like no one else. Their 6ft4 defender just couldn't handle him and ended up getting booked for multiple fouls. Took his two goals really well and it's just always nice to have him up there. Hopefully, he's around more consistently and we can use him and Alex together. </t>
  </si>
  <si>
    <t>Majority of the rust is now off the Alex Stevens train and he's picked up where he left off before his South American hiatus. Goal was all him intercepting a back pass and slotting it past the keeper. Equally a thunderous half turn volley tipped past the post but caused them absolute chaos.</t>
  </si>
  <si>
    <t xml:space="preserve">The Marmite man continues, the other week I hated him, today I loved him. Had three chances in quick succession with head, left and right, all just slightly missing the post, probably should have done better but he got into positions in the first place which is better than before. Still want him staying wide more and running in behind a la RPJ on the other side. </t>
  </si>
  <si>
    <t>Prior games from Oli made me nervous for his selection but was very good today. This lad sticks his head in places it shouldn't go but comes out winning the ball most times. Pulled at 60mins due to the grass being so long that you could tell legs were tired.</t>
  </si>
  <si>
    <t>Another risky pick today. Lundie assured me he was a baller and I have trust a man who's been at the club longer than I've been alive. He was late so started on the bench and said he was nervous which set of alarm bells. Brought him on in the midfield for Hal at front 3 and was unbelievable! Ball stuck to his feet and oppo struggled to regain the ball off of him. Fitness and speed lacking but you can play into that and utilise as a pivot for sure.</t>
  </si>
  <si>
    <t>I mean what can I say. I've said it before: Chris looks like he shouldn't be a footballer and then he comes out with an unbelievable performance. Staunts lent him to us for the day in a transfer deadline deal for Matt Crowe so guess worked out well for both of us. I would like to keep him and perhaps could with Tams return but he deserves to play higher. Probably would be my MOTM (Denver) but expected from a 2s player.</t>
  </si>
  <si>
    <t>Rich Robinson</t>
  </si>
  <si>
    <t>TRENHAM FC</t>
  </si>
  <si>
    <t xml:space="preserve">staunts brokered deal as he got harrison and so took rich. First time seeing him play. spoke to him pre kick off and he isnt going to be ever present. He did okay. did really hold the ball much from shots. more of a puncher. kicking was ok. Communicated ok. Brought decent experience to the side. </t>
  </si>
  <si>
    <t xml:space="preserve">Story of the season for the 4s. Dont take our early chances and let the oppo into the game. The oppo had a lot of height. their 2 cbs had a combined height of 6ft 5 at least. they were far more physical than us and made me feel like it was boys vs men with the players at my disposal.  1st half 1st 20 mins we had 2 chances to make something of the posisitons we got ourselves into. This time it was shavon who had them chances and it was the first game he played for us. 2 opportuniteis to go a couple goals up and change the complexion fo the game. Would have changed the dynamics of the game. we conceded yet another set piece 30 mins in followed by a tap in off of another set piece. 2-0 down at HT. Made some changes to improve our chances but we were the better ball playing team. 2nd half we didnt really get going and oppo were making more and more physical challenges that i think got into our players heads. we conceded another 2 set piece goals and players heads dropped. we did score a goal from a swift counter attack but the game at that point was already gone with their being 10-15 to go. Ftiness wasnt the best from the lads as gaps started to appear. As it stands im going to have to really roll my sleeves up and get into the players during training and games and not only that but really lead by example on the pitch as I took my anger out on the oppo with some strongly won slide tackles which I thoroughly enjoyed and missed. Will have to do some real tinkering of players and formations to start our season off and league is all we have so its all or nothing for the 4s going forward. </t>
  </si>
  <si>
    <t>battled well and asked him to be aggressive which he was. Played him at full back as opposed to cb. Did a good job in there. got motm from the votes</t>
  </si>
  <si>
    <t>Typical calm and collected Dean. At times too comfy at the back with a few extra touches where it seemed he played himself into trouble. Comm'd well with ade. won majority of his duels. Touch wasnt the best due to the weather conditions but did well regardless.</t>
  </si>
  <si>
    <t>Felt like he was out of depth against the winger and not the best ive seen him play. Gave away the ball needlessly a few times. and off the pace a bit.</t>
  </si>
  <si>
    <t>One of his better games. Strong and physical against their striker and limited their chances. Tried a back heel pass 2nd half when we were losing but chasing the game which was very short and I had to bail him out of them countering with a solid slide tackle.</t>
  </si>
  <si>
    <t>played in a few different positions to cover those that were lacking. Started 1st half as an ACM and found pockets well and had great touches and dribbles. passed well also. Got man marked for the rest of the game as there players were making sure there was always someone on my case. Set pieces were on the money.</t>
  </si>
  <si>
    <t>Played the holding role. Would often take extra touches and needs to be physically stronger. Oppo were giving him verbals to get into his head. 1st half not the best partnership with andres. 2nd half gaffa dropped into cm and played better as a result. got booked for a heavy challenge on their lvb. also did provide an assist for the goal.</t>
  </si>
  <si>
    <t>probably the most effective player in attacking phases 1st half. Gave the full back head aches how ever wasnt much end product. He got put off his game as they kept fouling him quite a lot. wasnt the same second half,</t>
  </si>
  <si>
    <t>last minute call up pre kick off, Appreciate him coming down. Played as a striker first half and second half cam as switched with gaffer. Didnt have too much to feed off first half. Linked up with gaffer a few times and battled well. communicated very well and was poasitive through out the game. 2nd half didnt let up in efforts. Had good touches and linked up with masoud mostly. played well. played full 90</t>
  </si>
  <si>
    <t xml:space="preserve">Had the best chances 1st half. gaffer played him through on goal 1st half took an extra touch and defender cleared. Another chance few mins later with us having players in the box didnt cross and missed a clear cut chance. He has good pace to burn but decision making needs to improve. He got cramped heavily 20 mins off and took him off to recover from it. He had an action packed 1st 20 mins and then bought him on again last 20 mins. He messaged me post game asking for guidance to improve him which will deffo do. Good lad and can be an asset with better footballing IQ which comes with age and experience. </t>
  </si>
  <si>
    <t xml:space="preserve">Again another weird performance from him. Played him cm to utilise his height and seeing him in training in that position however doesnt really commit. His touch and decision making was off. Positionally awful. Not great with communicating. Didnt take instructions well or comm well with his partner in the middle. not a great game. took him off half time. didnt bring him back on as 1st half was really poor. </t>
  </si>
  <si>
    <t>came on for shavon after 20 mins. Not stellar gus. Felt like he concrete blocks on his boots. Wasnt as fleet footed as ive seen him and seemed off the fitness. Not a great day for him with poor touches and dribbling.</t>
  </si>
  <si>
    <t xml:space="preserve">Bought him on 5 mins after half time. Ran well but doesnt put himself about enough against the defenders. that being said did score pretty much a tap in with not much else to do. Had some decent touches. Need to see him in training to get a better idea of how he plays to utilise. </t>
  </si>
  <si>
    <t xml:space="preserve">Usually starts for me at fb/cm however had cover in those positions. Bought him on 2nd half at cm and lb and he worked hard as he always does. won his duels againt the winger and made some long runs down the wing to bring us up the pitch.  </t>
  </si>
  <si>
    <t>Old Tiffonians</t>
  </si>
  <si>
    <t xml:space="preserve">Caught the ball well, kicked well and shouted well. Not much could do for any of the goals </t>
  </si>
  <si>
    <t>We started the game brightly, although having an early save to make, we dominated the play. Then about 10 mins in, a great ball from Harry to Ciaran and he lobs their keeper to make it 1-0. We keep on playing some good football and we look very comfortable in possession. We win a corner and a good ball in from Ciaran and Ste Calder shows his class and scores from the header. We're working really hard to stop Tiffs from playing and it's working, that is until they get lucky, a headed clearance lands straight and their strikers feet, he shifts it to the right and then buries it into the far side netting. We closed the half out strongly though and went in at half time 2-1 up. We don't start the 2nd half well though. Tiffs come at us and we lost both our discipline and our shape. We got lucky a few times but then we give away a free kick about 30 yards out, despite having the wall their player belts it into the top corner off the bar. I got close enough to feel it pass over my hand, but not close enough to stop it. Then, with 5 mins to go, we don't deal with a ball over the top. One touch control and then 2nd touch to lob me and make it 3-2. Galling is the word. We go again and have 4 corners in a row, but none of them even led to a shot on goal.</t>
  </si>
  <si>
    <t>Solid game from Jack. Got booked for a trip which stopped the oppo's attack but their player should have been booked for a much worse challenge. Lost discipline at the end and went bombing forward and didn't go back to his position, leaving someone else to cover</t>
  </si>
  <si>
    <t>Solid game. Conceded the foul which led to the 2nd goal but was the right thing to do. Just still turning up very late - fucking annoying!!!</t>
  </si>
  <si>
    <t xml:space="preserve">An ok game from Max. Looked good at times and shaky at others. Unlucky for their 1st goal </t>
  </si>
  <si>
    <t xml:space="preserve">Best game I've seen from Lee. Very good and learning this position now. He's super keen to learn and get better and it's showing. Great attitude! </t>
  </si>
  <si>
    <t>Class from Harry. Dominated the midfield and it showed when he came off for a breather as we lost that battle. Deserved MOTM</t>
  </si>
  <si>
    <t xml:space="preserve">You can tell he's not played much. Only 2nd game of the season and he looks rusty and off the pace. Better to come I'm sure. </t>
  </si>
  <si>
    <t xml:space="preserve">Had a great start to the game. Didn't want to sub him off and a bit unfair that I did. Had to get players on but he was playing very well. Unlucky not to get more MOTM votes, on another day he'd have won it </t>
  </si>
  <si>
    <t>Average at best. Rocked up 10 mins before kick off, nearly lost his place to Ellis who came to watch. No trees ripped up when he came on</t>
  </si>
  <si>
    <t>I was expecting a fair amount from Matt after he looked sharp in pre season. But the runs he was making previously have gone, played back to goal only and struggled to link the play. If I'd been fitter I've had gone up top and taken Martin in goal</t>
  </si>
  <si>
    <t xml:space="preserve">Not Emi's best game. Doesn't like to take his full back on when he's got the skill to beat him. Hopefully better this week </t>
  </si>
  <si>
    <t xml:space="preserve">Mark does the dirty part of the job very well. He's got a great leap and he tracks back very well to help out. He should have been used more in the first half but we chose to pass elsewhere, but he kept making the runs to his credit. </t>
  </si>
  <si>
    <t>By his own admission at half time he said he felt he didn't really get into the game much. But he scored a crucial goal and had the nouse to talk people through the game</t>
  </si>
  <si>
    <t>Hate to say it but not good enough at 5's level. There was a massive drop off in quality when he came on and he lacks the discipline to hold a position. Asked to be subbed off in the 2nd half which was handy as I was about to sub him off anyway</t>
  </si>
  <si>
    <t>Old Ignatians</t>
  </si>
  <si>
    <t xml:space="preserve">Cruitial contrubtion in the early exchanges of the game, 3 big saves to keep the score at 0-0.  Caught out for the equaliser, good game overall however. </t>
  </si>
  <si>
    <t xml:space="preserve">Off day for a lot of people yest still managed to pick up an impressive looking win.  For context it was 1-1 with 8 mins to go.  First half we just couldn't get going.  Oppos 4-4-2 was causing us issues particulary on our right hand side. Ollie being attacking wanted to stay high, Crowe was having to over cover with Theo and Aaron being dragged out of postioning leaving a big gap in our right back zone. We were also losing the 2v2 midfield battle and Josh having to come in far too often.  On about 25 mins had to sacfirice Josh's 10 role, he dropped in next to Yemi and Keats sitting at base just to stop the flows of oppo attacks.  John had already pulled out 2 1v1 saves and oppo hit the post.  Our usual superstars in the final third not clicking either, Plats and Jarvis having very unsually poor games.  We broke through against the run of play, first time we had strung any passes together and Josh made a burst down the right hand side, superb low cross with the outside of his left foot gave Plats a tap in.  Superb goal.  Half time took Ollie off for Yemi to look to stifle their creative left winger. Second hald was more of the same with the quality just not there regualrly enough, in patches it was there but we never truley contraoled the game for any lenght of time. A freak goal made the scores level, the left winger Yemi sent on to mark, Yemi wrong side of him (which was what Ollie was all first half!) got into a good postion about 23 yards from the byline just outside the box, compleltey mishit a cross that looped up, John caught out (think the recent Raya mistake for Arsenal) and dropped in the far post  This is where credit does have to go to the lads, we simply did not let this get to us superb reaction.  Yemi stiffled his man for the rest of the game, with their main outlet now nullified we were in the accendancey. Foxy came on up top allowing us to mix up short and long play, he made fools of the CB' swinning all headers.  Despite playing better the breakthrough didn't come until  8 mins from time.  Jarvis long throw, Crowe near post won the header, was just looking to put into a good area far post, in similar fashion to their goal it looped in the far post.  Cue massive Crowe celebtrations first goal for 1s.  They looked completley cooked, other than a couple of long balls thrown up which Aaron ate up they didn't have any meaningful play in our defensive third at 2-1.  John swept up a loose ball and pinged to Foxy who won his header, got to his own second ball and held off the defender long enough to roll to the supporting Josh who applied a cool finish to confirm the win on 90 mins.  In stoppage time we won a corner, compleltey against logic Keaton looped one in on the keeper, we only had Crowe in the box, keeper shat himself with Crowe bearing down on him and Crowe put keeper and ball in net from 2 yards out.  4-1 is a flattering scoreline for the performance, it is however a sign of the fight of the team that we can pull this out when not playing well. </t>
  </si>
  <si>
    <t>Overcovered far too much first half creating the gap that Crowe had to fill.  When ball in and around him excellent as always. Hasn't played much recently so back him to get back to his top levels.</t>
  </si>
  <si>
    <t xml:space="preserve">Monster of moster display.  Ground defending superb against a tricky opponent., in the air smashed everyone.  Scored crutial goal for 2-1.  We also go top of the league on goals scored thanks to his second goal with the final play of the game.  </t>
  </si>
  <si>
    <t xml:space="preserve">Rare poor showing.  Gave the ball away a lot.  Over played when playing out and caught on the ball a lot.  Defending to recover was good.  </t>
  </si>
  <si>
    <t>So so game.  Not at his best but didn't let us down.</t>
  </si>
  <si>
    <t>Wasn't really a game for Ollie at wing back.  He has done it before with excellent effect but this was in games where we dominated the ball and territory.  Not the case here and forced into a lot of defending which is not his stroing suit.  On the ball not himself either.</t>
  </si>
  <si>
    <t>Couldn't find bearings in opening exchanges.  Couldn't work out the partnership with Keaton either.  Caught on the ball far too often.  Switched to RWB second half to man mark there threat, caught the wrong side of him for the goal.  Used that as the wake up call and swarmed him overwards.  Mixed game</t>
  </si>
  <si>
    <t xml:space="preserve">If Crowe doesn't score 2 think Josh gets MOTM.  Opening exchanges we couldn't get the ball to him very often, this is an issue we have without Matt Thomas on the pitch.  As instructed he had to get invloved in build up play to accomdate this.  Had to eventuall drop him back into one of the holder roles.  It became more about battling  without the ball than his passing skills and he showed he can do that as well.  Despite this he still comes out of the game with a goal and an assist. </t>
  </si>
  <si>
    <t xml:space="preserve">Was weridly part of the problem and the solution.  First half was not good and felt for sure he would be the first sub.  With the change of midfild shape and Keaton sitting at the base we looked more solid.  As the game went on his own game improved and by the end of the game was one of the better players on the pitch.  The game ended up being a battle and Keats will always shine through when this happens.  </t>
  </si>
  <si>
    <t>Off day for the superstar. Assist for 2-1 goal from long throw but little else came off for him.  Cant be the main man every week all season</t>
  </si>
  <si>
    <t>Similar from Plats.  Touch looked stranley off, miscontroled when taking his man on a lot.  Scored the opening goal with a tap in.  Will be back to levels soon.</t>
  </si>
  <si>
    <t>Nice contribution from Stan.  Is quilty of drifting wiide a little too often, when in the middle got us passing better.  On about 70 mins Jamie ran out of energy and tried Stan at wing back.  Looked compleltey at home here, overlapped superbly well.  His good work won the throw in for the second goal.  Soon as it went to 2-1 Jamie back on to make up a back 5 and Stan slotted back into CM and was solid there.</t>
  </si>
  <si>
    <t>On at 1-1, gave us a focal point and the ability to go long to better effect.  Superb contibution for 3rd goal which killed the game</t>
  </si>
  <si>
    <t>On for final 20 mins. So so.  Got booked, ball stuck to him well but nothing came of it.</t>
  </si>
  <si>
    <t>Wandsworth Borough 2s</t>
  </si>
  <si>
    <t>Olly Mason</t>
  </si>
  <si>
    <t>Economicals 2s</t>
  </si>
  <si>
    <t>Did a job and scoreline suggests he made a load of mistakes but wasn't the case. Good at feet, a couple of mistakes with passing but strong kicking and some good saves. Solid backup</t>
  </si>
  <si>
    <t>Match was always going to be tough, previous winners of the cups and perhaps one or two 1s players sneaked in with their Birmingham game fiasco. That being said good showing from the lads and holding them to 4-4 in normal time would have been a good outing. A culmination of a bad ref, tired legs and pushing for a win saw us ship 4 in ET.</t>
  </si>
  <si>
    <t>Good but a little unfit, strong in the tackle and a leader in the team. Asked to come off c. 70 mins so perhaps need chance to get fitness up.</t>
  </si>
  <si>
    <t>Ups and Down to his performance. very strong in the tackle and good passing range but a couple of mistakes on passing etc. put us under pressure.</t>
  </si>
  <si>
    <t xml:space="preserve">Still not sure he is 3s but due to Staunts having 11 CBs have to rely on him. Strong in the tackle and wins headers but </t>
  </si>
  <si>
    <t>Seems to be growing in the team and certainly in his role. Best defender today and kept his winger very quiet. Happy to trust him there whilst I push forward.</t>
  </si>
  <si>
    <t>Personally thought he was very good and a welcomed addition back to the squads. I will look to keep him around and build the midfield on Him, Dan R + Nathan Nzau/Baverstock.</t>
  </si>
  <si>
    <t>Looked a little out of place today but still okay in there. Perhaps a 4s player in honesty and if Dan R, Nathan Nzau, Baverstock.</t>
  </si>
  <si>
    <t>Good game as always from Dan R, real difference maker in the challenge and passing.</t>
  </si>
  <si>
    <t xml:space="preserve">Bang average from me. Started well but come 30 mins game starts to slip as I have to think about the subs. </t>
  </si>
  <si>
    <t>Feel bad saying this but think his time at ST is over. He looks better when he is deeper and picking passes especially if we have Rich Jones / Alex Stevens / Rob.</t>
  </si>
  <si>
    <t>Arguably our best player today. Stuck him out at RW for full 120 mins and was an outlet consistently. Goal was from a crazy angle.</t>
  </si>
  <si>
    <t>Need him gone. Is pretty lightweight and doesn't offer much there. Doesn't use his one attribute which is pace. Also someone teach him to take a throw in. 3 foul throw ins.</t>
  </si>
  <si>
    <t>Hat trick hero from Rich today but perhaps slightly flattered his performance. One man show at times and didn't look to get people involved in the game.</t>
  </si>
  <si>
    <t xml:space="preserve">Royal Sun Alliance </t>
  </si>
  <si>
    <t xml:space="preserve">decent shot stopping. distribution decision making wasn't the best. kicking ok. made a few decent saves. </t>
  </si>
  <si>
    <t xml:space="preserve">spirited performance and one that galvanised the boys to help them realise what we are capable of. narrowly getting a point from top of the league team who were scoring free flowingly against other teams. 1st half conceded early on due to giving them too much time. we started pressing more with some nice phases of play. picked up a free kick from a dangerous position and pearl scored. 1-1 half time. ref gave them a pen 2 mins into 2nd half based on him hearing and not seeing Cameron kick the ball. their player was laughing embarrassingly as he knew wasn't a pen. they scored the pen. then we conceded another goal couple mins later and then they thought they were man City. they tried playing out the back but as we pressed were gifted a glamorous chance to masoud whom you would have bet your house on to score. he put it wide. we kept piling pressure on and lived in their half 2nd half. scored a goal from a corner and had few half chances but couldn't convert. lads really stuck together and well all knew whats expected for the rest of the season. just missed out on getting some points off top of the league. </t>
  </si>
  <si>
    <t>Kevin had the pleasure of marking a striker that had scored a bundle of goals. he did well and limited him to opportunities. the lad was a unit and kev had to use his footballing head to limit him and did a Job.</t>
  </si>
  <si>
    <t>First game seeing him play. Old school defender. won most of his duels. 1st half did really well. clears the ball out of danger and won his headers and battled well. few comms issues last 10 mins with kev. did well overall</t>
  </si>
  <si>
    <t>trusty Joe. played him rb and out of position again. doesn't complain and gets on with it. he did well against a tricky winger and read the game well. Once he gets up to fitness and is playing more could be handy going forward. passes well too</t>
  </si>
  <si>
    <t xml:space="preserve">played him at lb to accomadate Joe at rb. cam is pretty bog standard. battles well and tries his best. that being said distribution can be better. is a good spirited lad. just needs more snap to his game and up his output. </t>
  </si>
  <si>
    <t xml:space="preserve">First game for callum with the 4s. did well and communicated fine. distribution was OK. tried a few long balls which went wayward. need to see him play more to see whether he's a 4s player. </t>
  </si>
  <si>
    <t>captained the young lad for the day as he always battles every game and wanted to reward him for this. captained well. communicated well and was like a man possessed in the challenges. get up and down the pitch a lot and got a goal for his hard work. done me proud for picking him as Skipper. took a pair out of artetas book</t>
  </si>
  <si>
    <t xml:space="preserve">did well in phases. relinquished my cam role and dropped deeper and done the dirty work to bolster the middle of the park. won a few challenges and was being man marked by one of their bigger players. did well to switch the ball. need to rid myself of my injury to get into full influence mode. </t>
  </si>
  <si>
    <t xml:space="preserve">runs and works well. found little pockets and did ok. last pass wasn't the best. had a few chances 2nd half. but doesn't really have too much skill to beat a man or physical enough to dominate headers or duels. had chance at a volley twice which he squandered. </t>
  </si>
  <si>
    <t xml:space="preserve">Good to have pearl back after his suspension. however slows game down at times to attempt a skill which doesn't come off. needs to pick up the pace to aid the team more. doesn't track back enough. that being said scored free kick first half after I confused their defender and keeper. </t>
  </si>
  <si>
    <t xml:space="preserve">said pre game he had a little knock on his ankle and has had an issue for a while with it. not as influential as he usually is. got fouled for the freekick that pearl scored. also put in a corner that went into the mixer that Sean scored. 2 assists from him not at his best isn't too shabby. </t>
  </si>
  <si>
    <t xml:space="preserve"> started him at half time for pearl. got sinbinned really dubiously by a mad ref. the ref literally has no idea what he's doing..sin binned him for laughing when he's miles away from Jay saying its descent? other than that no too much more to report. Still need more from him if he's to be a 4s player. </t>
  </si>
  <si>
    <t xml:space="preserve">someone I saw at trials that i thought could use his physicality to our advantage. bought him on last 25 to not unbalance the midfield. he isn't the most technical. but had a moment where he rolled the ball and sent their cb for a hot dog and almost scored a banger to equalise just missing. nothing else to report. picked him to not take a starter for the other teams. </t>
  </si>
  <si>
    <t>Grey College Old Boys</t>
  </si>
  <si>
    <t>Solid game. Caught very well, came and punched when needed. Kicking was also very good.</t>
  </si>
  <si>
    <t>Having seen the oppo's stats before kick off, 4 games, 4 wins, 21 goals scored and 3 conceded, it felt like we could be in trouble here. As it turned out, if we could shoot, we'd have won the game 3 or 4 nil. We bossed them for the vast majority of the game, creating some good chances only either miss the target completely, or hit it close enough for their keeper to pull off some good saves. At the other end, some sweeping up aside I only had 3 saves to make. Which meant come full time, I was disappointed with the draw. On the plus side though, we had our usual 10-15 minute spell where we go a bit crazy, this time though we dug deep and didn't concede which was pleasing to see</t>
  </si>
  <si>
    <t>Gave away a penalty for handball and got away with another one when needlessly slid in and didn't get the ball in the box. This aside however he played very well. Has a good partnership with Ade (somehow)</t>
  </si>
  <si>
    <t xml:space="preserve">Best game I've seen from Ade in ages. He did the basics very well. Led the line too which I've not seen before and told Anthony when needed. Hoping this continues </t>
  </si>
  <si>
    <t xml:space="preserve">Had their winger in his pocket for most of the game. He's developing into a decent LB which is a shame as I know he's a CM and he wants to play there. </t>
  </si>
  <si>
    <t xml:space="preserve">Looked nervous. Gained in confidence though as he got into the game. Took the WORST free kick I have ever seen! He ended up chasing it down and somehow won us a throw deep in their half </t>
  </si>
  <si>
    <t xml:space="preserve">Immense again from Harry. He's a little terrier in midfield and I'm really enjoying seeing him flourish </t>
  </si>
  <si>
    <t xml:space="preserve">If Harry is a terrier then Andreas is more of a silky player. He looks very languid but a good ball player he links the team well </t>
  </si>
  <si>
    <t>He's still struggling with his ankle but this was the best game I've seen Sam play this season. Hopefully he's starting to find some form</t>
  </si>
  <si>
    <t>Quiet game by his standards but he poses a threat down the right and full backs never know what he will do</t>
  </si>
  <si>
    <t>Debut for me but George was immense in the middle of the park. He did the dirty work really well but also linked with the others. Won't complain if I can keep him</t>
  </si>
  <si>
    <t xml:space="preserve">Quiet game by his standards. He'll have better games for sure </t>
  </si>
  <si>
    <t>Solid debut but he left his shooting boots at home. Not sure if he hit the target at all and kept going beyond the near post which wasn't ideal. Hopefully he'll do better next week</t>
  </si>
  <si>
    <t xml:space="preserve">Wasn't sure what I'd get as he was hanging on arrival but played well again. Started to get a bit aggy in the 2nd half so hooked him for a bit and then brought him back on as he'd also started to roam. Did well overall though </t>
  </si>
  <si>
    <t>Glyn Old Boys 2s</t>
  </si>
  <si>
    <t>Really good shot stopping today and deserved motm. Worldy save 2 minutes in. He can
always suprise with some big stops but dealing with crosses and kicking is what stops 
him playing higher.</t>
  </si>
  <si>
    <t>Tale of 2 halves today. Went ahead and were a bit unlucky to be pegged back to 1 -1 right
on the 45 mins. Kept with the same 4 - 3 - 3 as we were doing well against a good side
but individual performances dropped majorly. Leggy? playing slightly uphill? subs made?
no excuses for some players being on 30% pass completion. Heads dropped at 3- 1 down.
some boys dont have that winning mentaility, and this was emphasised with a player
telling the ref it wasnt the foul when we had a free kick on the edge of the box. Oppo
are up there in the league and had a couple attackers too good for this level but doesent 
excuse the mentaility in the 2nd half to just see the game out rather than playing with any
urgency. Big game next week, need a thorough chat about a few things in the changing 
room me thinks.</t>
  </si>
  <si>
    <t>Captain for the day and got through 90 minutes. Asked to come off and I ignored him
which seems like the trick? nothing really to write about, couple decent challenges but
needs to do better organising the back line as a more experienced player.</t>
  </si>
  <si>
    <t>on after 30. quiet today. sturggled to get involved such was the tehnical level of passing
in the 2nd half. Fullback was oldish but little change out of him with the ref letting some
rougher challenges go.</t>
  </si>
  <si>
    <t xml:space="preserve">did a job in place of aidan so jerome could play his preffered right back. got a runaround
from oppos best player early on and then started doing better. good heading today,
passing on the floor leaves alot to be desired. messaged to say he felt he had an off game,
think he will get sharper playing more matches.
</t>
  </si>
  <si>
    <t>competed well and getting better at doing the right things e.g delivering into the box
before being closed down. lost something when he went off, tenacity we need.</t>
  </si>
  <si>
    <t>regular 5s player but didnt stand above any of 6s midfield. Wouldnt reccomend he bounces
back up based on this. no real errors but still waiting to see something high level from him - 
so quiet aswell, needs to communicate and put some bite into challenges.</t>
  </si>
  <si>
    <t>started cb, the drop off from him to jabari is big. tried his best but not athletic and gave 
away the penalty that made it 1 -3. fortunate to creep into a team. aware he needs to 
improve atleast - first season in 11 aside and it does show.</t>
  </si>
  <si>
    <t>decent touches but little to praise again. lack of service from the 3 in midfield didnt help.
told the ref there was no foul after we won a free kick while trailing - scandalous.</t>
  </si>
  <si>
    <t>late again. trying to turn and take players on in own half cost us alot. poor today.
apologised but patience running thin here.</t>
  </si>
  <si>
    <t>decent touches in first half up top then played advance mid in 2nd half and rarely involved.
service wasnt great to him but can see lack of football effected passing/sharpness.</t>
  </si>
  <si>
    <t>too many touches. runs himself into trouble -said himself after that he was awful.
very few moments from him today - backline had him locked.</t>
  </si>
  <si>
    <t>scored from a header from jeromes corner.had a good bit of back n forth with their 
sideline and backline. got into a bit of handbags and booked. did ok on the pitch but
looks injured now after being  crunched and went off, probably not at fitness if he can play</t>
  </si>
  <si>
    <t>much better than his last right back outing. good assist and won plenty headers for a small
man. potential rb option for future. narrowly lost motm from martin.</t>
  </si>
  <si>
    <t xml:space="preserve">After a nervy start not collecting a simple through ball his confidence grew and at the end was an absolute superhero with the save.  </t>
  </si>
  <si>
    <t>A mad game, very pleased to get the win.  Had little to no control of the flow of the game like we usually do, created so many clear cut chances from our pressing and counter pressing watching back on veo I keep thinking we will score a couple of them and kill the game. With the quality of chances created should have been an 8-3 game.  Creaated 3 1v1s that were not finsihed aas well as the 4 goals we did score first half.  Where we lacked control was our usual defensive solidity just wasn't there and shape from long balls was comical, really basic stuff from class players who haave been used to eating up these long balls for a while now.  We were constantley turned around.  Made a good game for the netural.  1-0 up, 2-1 down, 3-2 up, then 4-2 up at half time.  We exterted some kind of control second half with the introduction of Matt Thomas in CM and Yemi into the back line.  Early in second half Josh missed a sitter for 5-2 and that would have finished them.  They saw this as aan opportunity to get back into the game staying only 2 goals down.  They we awared a very soft pen with about 20 to go.  4-3 and things were a little uccomfortable.  Last minute John rushes out for a superb 1v1 save smothering the fella for room after we switched off from a basic long ball free kick.  Bealoniaans were 2nd with same points total and only 1 goal in the GD before the gaame so a big big win.  Not achieved in the way we would like but the 3 points are on the board and we roll on.</t>
  </si>
  <si>
    <t xml:space="preserve">Jeds lack of game time at this stage of the season vs a top opponent stood out like a sore thumb.  Battled well against a top level player but he looks like a player in pre season stage which is effectlively what he is.  Against lesser opponents has the class to get through games but against top level oppo had a hard time. </t>
  </si>
  <si>
    <t>Poor mistake for their second goal getting in theos way competing a long ball, took him and Teo out of the game and left Jed covering 1v1 vs their best player Khaaleel who beat Jed with aa great bit of skill and finihsed well. Other than that decent game.  Stepped out of the central zone too often though. Talked about after, will correct next time he is in the middle.  Right side suits him better as can just attack any ball he thinks he can win.</t>
  </si>
  <si>
    <t>Best of the defenders. Switched with Jed after Khaleel started giving a tough time. Dealt with him well.  Super aagressive as usual with a calm demenor.</t>
  </si>
  <si>
    <t>Top showing from Dockers aand should have really finished the game off with a dancing run to create his own 1v1.  Power running from deep exceptional.  Provided obverlaaps throughout.  Also put the chance on a plate for Josh and 5-2.</t>
  </si>
  <si>
    <t xml:space="preserve">Similar to Dockers.  His new understaanding of what we are doing is key to our high press and his use of cover shadow to block passing lanes down the chanel enables the squeeze.  No conincidence that he intercepts a lot of balls.  </t>
  </si>
  <si>
    <t xml:space="preserve">Where to start with Keaton.  Terrible attitude after seeing he was initially on the bench.  Started as Matt Thomas wasn't sure he could start.  About 5 mins after this appologied and was very postive throughout the game.  Passing was crisp and got us ticking.  Really poor mistake for their opening goal, easy pass availble to left back area, got a shout (from me) he had 2 men on but decided to turn back into them.  They rob him, we have committed men forward in our possession shape, goal 1-1 and the game is changed.  Did react well to the mistake and again positive play.  About 65 mins in absolutley crashed and burned, says is fit but for these top level games he clearly cant do 90 mins.  Desperate to start and play 90 mins but the way we play now we are asking a level of fitness from the CM's he currently doesn't quite have. </t>
  </si>
  <si>
    <t>Very good from Yemi and will now be a sore miss as away until Jan.  First goal is a prime example of our counter press.  Twice in the move the ball was lost and twice Yemi recovered to keep the chance alive.  With the scorline at 4-2 at half time put Yemi into the back line to man mark their best player.  Of course their best player was subbed at half time and came back on the other side.  Meant Theo continued to mark him though and Yemis extra pace in the back line was massive as the ball in behind waasn't as effective for them.</t>
  </si>
  <si>
    <t>Was a buzzing performance worth a 9 really but haad to downgrade to an 8 as 2 poor momnets at key times.  Poor miss to kill the game.  Compltley siwtched off last minute and allowed his man to run off him, John bailed out.  Rest of the gaame he was so good.  Cut out their DCM compleltey for the second time this seaason. When we were in possession their DCM could not handle him.  Dropped into CM when Keats went off and showed he has the disipline to play there (asice from swithing off from the free kick).Real purple patch of form.</t>
  </si>
  <si>
    <t xml:space="preserve">Big time game and big time player.  Goals were from set peices but from open play oppo could not handle him.  Link up play superb.  Well taken pen. Intelligent free kick realising just needed to get on target vs poor keeper. </t>
  </si>
  <si>
    <t>First time playing vs Bealonians and they didn't know what hit them.  Lovley peice of skilland finish for first goal.  Marked down from 9 to 8 as missed 2 1v1's at 1-0 up and would have set the game down a different course.  Great runs made for these chances aand throughout the game.  When Keaton crashed and burned came back on in 10 and energy was buzzing in front of the CM's.</t>
  </si>
  <si>
    <t xml:space="preserve">Game changing dimmension when introduced.  Was at a key time under pressure and allowed us to go long and play in final third.  Absolutley ridiculous wining headers from the long kicks, nearly always found a man.  Held up with feet superbly well also.  Missed 2 big chances himself to kill the game.  </t>
  </si>
  <si>
    <t xml:space="preserve">Great to have him baack and setlled us down in CM.  Defensivley solid, linked up well although not as often as I would have liked. </t>
  </si>
  <si>
    <t xml:space="preserve">Good but feel he needs a goal.  Great to be able to bring on in a counter attacking situation were was in.  Picked up the ball and had loads of space to exploit.  Created himself one chance and shold have at least worked the keeper. </t>
  </si>
  <si>
    <t>Shene</t>
  </si>
  <si>
    <t>Awesome from Barcs today, made a lot of really good saves - best game I've seen from him in a good while, unanimous man of the match votes.</t>
  </si>
  <si>
    <t>Frustrating as usual from us, start badly, play well in patches but can't keep it up - not sure what it is, once we get it down we do well, but we don't move enough to make options quite often meaning we have to go long or lose possession. Had a good spell end of second half, but didn't convert. Shene went down to 10 due to a sun bin /start of the second half, but they looked more likely to score, then we went down to 10 as a result of Luke saying something to the ref, and they did convert. Made a few subs to change it up, brought Finn off which seemed to fire him up as he did much better when he came on, putting Micah in to score to equalise. We were lucky not to lose with Barcs making a save from (another) max penalty. Overall disappointing cause we played shit, way below our potential, same reasons as usual, and will cost us the league if we don't sort it out.</t>
  </si>
  <si>
    <t>Solid from max other than the penalty - for someone who is so good on the ball in 5 a side, don't know how it doesn't translate into 11 a side. Close to being an excellent centre back, but needs more composure on the ball and reading of the game.</t>
  </si>
  <si>
    <t>Good overall performance from Seb, again would like more from him with the ball at his feet, feel there's a nervousness in the defence about getting caught, which seb seems to suffer from as well at the moment. Defensively solid.</t>
  </si>
  <si>
    <t>Great to have Tam back, again defensively solid, but was surprised about him going forward, thinking this is a result of a lack of options from midfield as Tam and Seb are usually very composed on the ball.</t>
  </si>
  <si>
    <t>Didn't exist first half, brought off mid way through second half, came back on and tore through the opposition and created a lot of opportunities. Will be instructing he does this more often, can beat multiple men in one run with ease.</t>
  </si>
  <si>
    <t>would like more from Alex on the ball, beating men, retaining possession etc., off the ball couldn't ask for more, never stops running.</t>
  </si>
  <si>
    <t>Defensively solid from Jonny, however technically on the ball suffers from the same as max, doesn't have his head up / read the game like I'd like from a CB - still very young though, and again could be CM's not offering. Doesn't like going on to his weaker foot, meaning we didn't open the game up much and played ourselves into danger unnecessarily.</t>
  </si>
  <si>
    <t>Disappointed in paz, took him off at half time as a result. He wasn't holding the ball up well, few times passed to nothing and overall didn't create anything. Moved him into CM and again felt he didn't offer a huge amount, but that may be me missing what he does.</t>
  </si>
  <si>
    <t>Luke did a lot of running, held the ball up well, and I think may have created a chance or 2, but nothing that stood out. They were a very physical team and we're all over us when we got the ball, which is why Luke got sin binned as the ref seemed to miss a lot of it.</t>
  </si>
  <si>
    <t>Billy had a spell of 5-10 minutes where he ran the game, and a few other times where he picked the ball up well from the Défense, but overall wanted more from him in the CDM role, went missing a few times.</t>
  </si>
  <si>
    <t>I think Paul's great, he always shows composure, tries to get the ball down, get the game moving in the right direction, sometimes loses it but he works hard if he does. Improvement on decision making and he's be scoring / making assists week in week out.</t>
  </si>
  <si>
    <t>Back from injury, and very happy to have him back, always takes the ball to feet and happy to take a player on - created a some good chances on Saturday even though only on for 25 mins.</t>
  </si>
  <si>
    <t>Finally micah got a goal, superbly taken as well. If he can take Luke's hold up play, using his body, and keep his finishing up he will be 1's, but those areas really need some development.</t>
  </si>
  <si>
    <t>Old Strand Academicals</t>
  </si>
  <si>
    <t>Possibly my worst first half of football ever. Couldn't hold onto the ball and couldn't drive it into the correct areas. Hooked myself first at 25mins. Came back on in the 2nd half with 15 to go and much better. Got the assist.</t>
  </si>
  <si>
    <t>As in all football games, this one was certainly a tale of two halves. They looked Okay (okay at best) with a couple of chances here and there but nothing too difficult to deal with. After a shaky 15 mins we got a hold of the ball for the first time and stribg 5/6 passes from the back through the midfield culminating in RPJ + Nathan linking up for Nath to smash it top bins. Half time and my team talk trailed a little as I used Cam Ward as an example and he blew up, walked away onto the pitch. My request was to be the eyes for the teammates in the midfield and utilise the triangles that the 4-3-3 creates. Second half straight out the gate started making that extra pass to go forward: pop into cm, out wide, back to cm etc. After this goals flowed and was probably the most enjoyable game of football so far this season, highlighted by Stan Timms saying he's thoroughly enjoyed it and he's well up for playing with us at this level again which is a credit to the squad and their ability to involve non-regulars.</t>
  </si>
  <si>
    <t>Typical Lewis performance. Very good getting the ball down and driving the ball into the right areas. At times got caught out but nothing out of the ordinary.</t>
  </si>
  <si>
    <t>Better of the two CBs who both got 90 mins today. So calm on the ball and a real prescence. If availability remains as good these 2 together are a strong partnership.</t>
  </si>
  <si>
    <t>RUSTY! Think Staunts made the right call in dropping him down for the first game back in a year. 2nd half started to get going but great to have around as passionate in the game and gets the lads going. Got an assist by heading a Cam Ward cross back across to Harold.</t>
  </si>
  <si>
    <t>Typical Oli Barton performance. Puts his head anywhere, wins most things and gets the ball to someones feet. The easy solution would be to drop Oli as makes my role easier to slot into LB but playing well and credit to him! Scored an unbelievable Mudryk-esque Shot* (*deffo a Cross) from 35yrds to round off his performance.</t>
  </si>
  <si>
    <t>Alex was okay today. He's a very good player and left to his own devices is strong at the front of the midfield 3. Needs to be tactically more aware as struggles at times to help break lines.</t>
  </si>
  <si>
    <t>What a Performance. Real leader in the 3s now and certainly showed it today. First goal was a thunderbolt into the top corner. Played the full 90 and rounded the keeper from a ball through from Will in the closing minutes.</t>
  </si>
  <si>
    <t>Well... it may shock you but First half only stood out a little bit. 2nd half all I can say is JESUS. He shouldn't be in the 3s of course but I will take it if availability remains as is. Outside of the boot pass to me so perfectly weighted I have hit it first time for the goal to Alex S head. At one point he had the ball balancing on his back! crazy good player and was polite enough to tell me he is not available next week but back after! Like I'll have the chance to pick him.</t>
  </si>
  <si>
    <t>Good first 40mins back from RPJ who's been out for a while with a knee injury. Assist was lovely with a Ronaldo chop down the touchline before finding Nath. Excited to have him back playing.</t>
  </si>
  <si>
    <t xml:space="preserve">First half at striker he was so Isolated, really struggled to get the ball and when did was so out of the game didn't manage to result in much. Dropped into 10 and that combined with slowing of their defence was devastating. Rocket strike saved by the keeper, should have had 3 assists in last 15 it was good to see him playing well again and enjoying football. May stop playing him as a Striker as doesn't seem to be working as well as his contributions in CM. </t>
  </si>
  <si>
    <t>This man just doesn't stop getting Goals + Assists. Not much too spectacular about his game today. Got the ball did his thing and created chances.</t>
  </si>
  <si>
    <t>Went in goal under guise of first half, agreed to stay in and was solid. Keen to get him back out of goal as a thank you next week.</t>
  </si>
  <si>
    <t>Stong game from harold. 2 goals and should have had a 3rd and a 4th from through balls from Will and Denver. devastating pace.</t>
  </si>
  <si>
    <t>as I said in the intro, blew up at half time after feedback. Clearly riled him up second half was very strong and virtually unbeatable down the right flank.</t>
  </si>
  <si>
    <t>Old suttonians 2s</t>
  </si>
  <si>
    <t>really impressed with his attitude to step up in nets. Had cat like reflexes and decent kicking. Commanded area well and kept a hold of the balls well also.</t>
  </si>
  <si>
    <t>4-4-1-1</t>
  </si>
  <si>
    <t>Played against fellow strugglers and should have really come away with the win. 1st half pressed the oppo high up the pitch and they were not ready for us. transitioned well in phases and was confident at the back. again had a few new faces into the team that I hadnt seen and so wanted to see what they were about. Broke nicely on various counter attacks through the middle and on the wing. George got a goal 25 mins in although thought he over played and scraped a goal in. 10 mins later got taken down in the 18 yard box and got us a penalty which the gaffer put away confidently. did concede a goal few mins before the half time after pearls double save from a corner, lads couldnt clear the ball. Relayed the team at half time and told them to keep a cool head and take their time on the ball to take the sting out the game and to prevent the oppo from getting back into the game. had to make a few changes as a few players were leggy. we rushed at times on the ball and didnt really do too much possession based football and instead concentrated on hitting them via the wings. latter stages of 2nd half they dug in more and more and although didnt have too many chances got a goal in the last few mins and scored. we hit the post twice in second half and had a goal ruled out for offside. Gutted with the draw as it feels like a loss but on a positive momentum is building and a win is round the corner. Bear in mind didnt have an out and out keeper and some new players in again.</t>
  </si>
  <si>
    <t>MOTM performance from kev. made a killer slide tackle 1st half to prevent a defintie goal and won most of his headers. didnt really put a foot wrong and building good relationship with sidney at the back.</t>
  </si>
  <si>
    <t>Had a dominant performance and starting to gel with kevin at the back. having a bad lad at the back is proving beneficial for the team and he wins his headers. adjusting well to the 4s.</t>
  </si>
  <si>
    <t>played charlie at left back. didnt do too much wrong. needs to improve on distribution but overall decent game.</t>
  </si>
  <si>
    <t>Chris Weir</t>
  </si>
  <si>
    <t>confident and expereinced player at the back for us. bought calmness to the backline and led by example. wasnt really tested too much. had a good game.</t>
  </si>
  <si>
    <t>Wasnt his best performance but loves a good scrap. took a little knock and came off before the half finsished. could do better with the ball at times. communicates well with the team.</t>
  </si>
  <si>
    <t>average game in my opinion from hallam. he was another who battled well. some decent passing and some not so much. needs to make more impactful raids forward with the ball and to instigate calmness into the team.</t>
  </si>
  <si>
    <t>was the outlet ball on our attacking phases and was confident in his passing finding players in the final 3rd at ease. made some intricate through balls which werent converted. scored the pen as all the others were missed by the other players. had to step up and show them how its done :) was unlucky not to get an assist after delicious nutmeg on oppo and sumptuous through ball to dan who said he should have scored.</t>
  </si>
  <si>
    <t>had an ok game. with a player of his technical ability he struggles with the footballing IQ side of things. Doesnt really track back off of the ball. can be such a threat if he gets his decision making on point.</t>
  </si>
  <si>
    <t>came late to the game and didnt start him. He has good pace and not very technical. grew into the game. need more out put from him. With more game time can see him getting more confident and better.</t>
  </si>
  <si>
    <t>Good energy from the front man. willing runner that puts the effort in. Decent on the ball and battled well up top. Needs to improve on his link up play and finishing also as his goal was flakey. good lad</t>
  </si>
  <si>
    <t>started him out on the left. Fitness was showing 15 mins in with hands on knees. Has great skill and is tekky and can beat a man at ease just needs to improve on end product. had chances to influence the game in 2nd half just no real true quality.</t>
  </si>
  <si>
    <t>came on at lb last 5 mins on 1st half and was tempted to hook him 2nd half as dont see a real confident player there. at training he looks like he can pass a ball and is confident. saturday looked like he hadnt played full back. Doesnt win a tackle. gave the ball away a few times. Not his best game. hoping better things from him but will look at other options.</t>
  </si>
  <si>
    <t xml:space="preserve">bit rusty when he came on with some heavy touches and doesnt have the engine on him to get about. can distribute ball well enough but need more than that in the centre of the park. really needs to work on his fitness to be a threat this season. </t>
  </si>
  <si>
    <t>Manorians 4s</t>
  </si>
  <si>
    <t>Couldn't do much for any of the goals, probably the best GK performance of the season pulling off a top corner save.</t>
  </si>
  <si>
    <t>A game of 2 halves for sure. First half we were poor. Too sloppy on the ball, out of position at the back and didn't do the basics right. We started ok but when they scored their first goal (decent finish on the half volley) we fell away a bit. We then got done down the flanks too much for my liking whilst going forward, we either didn't get shots away, or enough numbers in the box. Second half however we were so much better and you could tell they were panicked! Again it was our shooting which let us down. Shots were wide or skied over from good positions and the car park behind the goal was more at risk than the goal itself. Good to see the reaction from the lads though at half time, but frustrating we couldn't start like that too</t>
  </si>
  <si>
    <t xml:space="preserve">Poor game by his standards. It started by not having studs, only moulds and that set the tone. Lost his head a couple of times. Better in the 2nd half but nowhere near his best game </t>
  </si>
  <si>
    <t xml:space="preserve">Another who struggled 1st half with the soft ground. He struggled with headers and clearances. Better 2nd half </t>
  </si>
  <si>
    <t xml:space="preserve">Did a couple of runs which were not needed and lost the ball both times. Otherwise solid game </t>
  </si>
  <si>
    <t>Started him off LB as I needed to try and sure up that side of the back 4. Looked more comfortable on the right when switched</t>
  </si>
  <si>
    <t xml:space="preserve">Solid rather than spectacular. Did some things well but shooting wasn't one of them…skied a couple of good chances and then rolled his best chance straight to the keeper </t>
  </si>
  <si>
    <t xml:space="preserve">Another solid not spectacular game. Struggled in the midfield 3 first half but much better 2nd half </t>
  </si>
  <si>
    <t xml:space="preserve">Another who was poor first half. Not sure what happened when we went off for a bit but came back on a completely different beast. Broke the lines, both forward and back and really drove us forward before sprinting back and helping out the back line. </t>
  </si>
  <si>
    <t xml:space="preserve">Lee's worst game. Wasn't happy at LB and it showed. Was off the pace and out of position too much first half. Better when he came back on but his head was gone from the moment he did. Then picked an argument with anyone and everyone whilst just booting the ball away and had to be put into his place in no uncertain terms. Normally a good lad so this seemed very out of character </t>
  </si>
  <si>
    <t xml:space="preserve">Another who struggled and seemed off the pace first half. Again much better 2nd half </t>
  </si>
  <si>
    <t xml:space="preserve">Tali looks short on confidence at the moment. He doesn't gamble when he should do and his shooting is off. Hoping more games will help get his confidence back </t>
  </si>
  <si>
    <t xml:space="preserve">Worked hard as always both on and off the ball. Was asked to play out wide to start with and did it without any issues. Had a chance when through on goal and he didn't get a shot away before the recovering defender got back. Needs a bit of sharpness </t>
  </si>
  <si>
    <t>Solid game again from Ciaran. Somehow got an assist for the goal (the somehow is more to do with the finish than the assist)</t>
  </si>
  <si>
    <t xml:space="preserve">Started to go to the 4's game after he listened to Max and didn't look at the squads. Seems a good lad though and rang me to explain. Arrived at kick off so was benched but when he came on you can see there's a player in there. Didn't have as much of an impact as I'd have liked but also didn't get the back in areas he may have wanted to. You can tell he'll play higher up </t>
  </si>
  <si>
    <t>Old Paulines 3s</t>
  </si>
  <si>
    <t>Shot stopping on point for the 2nd game in a row - pulled off a couple big saves.
narrowly missed out on motm to Anish. Pushing him to warm up is a chore but helps.</t>
  </si>
  <si>
    <t>Spirited performances from the 6s culminating in a late equaliser from us and then missing a 
couple chances to win it. The few boys playing in this team for the first time slotted right
in and didnt look new at all. 2 holding midfielders of max and anish limited them from playing
any meaningful football and it was only casual errors from us that let them in for the most part.
a well earned away point against a decent side, in a fixutre the 6s got battered in last season - I'm 
seeing this as cup half full. Was mostly grit and belief that got us a point here rather than quality.
Still in search of that 1st league win of the season but would think it isnt too far away if I can 
keep a team somewhat similar to this and we stop overplaying at the back!</t>
  </si>
  <si>
    <t>sketchy - makes needless passes across the back and invites pressure, did it twice in 2
minutes and gave away chances - knows thats not our game, otherwise won a few headers
and did ok.</t>
  </si>
  <si>
    <t>poor game on the whole, although he did last for 90 - 2nd half his clearances were so
bad some of them went backwards - needless agressive fouls/sliding in, must focus more.</t>
  </si>
  <si>
    <t>attempts at heading the ball are woeful, gets nowhere near it most times. Got 
done by the winger twice early, got stronger later in the game - average from him.</t>
  </si>
  <si>
    <t>assist from corner and some decent tackles. first goal was probably offside but 
would never of happend had he not completely missed the ball - football i.q is low, 
never felt sure when he was on the ball.</t>
  </si>
  <si>
    <t>got the better of the fullback more often than not and won the penalty from which we
equalised - also kicked the floor instead of ball and now im crocked and out of thurs/sat.</t>
  </si>
  <si>
    <t>best ive seen him. was very iffy on him but glad i got him instead of jordan. workrate
was top notch and some quality on the ball. motm. Still believe the 5's is as high as he 
should be however, thrives in cm but other teams have better options imo.</t>
  </si>
  <si>
    <t>good 1st half, very busy and plenty of solid tackles. phased out a little in the 2nd half
and eventually off with hamstring injury. now away for 4 weeks anyway.</t>
  </si>
  <si>
    <t>quiet day. dont remember him impacting the game much at all.
went off injured around 55 mins, but then showed good leadership in making subs for 
tired players with me on the far side.</t>
  </si>
  <si>
    <t>quiet lad but puts himself about in midfield, scored a header from a corner, then a follow
up from anish missed pen. would be handy for 6s in middle with janam now away.</t>
  </si>
  <si>
    <t>started sub which i think suprised him. lack of quality when he was on the ball, think
confidence is low and was furious with himself a few times. had a chance to win it but 
header went over the bar.</t>
  </si>
  <si>
    <t>seems to be getting his confidence back, was gunshy when i watched him for the 5s.
worked hard but still need a bit more end product- good lad and was pleased to have him
around. needs to get into the habbit of testing his pace vs defenders early on.</t>
  </si>
  <si>
    <t>Another one who is slowly getting back to form - not great today but better than his last
outing, was running til the end and his workrate was also good.</t>
  </si>
  <si>
    <t>suffers a bit 1 v 1 at times but on the whole is looking a decent full back, gets up well for 
headers and distribution is improving.</t>
  </si>
  <si>
    <t>Mark Rowntree</t>
  </si>
  <si>
    <t>Rob Roy Rovers</t>
  </si>
  <si>
    <t xml:space="preserve">Solid display, couple of good saves.  Most imporessive was handling on shots that bounced in front of him.  Twice had players following in and twice handled superbly. </t>
  </si>
  <si>
    <t xml:space="preserve">Game similar in a lot of ways to last weeks 4-3 win.  This week however we did start in control and looked like we would be running up a big win.  2-0 up inside 20 mins, high energy pressing and counter pressing and the oppo were struggling to get out of their defensive third, Josh and Javris on the scoresheet.  The game should have been settled when Olliue ran through brilliantly from the haldway line and slotted home.  Absolutley comical offside decision saw the goal chalked off.  This was somewht of a turning point in the game. Right on half time we allowed their striker to beat 3 of our players on the halfway line, a) we should have won the initial ball b) once he turns one of them has to foul him to stop the counter, all 3 just let him go.  Theo then won the ball back but kcked it stright to another one of their players who then played in the same guy we should have taken out on the half way line to score.  Really poor goal to conceede and was the last kick of the first half.  2-1 up in a half we totally dominated.  Second half they came out of thier shell and pressed us In the same manor we did to them and our usually rock solid defeince was all over the place.  Decision making was so poor playing out in situations it was 3v3 or in momnets where clearling the ball was key to reliove pressure.  The second goal came again after we had stopped an attack and then just gave the ball immediatley back to them.  We reacted really well and the socres were not level for long.  Foxy had come on and allowed us once again to change the dimmension with his unreal airial play, he was through 1v1 and was fouled on the edge of the box, player was last man but we had a joker of a ref who didn't even book him.  Jarvis quick thinking with the keeper not set saw up score virtually the same free kick for the second week running.  They still kept coming at us and chaanged shape to deal with our issue down the left, Tam at LCB and Ollie LWB worked when dominating the game but when under pressure gave us an issue, slotted into a back 4 which worked defensivley but did see Dockers haaving to play deeper which Im not a big fan of.  We finaally settled the game (or so I thought). Foxy this time able to spin on aa baall to feet and slide in Plats who finshed nicely for 5 goals in 5 games for him.  Game was now somewhaat more comfortable.  They thrw men forwaard but the back 4 now looked solid aand we countered time and time again and should have had a 5th or more than one occasion. In the final munite the joker ref awared them a penalty which they didnt even appeal for, they were a good bunch and stayed behind afterwards aand they thought it was aa complete joke of a decision as well.  4-3 and the expected choas in the period, we also played about 9 mins injury time with more than one occasion the ref stating 2 mins left, he just loved a bit of drama I think or maybe he got over time for extra time.  AAnyway got the same ref next week so somthing to look forward to.  So another win however there are issues to fix.  Missing some key players of course particulary at the back, we will have to regain our defensive solidtidy going forward, cant be pressing like animals if we caant deaal with the resulting long balls. </t>
  </si>
  <si>
    <t>very good perfoamance, going forward as alwaays compliments the flair players with his off the ball running.  Solid at RB in a 4.</t>
  </si>
  <si>
    <t xml:space="preserve">Not terrible but not quite himself, half injured.  Captained the team well in the absense of Aaron, Jed aand Yemi.  Really needs to be given the freedom back to go and win balls and play natural game.  When the CF is in the central zone he is happy as can mark him, when drifting of to the sides it leaves him spare and looks a little lost. </t>
  </si>
  <si>
    <t xml:space="preserve">Off game from Theo.  Poor for their frist goal, looked paniced aafterwards.  Confident will only be a one off. </t>
  </si>
  <si>
    <t xml:space="preserve">Big ask for Tam coming back into a totally changed style of play in a positon he hasn't played at least for us.  Lot of positives first half, in periods of dominance started overlapping giving us extra man in attack.  Under pressure though with Ollie ahead of him we ave him a little too much to do.  when switched to LB looked a lot more comfortable. </t>
  </si>
  <si>
    <t>Buzzing display running at players and causing mayhem.  Feel like he needs a goal to go up that extra gear that he has.  Really terrible decision to chalk off his goal by the ref.  Nice assist chopping in aand crossing with right for Joshs goal.</t>
  </si>
  <si>
    <t xml:space="preserve">Very good from Matt as alwaays however haad to take him off second half.  Needlesley booked first half and put in a terrible tackle second half thaat was so lucky to escaape another.  Took off immediaaltey aas were not winning the game with 10 men and we haave big gaames coming up where we need him.  Did create an issue in CM but there waas a bigger picture to concider.  </t>
  </si>
  <si>
    <t>Excellent from a man reaally on top of his game.  All over the pitch causing oppo issues in his free 10 role.  Got aanother scrappy goal bundeling in on the line which is what he didn't used to do.  When Matt haad to come off aand with Billy injured showed a real maturity about his game playing in the holding role with Paz</t>
  </si>
  <si>
    <t xml:space="preserve">Really good first half, pulled up early second half and was missing in CM.  </t>
  </si>
  <si>
    <t xml:space="preserve">Another display right out of the top draw. 2 more goals, worked like a animal on the press.  Created chances and had the oppo strugggling to come up with ideas to stop him.  </t>
  </si>
  <si>
    <t xml:space="preserve">Plats away now for a few weeks and will be sorley missed. Superb display, should have had a goal in first half.  Sort of settled the game in second half </t>
  </si>
  <si>
    <t>Late and didn't start.  Came on CM and showed good leadership</t>
  </si>
  <si>
    <t xml:space="preserve">Game changing contribution with the 2 assists and aloowing us to go long. </t>
  </si>
  <si>
    <t xml:space="preserve">Unlucky to only get 20 mins.  Seemed much more happy with this than not playing 1s, strange guy Luke.  Waas a postive influcne on the sidelines, caame on and did his thing holding the ball up aat key moments to relive pressure.  Linked up with Foxy to play in Plats for 4th goal. </t>
  </si>
  <si>
    <t xml:space="preserve">Clissold Park Rangers </t>
  </si>
  <si>
    <t>great to have chim back, solid performance from him, aside from passing to their striker who somehow missed, was solid other than that.</t>
  </si>
  <si>
    <t>As usual started with a very different team to the previous week which makes consistency and team play difficult, but gives other players a chance though which is great. Started off with 442 as that has been our strongest formation, but changed to 433 later on in the game as our cm's were over run, and it being a very very narrow pitch our wing play wasn't as effective as it could be. Started off average/slow, as usual, however this time we took the lead with an incredible header from alex dockerill, absolute bullet header running in on a corner, front post from about 14 yards out. went level to 1-1, another corner, they had a tactic where they were blocking our markers leaving them free, which we only picked up on in the second half. we played well in spells, defended well as well, however chance creation in the final third is poor. Can't think of any clear chances other than the goals - lucky we were clinical with our finishing as I think we had 4 shots on target and scored 3. changed to 433 which helped us defend in the middle and retain possesion, and with the narrow pitch it meant the CM's weren't too stretched. Very impressed with Alex Mansfield, will be picking him regularly, definitely my type of player. Second goal came from a paul ball move, where he ran through, did a 1-2 with alex D, however the through ball went to corey (lucky as paul was offside) and corey slide it nicely between the keepers legs. 3rd goal was from a chim goal kick, they misjudged the bounce, alex D harassing and got in between the defender and keeper and got enough on it to get it over the keeper with a nice header. once we had the 2 lead they lost the wind a bit as it was too much to ask with our back line defending well. Great to have jalsy back, needed that leader</t>
  </si>
  <si>
    <t>average from Will S today, think the small pitch doesn't suit him as he had less time and less options, but still a reasonable performance.</t>
  </si>
  <si>
    <t xml:space="preserve">solid from jonny - would like more from him on the ball, but defensively he's been good - needs better judgement / reading of balls in the air coming through, sometimes follows the player and not the ball </t>
  </si>
  <si>
    <t>great to have jalsy back also! solid at the back, gets the ball down, puts tackles in/ harasses - will have him again in a heartbeat.</t>
  </si>
  <si>
    <t>good performance from paul, being a winger he can hold on to too long at times instead of clearing it, however i'd rather that than he just boots it out - always trying to get the ball down and play football. I don't think I'll ever not pick him for this reason.</t>
  </si>
  <si>
    <t>good from finn, needs to be more vocal, but very good footballing ability/touch.</t>
  </si>
  <si>
    <t>played well, needs fitness to help him be able to offer more, and his technical side let him down a few times, but a good player and lad, and will put it on someone if its comes to it.</t>
  </si>
  <si>
    <t>back from injury, fitness still needs a bit of work, but did his usual stuff, again tries to get it down and play football. good corner for the goal.</t>
  </si>
  <si>
    <t>frustration with micah as on saturdays i find his back to goal play poor - doesn't control the ball / the game well when it comes in, and then his pass off is often weak. think could have it trained in, but for now it needs to improve. depending on availability considering dropping to see if he can gain confidence getting goals if it doesn't pick up - felt he didn't provide any attacking threat.</t>
  </si>
  <si>
    <t>great goal from corey today, and generally played well when he came on.</t>
  </si>
  <si>
    <t>despite scoring 2, felt he didn't do a huge amount in terms of creating opportunities - he really gets goals by working hard. similiar to micah, hold up play was poor - would like to see training mentality moved into the game as feel he looks a better player in training.</t>
  </si>
  <si>
    <t>I don't know if Harold has scored or assisted in any games this season that i've been to, and similiar to Micah tempted to drop down to help his game, cause at the moment not a lot of chance creation, similiar to last year, as I think he needs to improve his technical ability and reading of the game/decision making, as relies a lot on his pace.</t>
  </si>
  <si>
    <t>came on as a sub, struggled at first but got into the game - personally I am a fan as he plays the way I like, so think he'll be a regular pick for me from now - looking forward to seeing mroe of him.</t>
  </si>
  <si>
    <t>after an awful debut game for the 2's, jordan really redemmed himself today, getting 2 MOTM votes. he's quite comfortable on the ball, puts a challenge in, and is a good kid - have got some good options here but great to have jordy in the mix as well.</t>
  </si>
  <si>
    <t>Uni of Surrey Res</t>
  </si>
  <si>
    <t>Okay kicking and handling. Gave away the penalty to their 2nd goal and threw the ball to their striker for the 3rd. Poor decision making</t>
  </si>
  <si>
    <t>Bit of a robbery today. Oppo were very good at going ahead but certainly a smash and grab. Charlie + Lundie combined gave them two goals so you could argue could have won it in normal time. Penalties we converted all 5 and they put one wide so again no Saves that led to it. Penalty takers in Order: Rob E, Cam P, Will F, Joe V, Olly Mason.</t>
  </si>
  <si>
    <t>Poorest performance I have seen from Oli in a while. Head wasn't in the game clearly. Both wingers were very tricky and so had a lot to deal with.</t>
  </si>
  <si>
    <t xml:space="preserve">Very good from Joe. Best CB today won lots in the air and strong tackling. </t>
  </si>
  <si>
    <t>Samuel Osewa</t>
  </si>
  <si>
    <t>Not a 3s player. Seems to be sprinter turned footballer. Has potential based on athleticism but not there technically for this level.</t>
  </si>
  <si>
    <t>Okay from Lewis. He went toe-to-toe with their best player and at times struggled. They made him look slow, which he isn't, so that tells you how quick this lad was.  Never gave up though and good lad to have around.</t>
  </si>
  <si>
    <t>Superb today. Up against it with Staunts taking 3 players last min, but he stood up to the challenge, won everything, broke lines in midfield was great.</t>
  </si>
  <si>
    <t>Not noticeable today unfortunately and with Nathans and now some decent wingers will likely struggle to stay in the team.</t>
  </si>
  <si>
    <t>Very good today. Played with pure confidence and really held the team together in midfield. Correct decision making 9/10.</t>
  </si>
  <si>
    <t xml:space="preserve">Quiet for alex but got the first goal, which was a rocket! and gets his usual goal contribution. </t>
  </si>
  <si>
    <t>Monster as per usual. Bullies CBs and runs dogged. He is very 1 dimensional (i.e. Ball - Him - Straight Line) but that can work if people play to it.</t>
  </si>
  <si>
    <t>Played 15mins so not even going to write in here.</t>
  </si>
  <si>
    <t>Only played 45, had to hook him as he was getting terrored and looked at real threats to us concededing. He looked happy to come off which tells you he is probably not 3s.</t>
  </si>
  <si>
    <t>He is a good set of legs in CM but certainly the weaker of the 3 and is utility for us.</t>
  </si>
  <si>
    <t>Okay from Olly, cool and calm on 5th Pen, lovely guy but an average performance overall.</t>
  </si>
  <si>
    <t>Called up last min to strengthen up CBs. Worked well. He gave away the ball for their 2nd goal with miscommunication but other than that he was strong.</t>
  </si>
  <si>
    <t>Old wokingians 3s</t>
  </si>
  <si>
    <t>Again stepped in for us as no keeper available. pulled off some great saves but wasnt tested too much. did well in comms and confident when coming out for the ball.</t>
  </si>
  <si>
    <t>Finally first win of the season and culmination of months of builiding the core of the team and minimising mistakes weve been making. Some ascendancy of a back line being built and a good understanding of what is expected of each player when they play for the 4s. Played against a team that we got thumped against last season and was a sweet victory with all the players giving their all to get the win. 1st half played some nice football and was solid at the back even with the disadvantage of height agaisnt us. Sidney rolled his ankle first 20 which meant had to change personnel and put tom at the back with kevin and he didnt dissappoint. We broke out from the back and played some lovely counter football which got us 1 nil up with a goal from george. Kept it simple till half time. Had a chat with the lads about game management and slowing down play to stop them building momentum and just being more resilient and confident on the ball. We were like gladiators first 30 mins as they kept piling their big lads from the back forward. it would be an understatement to say they kept putting more and more bodies in our half. That being said we finally broke their spitirs with another descisive counter attack in the last 5 mins and got the all important 2nd goal. the lads deservedly celebrated the goal with jubilation and let off weeks off frustration. important thing is to keep our feet on our ground and build on this 2 game unbeaten run and start to climb the ladder. Out of the relegation scrap and playing the team above us in the league next game.</t>
  </si>
  <si>
    <t>battled well and won his headers. some fluffed clearances and stray passes but had a good game</t>
  </si>
  <si>
    <t xml:space="preserve">did well before injuring his ankle 20 mins in. </t>
  </si>
  <si>
    <t>not the best in distribution and offers nothing going forward. needs to develop his passing output. loves a challenge though</t>
  </si>
  <si>
    <t xml:space="preserve">doing a good job at rb considering not his natural position. did well against a tricky winger and won majority of his battles. happy to play at rb to serve the team. </t>
  </si>
  <si>
    <t>did well battling in centre of the park. needs to improve his distribution. giving him the responsibility of captain has given an extra spring in his step and leads by example to put his body on the line numerous times.</t>
  </si>
  <si>
    <t>was partnered with sean in centre of the park. put him at cb after sidneys injury and did well to ajust. got motm after winning most of his headers and loves spraying the ball from the back. got motm as stepped in cb and stepped up to give us a clean sheet.</t>
  </si>
  <si>
    <t>did well to start phases. dropped into cm to help us win the centre of the park. put himself about and made numerous challenges to break their momentum. played more of a reserved detensive role.</t>
  </si>
  <si>
    <t>played him on the wing. again loves to commentate on the game and tell the other players what to do and loses focus on his own game. bad first touches with the oppo picking up the ball and turning over. he needs to improve his output and influence when he has the ball. got an assist with a clearance though he says he "meant it" :)</t>
  </si>
  <si>
    <t>got the assist 20 mins in with a through ball. Again needs to allign with the team and doesnt make enough runs in behind the defenders and use his pace more. no doubt he has a good touch and comfortable on the ball. just needs to imporve output</t>
  </si>
  <si>
    <t>got a goal 20 mins in from a tight angle and is still trying to gel with the team. makes numerous runs and battles well with the defenders. good addition to the 4s. this might be his level.</t>
  </si>
  <si>
    <t xml:space="preserve">brough on after sidneys injury in the centre of the park. needs to improve in his positioning and not ball chase. is a tall lad and says he likes a battle. didnt feel it. first time seeing him play 11 aside, needs more control over the ball to influence the game. </t>
  </si>
  <si>
    <t>played him on the wing when i bought him after half time. did well to integrate and works hard. got a goal last 5 mins of the game after the oppo had given up and goal was pretty much wide open.</t>
  </si>
  <si>
    <t>last minute selection as didnt want to weaken the 5s. good lad and works hard. though his positioning and output on ball needs to improve. don't know what his ideal position is and not sure he is a 4s player but works hard none the less and takes on board instructions well enough.</t>
  </si>
  <si>
    <t>Sinjuns 5's</t>
  </si>
  <si>
    <t xml:space="preserve">Poor game. Kicked okay and caught but should have done much better with the first goal. </t>
  </si>
  <si>
    <t>We actually started off the better side and dominated a lot of the play. When out of possession we then worked hard to get it back. This worked well for the first 20 mins or so, however we did struggle to create too much. Then we got a bit sloppy, conceding free kicks on the edge of our box etc which on another day, one hits the target. Then about 35 mins in we switched off from a throw deep in our half, their forward spins the defender and scores near post (GK should do better). We then rally until half time but without any chances being created. 2nd half is a bit more of the same, wasteful in possession at times and when creating some good chances we can't score. Then we get caught on the break, their striker cuts inside and curls one top corner. We keep on going though and 15 minutes later we win a penalty, which was lucky as we had then spurned a much better chance in the build up and the pen was possibly soft. Up steps Tali to score and this is exactly what he needs. 5 minutes later Jack is on the right wing and whips in a great cross and Tali equalises. We push on for the win but nothing comes of it and we settle with a 2-2.</t>
  </si>
  <si>
    <t>Got forward well with poor delivery in the first half. Given a bit more licence in the 2nd half of the 2nd half and it paid off. His cross led to the pen and then his cross was scored for the equaliser</t>
  </si>
  <si>
    <t>Good game from Anthony. He did the basics well and won a lot of his duels. Still dives in at times too often but decent game</t>
  </si>
  <si>
    <t>Poor game from Lee. Gave him a chance in CM but couldn't take it. Very left foot dominant and it meant he was trying too much with the outside of his left boot and it didn't come off. His pass inside led to the 2nd goal when we had good possession. Moved to LB and did better but you could see he was still thinking about the 2nd goal</t>
  </si>
  <si>
    <t>Good first outing from Kai. He's raw but athletic and good on the ball, worked well with Anthony. A decent addition to the OT's</t>
  </si>
  <si>
    <t xml:space="preserve">Not Stu's best game. Did lots well but also got a bit aggy with players which sometimes distracted from the game. Solid overall though </t>
  </si>
  <si>
    <t>Not his best game. Did okay at times but looked a little too relaxed. Started slowly but always seems to do better once subbed off and brought back on</t>
  </si>
  <si>
    <t>You could tell George missed a few weeks at the start. His passing was slow and nearly got caught a few times. Improved as the game went on though and he got back up to speed</t>
  </si>
  <si>
    <t xml:space="preserve">Best game I've seen from Sam this season. His ankle looks much better and his mobility seems back. Great to see as a fully fit Sam is a big asset </t>
  </si>
  <si>
    <t xml:space="preserve">Started Harry as the right sided forward and he did well but we missed his CM prowess. Moved him back into CM where he's most affective as he's always on the ball </t>
  </si>
  <si>
    <t>Another solid game from Ciaran. Does the basics well but I'd like to see him take on his full back a bit more</t>
  </si>
  <si>
    <t xml:space="preserve">Gave Chris a start back through the middle as haven't played him centrally as much recently so he deserved a go. Did okay but hardly had any service. Moved out wide when he came back on and again was solid. Want to give him more game time through the middle though </t>
  </si>
  <si>
    <t>Started on the bench and when he came on he looked okay but he's looked a bit down on confidence. Had a good chat with him at half time and he took it very well. Full credit to him as 2nd half he was a changed player. He was an animal holding the ball up, linking the play. Scored 2 good goals as well</t>
  </si>
  <si>
    <t>Standard Emi performance. Got into good pockets of space and won us the penalty. He did have an Anthony moment where he did 2 spins around the ball but otherwise a decent game</t>
  </si>
  <si>
    <t>SAL Vets Cup</t>
  </si>
  <si>
    <t>Motspur Park</t>
  </si>
  <si>
    <t>Barcs got an assist for a long hoof forward that Scotty then volleyed into an empty net from 45 yards with the last kick of the game. Couple of key saves at 3-2 as well to keep us in the lead.</t>
  </si>
  <si>
    <t>Bossed the game passing it around nicely to start and went into a 3-2 lead. They then scored a ridiculous worldy volley from 45 yards, which was the same bloke who did it against us on Veo 2 years ago. Some hairy moments at 3-2 but better fitness told and in the end a comfy victory thanks to 5 Star Scotty and some top performances going forward from Calder, Ash and Steve Francis. Phil Boden and Deji controlled the midfield and solid at the back mostly.</t>
  </si>
  <si>
    <t>Caused them lots of trouble on the wing and put in some great crosses including 2 assists.</t>
  </si>
  <si>
    <t xml:space="preserve">Lang only played about 25 mins but was a menace on the left wing. Fouled for the free kick scored by Scotty. Half Time tactical changes by committee nearly blew our 3-1 lead. </t>
  </si>
  <si>
    <t>Cannot remember any nutmegs and so slightly disappointing day but otherwise very good.</t>
  </si>
  <si>
    <t>Solid performance filling in at various spots in the back line and out wide.</t>
  </si>
  <si>
    <t>Still good enough for the 2s.</t>
  </si>
  <si>
    <t>Got 6 MOTM votes. Unlucky Scotty scored 5 goals to steal his limelight.</t>
  </si>
  <si>
    <t>Classic Lundie, the version before he became a striker.</t>
  </si>
  <si>
    <t>MOTM. 5 goals from (allegedly) 7 touches.</t>
  </si>
  <si>
    <t>Sonny took kit back to be washed at REMPF. We used the 3s away kit. he didnt actually wash it though</t>
  </si>
  <si>
    <t>Calder - goal and 2 assists. Caused a mass scrap reacting to a bad challenge, which he did to fire himself up and scored 2 mins later.</t>
  </si>
  <si>
    <t>Fantastic header to round off a magical team goal involving Ash and one of Scotty's none goalscoring touches.</t>
  </si>
  <si>
    <t>Stevie Wood</t>
  </si>
  <si>
    <t>Good debut, solid utility man for full back / wing / CM.</t>
  </si>
  <si>
    <t>Old Salvatorians</t>
  </si>
  <si>
    <t xml:space="preserve">Touch nervous from Chim. Personal events and injuries has seen his season be really stop start. Is a keeper who needs a run or training and games to get into form, he will be at top levels soon. Very shakey opening 25 mins, not collecting through balls, shanked a clearance that should have cost a goal. Could have done better with first goal that went under him also it was a 1v1 so can't be entirely blamed. Recovered well mentally and had a solid second half. </t>
  </si>
  <si>
    <t xml:space="preserve">Not a game for the faint hearted and one that neutraals would have loved - all zero of them.  Salvaatorians are a team I knew nothing about before today, they haave draw with all the top teams and only lost once vs 2nd in the league.  I did know before the game they havd been aahead in at least 3 of the games they had drew and were beating HAC 3-1 with 5 mins to go.  they are a very big and very good side, possess quality on the ball and are very good in the air. First half they were all over us, completley dominated our midfield aalthough we were very much helpful to them on that front.  The back 3 / 5 held firm under pressure until about the 30th min, from our own throuw Matt aand Keaton both on the RW, a huge hole in CM and the baall broke there with 4 of their men allowed to run onto our back line and slot their striker in 1v1 to score.  Really poor positioning from the 2 CM's.  This haappened aagaain 5 mins later, ridicolous to reaapt the mistake, this time cost us a corner from which thier giant CB scored.  2-0 down then Matt who was playing well on the balll went off, Billy came on and instanly offered a presence in the middle of the pitch off the baall we sorley lacked.It was not a compleltey one sided game though, Jarvis, Josh and Foxy had exposed their baackline on multiple occasions and we should haave had aat least one goal from the chaances they creaated.   Half time 2-0 down, despite the off the baall issues on the ball there could be got at aand if we could get out shaape right off the ball the gaame waas not over.  The lads had to beleive and they did so.  We came roaaring out for the second haalf, Paz now on alongside Billy in CM created a block in front of the back three giving us the platform to their play and attack them.  We got baack into it from a pen, feircly contested by the oppo, I haad the best view aand thought it waas pretty cleaar, off his chest then used aarm to control the ball.  This waas the point thier weakness was exposed, the protests went on for an absolte age aand were paathetic.  Josh clinically slotted home the pen aand the protests continued aas the gaame waas re-staarted. They were very cleaarly mentaally weak and haad thrown awaay lots of leads, the lads were given the information of throwing away leads at haalf time and they smelt blood.  For the second goaal they protested ridiculously aagaainst a corner when their defender haad made a great block, continured the protests so long they hadn't spotted Luke aand Jarvis had taken a short corner, Luke allowed to advance into the box and picked out the unmaarked Crowe 6 yards out who thurndered the header in for 2-2, their giant CB more interested in the ref than Crowe.  More aand more moaning from the oppo, they were gone.  10 mins to go and Dockers on the press bundled through 2 plaayers, baall dropped to Luke who finsihed briaallantly sparking wild celebraations.  Still 10 mins to go but we were so impressive in wasting time, getting the ball into corners and forncing more corners flicking off their shin pads. Josh, luke aand Jarvis did so well here killing aany pressure they waanted to create.  They had aa player sent off in the final minute for mouthing off at the ref.  What aa daay, whaat a win. </t>
  </si>
  <si>
    <t xml:space="preserve">Top showing, in at LCB and offered natural balance. In the periods in the first half we were really under pressure Jamie was immense. Second half performance was more about his ability to play out and got Stan forward. </t>
  </si>
  <si>
    <t xml:space="preserve">Had the hardest task of picking up their LW who was brilliant with his feet and stupidity good in the air. Opening exchanges was really tough for Theo but he stuck at his task well and never took a backwards step typical of his style. Second half he pocketed the fella. With their main threat somewhat contained we were able to gain control of the game. </t>
  </si>
  <si>
    <t xml:space="preserve">Superb performance.  Still at times is a little over agressive from the middle role and doesn't sweep as much aas he should.  Is learning the role though and can see the aadjustments he is making.  First half under severe pressure captained well and called for 5 at the back. Did lose a header vs their captain for the second goal. Their cpatian is the only player I haave seen taller than Crowe.  Crowe responded with the equalising goal himself showing his chracter. </t>
  </si>
  <si>
    <t xml:space="preserve">Monster of a display up and down the right side like a beast.  Superb counter pressing for the winning goal, the oppo had just nicked the ball off us aand were countering on us,  dockers flew in aand caught them out of shaape winning the ball baack high. Does thaat maake it a counter couter press? </t>
  </si>
  <si>
    <t xml:space="preserve">Haas been aasking to play wing back and given his chance.  First 25 mins looked Shaaley and was prepaaring for NBilly to come in in the back line and for Jamie to go to wing back.  Stan though showed the sort of chracter that is typicaal of this team.  Would not let *it get to him and stuck to his task well.  As the game went on got better and better and by the end of the  game looked like he had plaayed there aall his life.  Offered greaat baalance for the teaam aand passing aability in tight spaces superb. </t>
  </si>
  <si>
    <t xml:space="preserve">Very goog on the baall but reaally missed aa physicaal presence to compliment his play.  Dissaapointed with his lack of maanagment of Keats aand the positioning of the pair.  Unfortunaalty rolled his ankle aand out for at leaast a couple of weeks. </t>
  </si>
  <si>
    <t xml:space="preserve">Slioghtly worrying performance.  Along with Matt continually vacated the CM zone.  This cost us both goals with a loose ball dropping there twice and allowing the oppo at our back line.  Decent on the ball and on occasions got us going.  Was a liaability off the ball though.  the worrying part is he contested being hooked at half time when everyone could see he was having a mare. Needless booking diving into a tackle had no chance of winning, created yet another counter and on this occasion we were lucky the ref didn't use the advantage rule. Dived into another taackle and put us under more pressure aand had the oppo screaming for a red.  The performnce was enough to get hooked, the running the risk of a red sealed his fate. </t>
  </si>
  <si>
    <t>Haad to drop deep frist haalf to assist the shakey looking CM pairing.  Still got forwaard well aand created chances.  Second half with a solid base behind him really got control of the game, his link up with Jarvis is on another level now. Scored pen now on 8 goals for the season.</t>
  </si>
  <si>
    <t xml:space="preserve">usually only gets man of the match when he scores loaads or aassists loads.  No goals, one assist but a performaance right out of the top draw.  First half we were under so much pressure but Jarvis continued to carve out chances feeding off scraps.  Dropped deeper to find the ball and had the energy to still be causing the defence an issue at the end of the moves.  Second half as we took control of the game his influence grew, very sharp play catching defenders out contantly with his qucik thinking, most evident when he paired up with Lukey for the short corner routine for Crowe to score. </t>
  </si>
  <si>
    <t xml:space="preserve">Decent showing.  Had an absolute monster of a CB marking him, did'nt win as much in the air as he usually does however the fact he beaat the fella in the air even a few times is a testiment to how good he is to even compete with someone that tall.  Haad aa couple of good chances but couldnt convert. </t>
  </si>
  <si>
    <t xml:space="preserve">Came on at 2-0 down and had an air of confidence about him that he would do something.  What he produced waas aa gaame turning performaance, so pleaased for him.  Ever presented last year, bad injury to start the season off, lost place and has had to battle his way into the squad.  Super shaarp play to aassist Crowes equaaliser.  Brilliant finish for the winning goal to spark unbelievable scenes. </t>
  </si>
  <si>
    <t xml:space="preserve">Anoth game changing performance.  While Lukes will rightly get most of the focus what Paaz an Billy did in the context of the game was just as if not more important.  With the midfield all at sea first half, Paz and Billy plugged the gaps, were able to compete physically and also had the passing ability to compliment our play.  Paz footbaall knowledge superb maanaaging Billys positioning aand pushing him forwaard in the press or asking him to cover if he pressed.  Reaally magnificent showing from the utilitiy man. </t>
  </si>
  <si>
    <t xml:space="preserve">Already mentioned the CM partnership chaanging the flow of the game.  Billy waas very much the muscle of the pair, rolled his maan aas he does so often breaaking up player or breaaking the lines with it.  Won so maany heaaders we were presioubly losing from goaal kicks.  Last 10 mins the baall seemed to be on aa magnet to his heaad.  </t>
  </si>
  <si>
    <t>Sid Nayaar</t>
  </si>
  <si>
    <t xml:space="preserve">Nottsborough 3's </t>
  </si>
  <si>
    <t xml:space="preserve">First game, seems like a competent keeper in many ways, VERY casual with the ball at his feet, sometimes too much so, but didn't get caught. Conceded 4 goals - whilst they looked like reasonable finishes, never great to concede 4. Will be sticking with chim where possible, but great to have another keeper, just hope he stays. </t>
  </si>
  <si>
    <t xml:space="preserve">Frustrating day, we were definitely the better team, however we conceded late in the first half after Finn got taken down in a blatant foul and the oppo booted long and scored. Then a flurry of 3 goals in 10 minutes at the start of the second half killed the game off. Really was not representative of the game, as we were pushing, but with only a few attempts on goal and not enough clear chances made, with some excellent defending from the oppo as well. Referee was absolutely awful, making some incredibly bad decisions, definitely felt he was biased as they seemed to know him pretty well. We scored a good goal, rob edmunds playing across the box for Claude who had a cool calm finish. We started 442, but moved to 433, which the team have communicated is their preference. may be shaking up selection for attackers going forward. </t>
  </si>
  <si>
    <t>Overall Jonny did well, but when we conceded the goals I do put the defence at fault, better defending would have stopped it.</t>
  </si>
  <si>
    <t xml:space="preserve">Had some good spells going forward, defended well, but would have liked to have seen seb get on the ball more, still overall played well. </t>
  </si>
  <si>
    <t xml:space="preserve">Played CB, whilst was reasonable there, think LB is his best position. Few times the back line wasn't organised/had poor shape, resulting in conceding the goals. </t>
  </si>
  <si>
    <t xml:space="preserve">Did well in CM, particularly when it was a 3, feel he's getting his game back as he has been rusty, played some great balls over the top and broke up play well. </t>
  </si>
  <si>
    <t xml:space="preserve">Usual good work from Finn, going past players with ease, picking the ball up well, would like more stats from him eg goals / Assists to round off his game as CAM. </t>
  </si>
  <si>
    <t xml:space="preserve">Played well again, picking the ball up from the defence confidently and turning players - a real registrar player, looking forward to getting back and playing alongside him. </t>
  </si>
  <si>
    <t xml:space="preserve">Usual good stuff from Paul ball, but again would like more genuine opportunity / chance creation as a result of what he does. Good footballer though, always trying to play football which I appreciate e.g. getting it down, passing / taking players on, </t>
  </si>
  <si>
    <t>Still coming back from fitness, didn't play much, played his normal game, would like more penetration from him.</t>
  </si>
  <si>
    <t xml:space="preserve">Didn't lose the ball often today, but another game gone by where we haven't had an assist or a goal from Harold. also was very late, which has happened a few times this season now. </t>
  </si>
  <si>
    <t xml:space="preserve">Worked hard, but no end product today, and can't remember any shots either. Had to take off injured after nasty play which the ref didn't give even a foul for. </t>
  </si>
  <si>
    <t xml:space="preserve">Really pleased with Claudine, will be picking again as he can do both striker and winger  - scored a good goal and created some good opportunities as well. Good debut. </t>
  </si>
  <si>
    <t xml:space="preserve">Rob did brilliantly when he came on - excellent hold up play, made a nuisance of himself. Will be picking again for these capabilities. Was less than a foot away from scoring on 3 occasions, just couldn't get there, so very good movement from him. </t>
  </si>
  <si>
    <t xml:space="preserve">Good start from jordan, but fitness showed as he hasn't played for a good while. Against a good winger he does get shown up, defensively needs to make it more difficult to beat him. Good LB though. </t>
  </si>
  <si>
    <t xml:space="preserve">Didn't have much to do, saved almost everything but it was all straight at him so expected. His kicking is really good, but don't feel he has been tested properly. Nothing has made me go 'phwoarr, great save Charlie'. But no mistakes unlike like last week, so improvement. </t>
  </si>
  <si>
    <t xml:space="preserve">A really solid team performance, one of the best so far this season. The shape was phenomenal. Didn't press too high, let  their CB's have the ball but they had no outlet, when they panicked and went long, or misplaced a pass, we pounced and had so much luck from it. Really good to take this form into a tough two weeks back-to-back against Fulham. Performance was proven by MOTM votes which was neck-and-neck between 4 players and ultimately I had to make the deciding vote. </t>
  </si>
  <si>
    <t xml:space="preserve">Great game from Cam today, read the game really well, and handled a tricky winger really well. I'd be happy to keep him at RB for the season if possible. </t>
  </si>
  <si>
    <t xml:space="preserve">Good with his feet, bad with his mouth. Was still pissing about 10 mins before kick off, taking the piss out of both Denver and Will F...the manager and the captain. Not a good look. Cam W said 'who the fuck is this bell end?' and i get that from a first impression. During the game was very critical of other players. He did control the back line well, and when he was given the armband for the last 10 was much more positive. Good player, just needs to mature a bit. </t>
  </si>
  <si>
    <t xml:space="preserve">Think we've found another solid CB. So calm on the ball and very physical. Hasn't got the height so needs to be paired with someone taller ideally, but really good player and a great game today. </t>
  </si>
  <si>
    <t>Dom Robbins</t>
  </si>
  <si>
    <t xml:space="preserve">First game for the club, and got mixed reviews from Denver and I. I thought he looked really good, calm on the ball and loved to run forward with good dribbling skills, but Denver didn't agree. Hopefully he sticks around and we can figure out his best posistion. </t>
  </si>
  <si>
    <t>Got an easy assist for a Tom Love banger, and generally very good passing, but didn't have too much involvement otherwise. Had to move him to RW second half, which he handled well, but much prefer him in CM.</t>
  </si>
  <si>
    <t xml:space="preserve">Not as good with his feet today so maybe CB is his better position for that reason, but he's a great guy and versatile. </t>
  </si>
  <si>
    <t xml:space="preserve">Best game of the season so far for Will, two goals, the first was a pen and the second he took really well to run onto a through ball and finish a 1-on-1, something that's previously bugged him. Think CM is defo his best posistion and will try and keep him there for the rest of the season. </t>
  </si>
  <si>
    <t xml:space="preserve">D continues his LW adventure, and it's starting to work out for him. Was hit and miss for the first 30, few times he should have gone long and he came short, few times he should have gone short and he went long. Pulled him off at 30 to get another player some minutes, and he threw his now infamous tantrum. But my word he channeled that when he came back on and was superb. Running in behind, taking players on and getting some really good balls in the box. LW is going to be a popular position this year so might have to be rotated a bit, but there's not a better left-footed crosser anywhere near him. </t>
  </si>
  <si>
    <t>Had to move Lewis out to RW, which i don't think is his best position, but he still managed well. Is a tough decision between him and Cam for RB, but Lewis can play RW better for sure.</t>
  </si>
  <si>
    <t xml:space="preserve">A rare no goal contributions game for Alex, but still put in a great shift. Lots of running at their defence and causing problems, and earned a few MOTM votes. </t>
  </si>
  <si>
    <t xml:space="preserve">Great first game from Tom. Is really good on the ball which I wasn't expecting. Great long through ball for Will F's second goal, and although i think he didn't mean it, and ridiculous powerful finish for his goal. Probably didn't quite deserve MOTM on performance alone, but the fact that he came on as a sub, scored and assisted in his first game meant he deserved the recognition and hopefully the confidence boost. </t>
  </si>
  <si>
    <t>Miles Shirtcliffe</t>
  </si>
  <si>
    <t>Witan 2</t>
  </si>
  <si>
    <t xml:space="preserve">not a good game from pearl considering last week's clean sheet. could have done much better for the first 2 goals. 3rd goal fluffed into own net. not a good game </t>
  </si>
  <si>
    <t>frustrating game. considering we were carrying some good form from the last 3 games just didnt show up on the day. felt the whole team was off the pace and didnt have different gears to it. 1s 25mins of first half played really well and created chances. their first goal came from a breakdown in play and one pass to their striker who was offside and scored with a weak shot that pearl really should have saved. half time told the lads need to be more assertive and just didnt take off. they were not a good ball playing team which was the worst part. they were in no way shape or form a good team. 2nd goal they scored a header from outside the box due to miscomms between the cbs. 3rd goal was an OG direct from corner after pearl palmed the ball in. Scored a consolation goal in the last 10 minutes. there were no real positives to take away and will make punish the team on thursday training due to this. plenty of fitness and passing drills. really pissed off with the result and dissappointed in the lads. 2 more home games to come and really need to capitalise. ideally 2 more wins before the xmas break to be in a good league position and then build on it in 2024.</t>
  </si>
  <si>
    <t>decent game from kevin. the better of the 2 cbs. He partners better with sidney. won his headers. bit rash in a few early challenges. 2nd goal could have done a lot better. Stated that sam called it for the header but should have taken matters in to his own hands.</t>
  </si>
  <si>
    <t>first game for the 4s. Is a bit unsure with the ball at his feet. did win a few headers. need to manage him to utilise his attributes to its fullest. good to have a strong and robust player but work on all other aspects is needed.</t>
  </si>
  <si>
    <t>Good touches and some good passes. defensively not his best performance and not strong enough in the challenge.</t>
  </si>
  <si>
    <t>Too soft in the challenge and not robust enough. played him on the left flank of defence. down the line not good passing the ball and didnt link with the winger much.</t>
  </si>
  <si>
    <t>wins majority of his 50/50s but was horrid with ball at his feet. no real end product from him. one of his weaker performances this season.</t>
  </si>
  <si>
    <t>the better of the 2 cms. he is comfortable on the ball and can hold on to it too much. doesnt get up and down the pitch enough and not the engine player that is needed in this position. needs to speed up distribution.</t>
  </si>
  <si>
    <t>done most of the link up play with the other players. put corners in dangerous positions but no one committed for the header against a minion of a keeper. turned the oppo nicely at times. need to be more selfish at times. passing was decent.</t>
  </si>
  <si>
    <t>one of the better technical players at the club however no output in terms of passing. seems he passes when he has no other choices. no 1-2s and no runs in behind his full back</t>
  </si>
  <si>
    <t>rusty game from kenny when he came off the bench. hasnt played football in past 3-4 months. touch is there and can still beat a man but everything else was pretty bleak.</t>
  </si>
  <si>
    <t>willing runner as always. made penetrating runs into the box. touch let him down a few times first half. with no one in the box found it hard to play off of players.</t>
  </si>
  <si>
    <t>after watching veo footage. commical to see hands on hips and watching the game like a spectator first half. needs to be more involved in the game. he did get a goal from a shot second half. he got motm. mainly from the goal. need to work on his man on man dribbling. he seems confused at times with what hes going to do on the ball</t>
  </si>
  <si>
    <t>came on at half time. battled well. few wayward passes. communicated well and wanted to be the ball retreiver. needs to be more direct at times on the ball and move into space when its open.</t>
  </si>
  <si>
    <t>Shene 4s</t>
  </si>
  <si>
    <t xml:space="preserve">Decent game from Ade, although got done for the 2nd goal on the whole we was very solid </t>
  </si>
  <si>
    <t xml:space="preserve">This turned out to be a very frustrating game against a team who were 3rd in the league before the kick off and top after. Yet again we played well for most of the game. The first half an hour was a similar story of the last few weeks. We boss the game but we cannot get shots away. Our final ball into the front 3 is not good enough. Then when it is, they're not making the runs they need to. About 30 mins in we then switch off for a second and get caught. A diagonal ball across the back line and it looks like Stu is going to get a touch on it so I wait for a moment before realising he wasn't getting there. By which point their striker is all alone 12 yards out, who then slots the ball home. We then struggle for the next 10 mins and then we fall back into bad habits and concede a 2nd. Thankfully half time came as we were on the ropes. A rocket up the arse half time team talk and we come out fighting! We batter them for almost the entire 2nd half but we just cannot get a break through. We need to be more clinical but we just cannot buy a goal. We do eventually score through a rebound but it wasn't enough. Another game where we should have taken some points and we've not done so </t>
  </si>
  <si>
    <t xml:space="preserve">Couldn't do much with the goals and besides that, I didn't have a lot to do </t>
  </si>
  <si>
    <t xml:space="preserve">Solid game rather than spectacular, I'd like to see him create more though </t>
  </si>
  <si>
    <t xml:space="preserve">Good game from Nish. Brought a great attitude and was trying to attack and create all the time </t>
  </si>
  <si>
    <t xml:space="preserve">Turned up almost an hour after the meet time! Dropped to the bench because of it. Annoying because when he's playing he's usually a decent player and this game was no exception </t>
  </si>
  <si>
    <t>Chris looks short of confidence and a little off the pace. He needs a goal to get him going which seems to be a common theme for my strikers at the moment…</t>
  </si>
  <si>
    <t>Cameron Divine</t>
  </si>
  <si>
    <t xml:space="preserve">Looked lost in the first half, said he was a CAM but when playing there he didn't look like he knew where he should be or what he should be doing. Moved him further forward and looked more comfortable but still didn't impact the game much. Then sent a 5,000 word essay on what we should do better </t>
  </si>
  <si>
    <t xml:space="preserve">Struggled to get into the game first half as we just didn't shift the ball out to his wing. Got more of the ball second half but had an off day with his delivery. Still want to see him take on his full back more often rather than stopping and cutting back inside </t>
  </si>
  <si>
    <t xml:space="preserve">Bit of a frustrating game for Emi. He didn't get the ball in enough good areas to be able to do much with it. Struggled because of it  </t>
  </si>
  <si>
    <t>Solid in the base of the midfield and got a goal which I hoped would be the catalyst to equalise. Still plays the ball a bit too slowly but he's finishing his feet now in this team</t>
  </si>
  <si>
    <t xml:space="preserve">Another excellent performance from Harry. He's the heartbeat of my midfield now and you can always tell when he's off the field. </t>
  </si>
  <si>
    <t>Average game from Jack. He needs to be more patient when he's crossing as he's a decent crosser of the ball but he plays it way too early before anyone can get in the box. Did fairly well at the back but couldn't quite cover round for the 2nd goal</t>
  </si>
  <si>
    <t xml:space="preserve">Not as good a game as the week before. Did okay and he'll have better games ahead. Still finding his feet in the club </t>
  </si>
  <si>
    <t xml:space="preserve">Standard game from Stu. Solid performance but he can't get on players back a bit too quickly, he needs to keep the criticism constructive as much as possible </t>
  </si>
  <si>
    <t>Old Parmiterians 7s</t>
  </si>
  <si>
    <t>spilled a couple, beat by a decent direct free kick and just doesent help us when defending
corners - dont think hes ever been the first contact off a corner - couple decent stops.
took kit.</t>
  </si>
  <si>
    <t>Played a very decent side full of attacking talent - were a 7s but i suspect a closed squad
as some of them would of got into our higher teams. We had about 5 of the same players
from our previous game and this was telling; communication was off and struggled to 
to string 5 passes together for alot of the game, partly the young oppos press and partly 
a lack of quality. Lost the midfield battles as alot of players decided they would just go and
do thier own thing. 2- 0 down at half time was probably fair, went for it 2nd half and
calum somehow missed an open goal and hit the post from 5 yards which could of changed
the momentum - then the tired legs of having 12 showed with them getting more of the ball
again and the final goal was from a short corner which we were slow to get out too, basic errors.
Hoping to have more regulars back next week in another cup game.</t>
  </si>
  <si>
    <t>forced to play him cb as was our lack of options - he actually did ok despite some 
expected mistakes, tried hard. fucking annoying though, so desperate to be a lad, cringey.</t>
  </si>
  <si>
    <t>expected him to be more technical, best part about him is hes such a good lad he wont 
moan he'll do as asked - decent game, played 3 positions but didnt create anything.</t>
  </si>
  <si>
    <t>inconsistent, something good followed by something bad - another airshot which almost
cost us. the effort is there but can tell hes not been playing fooball that long.</t>
  </si>
  <si>
    <t>first game in a while, played about 65 and did ok, hopelly be around more andbe a consistent
rb for 6s again.</t>
  </si>
  <si>
    <t>got a chance in cm, unable to do much as we were without the ball alot - had a tough gig
as afnan an leo next to him had poor games, ran and battled but never eally got going.</t>
  </si>
  <si>
    <t>probably his level, very leggy at the end but i think he can get fitter and improve, first time
meeting him good lad and put effort in til the very end, would happily give him good minutes.</t>
  </si>
  <si>
    <t>ideally would of played cm but peter and jarabi absent. skinned for pace on the 1st goal
then did ok, battled away and won motm. his open goal miss at 0 - 2 still haunts me.</t>
  </si>
  <si>
    <t>didnt see much at all, missed a few games an looked rusty. dont hear a peep out of him
all game which does not help.</t>
  </si>
  <si>
    <t>late again, came on and didnt improve our midfield situation. headless chicken syndrome
rans like a maniac then just whacks it when he gets the ball. now away for a month.</t>
  </si>
  <si>
    <t>told him to stay high up the pitch and meant he didnt see much of the ball as our passing
was awful. couple glimpsesin 2nd half, has some quality on the ball. now away for a while.</t>
  </si>
  <si>
    <t>captain today and did a good job with the armband. harsh on himself and needs to relax
as its clearly effecting performance. hold up play was decent but little effect on their goal.</t>
  </si>
  <si>
    <t>emergency injured sub if we went down to 10. not needed, didnt get on.</t>
  </si>
  <si>
    <t>Sinjuns Grammerians</t>
  </si>
  <si>
    <t>Couple of iffy moments from crosses and corners, poor and unclear calling.  Really good other than that - ridiculous save in extra time from point blank range, that would have been for 3-2.  Game changing save.</t>
  </si>
  <si>
    <t>Bit of an inconsistant performance this one.  Sinjuns bottom of league below us.  Joshs former club and we were told "they have got their players back" prior to the game.  In fairness decent outfit and clearly well better than league position suggests.  even so we were far the better team, just switched off at key times and also didn't put the game to bed getting the goals for 2 and 3 nil when we should have done. With 10 mins to go I took Jarvis off, really poor decision. We stopped creating and allowed they to throw some balls into our box.  Absolutley shocking lack of an offside call allowed them to equalise, indeed they continued the pressure and we might have lost this game in 90th min with a ball fizzed across our 6 year box.  We have been so good at seeing out games and closing up shop in recent weeks, not good to see what we did here.  Start of extra time though we had a re-set, Jarvis back on and we show what we should have done in the 90 mins.  Jarvis  shot from 25 yards hit bar, looked like in but Paz followed up to make sure, Jarvis again inclived spraying an insane left foot pass setting Luke free who square to Josh who rammed home from 18 yards.  Theo got himself sent off about 10 mins into first period of extra time.  We re-set into a 5-3-1 counter attacking shape and looked pretty good.  Oppo tired way quicker than we did and even with 10 men we kept the ball well.  Scored a 4th from a counter attack to close the game out.  Performances will need to be better than this moving forward but another win.</t>
  </si>
  <si>
    <t>MOTM and with good reason.  Very good first half.  Was off for about 15 mins start of second half.  Back on at LWB and his pressing allowed us to squeeze higher up the pitch.  When down to 10 men back to LCB and superb again.</t>
  </si>
  <si>
    <t xml:space="preserve">2 bookings and a red that sort of have been coming all season.  Feel you just have to accept the risk with Theo, emerges with the ball so many times when has no right to.  If you take away his agression probably not half the player.  First booking was a joke, won the ball with a great tackle, not even a foul.  Second booking alos a joke but this time in terms of Theos decision making.  3-1 in extra time, ball in the corner, fella going nowhere, absolutley launched himself at the guy and scythed him down, clear yellow.  Was decent most of the game, just the odd rash decision. </t>
  </si>
  <si>
    <t xml:space="preserve">Again his habit of being attacted to the ball caused issues when in the middle of the 3 CB's.  With Aaron on and playing RCB allowed to play natural game.  Assist for first goal with flick from long throw. </t>
  </si>
  <si>
    <t xml:space="preserve">Got the goal that O thought he needed but very erratic showing.  Misplaced multiple backwards passes putting us under huge pressure.  Was bailed out multiple times.  </t>
  </si>
  <si>
    <t>Another top showing from Stan at LWB.  Doesn't have the pressing skills of Jamie but is better on the ball and the little 1v2s he plays in tight areas compliment Jarvis, Luke, Josh.  Tucked in well at LB down to 10</t>
  </si>
  <si>
    <t>Unsung hero of this game.  The poll will decide if the 2nd goal is awarded to him, I do beleive it would nt be a debate if Paz didn't follow in as ref wouldn't have awarded the goal.  Postioning in CM allowing hte wing backs and 10 to support the front 2 is superb.  Went to wing back midway through the second half. Put in a shift when down to 10 and having to play RB</t>
  </si>
  <si>
    <t xml:space="preserve">solid from Billy and much needed at times.  Good first half and unlucky to come off.  Back on midway through second half and again showed is physicality in the CM battle. </t>
  </si>
  <si>
    <t>Very good and another goal from Josh.  Final 10 mins when I took Jarvis off Josh inexplicably abandoned the number 10 position and went CF.  Ultimaltey cost us the eqauliser as allowed them to put pressure on us.  In extra time however hit another gear so corrected mistake</t>
  </si>
  <si>
    <t>Good performance.  The dymanic has changed in the forward line since his last start in terms of the counter press.  Lukes habit of switching off when the ball is lost is eveident however you can see an effort to improve.  This did let the oppo out easy at times.  On the ball hold up play was superb, really well taken goal and top perforamnce, just the one area to improve upon</t>
  </si>
  <si>
    <t>One the 1 goal involvement stat wise but played key parts in all 4.  First goal long throw, Crowe flicks Luke finishes.  Second goal might still be his from the poll, great team move, fantasitc hit that might have crossed the line, paz follows up.  Third goal played a raking pass to set Luke free, Luke sqaures to Josh who rams home.  4th goal was unselfih and squared to Ollie when could have scored himself. Outragous performance.</t>
  </si>
  <si>
    <t>Hit and miss.  Very good as always with the long balls winning all duals. Good link up play.  Missed a good chance to settle the game.  Had to come off with ankle injury - prob played only 20/25 of the 120.</t>
  </si>
  <si>
    <t>Looked like an imposter of Matt Thomas.  Lost ball in key areas, perhaps came back from injury too soon</t>
  </si>
  <si>
    <t xml:space="preserve">Started on bench.  Came on at half time and resuimed captaincy, great to have back, we looked a lot more solid with Aaron in.  Weidly did conceede with him on but goal was well offside. </t>
  </si>
  <si>
    <t xml:space="preserve">Wandsworth </t>
  </si>
  <si>
    <t xml:space="preserve">awful today from chim, directly at fault for the 2nd goal, don't know what happened, pretty much passed it to them in the 6 yard box, and essentially was lobbed for 1st and 2nd goal. </t>
  </si>
  <si>
    <t>Very frustrating day, playing a team at the bottom of the league and coming away having lost 3-1 is just not good enough. Whilst we're playing good football in the build up, had good possession, final third / the penetration is absolute dog shit. Getting bullied by defenders, going out wide instead of making runs in behind, not imposing ourselves on the defence - my view is we're scared of getting our bodies in the way, and defenders know it. I think it's a personnel thing which I'll need to change / look at alternatives to get a better balance of attributes. The team came back saying they prefer 433, however I've been playing 442 because playing 433 we don't create enough chances but hold the ball well in midfield with the higher numbers - which has been evident last couple of games. will be reverting back.</t>
  </si>
  <si>
    <t>defending wasn't bad today, but kept trying to play difficult balls that got intercepted instead of simple balls to the full back or CM's near him</t>
  </si>
  <si>
    <t>generally henry did a good job, whe got pushed in the back for the first goal which the ref missed, ideally i'd like him to not even allow that to happen, but not his fault. good to have him back.</t>
  </si>
  <si>
    <t>haven't seen enough attacking from seb this season, and not as composed on the ball as i've seen him in previos seasons also, but always gives his all and defends very well. Came off injured, hopefully it's just a small tweak.</t>
  </si>
  <si>
    <t>my frustration with tam is he sprints forward, closing down the space in front of him, and then he says people are running away - this is because he's sprinting towards them with the ball. decision making needs to improve as regularly went forward and lost the ball, when all he needed to do was put his foot on it at times and play a simple ball.</t>
  </si>
  <si>
    <t>same good stuff from Finn, however this needs to translate into goals and assists as he is the attacking cm.</t>
  </si>
  <si>
    <t>despite getting into a heated argument with harry on the pitch, he did a good job as CDM. could see he's a bit rusty, first game back since getting injured first game of the season, but brought a bit of animosity that we were lacking a bit.</t>
  </si>
  <si>
    <t>thought it was poor from tom, whilst it hasn't been hugely different, i'm not being more critical when we're not creating chances when players are in attacking positions. needs to be more physical, get his body in the way. skillful, but not enough commitment and defenders getting the better of him</t>
  </si>
  <si>
    <t>always good from paul, despite his size he's not afraid to get involved, when he makes a mistake it's not for anything else other than a mistake rather than an incsonsistency. great utility player too.</t>
  </si>
  <si>
    <t>got a good goal, again from chaos rather than good football. Touch is absolutely dreadful, bounces a yard or 2 off him, not a good back to goal player, but runs more than anyone i've ever seen.</t>
  </si>
  <si>
    <t>not as good this week, didn't create as much as danger.... if any thinking about it. not sure why, might have been the team set up. not a dead cert thats for sure.</t>
  </si>
  <si>
    <t>corey did well first half, but we kept crossing it in when their defenders all had at least a foot on us and 3 stone.. Would like to see him more regularly.</t>
  </si>
  <si>
    <t>shouldn't have played really but after getting frustrated from going down 3-1 and corey went off to change boots we had 10 men so came on. missed 3 good chances that would have scored another day, so played shit, but got in the positions for them (none of them from good play, all from just being a nuisance to the oppo).</t>
  </si>
  <si>
    <t>Fulham Compton</t>
  </si>
  <si>
    <t xml:space="preserve">Not much for Sid to do today, as he said himself when he picked up his behind-goal camera at the end of the game 'not many highlights for his insta'. He's good with his feet, but his kicking is very poor, both from his hands and from the ground. He also punches when he should easily be able to catch. Stuff to work on as he's so young, but he's a good lad and hopefully he will stick around. </t>
  </si>
  <si>
    <t xml:space="preserve">Another solid performance, and the first in our back-to-back games v league challengers Fulham. We were in control for most of the game, Dan R missing a pen knocked our confidence a bit and that's when they scored with a lofted cross to the back post. Sure we can do them again next week at home as long as we have a good squad. </t>
  </si>
  <si>
    <t>Didn't really put a foot wrong, but didn't do anything outstanding either. Comfortable on the ball and a nice guy.</t>
  </si>
  <si>
    <t xml:space="preserve">Gave Will the armband this week with Will F being away, with the hope that he'd use that noisy gob of his to lead, and i think he did well. Lots of shouting at the back, controlling the line, and was key in a solid back 4. </t>
  </si>
  <si>
    <t xml:space="preserve">Pleasure having Chris today, he reads the game so well and is crazy good in the air for his height. </t>
  </si>
  <si>
    <t xml:space="preserve">Comfortable game for Oli, got stuck in and defended really well, had a few bad touches which nearly cost us, but generally very solid. </t>
  </si>
  <si>
    <t xml:space="preserve">Maybe Dan's worst performance for us yet, but with his quality he still gets by. Lovely passing and movement cutting them open numerous times, stepped up for the pen but completely skied it. Came off soon after with a pulled groin and a bruised ego. Hopefully neither are too serious and he's back next week. </t>
  </si>
  <si>
    <t xml:space="preserve">Another solid game from Nathan, throwing himself around the pitch and really getting stuck in. Gifted an assist for Tom Love's pea roller that the keeper fumbled. </t>
  </si>
  <si>
    <t xml:space="preserve">Was interested to see how Tom would perform after last week, and started him in the midfield 3. He's very good on the ball, just needs to get stuck in a bit more. As above, gifted a goal from a terrible shot that the keeper just missed and it rolled into his net. </t>
  </si>
  <si>
    <t xml:space="preserve">Gave Denver 90 mins today, to avoid his wrath. He's getting to grips with the winger positioning week by week, but still needs work. Made some great back-post runs towards the end of the game and was rewarded with a goal from one of them. Easy finish but took it well. </t>
  </si>
  <si>
    <t xml:space="preserve">To be fair, the LB marking him was quite good, but expected more from Harold this week. His best attribute is when he's on the ball running forward, which he scored from, he just hit it so hard the non-keeper keeper just couldn't stop it. But back to goal, ball to feet, he was tackled nearly every time, and his crossing was horrendous. Do we need to play to his strengths more or does he need to adapt? Either way i'd still pick him as he's one of the best in the team at driving forward. </t>
  </si>
  <si>
    <t>Another pure numbers game from Alex. Two assists and a well-taken goal got him the MoTM, and just battles so well.</t>
  </si>
  <si>
    <t xml:space="preserve">Just can't stop this guy. Was giving welcomed managerial advice on the sideline, as well as cups of tea which was lovely in the -1 conditions. Said he'd been working on his fitness which I think really showed as he came on for the last 30 and just ran ragged at their CBs. Did have an asthma attack soon after and had to come off, but bringing him on last 30 with his work-rate and aerial presence is just so useful. Got a great flick on for Alex's goal, which really helped us push on and close out the game. </t>
  </si>
  <si>
    <t xml:space="preserve">Good to have Ewan back, a little rusty but dominant in the middle and reads the game well. </t>
  </si>
  <si>
    <t>Helped by going in nets as the only one who volunteered and surprisingly didnt dissappoint. safe hands and good kicking. only conceded 1. well deserved motm. no match fee as stepped in for us in nets.</t>
  </si>
  <si>
    <t>played against a team that was 5th in the league. showed our true colours as a unit. which as stressed to the lads we should have won last week. so the impetus was there. First half got a goal early doors from early press and not letting the oppo settle. good build up play from the wing for the goal. then slowly oppo tried getting back into the game. Some shaky moments at the back although we prevailed till the half time. Gaffer got one of their players booked with some mind games as he got his hand bags out and started getting physical. Subsequently after dangerous challenge and sean he got red carded which gave us a man advantage. 1-0 up at half time. made a few changes to keep the same energy levels up. 2nd half charlie misread the pass and took out their player and they got a pen which they dispatched for 1-1. Then we piled on the pressure again. Game was littered with heavy challenges and both teams received plenty of bookings.we got a free kick in a relatively dangerous position which pearl was itching to take after being in goal for 3/4 games. Scored a goal and celebrated as if he scored the winning goal of champions league final by running to the subs in jubilation. He got injured in doing so. quite commical considering he had only just come on at half time. We became more dominant with the lead and frustrating the opposition. George got taken down in the box for a pen to us last 15 mins. gaffer dispatched to make it 3-1 and to solidify the lead. Well contested and fought game. deserved winners. charlie got Motm for going in nets and doing a good job there.</t>
  </si>
  <si>
    <t>was happy to be playing full back again. did well first half. 2nd half had a sticky 5 minute spell where he didnt release the ball on 2 occasions at the back and put us under unnecesary pressure. hooked him for 20 to let him clear his head. did well overal.</t>
  </si>
  <si>
    <t xml:space="preserve">still has shaky moments at the back and not the most confident on the ball but that being said doesnt mind a challenge. still needs a good few games to see what hes about. </t>
  </si>
  <si>
    <t>confident game from deji with plenty of chat from minute 1. used his expereince to calm the game down when needed with relaxed passing. 1 on 1 does look like he can be vulnerable given his pace isnt what it used to be 10 years ago. did well and good to have him down.</t>
  </si>
  <si>
    <t xml:space="preserve">good game from joe at rb. think he has realised this is his best position with the team and is at ease with the ball at his feet. good passing on the ball and finds space well. once he masters the defensive side will be a good all rounder for the team. </t>
  </si>
  <si>
    <t>decent game from sean. battles well and gives it his all. his distribution is something that needs working on. Needs to be more calm and collected on the ball. off the ball doesnt plenty of work.</t>
  </si>
  <si>
    <t xml:space="preserve">1st game for billy and wanted to ease him in. Keen lad with a decent touch. loves a good hollywood pass but takes on board info well and doesnt mind a challenge. needs more game time. </t>
  </si>
  <si>
    <t>decent game from the gaffer. Good link up play and found pockets well. some sensual passes to find george. PLayed some mind games with the oppo as one of their players got red carded 1st half for being a dafty. got fouled for pearls free kick goal. Also scored the penalty confidnetly to put the game to bed.</t>
  </si>
  <si>
    <t>had a word with him after his form has dipped. needs to learn to release the ball and trust team mates more. was involved in the first goal with a cross that found its way to ed via george. Once he finds the fine line between beating a man and bringing in his team mates can be a real menace.</t>
  </si>
  <si>
    <t>goal early on in 1st half and starting to become more brave and confident on the ball. passing can be better but doing more to beat his man and for the team.</t>
  </si>
  <si>
    <t>plenty of running from georgey lad. constantly committed defenders into the box and got 2 assists although not bagging a goal for himself. 2 games with out a goal now which is a bit of a worry but must commend him for all his efforts. sure hell make up for his goalless 2 games soon enough.</t>
  </si>
  <si>
    <t>still unsure about max but listens well. is a good lad and once he starts fully using his physicality can be a good addition. Is a versatile player.</t>
  </si>
  <si>
    <t>started emi 2nd half and not enough to really to judge him by. had the opportunity to beat his man a few times but opted to turn back. few missed place passes but could be a player there once guided in right direction. Reckon if hes managed well could be a good squad player.</t>
  </si>
  <si>
    <t>first game outfield after being nets for nearly a month. turned up 15 mins before kick off. didnt start him as a result. when he came on he played on the wing and slowed down play most times. that being said he did score a tidy free kick and injure himself in the process. He only played 20 mins and so not charging him for the game.</t>
  </si>
  <si>
    <t>Sinjuns 5s</t>
  </si>
  <si>
    <t>Daniel Sheehan</t>
  </si>
  <si>
    <t>Reigatians 4s</t>
  </si>
  <si>
    <t>did very little wrong today, was however lobbed from a strange angle on the first goal
but was kind of expected - a top keeper may have got a hand to it.</t>
  </si>
  <si>
    <t>4-1-2-3</t>
  </si>
  <si>
    <t>They probably had about 3 of the same players from the 1st game ( their 3s game iced off explains it.)
Still, a big opportunity missed here as we looked the better side after getting back to 1 - 1.
the winnining goal was tapped in on the goal line, ref ( not the old fella, club sec. ) said he
couldnt see therefore couldnt give offside. No goals in the 2nd half and some players went
missing, literally didnt hear a peep all 2nd half, dissapointing as the next game was also 
very  much winnable. Out of cups now, 15 league games to play- some decent peformances today,
hopefuly repeats can propel us to our first league win on saturday, first home game in 2 months.</t>
  </si>
  <si>
    <t>average game - not as vocal as i would have liked - passing was ok - probably missng at 
work social next week which is dissapointing.</t>
  </si>
  <si>
    <t>played the full game which was a bonus. first half fought really well and was a standout,
as ever he got leggy in the 2nd half. rash challenges and sliced clearances.</t>
  </si>
  <si>
    <t>poor game. got completely span for the first goal, lost lots of 1 v 1 battles and passing
was off. been very loyal to him as a regular 6s player but the bench is now calling. levels
below the requirement for a fullback.</t>
  </si>
  <si>
    <t>did really well today, big step up from previous games, not sure why this was but won
motm and deservedly so - worked hard non stop and dominated his side of the pitch.</t>
  </si>
  <si>
    <t>rusty  / doeset say a word. understand english isnt 1st language but this is not helpful
at all, playing football on mute. not at the level required out wide or cm.</t>
  </si>
  <si>
    <t>fucin injured again. warm up probably not great, standing around for best part of 30 mins
in the cold watching game and calf popped, thought id been kicked or stabbed,
 played about 50 - unlikely for sat.</t>
  </si>
  <si>
    <t>good to finally see the vet. lovely assist/cross for our goal. would be happy to keep as he
seems happy to fill in on various positions, got leggy at the end and kicked a corner off the 
pitch.</t>
  </si>
  <si>
    <t>stupidly got sin binned for being over agressive in his language. superb header just before
he was binned - also got a calf injury at the end, soldiered on with lee being awol and no subs.</t>
  </si>
  <si>
    <t>turned up after kick off. too quiet. should of had a pen where ref has whiste to his mouth
then claimed he couldnt see anything again, otherwise little involvement up front.</t>
  </si>
  <si>
    <t>disaster. didnt want to do a shoulder to shoulder in warm up, saying he might get injured.
gave me shit when i asked him to pass the ball - really close to subbing then. gave him til 55
and then he got changed and went home with us still in the game, leaving us in the shit- not 
what this clubs about - attitude is horrendous.</t>
  </si>
  <si>
    <t>played in dcm most of the game and actually did ok, nearly scored a long ranger with 15 left.
doesent understand the game well but his heart is there and he annoyed me less this week.</t>
  </si>
  <si>
    <t>another mute. 2nd poor game in a row, doesent effect things at all, when its a battle he 
goes missing too often, not exactly suited for english football although he has shown good
technique against worse teams.</t>
  </si>
  <si>
    <t>AFA Senior Cup</t>
  </si>
  <si>
    <t>Old Woodhousians</t>
  </si>
  <si>
    <t>Good performance, couple of double handed open handed slaps from corners which I really dont like however it got the job done.  Good with feet, couple of saves but very easy for him.  Comfortable day</t>
  </si>
  <si>
    <t xml:space="preserve">Decent performance, not at our best but happy with performance given christmas office party hanghovers.  Had 4 hanging out of their arse, Jarvis also had some family issues in the morning.  Felt very flat before the game, the usually boyant Crowey looked like a re-anitmated corpse.  Was a somewhat patched together team however the big feature of this season has been the volume of players competing for spots m the 1s squad and several player put down a marker here.  Oppo were not great and will have to keep that in mind, comfortable job done though, frustratingly conceeded in the last minute to spoil the clean sheet. Opening exchanges oppo caused us some issues and first 5 mins would have thought they were the team in the prem.  They played a 3-5-2 which should have played into our hands giving us lots of 1v1 duals over the pitch.  Like our own 3-5-2 it was more of a 3-4-1-2 / 3-4-3, it was the extra men they had in attacks causing us an issue.  Their dominance was short lived, we hadn't got the ball to Plats once in the opneing 10 mins, first time he got it allowed all the space he wanted with the men they threw forward, he roasted 3 players and unlucky to not score.  Game changing moment as all of a sudden they realised the danger and were not as gung-ho after this.  Opening goal came not long after, Plats started a counter press, Paz backed him up and stood up for Stan who headed home.  About 5 mins later Plats got his customary goal and we controlled the game from this point on. </t>
  </si>
  <si>
    <t xml:space="preserve">Decent showing.  Firstly exceptionally unlucky to not be playing CM given recent performances, with Dockers now out need to look at options at RWB.  He did well, lovley assist for the opening goal standing up a cross for Stan to head in at back stick.  At times wasn't as far forward as I would have liked.  Listened well though, link up with Josh was a feature, in build up Josh seemed to take a liking to the right wing space offered in the oppos 3-5-2, he tucked into 10 when Josh did this isolating Josh 1v1 with the wing back or LCB.   Again footballing intelligence towards the end of the game slotting into a back 5 when they threw men forward and we picked them off on the counter. </t>
  </si>
  <si>
    <t xml:space="preserve">Typical Theo performance, all action and dominating, picked up a booking.  </t>
  </si>
  <si>
    <t xml:space="preserve">Not sure how he plays when this pissed.  Got in at 6am, soon as the whistle went he managed to switch into gear somewhat, did have a moment when he tripped over the ball on halfway line letting them in.  Followed it up with a couple more nervous moments but gathered himself together. </t>
  </si>
  <si>
    <t xml:space="preserve">Top showing, very possibly his best ever performance in 1s. Extra pace in the back line allowed us to squeeze a few extra yards up the pitch.  Didn't lose a dual.  In periods of domination overalapped Stan the 2 of them providing great balance. </t>
  </si>
  <si>
    <t>The different dynamic of having an exceptional passer at LWB is creating different attacking optioins for us.  Link up with CM's, Tam, Josh and the CF's was excellent.  Great leap and header for goal.  All while hanging.</t>
  </si>
  <si>
    <t>Appears to be back, def a mistake to comeback a week early.  Got us passing and controling the midfield which has been missed.  Timley performance given upcoming games.</t>
  </si>
  <si>
    <t>Good showing again, held the middle of the pitch when needed, got forward as an arial opion when we went long. Best work was off the ball giving us a platform.</t>
  </si>
  <si>
    <t xml:space="preserve">Didn't score, so lukcly not to, keeper made 2 unreal saves from him.  Was the absolute stand out player of the game though.  First hour drifted into postions where he saw space, as mentioned the RW on the switch space he liked.  Later in the game played as one of the CM's and is a move I lile when we are dominating as he is so good on the ball, himself and Matt controled the tempo of the game and rotated the ball for long periods. </t>
  </si>
  <si>
    <t xml:space="preserve">Great to have him back from injury. He had just the mini hangover, got in at 12.  Didn't effect him on the ball, off the ball not as good as he usually is. Mattered little </t>
  </si>
  <si>
    <t>Not up to his very high recent standards but still good. Should have put the oppo well out of sight a couple of times not connecting cleanley, took the wrong option a couple of times.  Hold up play and link up with Plats superb.</t>
  </si>
  <si>
    <t>Decent 40 mins.  Main feature of his performance was playing deeper in the 10 off the ball covering Plats after one of his runs.  Understood the instruction when coming on and carried it out superbly allowing us to get the best out of Plats from deeper and Foxy still being a threat up top. Unfortunley we didnt create a chance for him. Played well though</t>
  </si>
  <si>
    <t xml:space="preserve">No doubt his best showing for the 1s. With lots of space availble he didn't need an invitation to drive into it.  Played RWB and LWB to superb effect,  Beautifully taken goal smashing home with left foot from edge of the box. </t>
  </si>
  <si>
    <t>Old Tiffinians 1s</t>
  </si>
  <si>
    <t>Nice guy, better than Chim, shame he lives so far away. Needs to be offered lifts etx to help him integrate. Good all round play, and with his feet</t>
  </si>
  <si>
    <t>4-1 Win overall against 3rd Place. Very Comfortable. Will F managed with RPJ + I away. 2-0 at half time.</t>
  </si>
  <si>
    <t xml:space="preserve">Broken finger after 5mins. Stuck around to watch the game. Club man type. </t>
  </si>
  <si>
    <t xml:space="preserve">He’s not pushing 2s at all, but he’s solid enough for us. Good game, no fuss, doesn’t overplay, just tries his best. </t>
  </si>
  <si>
    <t xml:space="preserve">Solid. Great assist over the top. More positive today than normal which was good. </t>
  </si>
  <si>
    <t>Weakest game so far for Oli, but he set a very high bar for himself. Gave the ball away too much but he’s a good all round defender.</t>
  </si>
  <si>
    <t xml:space="preserve">Not as dynamic as usual but some tidy stuff. Not 2s level. He never seems to have time when he does… sign of someone who rushes… </t>
  </si>
  <si>
    <t xml:space="preserve">Probably more effective in CM but moved to accommodate others as manager for the day. Similar to the other CMs but slightly better with the ball </t>
  </si>
  <si>
    <t>Battled well, only just getting back into it and was rusty so is pushing to get into the 3s rather than slotting back in due for swuad form</t>
  </si>
  <si>
    <t xml:space="preserve">Fast, direct, assist for cross. 2s player probably. Better than Max or Seb at RB IMO </t>
  </si>
  <si>
    <t xml:space="preserve">Nice tidy header to open the game 1-0. From the sidelines you might think he’d get all 13 MOTM votes and his work rate is great. But his decision making is not, he’s running in behind and trying to roll people all the time. Needs to hold it, set and go - to play in others. Understandable given he’s new to ST, but frustrating at times as he’s fucking strong and needs to get up the pitch but he gets too excited at the prospect of shooting </t>
  </si>
  <si>
    <t xml:space="preserve">Usual. Scored a goal but not much else, wasted a few chances. Gave the ball away loads by trying to dribble on a  soggy pitch which was a new one from him. </t>
  </si>
  <si>
    <t xml:space="preserve">Lots of action but not a huge amount of output. He tries hard and is a nice guy to have in the team. He’s certainly not a 2s player, probably decent enough for us but ANOTHER LB! </t>
  </si>
  <si>
    <t xml:space="preserve">Came on at no.10 and did well, said he didn’t think he ran much but that’s what I asked, - told him to make late runs rather than going beyond Rob. Got his goal at the end from exactly that. </t>
  </si>
  <si>
    <t xml:space="preserve">Better than the two Nathan’s. Runs around a lot, just not a final ball from him which was a shame. Good player at 3s level and seemed to enjoy himself. Tricky to play him and Nathan B together though as both B2B runners. </t>
  </si>
  <si>
    <t>Old Whits 1s</t>
  </si>
  <si>
    <t>chim didn't really collect much of the balls with his hand but deflected shots or needed an extra touch to bring the ball into his arms. kicking was ok. didn't hear him being too vocal. made some great saves but couldn't say any of the goals were his fault.</t>
  </si>
  <si>
    <t>another game where we should have got something out of the game. story of our season is once the lads go behind the game starts to flow. right passes at the right time start flowing and boys start moving better. 1st half chim played short from the back and tried using the defenders but the midfielders were no where to be found and then found themselves having to try and get the ball back in dangerous positions. First 2 goals were silly sloppy goals to concede. one of their goals chim made a double save and defenders where no where to be found. that being said we had nice attacking phases where we didn't capitalise. furthermore few players went missing. not playing well as a unit. 2nd half we had majority of position first 25 mins and got a goal back. we were getting plenty of set pieces but despite getting ball in dangerous areas didn't capitalise. Tom scored a goal from a free kick I put in the mixer. conceded another sloppy goal where Tom hit the ball against the oppos hand, we stood still and ref didn't give it and they scored subsequently. we also conceded another sloppy goal from a mistake in our final third. scored a very nice team goal for our second goal from nice build up play. very much fought to the end. however game was done. with us being one of the better ball playing teams in the lead. just need to start off on the front foot and get going as soon as the game starts. poor way to end the year.</t>
  </si>
  <si>
    <t xml:space="preserve">ok game from deano. passing was fine and was solid however held on to the ball a bit too much at times. </t>
  </si>
  <si>
    <t xml:space="preserve"> not Kevin's best game and misread few instances. battled well though </t>
  </si>
  <si>
    <t xml:space="preserve">not the most influential game from Joe. didn't make too many mistakes but needed to be more physical at times. </t>
  </si>
  <si>
    <t>very combatative and won his duels. some poor touches and passes but did his job</t>
  </si>
  <si>
    <t xml:space="preserve">held on to ball a few times but was ever present and became more effective after I bought him back on after a little break for him. </t>
  </si>
  <si>
    <t xml:space="preserve">played him cm again. few heavy touches and with that finds hard to get ball back. with the ball he is effective with passing however likes the Hollywood pass a few too many times. </t>
  </si>
  <si>
    <t xml:space="preserve">set pieces were on point. battled well. was able to turn man and create chances. got pre assist for George's goal with nice dribbling and ball release. </t>
  </si>
  <si>
    <t xml:space="preserve"> same story with masood. Good on ball and dribbles easily but no end product. had a ferocious half volley strike second half which smacked the under cross bar and goal line. everyone stood still and watched as was great effort. nothing other than that</t>
  </si>
  <si>
    <t xml:space="preserve">  paul glided past players for fun on Saturday but again no real end product. not sure whether it's cos he didn't have much chemistry with the players or not understanding our players movements but wasn't hugely effective as he can be.</t>
  </si>
  <si>
    <t xml:space="preserve"> started George on bench so Lundie can battle with their centre backs. came on did well and scored a goal but didn't influence much after. </t>
  </si>
  <si>
    <t xml:space="preserve">came on after 30 mins and was direct against oppo. spirited performance but did needs to up his football intelligence. </t>
  </si>
  <si>
    <t xml:space="preserve">not the best I've seen Lundie play and he was my top scorer last season. got his flick ons but was out muscled by their centre backs and told me that he going to win the headers against them. gave him a breather and then bought him on last 30 at centre back and he played better there. </t>
  </si>
  <si>
    <t xml:space="preserve">usually start Hallam but opted for Tom given his height advantage. Hallam brought good calmness and smart play when he came on. didn't really do much wrong. </t>
  </si>
  <si>
    <t>Old Suttonians</t>
  </si>
  <si>
    <t xml:space="preserve">This pains me to say but I'm finally looking a keeper. Back to back clean sheets and man of the match via the team vote. Kicked really well, came and punched/claimed well and got my positioning spot on. </t>
  </si>
  <si>
    <t xml:space="preserve">We started the game well. We were ok the front foot and looked the far better side. We then got a good goal which was fully deserved. We then however dropped off the hoop for a little while. We used to concede during these spells, it would be 2 or 3 but we've finally learned from this and we now don't concede as many or at all. We looked far better organised and yes we couldn't get hold of the ball but we were around the half way line, not our own final 1/3. We then started to get our foot on the ball again and got a second goal which to be fair was a bit against the run of play. Nonetheless, we went in 2-0 up at half time. Second half we started a little slowly, but we got our footing again and then dominated without scoring, although we should have done as Emi missed an open goal from 3 yards out. Really pleased with the result though, back to back 2-0 wins takes us to 4th in the league </t>
  </si>
  <si>
    <t xml:space="preserve">Still had moments that make me nervous as a keeper and manager but still like having him in front of me. Cramped up towards the end of the game but still a solid performance </t>
  </si>
  <si>
    <t xml:space="preserve">Another one who suffered with cramp. Even earlier than Ade did and that was his game done. Solid overall though </t>
  </si>
  <si>
    <t xml:space="preserve">Possibly the best game I've seen Stu play. Put in an epic last ditch block in the 2nd half and also put in a great throughball for Dan too. Was solid in defence and helped lead the line well </t>
  </si>
  <si>
    <t xml:space="preserve">Solid game from Jack. Lost a bit of shape at times and not as good as the game before but overall a solid game. Still puts in some good delivery. We just need to get on the end of them </t>
  </si>
  <si>
    <t xml:space="preserve">Poor game from Aidan this week. Looked off the pace and only found out he got in at 7 am that morning. You could tell as it showed in his performance </t>
  </si>
  <si>
    <t xml:space="preserve">Emi can have games where he looks shot of confidence and this was one of them. Missed from 3 yards out with an open goal which summed up his day. He'll be back though </t>
  </si>
  <si>
    <t xml:space="preserve">Solid game from David but not spectacular. Did the basics well which is what I was after and what we needed </t>
  </si>
  <si>
    <t xml:space="preserve">Struggled a bit with his knee and needed a break. Also thought he was going to throw up at one stage. Did his usual things though and he's a key player for me in the middle of the park now. </t>
  </si>
  <si>
    <t xml:space="preserve">Not his preferred position at LWB but worked hard. Moved into the centre and once he adjusted looked good. Took a blow to his chest and had to go off when winded but came back on as a wide forward and looked most comfortable </t>
  </si>
  <si>
    <t xml:space="preserve">Really starting to look like the player of last season again. Won all his flick ons and looked decent again in the middle of the park </t>
  </si>
  <si>
    <t>Good game from Deji. Started up top and looked a bit off the pace but still got an assist. Looked composed and classy in the middle of the park when moved to CM</t>
  </si>
  <si>
    <t xml:space="preserve">Great to see Chris bag a few goals. He's deserved them after the last few weeks so good to see him get what his hard work has deserved </t>
  </si>
  <si>
    <t xml:space="preserve">Working his way back in. Setup Emi for a tap in which he then missed. Looks sharp and will be a good replacement for Tali. Maybe even an upgrade </t>
  </si>
  <si>
    <t>Dorkinians 6s</t>
  </si>
  <si>
    <t>kicking was better this week, almost cost us late on by flapping at a corner but made a 
late stop low to his right that was important in gettng the 3 points - solid game.</t>
  </si>
  <si>
    <t>Vital win to take us off bottom. 4 - 3 up at half time after some horrendous individual 
mistakes from the center backs were punished with 2 tidy half volleys. we were cruising at
 3 - 1 up inside 30 minutes, but a common issue this season so far crept in with us making some 
really poor clearances. Alex and Abz were given the freedom to stay high on the flanks and 
both had exceptional games, causing their back line many problems in the first half.
Message in the 2nd half was to take the sting out the game and be prepared for their long ball
football with them chasing and we did so, somehow conceding 3 in he first half but none in the 2nd.
They forced us back in the dying stages as they chased an equaliser with several corners but eventally
a clearance found alex d. around the half way line in the 90th minute, he had time and acres of  freedom
ahead to drive forward and cooley slot under the keeper to complete his hattrick and a deserved 3 points for the 6s.</t>
  </si>
  <si>
    <t>poor this week. told me the night before to pack a spare cb as he was struggling which isnt
what you want to hear, and his struggles showed on the pitch. poor clearances and one
of them directly led to their 3rd goal which he apologised for after - was never near his best.</t>
  </si>
  <si>
    <t>missed a header by about 5 yards which led to their first goal. improved slightly in the 2nd
half and did better with headers but loves a needlss rash challenge near our box.</t>
  </si>
  <si>
    <t>becoming a good rightback this fella. Was up against a good winger and held his own.
provided a lovely assist with a cross from the right in first half.</t>
  </si>
  <si>
    <t>horrendous attitude after being subbed, no idea why he thinks hes got a right to play
90 minutes - technical ability is weak, always looks like he could make a mistake. apologised
a couple hours after the game for his attitude. will have plenty competition next year so better
be ready to step up or face more bench time.</t>
  </si>
  <si>
    <t>on after 35 minutes at fullback and did well, looked more steady than ellis at LB.
takes instruction well and does a solid job consistently - another competitive fullback.</t>
  </si>
  <si>
    <t>didnt think much of him previously but today he was at it. not playing due to injury so 
had a chance to talk to him beforehand and he responded to it to a tee after getting on
at 30 minutes. superb assist for alex from the left after taking on young fullback as he did
many times through the game.</t>
  </si>
  <si>
    <t>did ok in spells, a good physical presence without ever doing anything too special.
game passed him by a little in 2nd half but reliable in 50/50s.</t>
  </si>
  <si>
    <t xml:space="preserve">has been away for a while so played him about 50 minutes, on after 30 then off deep into
2nd half - had some ok moments but caught in possesion a few times, will do better next year. </t>
  </si>
  <si>
    <t>end product still way off but appreciate his workrate- runs himself into the ground and 
leads the press well - good guy to have around in the 6s.</t>
  </si>
  <si>
    <t>ran around like a headless chicken for first half hour despite me telling him 5x to stay 
high on the left. goal was wel taken as he drilled it high past the keeper.</t>
  </si>
  <si>
    <t>bit of a fall down the teams into 6s but didnt seem to care, attitude was great. appreciated me
giving him a chance to play holdng mid, saw some decent tech preseason so tried him and he 
did ok, composed and plenty running. would gladly play him here if he stays 6s.</t>
  </si>
  <si>
    <t>clearly levels above the rest and made his goals look easy with some very composed finishes.
warrants a place high up the teams and a good guy that took on instruction.</t>
  </si>
  <si>
    <t>got the impression he wasnt overly pleased being in the 6s as hes played 4s/5 mostly
but would be happy to keep here in mid if they have better options. we conceded direct
from a corner where he marked nobody, held his hand up. can see hes a decent player,
holds the ball well and doesent force anything - generally a solid game in CM.</t>
  </si>
  <si>
    <t xml:space="preserve">As mentioned above, limited involvement in the game, was top notch when needed.  </t>
  </si>
  <si>
    <t xml:space="preserve">Really top performance, the way we play brings a lot of stress as a manager, constantly squeezing oppos is a gamble and constantly having to keep an eye on players in their position ready for the trigger makes a 90 min game feel like 2 days at times. There was something very different about this performance from the lads, they knew the level of the opposition, they knew it was vs league champs and they new what was required. While I wouldn't say I was ever completely relaxed I was certainly more comfortable in a semi final 1-0 win here than I have been against some games vs lesser oppo. Very early opening exchanges we struggled to get a hold of the ball, Dorking clearly worked on going long vs our press which is understandable. The long balls never really caused us an issue on first contact, Aaron, Crowe and Theo eating them up. It was second balls and pressure they were applying almost accepting they would lose the first header. We saw this off quite comfortably however and slowly started to bring Jarvis, Josh and Plats into the game. On about 20 mins their striker Kingswell, put in a chest high tackle on Theo, very very clear red card. The ref completely bottled the decision and booked him, in fairness was the only decision he got wrong and was a good ref, completely ducked a big decision though.  We had a period camped in their half as we did in the first game and the counter pressing was intense. They defended really well and got a few blocks in at key times and defended corners well. We did break them down in the end though and in superb fashion. Link up play between Josh, Plats and Jarvis on another level, Plats set back for Jarvis who cooley sat the keeper down and tucked into the corner. We managed the game really well after the goal and got to half time comfortably. The last 2 training sessions we worked on the plan from their goal kicks not allowing them to play short as they like to do, the set up saw them not entertain the tactic until the second half, the long balls continued to cause no issues, very pleasing indeed. Had to get the message to the lads that they were going long BECAUSE of our press, we could not simply stop doing it and allow them space. Dorking saw the long balls were going nowhere so tried playing short, we swarmed all over it. The only dangerous moments they had were on transitions, through the highly dangerous Craig Kingswell. Aaron smothered him twice, Theo and Crowe also stood up to the challenge, he wasn't given a sniff. Final 20 mins we went into our shell a little too much for my liking, we resorted to hitting long balls but I hadn't picked Foxy for this game so was down to Jarvis to compete headers which he did well but not to Foxy levels. Resulted in the ball coming back a lot, wasn't really an issue though, nothing clear cut created. I thought we would be in for a crazy final 5 mins given the territorial advantage they had had for 15 mins. Was the opposite really, they had tired a lot, we sat in and on a couple of occasions could well have finished the game off with the space they had left Jarvis. The lads reacted well to the subs and all knew their roles. Josh, Jarvis, Paz, Theo, Yemi all picking up knocks/injuries/cramp and spending time off the pitch. Fresh legs on the heavy pitch key to being able to see the game out without drama.  John reliably informed me he had 2 shots on target both of which were easy for him to deal with.  Really really big time performance, semi final vs league champs at their ground and the lads delivered big time. </t>
  </si>
  <si>
    <t xml:space="preserve">Could have been MOTM for any of the defenders, Crowe got it.  Superb agressive display.  Airial powerhouse on thier long ball tactic. </t>
  </si>
  <si>
    <t>Monster display vs tough opponent.  One of only 2 CB's in the league capable of matching Kingswell physically, key to win.</t>
  </si>
  <si>
    <t>His best OT performance. When the danger man tried him he was up to the challenge.  Not sure how it was possible for him to up his aggression levels but he did so.</t>
  </si>
  <si>
    <t>I felt he sat in too deep at times, Paz is an intelligent footballer however and I trust him.  He worked out a way to sit a little deeper and spring out onto the FB.  Some brialliant defending, not entriley what I had planned for him in this role but no matter.  Excellent excellent showing.</t>
  </si>
  <si>
    <t xml:space="preserve">Was a decision to be made at LWB despite Jamies form.  He missed a game and had to play him LCB for a bit as well.  Stuck with Jamie and really happy I did.  Again his use of cover shadow blocking passing lanes and ability to intercept the ball high up the pitch on display multiple times and gets the ball to danger men instanley .  When Theo had to go off slotted into LCB and was solid. </t>
  </si>
  <si>
    <t>Superb performance, we ask a lot of the CMs, handy when Matt is the level he is. What is not handy is he is away for 4 weeks!  Got the ball moving on a tacy pitch, was key in our period of domination rotating the ball.</t>
  </si>
  <si>
    <t>Decsion had to be made on Yemi as well being away for 4 games.  He was superb as he always is in big games.  His physical presence is the perfect foil for Matt.  Had 15 mins off the pitch and back on ar RWB where he sat in and was key to seeing the game out.</t>
  </si>
  <si>
    <t>Not at his extrodinarily high recent standards but still very very good.  Played key part in goal, superb passing particularly in first half. Has picked up an injury and likley out  a few weeks.</t>
  </si>
  <si>
    <t>Ive run out of things to write, he is superman.</t>
  </si>
  <si>
    <t xml:space="preserve">Plats didn't start the game at his levels.  He grew into it though and as he went through the gears they had no answer for him.  </t>
  </si>
  <si>
    <t>Not quite at the races.  Came on and held the ball up well initially and this was key as it had been coming stright back to us.  Had some really sloppy moments though, caught offside really lazily 4 times, twice absolutley no excuse as was looking across the line.  Not quite his day, probably dissapopinted not to start but was supportive throughout</t>
  </si>
  <si>
    <t>Provided key fresh legs at a crutial time.  Got up and down the pitch superbly.</t>
  </si>
  <si>
    <t xml:space="preserve">Billy never dissapoints in big games.  Came on in a period of us not seeing a lot of the ball.  Chased hussled and won the ball a lot.  Extra airial presence was very handy.  </t>
  </si>
  <si>
    <t>Old Wokingians</t>
  </si>
  <si>
    <t xml:space="preserve">Grateful for Lundie going in net for us today. At fault for the 2nd goal but was solid other than that. Not sure any keeper saves their first and the 3rd was a pen. </t>
  </si>
  <si>
    <t xml:space="preserve">A much harder game than i was expecting when we had a great squad and Woking are 7th. But the first game back after xmas away in Woking with a muddy pitch was always going to be hard. They had a packed midfield which we struggled with at the beginning, moving Alex M to CM really helped. Came back from 2-0 down to make it 2-2 at the half. When we got the 3rd at about 75 minutes, we then sat back too much and invited them on us, struggling for 10-15 mins, and then they got the pen at about 85th minute. But, great mentality to keep going and not settle on the draw and ultimately push for the winner. </t>
  </si>
  <si>
    <t xml:space="preserve">Great game from Connor today, ridiculously fast. Played first half at RB, and made some nice runs forward, then brought him back on at RW to replace a flagging Harold and did so much to make the winning goal. Just missed out on MOTM. </t>
  </si>
  <si>
    <t xml:space="preserve">Despite the 3 goals conceded, i think both the CBs had a good game. He's not dominant in the air, and we really only had Chris for that. I think the fact 2 of the goals we conceded came from crosses had something to do with that. </t>
  </si>
  <si>
    <t xml:space="preserve">Like above, good game. He's dominant in the air, sometimes goes in when he doesn't need to though. </t>
  </si>
  <si>
    <t xml:space="preserve">Poor game from Will unfortunately, but he knew it and apologised after the game. A few good long balls but a few very wary ones too. Maybe he's better at CB, but couldn't put him in ahead of Chris of Joe today. </t>
  </si>
  <si>
    <t xml:space="preserve">Solid game from Nath, of course with goal of the season cemented his MOTM. Battled well and could tell he was gutted to be subbed off which i love. Top lad, top player. </t>
  </si>
  <si>
    <t>Not the game for you if your name was Will. Will's worst game of the season unfortunately. Played as the 10 in the middle 3 but was just far too forward, which led to us getting overrun in the middle. Showed why he's captain to make the decision to swap with Alex M to go to LW which isn't his position, but Alex M was much better in CM. A few beautiful passes from him still, can just pluck them out despite the bad game. Also very useful on the sideline, encouraged me to make changes that really made a difference which i think helped me realise i need to be tougher at times.</t>
  </si>
  <si>
    <t xml:space="preserve">Absolute scottish work horse, just never stops. He rarely contributes to goals, but his work in the middle really makes a difference. </t>
  </si>
  <si>
    <t xml:space="preserve">Started poor on the LW, just wasn't attacking like a LW should. Moved him to CM and changed the game. Ran out of gas a bit towards the end, but still useful in the middle, loves to have ball and loves to run with it up the pitch. Very unlucky not to have another goal with a sweet strike that nearly broke the cross bar. </t>
  </si>
  <si>
    <t xml:space="preserve">Probably should have had at least 1 goal, but couldn't finish his dinner. Good running and just always a threat so feel like you can't take him off. Good quality to have. </t>
  </si>
  <si>
    <t xml:space="preserve">I'm yet again not sold on Harold. Is great at running at people, but then can't finish, hit it straight at the keeper numerous times. Crossing was much better today as a positive. </t>
  </si>
  <si>
    <t xml:space="preserve">Best finisher in the team, maybe the whole club. Returning from injury so only brought him on at half time. Is stupidly dominant in the air and had a good few chances that would have gone in if it not for some good keeping. Beautiful finish for the 90th minute winner, nobody else i'd want on the end of that cross in that scenario, you can always rely on Rich. </t>
  </si>
  <si>
    <t xml:space="preserve">Brought on as a sub at 30 and was great, lovely feet and passing and helped secure the midfield when Alex M dropped in. Got injured just after halftime with a nasty stud to the ankle. </t>
  </si>
  <si>
    <t xml:space="preserve">Nearly cost us the game twice with wayward RB to LB passes that went straight to the striker, so can't score him too highly, but was actually good apart from those incidents. Good control and good footwork. Just couldn't really start him at RB ahead of 2's level Connor. </t>
  </si>
  <si>
    <t>Reigaitians 5s</t>
  </si>
  <si>
    <t>woeful. As mentioned all 3 first half goals were savable, first one looped up and had an age
to get across but didnt, 2nd one right above his head - 3rd one a tame effort from 25 yards.
made them look like superstars and vital 4th goal decided to stay on his line and give forward
whole goal to aim at for 5 seconds on a 1 v 1. made an excuse about being ill after game.</t>
  </si>
  <si>
    <t>Very dissapointing. On time, proper warm up and then go in 3 nil down at halftime vs
the worst team in the league. Oppo looked like a vets team, no urgency in their warm up/prep but
simply more urgency and composure when it mattered on the pitch.
 Missed a few sitters early on but were non existent with intent to follow up on rebounds. Slow to 
attack 2nd balls, 1st and 2nd goal identical; corner - halfcleared and then concede from 20 yards 
vs a player who isnt closed down. All 3 are saved by a gk playing at a decent level in my
 opinion, still doesent excuse the lack of fight.
reacted to half time team talk well and got it back to 3 -3 but the 4th goal never came for us,
missed a few half chances and then caught on the counter twice. Need to be more ruthless
with team selection in hindsight, dropped one regular for this game, i'd happily drop 6
next week. Made subs at vital moments to get players 60sih minutes - worked against me, no pay off.</t>
  </si>
  <si>
    <t>uninspring captain. bizzare negative team talk pre game. wont captain again, didnt even seem
like he wanted to do it in hindsight. asked to come off as they scored 4th goal.</t>
  </si>
  <si>
    <t>missed his clearance for their 4th goal to let him in 1 vs 1. wasnt as bad as some but
i've seen him play alot better. seems to do better in cm than cb.</t>
  </si>
  <si>
    <t>on after 30, steady lb performance without ripping up any trees.</t>
  </si>
  <si>
    <t>awful. accelerates like an oil tank. outpaced by a 40 year old vet with a beer gut. no idea
what this guy has been doing over xmas. agility is non existant. passing off. took kit.</t>
  </si>
  <si>
    <t>another decent full back performance. needs to talk more but otherwise did alright.</t>
  </si>
  <si>
    <t>on after 40 as first game playing in a while. scored from a direct corner. made a couple 
chances. need to be more involved, looking at cm next week.</t>
  </si>
  <si>
    <t>typically solid at rb. took him off after 60 to get raj back on out of fairness if anything,
this didnt help our cause.</t>
  </si>
  <si>
    <t>on after 30 and impressed with him today, had as much fight as anyone. 
scored a better direct corner than my one. considering his age he runs hard in cm
 and gets up for headers.</t>
  </si>
  <si>
    <t>although he scored a good strike on his left foot i was underwhelmed today. that was his
only moment. passing/touches were way off, his effort is there but quality isnt right now.</t>
  </si>
  <si>
    <t>quiet. had chances to shoot but delayed and passed instead. want more off him.</t>
  </si>
  <si>
    <t>struggling to play the 9 role it seems. too eager to get involed and end up out of position.
never really looked like scoring. constantly playing with back to goal and passing backwards.</t>
  </si>
  <si>
    <t>spirited performance. Always honest work from Emi wether he has end product or not.
another one I had to sub off and it ended up hurting us as janam got his minutes in.</t>
  </si>
  <si>
    <t>missed a 1 vs 1 and later shot near post when could of rolled to matt for a tap in.
workrate was good and keen to get involved but no end product.</t>
  </si>
  <si>
    <t xml:space="preserve">Worcester College Old Boys </t>
  </si>
  <si>
    <t>a few saves to make, was cool and calm with the ball at his feet - good performance, clean sheet, job done.</t>
  </si>
  <si>
    <t>game of 2 halves, first half being poor in the final third, creating very little in the way of chances, this in my opinion was because we were rushing, trying to play first time passes which were rushed, 75% of the time not making the intended target. had a few chances, mainly from set piece knock downs from crowe into the box which we didn't capitalise on (very good deliveries from keaton). Second half we were really cooking, playing some nice football, taking a touch or 2, or 3 in the final third and not losing possession, making really good chances. Excluding the goals, we had 6 or 7 really good chances to score which is annoying to have not capitalised on to get our GD up! really good second half performance from the whole team, which hopefully we can move forward with into the second half of the season as creating chances and scoring goals has most definitely been one of our challenges.</t>
  </si>
  <si>
    <t>good job at RB from Max, theres a lot of competition there at the moment but was pleased with how he played. Also got forward and made some good contributions.</t>
  </si>
  <si>
    <t xml:space="preserve">Solid game from Jonny, defended well, however regularly playing forward passes that went to the oppo - was unnecessary. </t>
  </si>
  <si>
    <t>Great to have peps back - excellent from him, solid defensively, gives easy when playing out from the back.</t>
  </si>
  <si>
    <t>Connor was poor at RB, took him off before bringing back on at RM where he was better - he was starting very high at RB, not giving himself enough space to receive the ball, so this seemed to suit him better.</t>
  </si>
  <si>
    <t xml:space="preserve">Solid from tam, second half excellent down the left hand side, creating loads of threats. </t>
  </si>
  <si>
    <t xml:space="preserve">Finn learning to love 442, realising he needs to be more disciplined with it but it favours the team. Did very well, but his best attribute is going past players - will be trying him as a winger. </t>
  </si>
  <si>
    <t xml:space="preserve">Great game from Crowe, however he totally lost discipline 2nd half, no idea why he was the first man in the box to score a goal from open play when he was meant to be at CB. Put 3 at CB one went 2-0 up as he was leaving holes in the back, then moved into CM where he did a good job.  Won every header in the oppo box but heads it like a CB - up. </t>
  </si>
  <si>
    <t xml:space="preserve"> Injured after 5/10 mins, said he could play on but took him off. Believe it's a recurring muscular injury. </t>
  </si>
  <si>
    <t xml:space="preserve">Didn't create any chances. His place will come under scrutiny as Harold's did, as can't afford to have attacking players not creating anything. Come off at 60 as was suffering with blisters. </t>
  </si>
  <si>
    <t xml:space="preserve">Always available to pick up from the CB's, deliveries always on point, and had a great attitude on the day. </t>
  </si>
  <si>
    <t xml:space="preserve">Played excellent second half, great link up with foxy, hope he takes it forward as it's something that's been affecting the team (ability to play calm football in the final third) great assist for Crowe's goal - left hand side in the box, ran onto a ball, poked past the player, keeper out of position, had a shot, was going wide before Crowe came sliding in far post. </t>
  </si>
  <si>
    <t xml:space="preserve">First half didn't do much on the right, second half played better on the left, expected more though. </t>
  </si>
  <si>
    <t>Standard, good performance from foxy as always. Missed a header I would have expected him to bury. Feel like this guy is benjamin button, he shows no signs of ageing!</t>
  </si>
  <si>
    <t>Sheen 3s</t>
  </si>
  <si>
    <t>great kid. turned up 20 minutes to kick off as accidently went to the wrong pitches down the road. however in game didnt dissappoint. great shot stopping and hands. and good distribution out of his hands. was great to have him with the 4s and great addition to the club.</t>
  </si>
  <si>
    <t>good way to start off 2024. Had a good chat with the lads in the changing rooms before the game started to set the agenda for the rest of the season and really put down a marker for what was expected. It was well received and the dispaly demonstrated their desire. had beaten oppo at home 3-1 and concluded the much sought after double after beating them 2-1. 1st half went down to a shabby goal first 5 mins which isnt the worst time to concede as there was plenty of time to grow into the game. We responded 10 minutes later with a great team goal to get it to 1-1. lads battled well all over the park and changes were made around the 25-30 minute to keep things fresh. went in at half time 1-1 with much the better football being played. 2nd half we dominated more and more of the ball and worked well in phases. we just wanted it more than then and with 20 minutes to go scored a goal. bolstered the midfield to protect the back line as they kept pumping the ball into our box but we stood firm. well deserved victory and great way to get the momentum and form back on track.</t>
  </si>
  <si>
    <t>good to have sidney back after 4 weeks or so out. was good to have his aerial ability back and some important last ditch challenges. need to have him partnered up with someone that can compliment him. Him and Tom had a good connection at the back.</t>
  </si>
  <si>
    <t>Not his best performance as misread flight of the ball a few times.passing was ok. not really as agressive as i like him to be.</t>
  </si>
  <si>
    <t>hadnt played for 2 months so took a little while to get in to the game. was agressive and had decent distribution from the back and throw ins.</t>
  </si>
  <si>
    <t>imperius at the back and won majority of his headers. was calm and composed on the ball and took a few knocks for his efforts. once or twice let the ball bounce but deservedly got MOTM.</t>
  </si>
  <si>
    <t>usual battling sean. breaks up play and gets up and down the pitch so well. linked up well with hallam in the middle of the park. really done well to mark one of their better players and take him out of the game. the kid was literally every where cleaning up.</t>
  </si>
  <si>
    <t>one of the better games seen hal play. broke up play and linked up well with wingers. won majority of headers. good game all around.</t>
  </si>
  <si>
    <t>good set pieces from gaffer and radar was in full effect with sweeping long rage passes to start our counters off. dribbled and battled well also.</t>
  </si>
  <si>
    <t>Technically clear as day hes one of best players in the team yet his decision making and final ball can be frustrating.</t>
  </si>
  <si>
    <t>Played him LW to allow for george to start down the middle. won quite a few knock on headers. not so much in terms effective dribbles past players but battled and ran well for the team. got his goal after george played it to him on a plate in an open goal.</t>
  </si>
  <si>
    <t>really used his pace to get in behind the back line plenty in the first half but the oppo changed personnel at the back and so took off him to get him going again second half. played him rw when i bought him off and he scored the descisive winning goal. good game from him,</t>
  </si>
  <si>
    <t>the james milner of the team. brought him on initially at half time for kevin at lb to just bring in more agression and better distribution. did well when he came on.</t>
  </si>
  <si>
    <t>guy hasnt played for 2 months due to injuries and his fitness showed. was blowing at times. hes a good player but someone who needs to build up matxh fitness to improve his influence on games.</t>
  </si>
  <si>
    <t>brought on up top after 30 mins. won majority of his knock ons and doenst dissappoint with his back to goal although his touch could have been better on 1 oe 2 occasions. gave their defenders headaches literally and strongarmed a few of their players which is always nice. set up georges goal.</t>
  </si>
  <si>
    <t xml:space="preserve">Woking </t>
  </si>
  <si>
    <t xml:space="preserve">If this was scored on a Martin 1-10 scale probably would be a 5 out of 10. Goals are all there to been seen on video. Divided over one in the first minute. Oppo fancied their luck from anywhere after that. Somehow I have seen a worse goalkeeping performance than this…..Gulled. One for turning up, 0.5 for a couple of saves he made when the score was 7/8-2. </t>
  </si>
  <si>
    <t xml:space="preserve">A lovely game for veo to record. Woking clearly doing their usual trick of having a whole squad play below where they should be. Decent bunch of players. Not great at the back and easy to get at may have been an interesting game if there was a back line in place capable of doing any basic level defending. 3 out of the 4 CBs were late, going out of the dressing room the team still didn't know who was starting at the back as Kai and Ade were yet to show, Ant was there but had to be lent socks, glorious. The game was effectively over as a contest in the first 7/8 mins. 3-0 down, defenders just hadn't head into the game. Oppo only needed to vaguely get something on target and it was a goal. I missed the first goal initially as was picking up the cones from the warm up, seen on veo since. Comical defending, Martin dived over a pee roller. Think it was the third goal goal Martin palmed a routine shot into a danger areas,
talking after he thought it was a good save, that's the standard we are dealing with. There was a mini rally of sorts at 3-0 down. Made the early changes and went to a back 4. Was simply a move have less terrible players on the pitch. Stopped haemorrhaging goals and passed the ball well. Finally got Sheehan and Chris Claeys into the game. They linked up beautifully for 3-1. They got another before the end of the half, took the wind out of our sails. Truth be told all we had done was keep the ball away from our back line more, it was only a matter of time before more carnage ensued. 
Kai had come on and made some sort of stance at CB. He played a great pass from CB putting Chris in who provided a lovely dink finish. When Kai had to go off with cramp and ant ball came back on, the previous episode of loonie tunes continued playing. Believe a couple of 5ft players got free headers inside the 6 yard box with defenders all round them, there is absolute no desire to head the ball in the back line. Think it was 3 headed goals inside the 6 yard box, Martin nowhere. Ant decided to try to dribble round 2 strikers with no pass on, that one was funny. 
Think if you take away the chuckle brothers defending we still really didn’t do enough to compete in the game. Not enough yards put in, of course motivation levels drop when such disappointing defending is on show. 
A lot for ASR to consider here. Over strength Woking team yes but performance like that have to think every other team in the legue would have beaten them anyway. </t>
  </si>
  <si>
    <t xml:space="preserve">Was very reluctant to go forward when at wing back. Sort of don't blame him given the performance next to him. Severely limited any attacking intent down the right though. Wasn't terrible, wasn't good. Gave away ridiculous penalty pushing the man in the back. </t>
  </si>
  <si>
    <t xml:space="preserve">There is a player in there somewhere. He simply can't play with weaker players around him though. With a Dean type player can see him doing OK. Indeed with Kai with him at CB in a 4 the score was 3-2 (am I really complimenting CBs who conceded 3 🤣). Is horrific at judging headers from long balls. Was late. </t>
  </si>
  <si>
    <t xml:space="preserve">One for turning up before kick off. Absolutely shocker performance. In the first minute showed his number to the forward allowing him in, completely misjudged the ball, had all the time in the world to adjust body and clear. Floated over his head and allowed the softest of goals. Set the tone. Gave away a goal trying to dribble past 2 players. Score was 6-0 while he was on the pitch. 3-2 while he was off the pitch. He is massive but has no desire to compete in the air. </t>
  </si>
  <si>
    <t xml:space="preserve">Tossed the ball away under no pressure for the opening goal. Had to go off after about 8 mins after getting hit in the head with the ball. Shocking opening period of play. Came back on at right back in a 4 and did much better, got forward really well. </t>
  </si>
  <si>
    <t xml:space="preserve">Half decent performance but with all going on around him hardly the ideal environment for a teenager to be in. After some encouragement stuck to his task well. He's good on the ball and always wants it. </t>
  </si>
  <si>
    <t>Did OK, batted well but physically outmatched in centre</t>
  </si>
  <si>
    <t xml:space="preserve">As with Harry just struggled to get any sort of input in cm. Some flashes but was swarmed over all game. </t>
  </si>
  <si>
    <t>Not his day. Failed to make any key passses</t>
  </si>
  <si>
    <t xml:space="preserve">Really good performance. Zero service from CF in a 2. Had to drop one of them deeper to try and get them on the ball. Worked really well with Dan each of them doing shifts on RW. Chris did most of the work there but made a lot of out to in runs. 2 nice goals, cool finishes, 2nd goal really stood out as a class finish. Teams higher looking for a goal scorer should be looking at him. </t>
  </si>
  <si>
    <t xml:space="preserve">Decent, not his fault what was going on behind him. Showed maturity and leadership skills trying to encourage. </t>
  </si>
  <si>
    <t>As with Dan kept trying hard. Did a shift on LW, not naturally gifted to play there but did well. Deserves some mins in the middle. Decent on the ball</t>
  </si>
  <si>
    <t xml:space="preserve">Came on for Nish early in an attempt to get more of a presence in CM. Played nominally as a 10 but deeper looking to protect the 2. Worked sort of, stemmed the flow of goals at least initially. </t>
  </si>
  <si>
    <t xml:space="preserve">Turned up 10 mins before kick off. Gave me no option but it not start him. Carnage ensued with threat back 3. Kai has to take responsibility for that from the bench. Decent enough player, lovely ball for assist from open play at cb sliding Chris in. Maybe could be used in DCM? </t>
  </si>
  <si>
    <t>what a difference having a trusworthy goalkeeper makes - brave on crosses, good sweeping
and the couple shots they got off he was well positioned in not needing to even dive for the ball.</t>
  </si>
  <si>
    <t>Had the much needed luxury of being able to pick a mostly different side from last weeks
shambles. This group had a much better energy, better in prep, more desire to work and didnt 
look like theyd just rolled out of bed. A better oppo but clearly we had better quality to
call upon - Jack up front as the 9 is an upgrade on Matt, and Billy was vital to us winning
the ball back against a midfield who were very tidy in posession. different cb pairing, 
as much as Lundie had a good solid game they never really had a proper chance to test him
as was the ruthlessness of our defending today. Hopefully gives good competition to the 
regulars as we were leaking about 4 per game before this. Shoutout has to go to the 1s gaffer
as a couple of the boys paid compliment to the drill that was worked upon on thursday.
 Decision of dropping a few regulars paid off here, a dominant first half saw us 2 nil up, 
and then very comfortable soaking up pressure in the 2nd half as they threw the kitchen sink at us.
Great reaction from last week to complete the double over dorking.</t>
  </si>
  <si>
    <t>i like this fella, not around enough but my kind of cb - says he prefers cm but still put in
a top showing at cb today. challenges every header, leaves it all on the pitch for that clean sheet,</t>
  </si>
  <si>
    <t>first half at cb, outshone by his cb partner but never really put a foot wrong. had to take
him off at halftime to get tom minutes but came back on at lb for ellis and ran himself
into the ground - redemption from last week.</t>
  </si>
  <si>
    <t>better this week, still gives me nightsmares sometimes when he swings at the ball leading
to many an airshot but its what you get, put in the odd vital challenge.</t>
  </si>
  <si>
    <t>revelation at rightback, key to us keeping a clean sheet with some top headed clearances
in the last 10 minutes.shamefully late but did the job on the pitch, another one who didnt stop.</t>
  </si>
  <si>
    <t>played him in cm, sometimes great running with the ball, sometimes runs himself
into a dead end. got a nice assist with a cross across the box for jack to half volley.</t>
  </si>
  <si>
    <t>an hour late and not at it today. previous game he was top class but today he was way off
it, touch was bad and never caused real issue to the fullback.</t>
  </si>
  <si>
    <t>was 50/50 about playing as was bedbound most the week with some kind of bug but keen
to get out there after previous game. clearly took its toll on me - payed 45 in total, some ok
passes but no real impact on the game.</t>
  </si>
  <si>
    <t>gives us what we need up top, hold up play was good and a tidy finish for his first goal plus
a confident penalty for his second. made him captain today and led by example.</t>
  </si>
  <si>
    <t>dont think his understanding on whats needed on the wing is all there, but says its where
he naturally plays. little involvement, outshone by claude on other wing. need to think if 
he warrants a place this week as we didnt get much from him today.</t>
  </si>
  <si>
    <t>on for me in holding mid after 30. battled til the end, young lad and very quiet but gets
into his element when it becomes a contest on the pitch.better in cm than cb.</t>
  </si>
  <si>
    <t>times his headers to perfection, even when they drop 40 yards out the sky as everyone else
misjudges. wins the ball back when he should have no right to. key to our midfield today, was
great having him show the standards to be reached.</t>
  </si>
  <si>
    <t>took him purely to give him a look in- bit of a gamble throwing him on at cb during half time
but in fairness he did little wrong, couple miskicks but i knew the risk.</t>
  </si>
  <si>
    <t>livewire out on the right, went close to scoring a couple times and caused them plenty
problems when running direct with the ball. good showing.</t>
  </si>
  <si>
    <t>Reigations 1s</t>
  </si>
  <si>
    <t xml:space="preserve">Very good game, forced into 2 1v1 saves that he makes look so easy, no chance with goal.  Few good punhces and claims from crosses.  Sensible distribution. </t>
  </si>
  <si>
    <t xml:space="preserve">Not a great performance and got what we deserved here.  There has been wanring signs against oppo not on our level and how we are suseptable to dropping levels, managed to scrap wins there but not this time.  Big 3G pitch and oppo were not interested in engaging us at all in defensive thrid,  they had a trap set to engage in the middle of the pitch only.  We suspected this before the game and in the first half dealt with this really well.  Wing backs made the pitch big in possession, we made the centre of the pitch wide and formed our square with Josh and Jarvis taking up advance roles. In fairness to them they worked really hard to limit the damange this was doing to them or was able to make blocks / interceptions.  Still we managed to progress the ball well a good few times and get Josh and Jarvis in dangerous area's Stan particlaulry stood out here.  Ollie was also having some joy down the right.  Really nice passing combination set Ollie off down the right, he found stan who started the move and showed quick feet and a cool finish inside a packed box. Nice low finish against a keeper who could not get down, this would sadly be the final time we would test the poor keeper. After the goal they cuased some minor pressure with a barrage of route one stuff.  The back 3 did well supported by Yemi and it wasn't too much of a concern.  About 35 mins in they made a sub, this was the lad my scouting reports had warned me about, left footed fella who holds the ball up well and has a ping on him.  He wasn't there at the warm up or KO .  He riffled off a shot after pulling the ball down that fizzed just wide from 25 yards, great bit of skill and the wanring was there.  We had our chances to pull ahead in the first half, Plats blazed high over the bar with only the keeper to beat from 12 yards in his favoured right side angle, Jarvis pee rolled a cut back right to the keeper.  Both easy chances and with the form they are in you just expect the net to be rippled. 1-0 at half time, we knew we were not at out very best but still clearly the best team and the game had to be taken away from them 2nd half.  In contrast to pretty much every game this season we had a poor second half, about 5/10 mins in Stan got absolutley cruched and the terrible terrible ref just let it go (seriously this guy missed a Reigate player punch the ball).  Stan coming off had a big inpact on the game.  From this point we looked very frail in CM, we lost the ball in key areas multiple times and their attacks came down the centre of the pitch.  The back 3 were superb and needed to be.  Put Josh back in into CM and sent Yemi to mark their main guy on the left, he moved to CF almost immedialtey after this move.  Consistanltey we were really struggling with keeping our passing flow going, at times it was good but not often enough.  Jamie was getting lots of space down the left and he found Plats with a superb cutting pass, Plats had run from behind the referee back and was remarkabley given offside when through 1v1, not one appeal and very possibly the strangest offside decision I have ever seen.  We cut them open with out best move of the game not long after Josh bursting though the 2 centre backs, easy chance he hit the inside of the post and it rolled along the goal line and cleared.  Just not our day.  It was the final 15/20 mins were we could and probably should have lost the game.  Josh and Keats allowed their 10 to just drift in behind them with no pressure on the ball, Theo fouled the fella on the edge of the box, so basic and so poor.  I went mental, it was in prime postion for their left footed danger man, I just knew he would score.  Was a great freekick over the wall and down, John somehow got across but could only fingertip into the net.  We reacted well going forward as you would expect from us, Foxy caused mayhem in the box but somehow nothing dropped our way, we were so open on the counter attack though and it was worrying.  Really missed Paz, Billy, Matt Thomas, players who have the presence in CM to stop counters at source and keep attacks alive.  Soon as our attack was over they broke, multiple times in build up the ball was lost in dangerous postions in CM and they broke.  Final minute of the game they should have had a pen, very clear foul by Yemi who had got the wrong side, everybody stopped playing it was that bad.  The terrible ref continued his terrible performance in not giving it.  We attacked and should have done better with the numbers on the break, once again they got numbers back, our attack ended and they broke on us, they got a 1v1 and the fella put it wide to end the game . </t>
  </si>
  <si>
    <t>Good but not his best, gave away few to many fouls but still happy with his contibution.  Think hes broken his nose</t>
  </si>
  <si>
    <t>MOTM, top performance and without this its almost certain we lose the game.  Forced into multiple last ditch tackles, offered very little protection end of second half.  Deserved a clean sheet, othing he could have done about the free kick.</t>
  </si>
  <si>
    <t>Very good from Theo, did Theo things but less fouls than usual.</t>
  </si>
  <si>
    <t>Similar to Crowe, not at his best but good and still produced key moments</t>
  </si>
  <si>
    <t>Very good from Ollie and really a mistake from me to bring off.  Was at 1-0 up with 25 to go and wanted Yemi man marking their best man, he moved to CF 2 mins after this.</t>
  </si>
  <si>
    <t xml:space="preserve">Good and with hindsight should have kept him in CM.  Had his usual crazy momnets, at one point complel;tey forgetting his job from a corner chatting away to people.  He wan't exactly dominating the centre of the pitch but would have done a bettter job than who I had in there. </t>
  </si>
  <si>
    <t xml:space="preserve">Good but just couldn't get the rub of the green today.  Game was summed up by hitting the inside of the post and ball rolling along the line.  With oppo deep was key he dropped in to offer a creative outlet, he did this really well, linked with Stan first half, had limited options second half. </t>
  </si>
  <si>
    <t xml:space="preserve">Very good and missed when he had to go off.  Linked play well got forward for his goal well, think he only made 2 or three forward runs all game which shows he is patient and clinical. </t>
  </si>
  <si>
    <t>Another one good but not at normal levels.  Missed a big chance, was going to be withdrawn and 1-0 up but as soon as the eqauliser went in needed the top scorer on pitch</t>
  </si>
  <si>
    <t xml:space="preserve">Add one more to the not at best list. Missed a big big chance, his runs in behind was just not there.  Really unlukcy to be called offside when through 1v1.  Still a player of his class has a certain low limit.  The fact that is a 7 our of 10 shows how good he is. </t>
  </si>
  <si>
    <t>Good impact when coming on, good energy. Need to get him more game time</t>
  </si>
  <si>
    <t xml:space="preserve">Decent, fouled a lot holding the ball up, got nothing from terrible ref. </t>
  </si>
  <si>
    <t xml:space="preserve">Other than Keaton himself nobody wants him to be part of the 1s set up more than me.  Really do need to be looking at other options when having to cover now.  Looking back at previous write ups is a hard read.  Perhaps he needs a solid run playing 2s.  Last 1s performance we won 3-2 but was 2-0 down when he was hooked at half time.  Here we are 1-0  up and ended up drawing and really should have lost this game given how we ended it.  Lost the ball in key area's too often, taking liberties with the amount of touches and robbed.  Really poor letting the 10 drift in behnid him while not either covering the player or going to the ball.  Last minute pulled out of a tackle / shot at the edge of the box and we got countered on.  All key moments.  He looks sharp in training, got MOTM and scored for 2s last week.  Thats 2 divsions below prem though and expect a player of his class to shine there.  Have to manage this sensibly moving forward </t>
  </si>
  <si>
    <t>Old Paulines 1s</t>
  </si>
  <si>
    <t>didnt do much wrong, not at fault for the goals - feel like decision making with ball at his feet is odd sometimes, makes decisions i wouldn't, not always bad ones though.</t>
  </si>
  <si>
    <t>poor performance - whilst old pauline are definitely a decent side, pushing up the top of the table and playing well, whilst we, in my opinion have a mentality problem IMO, in the sense of I feel we're nervous - not sure what it is overall. THere seems to be a lot of critiquing going on on the pitch (and off) of players (a lot of stones being thrown in glasses houses too) which may be creating a mentality of being nervous when playing. Either way, we were shit. last time we played old paulines we went 3-0 down, however having lost myself and OG to injury, we've lost a considerable amount of size and strength up top which is impacting our ability to play in the final third. First goal was a deflected shot, second goal Tam misplaced a pass to Alex M, they intercepted, henry had ran forward as if we have played it long meaning jonny was by himself allowing them to pass once and play through. 3rd goal the lads were trying to make a sub, as Finn was jogging off old pauline carried on playing and scored a 3rd at roughly 70 ish minutes, which we were never getting back at that stage, particualrly with how we were playing. Some ok performances, a lot of trash though, way below par and way below training.</t>
  </si>
  <si>
    <t>struggled with their LM who was a good player in all fairness. bit off the pace a few times, but generally didn't have a bad game overall.</t>
  </si>
  <si>
    <t>really poor from jonny, couldn't control the ball, ended up being scared of it and resulting in us not trusting our team.</t>
  </si>
  <si>
    <t>standard performance from henry overall, strong, however was wildly out of position for the 2nd goal and didn't bust a gut to get back.</t>
  </si>
  <si>
    <t>reasonable game - think theres more to come from connor, could have done with him holding on to the ball a bit more and being more confident with it.</t>
  </si>
  <si>
    <t>poor game from tam overall, poor decision making, poor ball control, took him off at 30 for this and then started getting pissed off that max was still on, then was directly accountable for the 2nd goal with a loose pass.</t>
  </si>
  <si>
    <t>very good game from seb, best I've seen him play, confident on the ball, made some good passes and defended well.</t>
  </si>
  <si>
    <t>had some good moments, but then sometimes had some poor moments as well. was one of our better attackers, but failed to find the net and make many clear chances.</t>
  </si>
  <si>
    <t>worked very hard, but dkdn't create enough chances.</t>
  </si>
  <si>
    <t>quiet game from alex overall, didn't contribute much.</t>
  </si>
  <si>
    <t>solid game from alex as always, nothing phases the kid.</t>
  </si>
  <si>
    <t>strong in the tackle, one of the few players who got the ball down to control it and make passes</t>
  </si>
  <si>
    <t>skilful player, but weak at times and also again hasn't been effective in creating chances.</t>
  </si>
  <si>
    <t>Reigatians 2s</t>
  </si>
  <si>
    <t xml:space="preserve">Nothing really much for Sid to do today, both their goals came from corners, so i'd like him to be more dominant in the air, but he's not the biggest keeper in the world. He is comfortable with the ball at his feet and is vocal so should only get better from here. </t>
  </si>
  <si>
    <t xml:space="preserve">Despite the fact they went 0-2 up, they never really dominated, and scored both goals from corners. We were the better team for the whole game but the lack of an out-and-out striker really stung us in the first half. Started at 433 and switched to 442 at the half to bring on Lundie and put more pressure on their back line. That, along with Lundie having a stormer really paid off. Hopefully, we do the same again at their place next week. </t>
  </si>
  <si>
    <t xml:space="preserve">Moved Cam around a few positions today, and did well in most. Comfortable on the ball and passes well. Not as good as LM but that's to be expected, won the foul for Lundie's freekick goal. </t>
  </si>
  <si>
    <t xml:space="preserve">Relatively solid, bar a few times where he dribbled into trouble, but need more dominance from set pieces as this is the 2nd game in a row where we've really struggled and conceded from them. </t>
  </si>
  <si>
    <t>Much prefer Will at CB than at LB, good vocal performance but probably same points as Chris above.</t>
  </si>
  <si>
    <t>I really like Joe, he's very comfortable on the ball and a very defensive full back, is really solid.</t>
  </si>
  <si>
    <t xml:space="preserve">Played well but again, nothing stand out. Was a good team player, sacrificing minutes for keeping the players the same in pursuit of the win which ultimately came. </t>
  </si>
  <si>
    <t xml:space="preserve">Picked up a yellow for a pretty horrendous late tackle early on which the ref called 'an orange card' so was lucky in that respect, but ended with him up top and just bullied with Lundie. </t>
  </si>
  <si>
    <t>Best technical player on the pitch, and adjusted others round him to get the best out of him. Worked well in both a 3 and 2 man midfield. Didn't get any contributions today but managed 90 despite his recent injury. Good to have him back.</t>
  </si>
  <si>
    <t xml:space="preserve">Not as good as a game as the stats would suggest to be honest as both his 'goals' were really own goals from the oppo that he had crossed in. He's best when running in behind down the line and put in a good cross for Lundie's first, but fails to track back and sometimes doesn't make the run when it's really needed. </t>
  </si>
  <si>
    <t xml:space="preserve">Much better from Will today than the Woking game, was unlucky not to get a goal today. With no striker he filled in for the first half and hit the bar with a fantastic header from a Denver free kick, and had a few other chancesl. Due to having too many CM's on the bench when we switched to 2 in midfield I had to sub him off to rotate and get others playing time. Was upset to be subbed off, which is fine, but reacted angrily which is bad. Was negative at times on the pitch and needs to try better to lead with positivity. </t>
  </si>
  <si>
    <t xml:space="preserve">Is slowly getting there in his LW/LM role. His biggest asset is his crosses, but just needs to get into the positions to do that more. A perfect example was from his free-kick which was an absolute beauty of a ball which Will headed onto the bar. A few too many flicks and fancy stuff which isn't needed, and needs to stand players up more rather than diving in. Reckon the 2nd half of the season he's really going to come into his own. </t>
  </si>
  <si>
    <t xml:space="preserve">A shaky start when he was subbed back on, didn't look comfortable on the ball but got better as the game went on. Is left footed and thus useful to have in the squad, other wise not sure he quite hits the quality mark. Did put in a beaut of a cross for Lundie's headed goal. </t>
  </si>
  <si>
    <t>Ewan is a great lad to have around and is a good leader on the pitch. Very comfortable on the ball and get's stuck in and would happily use him more if he was around week in week out. Missed a header from a corner for thier second, but is a good player to use when needed.</t>
  </si>
  <si>
    <t xml:space="preserve">What a half of football from 45 year old Lundie. Subbed on at halftime and bagged a fantastic hat trick. Said he's been working on his fitness since Christmas and it really paid off, was constantly running at their defence. Not sure you'll get a full game out of him still, but will defo pick him again next week and hopefully he can terrorise them again. </t>
  </si>
  <si>
    <t>Sinjuns 2s</t>
  </si>
  <si>
    <t xml:space="preserve">Spoke to him friday about going in nets and he had no issues with it. Kicks well out of hands and goal kicks. might some point blank saves and absolutely wiped their striker out completely legally. good game from him and good sportsman like to jump in nets when we are short. </t>
  </si>
  <si>
    <t>2/2 wins in 2024 for the 4s. may the good form continue. controlled the game well. 2-0 up at half time. got a 3rd goal 20 mins in to 2nd half to solidify our lead. defended and played well for remainder of the game. solid start to 2024 and players getting more and more familiar with one anothers strengths and some weaknesses. no fixed keeper still needs to be resolved. good resounding win and plenty of positives to take away. Only 2nd clean sheet of the season i believe.</t>
  </si>
  <si>
    <t>Great footballing head from Deji. Lacks the mobility of maybe 5 years ago but makes up with good decisions. did the simple stuff really well and communicated well with the lads.</t>
  </si>
  <si>
    <t>great to have sid back to full strength after 5-6 weeks off before new year. wins his balls in the air and composed on the ball. some last ditch tackles also. good game.</t>
  </si>
  <si>
    <t>spoke with kev pre game just to rally some feedback based on last few games he played for the 4s were not as good as earlier in the season. gave him the instructions I wanted and he delivered. tackled well and distributed well with no dilly dallying,</t>
  </si>
  <si>
    <t>James milner of the team. CM slotted in at rb and looked very comforatble there. Composed on the ball and read game well. Pass not to shabby either.</t>
  </si>
  <si>
    <t>Callum is a good lad and theres a player in there. sometimes his distribution was slightly over eager and not on point. took the opening goal well enough on his weaker foot. Needs to be more calm when in possession of the ball. decent game</t>
  </si>
  <si>
    <t>Gaffer did ok. passed the ball well enough and linked up with claud well. Got the assist to callums goal. Could have played better. Had a good attempt with a free kick which gave their keeper some problems with the considerable distance.</t>
  </si>
  <si>
    <t>Skipper was all over the pitch. Typical sean battles well. retains and distributes. got his head to some important clearances. just need to find him the right cm pairing.</t>
  </si>
  <si>
    <t>Typical masood - comfy on the ball but not soo much in end product. Hooked him at 35 min mark and told him what i wanted from him. came back on 2nd half like a man possessed and played better. really need to work on his end product and remind him that its 11 aside and not fifa street :)</t>
  </si>
  <si>
    <t>Technically not the most gifted with the ball and very much like antonio valencia with dribbling mainly on the outside of the player. battled well and got the assist for the headed pass to dans goal.</t>
  </si>
  <si>
    <t xml:space="preserve">Handful of a player for the oppo. calm on the ball and can actually win headers. linked up well with the players. Scored a decent goal and took on board info well. </t>
  </si>
  <si>
    <t>Combative player. likes his headers and slide tackles. good utlity player for the 4s and had a great effort saved by their keeper which would have been a belter of a goal.</t>
  </si>
  <si>
    <t>Dan is a decent tekky player with a good footballing head however match/general fitness needs to be improved for him to get more minutes. He's high impact but will start blowing shortly after. Great taken goal with a left footed volley and linked up well with players. good lad to have in the squad. Think maybe for him to get more minutes with lower teams to get him geared up for the higher teams. He does enjoy playing with the 4s and has stated that he wants to train with our lot.</t>
  </si>
  <si>
    <t>In georges absence wanted to give a chance. played him 2nd half. didnt really get much service of the ball but that being said put in a shift in pressing their players and tracking back when a few other players were out of position. disciplined performance.</t>
  </si>
  <si>
    <t>Grey College</t>
  </si>
  <si>
    <t xml:space="preserve">Very poor first half, much better 2nd. Mixed bag due to the wrong boots in the mud bath first half and at fault for their 3rd goal. Made 11 saves in the 2nd half though including a couple of worldys but not good enough and very rusty after a month off </t>
  </si>
  <si>
    <t xml:space="preserve">Where to start? On arrival the pitch was horrific! It was half frozen at one end and a mud bath at the other. The referee rocked up 20 mins after kick off was meant to happen and appeared stoned then and pretty much all the way through the game. This kinda put us off although I only found out at full time that Aidan had wanted to stay in bed, not play and watch rugby instead. Having seen his performance I wish he had. From the first few minutes the oppo broke down his side. At no stage was there any sprinting to get back and stop a cross, this meant Ade had to come across and cover. This led to him giving away a soft foul and then an even softer penalty. The ref had started to blow his whistle before the guy even started to fall which shows how bad the ref was! Yet they missed the pen…only for a GK error to gift a 3rd goal. A 4th soon came through some fine football but of the first 4 goals, 3 were a gift. At half time there were some very stern words and thankfully a reaction. We were playing well until despite the ball going out for a throw which the ref didn't give, a cross came in and their attacker beat Ciaran in the air to make it 5-0. The last goal was pure horror show. We gifted the ball away in the final 3rd and they were 3 on 1 in attack. It was so bad their attacker even apologised to me. There were signs of the team showing fight but not enough of it. Going forwards we were poor and looked short of ideas. Things need work ahead of the next game </t>
  </si>
  <si>
    <t>Got man of the match. Struggled with his studs in the muddy pitch but battled hard and looked composed at times. Fought hard and kept going to the end</t>
  </si>
  <si>
    <t xml:space="preserve">I thought this was one of Ade's best games weirdly. He showed a great attitude and leadership I've not really seen from him before. Had to cover Aidan 1st half way too much and pulled out of position. Volunteered to move the LB 2nd half and did a really good job </t>
  </si>
  <si>
    <t>Jamie Dedman</t>
  </si>
  <si>
    <t xml:space="preserve">Good to see Jamie back. Wasn't sure how fit he would be but actually he wasn't too bad. Looked solid at the back and will be a good addition </t>
  </si>
  <si>
    <t xml:space="preserve">Another mixed bag. Got booked for a tackle that was actually very good and wasn't a foul. But then had a horror show at times and I genuinely thought when on a booking he would get sent off. Loses concentration far too often and most common word he says is sorry. He was late again - if Kai is available I won't be picking him this week </t>
  </si>
  <si>
    <t xml:space="preserve">Worst performance I've seen from him. Saturday was a game where you saw who was a character/fighter and who was not. Christian's performance was not a fighting one. You could see at the end his head had completely dropped and he looked lost. Hope he will bounce back as he's a decent player </t>
  </si>
  <si>
    <t>Solid game from the big man but not spectacular. He sured things up when replacing Christian however by that point it was too late. Doesn't give much going forward but looks after the ball well</t>
  </si>
  <si>
    <t xml:space="preserve">I had high hopes for Isaac but alas they were dashed. Wanted him to attack his full back with his pace but didn't really want to. Did attempt a 1-2 with Christian but the return pass was poor, then he didn't try it again. A willing runner and kept going to the end. He'll have better days </t>
  </si>
  <si>
    <t>Good performance from Andres and put in one hell of a block in the 2nd half. Just a shame that we were out played in the middle as 2 of our starting CM's didn't deserve to be beaten by such a big margin )</t>
  </si>
  <si>
    <t xml:space="preserve">Started well but took a heavy blow to the ankle whilst blocking a shot early on. Struggled through but his ankle wasn't the same after. Beaten in the air for the 5th goal but in fairness there wasn't much he could do about it </t>
  </si>
  <si>
    <t xml:space="preserve">I gave Sam the armband and he rose to the occasion. Best game I've seen from him in a while. Got on the ball and constantly kept trying to drive us forward. Came off with cramp after lots of running on a very heavy pitch. He can hold his head high unlike some after this game </t>
  </si>
  <si>
    <t>Didn't get any service at all during the game. Came drifting for the ball and worked hard to win the ball back and tried to get things going.</t>
  </si>
  <si>
    <t xml:space="preserve">Found out he didn't want to be at the game and wanted to watch the rugby (after the game I found this out). Didn't want to be part of the group and had no intention of tracking his man. All 4 goals in the 1st half came from his side. Almost started a fight at half time with Daniel Sheahan and refused to come back on the pitch in the 2nd half </t>
  </si>
  <si>
    <t xml:space="preserve">I felt sorry for Anish as he didn't get much of the ball at all. Tried to work hard and motivate the team when both on and off the pitch. </t>
  </si>
  <si>
    <t>Wokingians 6s</t>
  </si>
  <si>
    <t>Did little wrong today and dare I say it deserved the elusive clean sheet that was his with 
1 minute to go. Kicking is always a concern and it's tiring berating him to do a warm up but
it was good redemption from his horror show last week with 2 half decent saves in the first half.</t>
  </si>
  <si>
    <t>Truth be told this was quite a dominant victory - I thought Woking would offer more having 
seen they'd won half of their league games so far. They had little threat minus the odd corner
in the opening 45. We scored from a corner ourselves about 25 minutes in - my cross somehow evaded
everyone and found our cb Calum to half volley in to the side netting. Controled the ball for most the 2nd
half and rewarded with 20 left, a nice jinky run from myself down the left if I do say so,  skipped a couple 
players and cut back for my namesake to drill in from 4 yards. Emi wrapped the game up with 10 left with a swivelled
effort. unfortunately 45 seconds from the end we couldnt get rid of the ball as it fell to their man inside 6 yards to
leave Martin with no chance. This didnt dampen the result or mood however, we've looked alot tougher to break down these
last 2 weeks - a big part of this is me starting to figure out who's here to win a game of football and who's just around for a jolly  up.</t>
  </si>
  <si>
    <t>strangely he thanked me for sticking with him before kick off, despite some recent mediocre performances - 
then 30 minutes in a disagreement over marking a player led to him calling me a cunt, when it wasnt even a massively
heated argument, just more weird behaviour from this guy. clearly no respect for me, didnt want to switch cb's so early so kept
him for the half then had Janam step in next to Calum, he looked just as capable as peter, it was actualy less chaotic.</t>
  </si>
  <si>
    <t>similar story again this week, needs to make better decisions on the ball - delays the pass and the space closes down,
he does however hold his hand up and deal with the feedback. off at half time, admitted he wasnt great.</t>
  </si>
  <si>
    <t>first game in a while, on after 30 in cm - looked composed, positioning was good without
doing anything spectacular, not a bad return match.</t>
  </si>
  <si>
    <t>played 70 minutes and probably my best this season, assist from a corner for 1st
goal, then a cut back in the 2nd half. Enjoyed playing holding mid, saw alot of the ball.</t>
  </si>
  <si>
    <t xml:space="preserve">in for Ellis at lb 2nd half. Steady shift, some flying tackles and left it all out there - cant 
fault his endevaours. </t>
  </si>
  <si>
    <t>shaky start but came back with a vengance, knows when to hook it knows &amp; when to play,
been a consistent right back for the 6s - has locked down that position and trust him to 
play 90 week in week out.</t>
  </si>
  <si>
    <t>great engine on this guy - has looked very decent in cm the last few games. capped off
his performance with a decent half volley late into the game.</t>
  </si>
  <si>
    <t>motm on his debut - looking like he could be a gem for the club late into the season,
like emi he didnt stop running, some good quality on the ball too - we need him signed up.</t>
  </si>
  <si>
    <t>another unconvincing display, very passive on and off the ball. the away win at dorking
he showed his qualities but hasnt got anywhere near it since. might miss out this week.</t>
  </si>
  <si>
    <t>not his day in front of goal but still a good leader for the 6s - some nice hold up play and 
gave the centerbacks hassle.</t>
  </si>
  <si>
    <t>would rather play CM but has done a good job at the back these last 2 games for us, the
sort of no nonsense defender we needed. The Jabari Peter partnership was leaking goals
for fun but having him challenge for the long balls has been key to keeping the oppo at bay.</t>
  </si>
  <si>
    <t>first game in a while after injury, could clearly see the rust on him in the first half but much
better in the 2nd, finished his day with a well taken goal, off after 75.</t>
  </si>
  <si>
    <t>on at cb in 2nd half, thinks hes a midfielder but doesent have the tank for it, does well with 
sweeping headers and did little wrong in his 45 minutes.</t>
  </si>
  <si>
    <t>Nottsborugh</t>
  </si>
  <si>
    <t>Made lots of good saves look easy, nothing of worldie status but a testiment to his great positioning that he continually made himself hard to beat.  For some reason he was given more pas passes to deal with today than he has been combined for the rest of the season.  Then the lads moaned because his kicking isnt the greatest.  Utterly bizzare, we know Johns strenghts and have done so for some time, its not his kicking.</t>
  </si>
  <si>
    <t xml:space="preserve">A real day to forget.  Started off with Josh not being able to play, "tweaked" his groin at traing, did warm up and turns our it is a pull / tear, he is now out for a while, big blow. Combination of a high quality oppo, 6 players missing, not following instruction and being below our levels saw us lose the game comfortabley.  In truth it should have been more than 3-0.  The oppo need to be commended, all 14 players high quality on the ball, they keep it so well and are very dynamic with their movements.  At full strengh I would fancy our chances of competing but even then it would be a tough ask.  Their weakness is on transitions, they leave themselves so open to a counter attack.  For some reason dispte instructions we continually passed sideays or backwards after beating their press, continually giving ourselves further probelms from an oppo who were already difficult to contain.  We offered virtually nothing in attack, Jarvis hit the bar from a 30 yard thunderbolt. That was it.  We started the game very brightly and kept possession well, the theme of the first 30 mins was us being in good possession and Notts hitting us on the counter. We deal with this pretty well, our issue was Notts always had numbers back and were tough to break down.  they got up the field so fast though its virtually impossible to keep them pinned in, the mix up short and long passing so well and have a keeper with the biggest kick I have seen at amatuer level, at one point he forced a save our of John kicking from the edge of his box.  Their LW was striker like and caused us issues all game, he did not track though and Notts left their left back exposed, Seb had the freedom of the pitch down the right side and Notts weakest player (who was still half decent) was their left back, Seb skinned him a few times and put some nice balls in, ultimaltey though Seb is a defender and we really lacked an Ollie or a Plats to expose the one weakness they had.  After about 35 mins the LW went into CF zone for a cross, really poor marking from the 3 CB's allowing him to steal inbetween them and head home.  Rare for Aaron and Crowe to let that happen. Half time only 1-0 down we were still in it, we changed shape to try to explite the space down our right.  Paz to RW in a 4-3-3.  We started the second half in absolute horrible fashion, this time it was the RW who made a run completley unmarked and largley without the ball from RW to LW, was slide in at the edge of the box and slotted home 1v1.  Really poor because we were in shape with numbers back.  Almost immediatley after Seb gave up on a ball back stick from a set play, their player did not and stopped the ball from going our heading into the danger area, their striker headed home from 3 yards our unmarked.  Horrible errors and at this stage it was damage limitation mode. I would love to save we did well from this point as the scoring stopped on 50 mins.  The truth is they created more and John made some good saves combined with poor finishing.  The issue of the day was not being able to turn them around dispite them being wide open for counter attacks. the team were told this before the game so hiugley disspointing at the lack of application.  We can lose games but there is a way to lose and go down fighting, we did not do this.  Positioves for me is there are 6 starters missing who wont be effected by this game, those how did play will need to look at themselves. </t>
  </si>
  <si>
    <t>Poor for the first goal along with Aaron allowing the LW to not be picked up.  Other than that applied himself really well.  Chracter stood our second half.</t>
  </si>
  <si>
    <t>Same with Crowe, poor for first goal.  Did Ok after.</t>
  </si>
  <si>
    <t>Not sure what was wrong with Jamie today, a rare horror show.  Continally dived in, allowed the winger the freedom of the right side for the cross for first goal.  At one point passed to their striker in build up who blazed over, wasn't under particuly pressure, had a man running towards him but wasn't that close and deal with that easily usually.  Im hoping he was hungover or somthing because we really need him to put this performance behind him.</t>
  </si>
  <si>
    <t>Did OK generally but lacked the extra running power offered by the likes of Dockerill / Ollie and even Paz in the RWB role.  His delivery is class though and we should have done better with some of his whipped crosses.  Poor for third goal giving up.</t>
  </si>
  <si>
    <t xml:space="preserve">Unlucky to be hooked at HT, could have been anyone and he could have gone to CM himself rather than bring Reiss on for change of shape.  Felt we needed to freshen up personel for a mentality change (which did not work). That said he still didn't have a great first half, usual calmness on the ball was lacking under more pressure than usual.  Came back on at LW and then CM to better effect. </t>
  </si>
  <si>
    <t xml:space="preserve">So so performance. Battled well, gave the ball away a lot, standard Yemi.  </t>
  </si>
  <si>
    <t xml:space="preserve">Used at CM, RW and RB.  Did well, recognised danger much quicker than others.  Couldn't expose the LB at all though when at RW.  </t>
  </si>
  <si>
    <t xml:space="preserve">Forced to play deeper.  Did well but with him further away from goal far less of a threat.  Needs must with the availability.  Himself and Luke really only 2 MOTM candidates, went with Jarvis for the work rate and hitting the bar. </t>
  </si>
  <si>
    <t>Good performance, offered a good outlet particularly when at LW second half, was woefully lacking support of overlaps so had to do a lot himslf. Only seemed to be Jarvis supporting him at times.  One of the few players who can hold head up high.</t>
  </si>
  <si>
    <t>Put a lot of yard in without any reward, Not a day to be a CF</t>
  </si>
  <si>
    <t>Ran hard at RW and CF, didn't give up but lacked the real quality to be effective against top CB's.</t>
  </si>
  <si>
    <t>Did OK, lacked the fitness and strenght of others but passing was superior standard Reiss stuff.</t>
  </si>
  <si>
    <t xml:space="preserve">Instrumental from the Boss today. Courageously went in goal and kept us in it for the 2 saves he made from deep crosses. A couple of weeks and should be pushing John for the 1s no. 1 shirt. two errors both by the full backs snatched the clean sheet from him. Kicking was on point (ball coming down with Snow on it lol). </t>
  </si>
  <si>
    <t xml:space="preserve">Overall result once again showed us to be the better side against Reigatians. 11 goals in 2 games really tells the league we aren't to be messed with. First half was particularly shaky as the pitch (which will be a common theme in the report) was shocking. Ball died in the mud and the pitch size was reflective of the venue, childlike (we were at a school). We allowed ourselves to descend to their level of lump ball at times and whilst a couple of scrappy goals went in we found ourselves 2-1 up at half time. We had started in a 4-2-2 but didn't lend to the pitch so switched to 4-3-3. Second half we turned to some form of football and slotted 4 past them. Switched off for their 2nd but always looked likely to win it. </t>
  </si>
  <si>
    <t>Good to see Jason N back in the 3s squad after a morning of dropout from Cam Ward. Still a bit rusty from the injury but what I will say about Jason is that he is aggressive in his style of play and I love it, loves to get ball down and run.Doesn't always work out but when he has the right attitude good asset.</t>
  </si>
  <si>
    <t>Difficult one for Chris today. Pitch really nullified his style of play, getting the ball down and passing. Dealt with the ball in the air the majority of the time. Average today.</t>
  </si>
  <si>
    <t>Positive day on the field and vocally from Will today. Very open with his opinion but when I told him that I am managing and I take his feedback on he openly noted he respected decision and undertook what I asked of him. Better of the 2 centre backs and equally as dominant in the air.</t>
  </si>
  <si>
    <t>Won MOTM today, two mistakes today but battled well with the guy that scored both. Very strong but clean and was arguably the best tackler today. Backpass to me was hit slightly too short (probably from the pitch) that I mopped up just (very scrappy). Second one let his man get the better of him which he slotted passed me bottom corner.</t>
  </si>
  <si>
    <t>Strongest CM in the tackle and good battler, Dealt with the captain who was very strong. Started on the bench after a relatively poor game last week. Looked to have bounced back and took feedback on. All in all good day at the office for him.</t>
  </si>
  <si>
    <t>Good from Will today. Pitches size made it difficult for him to rely on his longer passing range but he didn't force it and kept it ticking in the midfield. On a bigger pitch passing could've been even more lethal. Most value from Will today was his tactical head on field management.</t>
  </si>
  <si>
    <t>What a workhorse again, did a lot of running on a horrible and boggy pitch. Cross for Lundie's headed goal was great and selfelessly squared the ball to Jason for his first back from injury.</t>
  </si>
  <si>
    <t>Not the best day for Dan but I think that comes down to partly he was ill and partly the game didn't lend itself to his intracte play. A loose assist to a Lundie goal/own goal and a finish in the six yard box.</t>
  </si>
  <si>
    <t>Hat trick hero again (huge asterisk on the 1st). 1st came from a lovely move from Dan R that laid it off to Lundie and with the help of the CB ended up in the goal. 3rd was a brilliamt header from a Cam P freekick. Hattrick flatters him but great performance again</t>
  </si>
  <si>
    <t xml:space="preserve">Poor game from Alex S. Need to work out what to do with him. His time in the 2s prior week seemed to knock his confidence he mentioned. </t>
  </si>
  <si>
    <t>Paul at fault for the first. Passed it to their striker from a long ball who slotted it passed Denver. relatively okay but mistakes on a pitch like today.</t>
  </si>
  <si>
    <t>Unusually from Rich today. Felt like he was similar in performance to Lundie and in the second half really helped slow the tempo back down and starting play football.</t>
  </si>
  <si>
    <t>Connor's best attribute is his pace, his worst is his positional awareness. started at RM, moved him to RB and we looked open from there. maybe not a full back at all.</t>
  </si>
  <si>
    <t>Tiffs</t>
  </si>
  <si>
    <t>Didn't have much to do but did what I had to well enough. Kicked and caught well as well as claimed and swept when needed.</t>
  </si>
  <si>
    <t>This was a solid, rather than spectacular performance. But after the previous 2 weeks it was exactly what we needed. The first half we played ok at best. We nearly took the lead in the first minute with Sam's shot going just wide, but that aside, for most of the first half we didn't create enough. We did have the ball over the line right at the end of the half but it was cleared very quickly and the ref was never going to be able to make that call. 2nd half we were better. We turned them a lot more and we got in behind, we just failed to take our chances. Harry hit the post. We then scored a pen which I thought would be the catalyst to then go and get another goal. We then won another pen only for Daniel to hit the worst pen I've ever seen! We kept on going though and despite a late rally from TIFFs we held out well.</t>
  </si>
  <si>
    <t>Another solid display. Doesn't look comfortable on the ball at times but does lots of things well still</t>
  </si>
  <si>
    <t>Ade has started to step up and become a leader in the group. Turned up EARLY and has started to take charge at the back. Another decent display again, he's hopefully finding some form</t>
  </si>
  <si>
    <t>Good from Max. Had a slow start as he got into the game but that aside he did well. Dominated in the air and removed any aerial threat they may have had. Possibly should have scored but good to have Max in the team</t>
  </si>
  <si>
    <t xml:space="preserve">Not his best game, told me after he's struggling with his knee. Did ok but looked off the pace. Hit the bar from about 5 yards out as well - another who should have scored </t>
  </si>
  <si>
    <t>Ciaran looks a little shot of confidence at the moment and this is most likely down to me. He's an easy sub to make and I think he knows that he's now playing knowing he's coming off. Want to see him play like he does in training. Might pop him into CM for a bit next game to see it that helps</t>
  </si>
  <si>
    <t xml:space="preserve">Another very good display. Was all over the pitch winning his duels and battles. Took a smack to the face but came back on again and it hadn't fazed him at all. </t>
  </si>
  <si>
    <t xml:space="preserve">Not Harry's best display. He was his usual tenacious self but something just didn't quite click for him this week. He'll be back better next time around </t>
  </si>
  <si>
    <t xml:space="preserve">Another who it didn't quite click for. Again, he did ok and had bright moments but I know there's more in there as a player. </t>
  </si>
  <si>
    <t xml:space="preserve">Another decent display from Sam. He's taken to wearing the armband well in Harry's absence and lifted his displays with it. Took the penalty which won the game very coolly. Also he took a very heavy blow to the ankle at the end of the first half so hopefully he'll be ok for the next game </t>
  </si>
  <si>
    <t xml:space="preserve">Mixed display again from Daniel. Won 2 pens, missed one with the worst penalty I've ever seen! Gave up the first one to Sam as he said he was gassed from winning it - good team mentality. </t>
  </si>
  <si>
    <t>This was the Harold of old. Alas it was the Harold who tried to take on 5 players every time and beat them all, rather than the player who would know when to beat a man and when not to. 2nd half he was better though and ran in better lines which gave us a much more attacking threat. First half he ran inside far too often</t>
  </si>
  <si>
    <t xml:space="preserve">Solid again at the back from Stu Jo. You don't get spectacular from him but he'll give his all, he'll help organise and he will give a solid 7/10 most weeks. You need players like this </t>
  </si>
  <si>
    <t>Having been to the dentist pre game, I wasn't sure what to expect. But had a good game. Worked well alongside both Max and Ade and he's starting to organise and come out of his shell</t>
  </si>
  <si>
    <t>Couple decent catches he might usually have had trouble with so fair play - needs to be more
commanding in his area, half decent save in 2nd half but fell to their player to tap in as he could only
send the ball onto the crossbar.</t>
  </si>
  <si>
    <t>A Good chance to see how much we've improved since the 2nd game of the season
where we lost 3 - 0 at home vs this side. Like us they have quite a new look team by this point,
but have had some decent results in cup and league so we had to step up here, and as expected they were a tougher test than last week.. 
Organisation again gave us us an edge;
we were on time, and well warmed up with 3 subs, - while they got 6 players out after us and just seemd to just kick the ball at
eachother for the most part. This paid off for us and we were the better, more energetic team in a cagey opening. They did actually take the lead
from a set piece but we got in at half time 1 - 1, and Sean saw a shot spectacuarly cleared off the line right before the break. Productive team talk, couple
changes and a reminder they had only 1 sub vs our 3 game us a great incentive to get after em and chase down the 3 points in the 2nd half. Despite falling
behind again the boys showed great attitude and got a deserved winner 15 minutes from the end. 4- 3 up and a tense end to the game with 6 minutes added, but despite them having a
half decent penalty appeal turned away they never looked too threatening, a good compact shape saw the game out and gave us our 3rd win on the bounce
which is a great turnaround in form considering we lost our first 4 league games.</t>
  </si>
  <si>
    <t>Did ok for his first game in a while, still think he confuses the backline at times with some
of his calls. Did alright with aerial balls, bit more shakey when the ball is on the floor.</t>
  </si>
  <si>
    <t>struggles with the technical stuff, and seems to confuse himself a little bit when he has time
to think on where to pass it. Off at half time for Leigh.</t>
  </si>
  <si>
    <t>Battled well against a decent left winger they had, and got a fine assist when he rolled a cross
into the box for tom to tap in.</t>
  </si>
  <si>
    <t>played 35 or so in dcm, didnt do himself any harm here, ran hard and got stuck in, but had to
get Fraser on and this is also his preffered position. on at right back for last 15and did what he had to.</t>
  </si>
  <si>
    <t>played him at cb as he shares similar attributes to calum who has done well for us recently.
another one who did very little wrong, technically sound and assured in the air. didnt complain
about playing in defence either which was great, I know he can also be an asset in CM.</t>
  </si>
  <si>
    <t>played him left wing and he did well against his full back, just needs to stay wide to isolate himself
as too often in the first half he insisted on drifting in field. Ran himself into the ground again and was 
a threat on the break in the 2nd half.</t>
  </si>
  <si>
    <t>Glad to have him again,  started right wing and showed his quality, beating his full back and 
getting some half decent crosses in. played more central in 2nd half and showed good technical ability,
got his first goal for club off his knee! good stamina to play all 90 with no issue.</t>
  </si>
  <si>
    <t>on at half time, started cm then into right wing, impresses me how hard he works, oldest
player in the team but leaves it all out there, some good passes too.</t>
  </si>
  <si>
    <t>quiet but steady. think dcm is probably the right position for him. passing was ok, may 
have been a little more agressive in there if knocking anything.</t>
  </si>
  <si>
    <t>looked isolated at times but didnt stop him chasing lost causes, wins some good flick ons - 
a nice asset for the system we play.</t>
  </si>
  <si>
    <t>on at halftime as lb. got an assist, otherwise looked lost at times out there, still a 50/50 of him
and ellis as to who should get priority, wanted to try him again after him being absent for so long, 
needs a few more sessions at training it seems.</t>
  </si>
  <si>
    <t>seen good things in the match report so wanted to give him a try, he didnt dissapoint - works hard and
follows instruction, unlucky not to score in 1st half.gave him a rest from cm at half but time but back on with 15 to 
go in a 2 man dcm and helped shore things up.</t>
  </si>
  <si>
    <t>pleased i went with this selection, doesent look like he hasnt played in a while - full of running and 
always wanted the ball. scored a good half volley and then a match winning penalty - technical, for me
Pierce is a 4's level player minimum.</t>
  </si>
  <si>
    <t>Maccabi London Vets</t>
  </si>
  <si>
    <t>Didn't really have any saves to make apart from the 2 that went in, and otherwise solid</t>
  </si>
  <si>
    <t>Excellent vintage performance from the OTs Vets. The Oppo play very regularly in a Sunday Vets league, which they are top of, but we largely bossed them and the win was deserved. Our relative youth showed in the last half hour as we turned an unfortunate 2-1 deficit into a comfy 4-2 win that could have easily been a lot more were it not for their keeper having a blinder.</t>
  </si>
  <si>
    <t>Full of running from RWB.</t>
  </si>
  <si>
    <t>Keeper saved a 1 on 1 but tidy link up play.</t>
  </si>
  <si>
    <t>Thou shalt not pass the Deano rock!</t>
  </si>
  <si>
    <t>Played a full 90, got nutmegged in the warm up rondo and never got it back during the game so negative nutmegs for the day which no doubt kept him awake.</t>
  </si>
  <si>
    <t>Jalsy said Jamie wasn't as good as him, but still better than 7/10</t>
  </si>
  <si>
    <t>Came on HT and after the game said it was "easy" and called out a friendly head to head against the 4s saying they would easily beat the Vets. Storm brewing.</t>
  </si>
  <si>
    <t>Would have probably won MOM were it not for Waynes wonder strike</t>
  </si>
  <si>
    <t>Good game breaking up oppo attacks and tidy distribution</t>
  </si>
  <si>
    <t>Remi Sellers</t>
  </si>
  <si>
    <t>Superb from Remdogg, as you would expect. Ran the game.</t>
  </si>
  <si>
    <t>Copy and paste career match report : Didn't do much but got a goal and assist.</t>
  </si>
  <si>
    <t>Untroubled defensively and got forward well.</t>
  </si>
  <si>
    <t>Calm one on one finish got us level the first time, before poaching a second equaliser afterwards.</t>
  </si>
  <si>
    <t>Nuisance to the oppo first half. Came back on 2nd half and could have scored 4 or 5 were it not for GK being on fire. Scored a scissor kick wonder goal from a corner that went in off the bar, on Veo and instant Goal of Season contender.</t>
  </si>
  <si>
    <t>One good save from free kick.  Made a nice punch from a corner.  Cant think of much else.  Tidy all round when called upon.</t>
  </si>
  <si>
    <t xml:space="preserve">Controled performance and good win on a terrible pitch.  Woking are always dangeorus with their barrage of long ball football.  Combination of forcing the long balls from as deep as possible and 3 monster CB's saw us nullify them as an attacking force.  Breaking them down was tricky, the full backs do not go forward so always have a bank of 4 to break down.  Opening exchanges saw us dominate the ball but Woking were in shape and comformatble. They like to lock down one side of the pitch so allow a swithc ball but we couldn't quite get this right.  As we started to roate our box shape CM build up Jarvis and Plats got on the ball more and were more capable of finding the switch which on most occasions was Ollie who started to run riot.   For all the possesion we really lacked runs in behind, Plats and Jarvis we both dropping deep and then Luke was following suit.  We scored from a long throw through Crowe.  Half time was happy enough as we looked solid but really wanted the game put to bed and to return to creating chances.  Wanted to give the lads on the pitch the chance to take the instruciton on board with the runs in behind.  Jarvis and Plats made sure of one dropped the other was offering the run, Luke continually went to feet which was a concern. Josh came on and suddenly we looked far more fo a threat.  Almost  instantly we put together a great move that Plats finished off.  Wokes got battered 5-0 at home last week, it was really interesting to see their reaction to going 2-0 down, they just got deeper and deeper.  Seemed to be in damage control mode, alomst seemed happy with just a 2-0 loss.  Of course we needed to not lose focus in dealing with their long balls and thrown ins but by the end they just didn't even press in our half and stood off in shape.  It was a very comfortable last 20 mins, happy to pick up the clean sheet and was no need to take risks chasing goals. </t>
  </si>
  <si>
    <t>Solid, dominant.  One occasion had to unleach that pace he seems to keep in reserve, devestates oppenents when they find out how fast he is. Loved the barrage of long balls and smashed through  people in his typical style to win all his duals.</t>
  </si>
  <si>
    <t>Standard Theo.  Dominant first haf, second half got caught under a couple of long balls but made up for mistake instantly tracking back and putting a cruncher in.  Again sttod out dealing with the long balls.</t>
  </si>
  <si>
    <t>The Crowe bags 4th goal of the season.  Criminal marking on him from a long throw, 2 men marked him, both left it to the other to jump with him, took full advantage to head home was quite a long way out but a great header.  Towering arial presenece and ate up the long balls.</t>
  </si>
  <si>
    <t>Ball carrying abilities superb, taking passes in tight areas superb, work rate off the chart.  No stat involvements in this game but for me his best game for 1s. First half was go to outball with LW not tracking him, caused them all sorts of issues.  Second half they had to make sure he wasn't given as much space, they put a different winger on their left to track Ollie, if the LW didnt track him one of the CMs closed him down quickly.  Was a clear instruction and understanble given the problems he caused.  This created space for our players but also Ollie didn't mind taking the ball under pressure and showed his class by gliding passed his marker multiple times.</t>
  </si>
  <si>
    <t>Did OK.  Thiunk still showing some effects of last week but was still decent. Hopefully can kick back into his early season form where he was sensational.</t>
  </si>
  <si>
    <t>When you picture how to win on Wokings massive terrible pitch you know Yemi has to have a monster of a game and he delivered.  Opening exchanges saw him see a lot of the ball in build up, we swithced him with either Plats or Jarvis in build up with Yemi taking men away into 10 / CF zone.  Standard tactic for us but asks a hell of a lot of Yemi particually in transitions where he needs to get back in.  Second half it was his ball winning abilities that really stood out.  We wore them out passing the ball around but were not at our absolute best with the passes, hard to be on that pitch.  Time and time again when the ball looked as if it might be lost Yemi on hand to win it back. Unreal shift and desevred MOTM.</t>
  </si>
  <si>
    <t>Class performance, passing on point on a tricky surface.  Only subbed as he asked for it.</t>
  </si>
  <si>
    <t>With not wanting to take any risks with Josh had a decision to make in the 10.  Last week felt having Jarvis in the 10 saw him asked to not play with the freedom that gets the best out of him.  Went with Plats in the 10 and had a similar issue.  He was very very good in the 10 but missed his runs in behind.  5 mins after brining Josh on Plats went to CF and scored, Josh hadn't even been invloved but simply being on the pitch saw Plats further up and he was clinical in his finish with Jarvis popping up on the RW for the assist.</t>
  </si>
  <si>
    <t>Not bad not great.  Held the ball up well at times, lost the ball too easily at times.  Didn't really give Woking a problem in the 65 mins he was on the pitch and we looked better with him off the pitch.  Still had his moments as Luke always will, need to find a way to get the best out of him.</t>
  </si>
  <si>
    <t xml:space="preserve">Not at his best but 2 assists, people know the drill by now, consistant delivery of goals / assists.  "Not as his best" still equates to an 8.  Very much the freedom of playing nominally at CF and allowed to roam is key to his game.  </t>
  </si>
  <si>
    <t xml:space="preserve">Solid from Tam and added energy down the left at a time in the game that really helped. Had a chance to score with a header but got it all wrong, nosebleed. </t>
  </si>
  <si>
    <t>Wanted to start, was dissapointed not to.  Even now I am concerned, seemed to be moving OK but didnt really see him open up.  Immediate impact when he came on as we were back in our attacking shape. To come away with a win and Josh unscathed is massive.</t>
  </si>
  <si>
    <t>Couple of weeks out but came on and was brilliant.  Has previous vs Woking with his MOTM display last game of last season, probably would have started this game if not away the last 2 weeks.  Rolled his man in Billy style multiple times, won headers he had no right to, put in some massive tackles. Made a brust foward and should have got an assist or goal.  Ended up either not shooting or squaring for Jarvis.  Good game</t>
  </si>
  <si>
    <t>Economicals</t>
  </si>
  <si>
    <t xml:space="preserve">Despite conceding 4, made some good saves as well, although potentially could have done better with some of the goals, but generally not to blame and had a decent match. </t>
  </si>
  <si>
    <t>odd day, had a huge number of players missing that would normally be in the 2's squad, for what really was our biggest game of the season playing against our league rival contenders, but played better than we have overall recently, however scoreline was not reflective. We played some nice football, but struggled make clear chances - we did have some, just didn't get the luck - e.g. will french played a nice through ball we didn't get on the end of, baverstock had a few shots, but nothing clinical or clear cut. some good passing phases, would say it was close, if not we were on top, but then a few mistakes on the trot and they got gifted a goal. entered the half 1-0 down. 2nd half, 35/40 yard strike running on to a loose ball flies top corner - would happen 1 in 20 times - that took us back a bit, then 3-0 really took the wind out our sails, and they relaxed, played some nice football and were much better at the end, but the game was over. impressed with lundie, dom robbins and tom love, will french always useful as well.</t>
  </si>
  <si>
    <t xml:space="preserve">Apart from the fact he was late, which has been a theme this year, sturdy performance from max, puts the challenges in, battles and plays good football. </t>
  </si>
  <si>
    <t xml:space="preserve">Wasn't 100% fit, and it showed a little bit, but appreciate that he turned up. Has a few errors in him, however still young and think these can be removed. At fault for the 1st goal. Gets a bit nervous sometimes on the ball, despite being very good in training. </t>
  </si>
  <si>
    <t xml:space="preserve">Solid performance from Henry, however few times is most definitely out of position - playing out from the back and Henry's pushed up and is sitting with the midfield. Other than this, which caused a goal last game too, always gives his all. </t>
  </si>
  <si>
    <t xml:space="preserve">Was playing against a pretty good player, but overall always feel a bit nervous with Kev on the ball. Got done a few times </t>
  </si>
  <si>
    <t xml:space="preserve">Decent game, if he could improve his composure think he'd be a really great asset. Had a reasonable game, didn't particularly shine through though. Few wayward long shots </t>
  </si>
  <si>
    <t xml:space="preserve">Impressed with Tom, definitely my kind of player - uses his strength well to shield the ball, calms the game down and plays ball. </t>
  </si>
  <si>
    <t xml:space="preserve">Get frustrated with Harold - play breaks down with him a lot. We get it up to him, and then we lose it, which is one of the reasons we didn't make many chances. Needs to be less wasteful of possession. </t>
  </si>
  <si>
    <t xml:space="preserve">Really good from claudien, will be picking him again, harassed well, used his speed and strength well, if he can shoot quicker or find the extra yard to get the shot away, got a real striker. </t>
  </si>
  <si>
    <t xml:space="preserve">Shouldn't have taken off after 30 minutes in hindsight as was doing a good job and better than his counter part, however can't be undone now. Played some good passes which we couldn't latch on to </t>
  </si>
  <si>
    <t xml:space="preserve">How does Lundie do it - 45 and was one of the hardest working players out there, covered an amazing g amount of ground, it's great to have him up there for headers as well. Think he'll be getting selected again, we just need to make more use of him. </t>
  </si>
  <si>
    <t xml:space="preserve">I liked dom, good player, composed and puts a tackle in. Young lad, could be very useful for future, wouldn't say is the quickest though. </t>
  </si>
  <si>
    <t xml:space="preserve">Not much on for Jase today, didn't have the chance to create much, but also didn't create much himself, with a few decisions that were questionable also. </t>
  </si>
  <si>
    <t xml:space="preserve">Sutton </t>
  </si>
  <si>
    <t>Solid game. Generally claimed and punched well. Kicking was on point and got a good assist. Annoyed with the goal we conceded though</t>
  </si>
  <si>
    <t xml:space="preserve">We started off with a 3-5-2 formation but knew we could easily move to a 4-3-3 with the players we had. We began the game well and looked comfortable but as the first half then went on we couldn't make the breakthrough. With this it was only a matter of time until Sutton came back at us and this did come. We knew they had 2 key players, one from set pieces and one on the break and they were again the 2 main threats. We managed to nullify them pretty well first half. We went into the break at 0-0 which we've only done once before this season and that game ended 0-0. We started the 2nd half well following the move to 4-3-3 which suited us. We created some really good chances yet somehow yet again we just couldn't score. Then a soft free kick on the edge of the box, Ade let his man run in and I couldn't get there in time to punch…suddenly against the run in play we're 1-0 down. This didn't stop us though. We've shown great fight and heart and we showed it in spades this day. Following foul just inside our half, I snuck forward and pulled rank to take the free kick. Beautifully placing the ball to the back post, clearing their CB for Daniel to poke home. Great for him and the team. This was the momentum changer. We then kept on going and putting Sutts under pressure. With 5 minutes left to go I was trying to work out how to go 4 up top to go for the win. Whilst trying to decide we got a free kick, this time inside their half. Anish put over a glorious ball which Jack did well to send back across goal for Ade to stomach into the goal from 2 yards out! Absolute scenes!! Thankfully we calmed down enough to keep our heads and see out the last few minutes for a very well deserved win </t>
  </si>
  <si>
    <t xml:space="preserve">Hadn't realised that he was poorly pre kick off - touch of man flu. Did ok but got irritable so I took him off for a bit to calm down. Brought back on further forward and didn't do much until he brilliantly got on the end of Anish's free kick to set up Ade for the winner </t>
  </si>
  <si>
    <t xml:space="preserve">Turned up on time! For the first time ever! Started on the bench but came on and generally had a good game. Dominated their big striker in the air. Worked well along side the others and this was probably his best game in a while </t>
  </si>
  <si>
    <t>Standard Stu Jo game this one. Solid at the back and organised the back line well. Still can rub a few up the wrong way if not careful but generally he's getting better at not doing that too</t>
  </si>
  <si>
    <t xml:space="preserve">Kai is starting to step into this role and becoming more vocal. He's becoming more confident and he's becoming a crucial cog in our back line </t>
  </si>
  <si>
    <t>Ade has really stepped up these last few weeks with his attitude. He's doing lots more for the team and willing to put the team ahead of himself. Made him captain for this game and he didn't look out of place. Played well, did the dirty things well, kept it simple and then popped up with the winner and MOTM deservedly so</t>
  </si>
  <si>
    <t xml:space="preserve">Started out wide which doesn't suit him so much. Been looking to play him in CM for a few weeks now and he didn't disappoint. Been looking really good in training there and popped him alongside Christian in the middle. He gave us energy, good passing and composure on the ball. Came 2nd in the MOTM vote too. Cleared off the line twice too in the first half </t>
  </si>
  <si>
    <t xml:space="preserve">Another composed performance from the rolls Royce that is David. He had that bit of composure and class that gives him that extra second in possession. Keeps it simple and does the basics really well whilst keeping the midfield ticking over </t>
  </si>
  <si>
    <t>Best game in a while from Christian. Held the ball well and was always an outlet for me to pass to when collecting through balls etc. he would then take us up the pitch and put the oppo under pressure. Really pleased with how he played and gives a huge headache with who to pick next week</t>
  </si>
  <si>
    <t xml:space="preserve">Quality game from Anish. His presence as the CAM just gave us another dimension in the middle of the park. It meant we could go 3 vs 3 against them and he also got in and around the box too. Really good player at this level and put in a class ball for the winner </t>
  </si>
  <si>
    <t xml:space="preserve">Great to have Niall back after 4 month out. Eased him back in but looked as class as ever when he came on. Will build him back up over the next few weeks but another RB/CM to select from but a quality one at that </t>
  </si>
  <si>
    <t xml:space="preserve">Good performance from Chris. He couldn't quite get some shots away but always looked a threat. On another day he may have come closer to scoring. </t>
  </si>
  <si>
    <t xml:space="preserve">Really pleased to see Daniel finally get a goal. He's deserved goals in previous games and looked a threat again today. Hopefully he will kick on now and get more </t>
  </si>
  <si>
    <t xml:space="preserve">Came off the bench and was another player who was class. How he turns and gets out of tight spots is brilliant. He works hard and he looked a threat too. </t>
  </si>
  <si>
    <t>Anything somewhat high he gets nowhere near, no belief, usual trick of prentending to be hurt 
after conceding the 1st. We've all seen the pentalty give away. gets a 2 for one he tipped round the 
post.</t>
  </si>
  <si>
    <t>Humbling day at the office, never got going on Saturday -  passes were abysmal from the start.
Stupid fouls and wild clearances. For some reason the whole group collectively played anxiously and made
weird decisions. The oppo were ok and should of been a good match up for us but we never really landed a glove,  lack of quality meant
we created very little. Have watched it back thoroughly on the veo ,and the pass completion stats would be scary. Tried to start with a diamond midfield and changed it after 20 as we were overran clearly. 4 - 3  - 3 helped somewhat but momentum was always against us, 3 maybe 4 of the 5 goals were easily prevented. Was 0 - 3 at half time. The workrate was their but the end product was way off - this bunch also too quiet - had to have players I knew would struggle in this game such was lack of availability. Forced into Afnan and Janam as CMs
at one point and it went as bad as it sounds. Less said about the GK the better, faced 6 shots on target and 5 went in.</t>
  </si>
  <si>
    <t>one of the very few who did ok here. was determined and tried to play into feet when
possible. didnt do a group motm vote, just gave it to him as our best of a bad bunch.</t>
  </si>
  <si>
    <t>horrendous error for the 2nd goal, trying to clear with wrong foot. 2nd half he did well,
kept on running and was another who can hold his head high. started rm to fit raj in - that hurt us.</t>
  </si>
  <si>
    <t>off it on saturday - watched the veo back and never got going and testing back line, hard to
explain - maybe domino effect of team being lacklustre rocked confidence. funny seeing myself on cam however, walking
round looking like a monkey.</t>
  </si>
  <si>
    <t>rushes or delays, doesent get the fine line in between, distribution is limited but so is our
lb choice. slightly favoured before leigh as he actually talks.</t>
  </si>
  <si>
    <t>not good. yet again asks to come off after 55 minutes when we're behind, peter part 2? 
positioning as bad as his control, turned easy. looks like a joy to play against.</t>
  </si>
  <si>
    <t>looks ok when he has plenty of time on the ball but when the pressure is on his passes go
amiss and I dont see the important tackles you want from a holding midfielder.</t>
  </si>
  <si>
    <t>frustrating as he can pass the ball well but does not listen/does not talk - might aswell be 
from another planet - quite slow aswell. dont see him further up the pitch, another off  day after last week.</t>
  </si>
  <si>
    <t>turned up late and this may have effected him, awful first 10/15 minutes losing the ball
and giving away cheap fouls out wide. Limited impact in 2nd half.</t>
  </si>
  <si>
    <t>Couple shocking goalkicks, the first one lead to their openor - otherwise one of the better
perfomers for us - gave his all but passing was crap.</t>
  </si>
  <si>
    <t>on after 35, had about 3 touches in total. seems unfit and off the pace. offered nothing, the gap
between him and pierce of last week is obviously gigantic. Likely dropped this week.</t>
  </si>
  <si>
    <t>spoke to him about being composed but still played the game like a maniac, got about the 
pitch better than janam but didnt create anything to help us - passing woeful.</t>
  </si>
  <si>
    <t>lost the ball more than usual today but his holding up wasnt too bad, didnt hit the target
over 90 - sums up our day.</t>
  </si>
  <si>
    <t>gets credit for running himself into the ground despite playing very little football this season,
the usual jay - raw and some needless tricks but atleast pressured the backline at times.</t>
  </si>
  <si>
    <t>Sinjuns Grammarians 2s</t>
  </si>
  <si>
    <t xml:space="preserve">Ball sticks to his hands like glue. good distribution. Really is a great addition to the club. Reckon could be competing for 2s or even maybe 1s if they are ever without their keeper. </t>
  </si>
  <si>
    <t>Agressive oppo thats joint top of the league. Lost before new year to them but they have gaps in their armory. Started 1st half in a 3-4-3 formation to really stretch them and get them tired with our industry. This worked really well as boys worked hard and kept the ball well to get in at 0-0 at half time. Then switched to 4-2-3-1 to really take game to them as their legs were starting to go. They scored a goal from a set piece which the defender had to hands on the back of our player and should have been a foul as ref was calling them through out the game. We equalised few mins later with the gaffer making a direct run at their back line and pre called megs in lead up. Ball got into the mixer and georgey scored. Last 20 or so we had the more dangerous opportunities and other than a few saves and hitting the woodowrk we should have won the game. undefeated in 2024 (2 Wins/1 Draw) and need to carry on the momentum.</t>
  </si>
  <si>
    <t>Great aerial dominance and made him skipper in the absence of sean. He took it very seriously and is becoming more and more confident with every game. need to work on his distribution thats it.</t>
  </si>
  <si>
    <t>Played all along the back line due to personnel. RB no prob. CB no prob. Was just an absolute nightmare for the oppo attackers to play against. dominated them.</t>
  </si>
  <si>
    <t>Wasnt as good as his last game at RB but had his hands full with a tricky winger. still did well. obviously playing out of position at rb but has the attributes and attitude to play there.</t>
  </si>
  <si>
    <t xml:space="preserve">did better than previous outings but for a lad of his height and stature needs to be more imposing and lose the good boy attitude during game times. </t>
  </si>
  <si>
    <t>Industrious as ever. always looking for the ball and to link up with others. passing not as influential as previous games. plenty of running is standard with hal though.</t>
  </si>
  <si>
    <t>Brought on at half time to hold ball up a bit more as game was played at a quick pace. did well to get in dangerous positions. Need to figure out how to get more out of him and an ideal position to play him in.</t>
  </si>
  <si>
    <t xml:space="preserve">played along with hal in centre of the park. set pieces were on the money and was unlucky with a few of them as the lads just missed out some important touches. Good comms and linked up well with the other players. </t>
  </si>
  <si>
    <t>told him before the game lets bring it back to basics and link up with the boys and did better in that regard. need to do work with him in training on his positioning to be more impactful</t>
  </si>
  <si>
    <t xml:space="preserve">told me after the game he wasnt feeling his normal self and it showed but still put in a valiant effort. worked well and linked up well at times with the boys. took the game to them and got a well deserved goal. </t>
  </si>
  <si>
    <t xml:space="preserve">Not the alex of previous seasons in the sense of maybe age is slowly catching up. had a handful of chances to score but keeper did well and was also unlucky. linked up well with the lads and positive through out the game. </t>
  </si>
  <si>
    <t>busy body and real athlete. He can be a useful body for the 4s with his running outputs. just need to do some ball work with him and footballing IQ to bring him up to speed.</t>
  </si>
  <si>
    <t xml:space="preserve">Did well in bits but really needs to improve his awareness. can be agressive but needs to improve his understanding of positioning at times. An imposing figure at the back but needs to work on the other side of the game. </t>
  </si>
  <si>
    <t>Beacon Hill 1s</t>
  </si>
  <si>
    <t xml:space="preserve">Was so relieved when Chim put his name forward last minute, but he was so poor. 2 of the goals i reckon Lundie would have saved. Was too far off his line for their 2nd goal and was easily lobbed, and their 3rd was a good ball into the box, but it was in the 6 yard box which he should be claiming every day of the week, instead he was beaten to it by a young lad who was about 5'6". </t>
  </si>
  <si>
    <t xml:space="preserve">Not a great week for us, but trying to go with a stronger squad probably dented our usual cohesion. They dominated, but didn't really trouble us a great deal, just finished their few chances. But we just couldn't get the ball in their final 3rd and cloesest we came was a header that hit the bar from a corner. Just write it off as a bad weekend and concentrate on the league. Happy to be out of that bastard cup though, we shouldn't be travelling 90 mins for games. </t>
  </si>
  <si>
    <t>Poor from Chris today, lots of misplaced psases and touches, and was easily beaten numerous times, granted the guy he was marking was probably 15-20 years younger. Maybe he's better at RB</t>
  </si>
  <si>
    <t xml:space="preserve">The better of the CBs, still comfortable on the ball and talks well, is a good lad and never negative. </t>
  </si>
  <si>
    <t xml:space="preserve">Really disappointed in Will this week. Coulnd't hit a pass to save his life for the first 25 mins, and was being mouthy as fuck to Tam, including the phrase 'You're not in the 2's any more' which just wasn't needed. Subbed him off at 30 mins and when i tried to put him back on at 60 he said he was injured, not sure if that was real or just covering for his bad performance. </t>
  </si>
  <si>
    <t xml:space="preserve">Love Tam. Gave a good talk in the changing rooms before hand and led on the pitch. Was penned in at LB but was restriced from poor LW who wouldn't come and get the ball off him. </t>
  </si>
  <si>
    <t xml:space="preserve">Alex is such a good technical player, but too often is playing for himself and not the team. Has beautiful moments of dribbling but does too much and loses it or doesn't pass when it's needed. Think maybe it might be worth converting him to a winger so he can use his dribbling skills, and not worry as much about his passing. </t>
  </si>
  <si>
    <t>Best technical player in the team, as always. Nothing amazing today though, but was difficult in the circumstances.</t>
  </si>
  <si>
    <t xml:space="preserve">An average performance from Will, got stuck in well and led well on the pitch but nothing game-changing. </t>
  </si>
  <si>
    <t xml:space="preserve">40 minutes late so dropped him to the bench. Was alright in terms of the team level, but was very negative on the pitch. Not sure he deserves to be in the 3s but we're low on wingers. </t>
  </si>
  <si>
    <t xml:space="preserve">Nice lad Alex, didn't stand out on the pitch but low on form at the moment i hear. Ran well and obviously a good player, would happily have him again. </t>
  </si>
  <si>
    <t xml:space="preserve">Nothing much from Alex today, tried to play him as a false 9 to drop in and get the ball to release the wingers which he did well, but just coulnd't get in the game otherwise. </t>
  </si>
  <si>
    <t xml:space="preserve">MOTM Max Watson, came on at CB then moved to RB and was really good. Dominated in the air and super comfortable on the ball. Deserved MOTM. </t>
  </si>
  <si>
    <t xml:space="preserve">Not Lundie's day, couldn't control a thing, and never really had a chance on goal. Didn't play to his strengths as a target man admittedly, but was a very big pitch for him. He'll be back though. </t>
  </si>
  <si>
    <t xml:space="preserve">That's it, i give up on Harold. He runs well but has such a poor footballing brain. Doesn't know when to come short or go long, as was easily beaten to the ball many times by the full back. </t>
  </si>
  <si>
    <t>Always the easiest substitute which I need to get out of the habit of doing. Was good down the LW with good link up play and chance creation. Due to injury to Jonny Simmons played last 20 mins at CB and managed comfortably.</t>
  </si>
  <si>
    <t>What a win. Determination and Listening to instructions is what defines today. Before going into today I knew two things. 1. The ref was pedantic and loved dishing cards. 2. Dorking play a 3-5-2 and are a physical team. Both of these came true and we dealt with both very well. First goal came from a whipped cross from Will, Rich Jones wins the flick and Nathan B heads home at the back post. No more than 5 mins later, Nathan is straight red card for dissent towards another player. Not sure it was a red but as I said...pedantic. that forced us into a 4-4-1 which had the wingers drop in. Saw us into half time at 1-0. Mentioned to the lads that the way to win this now is to be smart, stay compact as the banks of 4 and allow them to have the ball before pressing together. this looked real shaky with only two midfielders and their third in the middle allowed them to get two in quick succession. 1st came from their winger beating lang and cb for pace and then slotting home. 2nd a freekick edge of the are which hit the stantion. Switched to a 4-3-2 to try and narrow it and play on the press. lads listenened to instructions and played them out with determination. 2nd goal came from a corner that Pash whipped in and RJ leaped to meet. 3rd George Connolly pass into RJ saw him slot it passed GK who had miscommunicated with CB. After that it was time to shut up shop. Long ball into channels, no messing about to see out last 5 mins.</t>
  </si>
  <si>
    <t>Lang back in action was good! had a lot of unfortunate times where the ball would bobble the other way but solid and certainly comfortable at this level.</t>
  </si>
  <si>
    <t>Very good today and looked solid for the whole 90 mins. Very versatile player but good to have around. Mistake for their first goal between him and Lang but tough when a player down.</t>
  </si>
  <si>
    <t>Unlucky for Jonny getting injured and really noticed him not on the pitch. When on he was solid and we didn't look like concedeing at all.</t>
  </si>
  <si>
    <t>Good showing from Dom, not the best defender but won majority of his battles and really drove the ball forward.</t>
  </si>
  <si>
    <t>I mean interesting given only played 30 mins. Was okay when on and scored a good flick goal from a Will French free kick that Rich Jones won. But can't lose his head and although probably shouldn't have been a red, did warn him of the refs tempremeant before.</t>
  </si>
  <si>
    <t>Very good from Will today, passing in first half was on point and created the chance for the first goal. second half some mazy runs but pulled up with an injury. Good leadership as he dropped into CB when needed.</t>
  </si>
  <si>
    <t>outstanding from Pash today. Incredible work ethic and good display of tactics asked of him. Two very inexperienced CMs next to him in final 20 and he sat in the three and kept the shape perfectly to the tactics.</t>
  </si>
  <si>
    <t>lifesaver going in goal. could've probably done better on the first, second was a rocket of a freekick not even Denver would save...</t>
  </si>
  <si>
    <t>Dominant performance from RJ. Another 3 goal contributions in a game which we may have lost without him. First header for Nathan's goal was extrodinary leap, 2nd header from the corner was dominant and third goal pounced on the mistake from GK and CB. All in All we lose today without him. Close 2nd for MOTM.</t>
  </si>
  <si>
    <t>A little bit better from Alex S today, still need to work out how he slots in to the squad but will work it out I am sure.</t>
  </si>
  <si>
    <t>Sean R was immense today in terms of running and tackling. Good to have him in, has told me he wants to play 4s until end of season but will pick him when available and have him next season for sure.</t>
  </si>
  <si>
    <t>Bit of a game changer with Hal on, especially with 10 men. Looked to be an out ball and a nuisance. He dropped off my radar a little when squad depth was good but can certainly play at this level.</t>
  </si>
  <si>
    <t>George Connolly also didn't dissapoint. Ran loads, put challenges in and exactly what you need when down to 10. Certainly not as technical as someone like Will F or myself but makes up for it in speed and determination. Had to go into CM and looked a little out of place but understandable.</t>
  </si>
  <si>
    <t>Couple of good saves but still struggling with other parts of his game like calling for the ball
and being confident enough to race off his line when needed. kicking ok.</t>
  </si>
  <si>
    <t>Was really worried about the dent in morale this fixture could of caused. Already lost 5 - 1 to em and had our weakest 14
of the season, playing top of the league who are scoring goals for fun - turned out it wasnt too bad.
Started with 2 holding mids to try and contain the oppo as much as possible, but found ourselves 2 nil down  after 25 mins - An O.G
and an aimless loose pass undoing us - Calum Edwards the culprit both times. We were however holding our own without creating much.
Raj late/latest yet again meant he started on the bench when he would of got a full 90, instead Afnan played 45 at RB and was probably the 
weakest point for us which they exploited several times in the first half. No goals in the 2nd half but some resilient defending and decent phases of 
play give us some confidence going into next saturdays game which is probably a 50/50 fixture if availability is decent.</t>
  </si>
  <si>
    <t>did well, had plenty to do and one of the few who doesent seem to rush when on the ball - 
the issue we have is when we pass across the back we often lose it on the next pass such is
the lack of technical ability in the 6s.</t>
  </si>
  <si>
    <t>on just before ht, tried to put himself about without having much effect, had very few touches
against a good midfield.</t>
  </si>
  <si>
    <t>did ok in his battles vs winger overall but his distro is mostly terrible - a right footed player
who says hes better as a left back but it means his passes often go out for throws.</t>
  </si>
  <si>
    <t>was direct and won some good battles without producing end product. He's more effective as a defender
than an attacker in my opinion but my hand was forced here.</t>
  </si>
  <si>
    <t>played as a box to box cm for most the game and was a good engine for us here. won
his share of headers despite being one of the smaller guys on the pitch and got a deserved motm.</t>
  </si>
  <si>
    <t>dcm for most the game, not as involved as much as i'd liked but one of the more composed 
bunch which is what we're lacking - think I had our only 2 efforts at goal.</t>
  </si>
  <si>
    <t>not his day at all, an own goal and then a wreckless pass to their striker for him to assist a 
tap in. bit panicked on the ball at times but as always he had some decent moments winning battles.</t>
  </si>
  <si>
    <t>First game in ages and started as the 9 - did better than I expected. He can't move but did
win a couple physical battles vs the CB - off after 70.</t>
  </si>
  <si>
    <t>MIA again. fitness is way off and not vocal - barely had a touch after coming on at HT in CM.
very quiet compared to start of the season.</t>
  </si>
  <si>
    <t>seems like a responsible switched on guy but constantly late - getting fed up of it, means I have
to delay team talk etc. On after 45 and did better than Afnan, so very frustrating we didnt get 90 out of him.</t>
  </si>
  <si>
    <t>Hasnt played in a while and it showed, alot of his actions were rushed. Hooked and then on for last 15
were he played much better. Plays the game on mute which I dont like.</t>
  </si>
  <si>
    <t>Did ok, there is a decent player in there but needs better players around him as he gets
isolated. Always puts a shift in but no end product today.</t>
  </si>
  <si>
    <t>Struggled to fit him in anywhere but Raj's lateness made it an easy one. very timid in challenges and 
rushes things. tbf was his first stint at rb, but it showed. Turned up on time for once.</t>
  </si>
  <si>
    <t>Wandsworth Borough 1s</t>
  </si>
  <si>
    <t>Good job John was decent or this could have been embarassing. Multple saves some top draw.  Good handling, good on crosses.</t>
  </si>
  <si>
    <t xml:space="preserve">The worst performance I can remember in years. Completley outworked by a very industrious team.  Gonne were the main features of the season of hunting the ball back when lost, back line was all over the place and we couldn't string passes together at all. We started off on the back foot and this was not caused by any creative play from the oppo, indeed through the game the most creative player they had was ourselves.  Time and time again giving the ball away cheaply in poors areas and leaving us exposed.  We went 1-0 down after 20 mins from some horrendous defending, we gave the ball away cheaply in the final thrid, we then had 4 players stand off the man on the ball allowing him down our right side, he picked a short cross our for the CF to nod home, 2 men stood either side of the CF.  So poor.  </t>
  </si>
  <si>
    <t xml:space="preserve">Poor, similar to Theo saw a lot of the ball.  Usually so comfortable either roating or pingin a pass into CM.  Lots tackles he never loses. </t>
  </si>
  <si>
    <t xml:space="preserve">Poor first half going across his CB's.  At one stage flew into a head from a throw going passed Theo and Jamie, ridculous. He lost the header and was balied out by Crowe.  Took liberties on the ball too often and playing out was slow. </t>
  </si>
  <si>
    <t>Saw lots of the ball but used it poorly. 4 hoofs staight through to keeper. Multiple times hit out of play.  Easy passes were on or bouce passes if he wanted the ball back which seemed like he didnt</t>
  </si>
  <si>
    <t xml:space="preserve">Really poor game, lack of training has been showing last few games and completley hit a wall here. So many backwards touches when the space was there for him to run into. Game summed up oin final min chasing an equaliser throwing the ball backwards to Jarvis inside the box with easy forward options available. </t>
  </si>
  <si>
    <t xml:space="preserve">Was physically outmatched by their LW, couldn't keep up with him pace wise either.  Offered very little going forward and stuck in 50/50 mode undecided to attack or leave the man to Crowe. </t>
  </si>
  <si>
    <t>Not terrible but a bit non exsistant</t>
  </si>
  <si>
    <t>Gave the ball away far too often in CM.  Switched to RWB in attmept to tie up their LW.  Did so to better success than Seb but still allowed a fairly average player too much time.</t>
  </si>
  <si>
    <t>Body language shocking, work rate terrible.  Didn't produce anything going forward</t>
  </si>
  <si>
    <t xml:space="preserve">Poor game, lost ball in final 3rd far too often.  Gifted 2-0 goal in last minute attempting to take a player on in our own area. </t>
  </si>
  <si>
    <t>Looked like he had his boots on the wrong feet.  Constantly gave the ball away, only chased back when shouted at.</t>
  </si>
  <si>
    <t>Came on and instantly gave us some control in midfield roating the ball.  He was great but the people he passed the ball to constantly let him down.</t>
  </si>
  <si>
    <t>Got stuck in but didnt get any service.</t>
  </si>
  <si>
    <t>Not great, started off OK at CF.  When took a CB off with a view to getting 3 on at CF hugged the left touch line despite instructions to stay narrow and have the FB do that</t>
  </si>
  <si>
    <t>Old Suttonians 2s</t>
  </si>
  <si>
    <t xml:space="preserve">Helped out yet again in nets. Secure hands and decent kicking. Communicated well. Lucky not to get sent off with a last man challenge outside the box on their striker. </t>
  </si>
  <si>
    <t xml:space="preserve">Not a game where we played our best. few key players missing and couldnt play our normal style of build up play footie. 1st half both teams were sussing eachother out although there were oppportunities, not too much to comment on. They were fairly agressive on the lads. 2nd half game livened up. momentum was more with us. Lundie came on last 20 or so up top and helped get the team up the pitch and got an assist also. They conceded with 15 to go. We still had opportunities but game was fairly tight and 1-1 was fitting. Need to have a chat with the lads at training to really get more out of them on saturdays, Need to up football IQ and understanding. </t>
  </si>
  <si>
    <t xml:space="preserve">Filled in at cb as deji was late and did well there. Won some of his duels and linked well with other cb, </t>
  </si>
  <si>
    <t>Won majority of headers and feel like cb could be hist best position depending on personnel but up for a battle. Maybe technically not the best but makes up for physicality.</t>
  </si>
  <si>
    <t xml:space="preserve">Hes off his form a little. Misreads the flight of the ball for headers at times and needs to be more switched on. </t>
  </si>
  <si>
    <t>fit lad. filled in at rb and did well there.</t>
  </si>
  <si>
    <t xml:space="preserve">Eccentric on the ball at times and needs to calm down with the ball at his feet. does put himself about and is passionate for the game. </t>
  </si>
  <si>
    <t>Him having played a handful of games all season shows as his touch at times was off and doesnt like to get involved in the ugly side at times. He needs minutes but with season coming to a close soon needs to pick up fitness.</t>
  </si>
  <si>
    <t>Took a meaty challenge 1st half which hindered somewhat and tight hammy. linked up and played some intricate passes but not able to influence with a goal or assist. needs to get in to groove for remainder of games</t>
  </si>
  <si>
    <t xml:space="preserve">thought he had turner a corner based on watching him at training. However is passive during game times and doesnt influence. passing not the best and touch was sloppy. </t>
  </si>
  <si>
    <t xml:space="preserve">told him before the game want a big performance and he did better with his contribution and passing. got a tap in goal from a selfless pass from lundie. </t>
  </si>
  <si>
    <t xml:space="preserve">played him up top as a target man. did ok. held up well with back to goal. but hasnt got the pace to turn a man and be off. but linked well with the boys. </t>
  </si>
  <si>
    <t>brought on at half time. gave us energy on the wings and pushed team up with his runs. but really needs to work on his end product. some wayward passes and crosses. but good signs from him. need to fine tune him.</t>
  </si>
  <si>
    <t xml:space="preserve">turned up 10 mins before kick off. bought him on after 20 played in cdm as couldnt keep the ball in the middle of the park. did well to bring calmness there but mobility wise didnt get stuck in. won some of his headers but not the legs needed there. </t>
  </si>
  <si>
    <t xml:space="preserve">was itching to come on as we were a player down. gave him last 20 or so and helped out with an assist. </t>
  </si>
  <si>
    <t>Wandsworth Borough 5s</t>
  </si>
  <si>
    <t>Harrison Woolley</t>
  </si>
  <si>
    <t>Brent 1s</t>
  </si>
  <si>
    <t>Kim Jaeyoon</t>
  </si>
  <si>
    <t>Old Ignatian</t>
  </si>
  <si>
    <t xml:space="preserve">Good pen save, good game.  Just usual craziness of him calling "head away - keepers" causing unnessesary confusion. Good sweeing and kicking. </t>
  </si>
  <si>
    <t xml:space="preserve">Decent showing which was at times very very good. 15 minute period where our concentration and energy levels dropped off a cliff when 3-0 up, gifted them 2 really poor goals.  Reacted well and the game was seen out with very little drama, scored to make it 4-2 pretty much straight away.  Really should have had more, oppo were wide open combination of poor finishing and comical refereeing limited us to 4.  Started very brightly indeed, felt like the lads have been waiting ages to correct mistakes of the last game.  Despite the pitch being poor we trusted each others ability to control the ball and moved the ball well.  Oppo set up in 4-3-3 this time around, in our build up they were extrodinarily narrow down their left hand side. Seemed to be a deliberatle ploy to filter play down that side, really really bad decision as Ollie just carried the ball time and time again, causing absolute carnage. Josh linked up well causing the overload where the space was, first goal came from this, Ollie carried the ball, Josh down the right, cut back and pinged a ball across the face of the 18 yard box to find Plats who controled well, was 1v1 with LB 18 yards out, sat him on his arse and rammed his finish into the corner clinically. 2-0 came quickly afterwards, for me the most pleasing goal of the season for more than one reason.  We have a really bad habit of stop playing if a decision has not been made / ball goes out etc.  The ball right next to me went out by a long way but the ref waved play on, we played on but the oppo did not, 3 of the out of the game, Ollie found Matt in CM who quickly realsed Plats down the inside right chanel, Plats won the race to the bouncing ball , with the covering CB bearing down on him he hit a first time lob from 25 yards out over the keeper who had expected a touch and possible 1v1, ball bounced in just the right spot for it to find the roof of the net.  Oppo going mental about the ball gone out, so poor of them to stop playing though and so pleased that we have got rewards for playing to whistle and hopefully this benefit will see an improvment in this area now.  The period from 20-45 mins we really should have killed the game.  Was one way traffic we hit the bar twice, the post once, had multiple stupid offside decisions given against us when 1v1.  Had the same here last year, absolultey comical claims from defenders stepping up after the ball was hit.  One occasion Plats skipped in past the LB and had the 2 CB's in front of him to beat, called back for offside.  Ref clearly knew he had messed up for the goal and looking to even up.  He cost us at least 3 1v1 with the keeper and the one sided decisions continued.  About 5 to go in the half, nothing ball played back in after their corner going through to John, Aaron got his body in the way of the striker trying to get the the ball before John, striker then threw himself into Aaron and then to the floor.  Was getting nowhere near the ball and it was simulation forcing the contact, ref waved it off, we played on.  About 10 seconds later he awared a pen, never seen a pen given so long after and the claim was so weak.  John made a comfortable save form the pen, stayed in postion as he practises giving nothing away for free, their player didnt make the best contact and John saved easily down to his right, may have looked easy but in holding his ground and forcing the player into a decison  he earned himself a routine save. 2-0 at half time, energy levels were good, message was to not over play though, at times we had wanted to make extra passes in CM or take an extra touch, it was not needed with the space down the wings. Second half they had wisely decided to offer their LB some protection, in the form of a very industrious player, they still had a narrow block but he shuffled out quickly to engage if the ball went to out RW.  This only limited the effect Ollie had on the game though as he still beat his man and got up up the pitch.  The switch was also on from left to right and this is where the thrid goal came from, again Josh spotting the sapce and floating to that side, he whipped in a great ball in behind the CBs between the 6 yard box and pen spot, Plats was racing onto it, defender realsed he has to get somthing on hit, he did and buried it into the net on the strech. Crowe has messaged me in the morning saying his back was in bits, it was touch and go in the warm up but seemed OK in the game.  Really couldnn't justify risking him being out for the upcoming games so brought on Luke immedailtey at 3-0.  Yemi slotting into RCB in a reshuffle.  This really was such a poor period of play for us and could have cost us.  A nothing hoof from a free kick on the half way line landed on the 18 yard box, Yemi and Aaron went for the same ball and both lost it, Yemis man then ran off him getting the flick down and finishing well with the 1v1.  Terrible terrible goal to conceede, our set up and application from long ball is usually so good.  Their tails were up and scored another from a wide free kick, Yemis man again although he jumped with him and in fairness was a great header, foul to give the free kick away was needless. From the kick off the ball went to Yemi who then underhit a back pass to John and almost gave up a 1v1.  His head was all over the place, body language was so poor also.  I readided Crowe to come back on and also threw a rocket at Yemi, response from Yem was spot on.  He had such a good first half and just needed to snap out of whatever was happneing to him.  They targeted him and he showed his character.  We scored for 4-2 right away, Plats on the charge was fouled in the box for a stonewall pen, Jarvis slotted home.  Oppo sort of worked out they couldn't break us down from open play so constantly looked for long balls and to win free kicks / throw ins to load the box. With Yemi back in beast mode we dealt with this easily for the rest of the game and picked them off time and time again.  Missed a laod of chances in the last 10 mins, Luke the simplelst of the all, 1v1 with a not great keeper, cut back on right rather than apply easy finish with left allowing the keeper to read it and save. Decent win but not without areas we need to put right. </t>
  </si>
  <si>
    <t>Didn't look to be moving too well in the warm up at all.  Was a big worry going into KO, think if they had a player better onm the ground and was quick then he could have been in bother.  As it turend out he had a number 9 type playing off the left to contend with.  So lots of long balls to deal with which he ate up.  Fitness needs to be monitored.</t>
  </si>
  <si>
    <t xml:space="preserve">One mix up with Yemi for goal, pen he conceeded was comical.  Very good other than that and looked comfortable. </t>
  </si>
  <si>
    <t>I remeber Jamie making a very good tackle in second half stopping a counter from a corner.  Cant remeber any of his game other than that.  Good sign for a defender, clearly was always in shape and nothing got passed him.  At home LCB.</t>
  </si>
  <si>
    <t xml:space="preserve">Exceptional first half, collected the ball from the CB's / CM's and got attacks moving.  No goal involvements but very good game.  Would have been MOTM I think without Plats super show. </t>
  </si>
  <si>
    <t xml:space="preserve">Not as dynamic as Jamie at LWB but brings a composure on the ball that few others can.  Good game but want to see forward more.  </t>
  </si>
  <si>
    <t>Excellent at times, caught on the ball too easily at times.  Seemed to be looking for the complicated option too often, with oppo leaving gaps wide and the quality we had exploting the spaces it was just a case of getting the ball there quicker.  Caught too many times in oppo CM trap.</t>
  </si>
  <si>
    <t xml:space="preserve">Unfortunltey errors at CB drag his score down.  Was really good in CM partciularlly off the ball and stopping counter attacks. </t>
  </si>
  <si>
    <t>Not at his best - 2 assists.  His demeanor worries me, one pass doesn't go his way and the world has ended.  Class is undeniable, floated to the wings causing overloads.  Wasnt great when asked to go into CM, have trusted him in there before but let the shape go here.  I feel with a better oppo he wouldn't have done this.</t>
  </si>
  <si>
    <t>So desprerate to make up for the last game and did so. The 2 early goals set the tone, both great finsihes.  Didn't get involved in build up and just stayed on the last man.  This offered space to others.  When he was invloved it was always with a cutting edge.  Assist for pen.  Top showing</t>
  </si>
  <si>
    <t xml:space="preserve">Not great. Usual class was missing, stopped playing too often. Took the pen well. Big games coming up and confident he will deliver. </t>
  </si>
  <si>
    <t xml:space="preserve">Great to have back, looked sharp.  There is nobdy better at wining a ball back after we have just lost it.  Pinned them in on the right wing causing long periods of pressure. </t>
  </si>
  <si>
    <t>Decent showing, been struglling slightly with foot injury.  In a period where we were looking to see out the win great to be able to bring on, go long and keep ball up pitch.</t>
  </si>
  <si>
    <t xml:space="preserve">Hes struggling a bit and sort of stuck a cycle.  Need to have him sharp as impact sub, in not getting mins seems rusty.  Really poor 1v1 miss and keeps getting caught offside needlesly. </t>
  </si>
  <si>
    <t>Shene Old Grammarians</t>
  </si>
  <si>
    <t>good to not have to worry about going in goal but not a good quality goal keeper. made a mistake for the goal and nearly cost us the game with mistakes.</t>
  </si>
  <si>
    <t>4-3-1-2</t>
  </si>
  <si>
    <t>A draw in the biggest game of the season so far. We made them look very good and should have come away with 3 points for sure. We descended to their long ball gameplay which resulted in their 2 goals. First goal came from mistake from Oli Barton letting his man have enough space for the strike. 2nd goal mistake from Rich R not coming and collecting the ball.</t>
  </si>
  <si>
    <t>okay again, first sub off the pitch and back on at LW. beat my man every time in the 2nd half but people are allergic to passing left it seems/</t>
  </si>
  <si>
    <t>okay at times and battled well with a tough striker, got bullied a little bit at times by him.</t>
  </si>
  <si>
    <t>not what I expected from Tam. Was expecting a dominant performance but far from it unfortunately.</t>
  </si>
  <si>
    <t>okay today, only got a half and did well at Rb/RM. has asked to play CM so will drop him to the 4s.</t>
  </si>
  <si>
    <t>Good battle from Pash today as always, clinically important in the CM role</t>
  </si>
  <si>
    <t>Good to have Nathan N back from exams, consistently running for the team and strong battling.</t>
  </si>
  <si>
    <t>stronger battle from will today than normal and crazy 30 yard goal whilst in a 50/50.</t>
  </si>
  <si>
    <t>one of the lower performances from Dan R, pitch width probably didn't play to his strengths which is understandable.</t>
  </si>
  <si>
    <t>good to have Rob E back. aggresive in the forward play. Still a little 1D in his ability and fails to take on advice. scored the second at the back post.</t>
  </si>
  <si>
    <t>worst Rich Jones performance in a while. Not much for him up there, think 4-3-3 would work better for them but struggling to fit both him and Rob E in.</t>
  </si>
  <si>
    <t>Mistake from Oli cost us the first goal, will have Lang back in there if he wants next week.</t>
  </si>
  <si>
    <t>Poor from Alex S. Part of me wants to drop him down to the 4/5s to let him score some goals and may, with advanced warning, for his confidence.</t>
  </si>
  <si>
    <t>very good from Billy King. Will pick him next week if availability permits.</t>
  </si>
  <si>
    <t>Royal Sun Alliance</t>
  </si>
  <si>
    <t>good steady hands and comms.</t>
  </si>
  <si>
    <t xml:space="preserve">Culmination of hard work through out the season came to fruition with this performance. Beat top of the league and took their invincible season. Still undefeated in 2024. 2 draws and 3 wins. toughest games out of the way and should go on to win majority of the games remaining. 1st half had real energy through out the team and pressed all over. They didnt get to settle on the ball and we were 3 nil up inside first 40 mins with some lovely passages of play. 2nd half carried on the form and got 1 more 10 minutes in. Conceded an absolute thunderbolt goal from their player and they played more direct and piled pressure on. coceded 2 more goals due to the pressure but kept our heads last 10 minutes for a deserved win. proud of the boys. However wished we didnt concede the goals as were chipping away at our goal difference thanks to martins first 3 games he played for us. </t>
  </si>
  <si>
    <t>not the most agressive but just a presence at the back and calm on the ball.</t>
  </si>
  <si>
    <t>asked him to do a man for man on their main striker and was just constantly chipping away at him and just kept at it.</t>
  </si>
  <si>
    <t>good outlet at rb and took his goal well.</t>
  </si>
  <si>
    <t>tactically sound and good engine. communicated well with the boys.</t>
  </si>
  <si>
    <t>battled well. well taken goal. few wayward passes. good day from the skipper</t>
  </si>
  <si>
    <t>Fabio Teixeira</t>
  </si>
  <si>
    <t>first game for OTs. wasnt able to transfer over his traning perfromances. few missed place passes and incomplete dribbles.</t>
  </si>
  <si>
    <t>decent set pieces and marked out their talisman and took him out of the game and made him ineffective. subsequenlty he came off injured after a few "late" challegnes on him. di ok</t>
  </si>
  <si>
    <t>best game of the season so far. all the man management and talks with him finally have paid off. was highly effective. 2 good assists and well taken goal.</t>
  </si>
  <si>
    <t>pressed well and worked hard. had a few chances to score but heavy touches. worked hard and battled well.</t>
  </si>
  <si>
    <t>scored a goal and made effective runs down the wing. switches off at times during transitions but will be able to address that.</t>
  </si>
  <si>
    <t>came on at half time and did well. passing was ok and pressed ok. nothing that stands out</t>
  </si>
  <si>
    <t>has good energy and pace but decision making slightly irratic at times.</t>
  </si>
  <si>
    <t>Old Guildfordians</t>
  </si>
  <si>
    <t>At fault for niether goal but a couple of shakey moments- got tackled after a pass back and resulted
in them hitting the post. Unfotunately doesent instruct the backline and dont think he ever will at his age.</t>
  </si>
  <si>
    <t>Very similar to last game, 0 - 2 after 25 minutes and then a fairly even goaless contest after that.
would have liked to have seen how things went had we got in on level terms at halftime as to me this didnt
look lik a team that are 2nd in the league, they were fairly decent in midfield but created little overall. Issues for us is we now
havent scored in 3 games, concerning but had plenty of chances to net on Saturday; just need more composure in front of goal.
If we cut out the silly indivdiaul erros against the same team next week i'd be confident we can win the game - however will likely
shuffle the deck a little bit to give others a look in pending availability.</t>
  </si>
  <si>
    <t>turned up after kickoff. some excuse about traffic so only played 2nd half- shame as he looked
good at center back - maybe overplayed a little at times.</t>
  </si>
  <si>
    <t>head drops too much after we concede, dont remember any stand out moments from him - 
barey a 6s level defender in truth - asked to come off after 55 mins.</t>
  </si>
  <si>
    <t>captain for the day playing cm - ran hard and left it all out there but would of liked more
effect from him going forwards</t>
  </si>
  <si>
    <t>standard right back performance, never felt comfortable when the ball was played to him.
asked to come off after 65 mins - wasnt injured, just didnt fancy it. no remorse wen he is in the pool nowl.</t>
  </si>
  <si>
    <t>started cm, expected more quality off him to be honest. corners were very good however.
might be worth a look at fullback as id opt for fripp in cm it both around on saturday.</t>
  </si>
  <si>
    <t>better than i remember, gets up well with play at LB and supports well, something we've lacked
from fullbacks who dont understand the game very well. Some moments of Agg but played on
despite back pain which was handy.</t>
  </si>
  <si>
    <t>stood out by a long way - should of started in hindsight but wanted to reward timmins
motm from last game. fitness seemed to be on a higher level than the rest, and his direct
running opened up chances for us in 2nd hlf</t>
  </si>
  <si>
    <t>underwhelming from him, used to seeing more - maybe age is catching up - also he doesent
do any football in the week. passes were wayward and plays backwards too often when we were
chasing game.</t>
  </si>
  <si>
    <t>came on at  HT - didnt get a team warm up in amongst pre-game chaos and wanted to
have a look at less familiar players. didnt have the impact i wanted, underwhelming today.</t>
  </si>
  <si>
    <t>gave him a chance out wide, both left and right - a couple of ok touches otherwise not very
productive in possesion - clearly new to football and delays the pass by 5 seconds it seems.</t>
  </si>
  <si>
    <t>first game in a while and it showed, missed a great chance from 10 yards to put us back in the game
but he'll be alot better for his 75 minutes. rusty on sautruday.</t>
  </si>
  <si>
    <t>did a job at CB with kai being lack and was gennerally ok, although does the usual ade thing
of trying to take on the center forward rather than just hooking. back on at cb after peter went off.</t>
  </si>
  <si>
    <t>started really well in the first half linking up with josh to create chances - made good runs.
second half he dropped off ad got greedy in desperation for a goal.</t>
  </si>
  <si>
    <t>Worcester College Old Boys</t>
  </si>
  <si>
    <t>Didn't have a lot to do, but should have kept a clean sheet. always great to have chim in the sticks though</t>
  </si>
  <si>
    <t xml:space="preserve">Started off 433 due to the options we had we were terrible, couldn't string 3 passes together, struggled to make any chances, oppo were outplaying us. alex mansfield scored a cracking goal against the run of play just before 30 minutes which helped calm us down. Moved to 442, bringing on micah on and putting alex D as false 9 / 10 role, made a huge difference, with his energy in that position he allowed Micah to be 1 on 1 with their CB - we released him twice on the left, with him making 2 great passes to corey who slid 2 home from the right hand side. Paddy then put corey in who scored a identical goal, 4-0 game over. they scored a scrappy goal from a corner that chim should have claimed really (flapped at it, missed, easy header for 4-1 in an open goal. Was great to get back to winning and scoring goals. 442 is definitely our formation. Special mentions for Dom Robbins and Max who were excellent at the back. </t>
  </si>
  <si>
    <t xml:space="preserve">Until Corey got his 3rd, Max was my MOTM, he was aggressive, won every header, put himself about - great display from him on Saturday. </t>
  </si>
  <si>
    <t>turned up 35 minutes late so had to start on the bench, with billy playing CB - did a good job when he came on though, standard performance from henry.</t>
  </si>
  <si>
    <t xml:space="preserve">sebs got a solid right foot on him, gets stuck in and defends well. next level for him in my opinion would be better composure on the ball and more communication, e.g. being able to pull the strings of a game from RB. </t>
  </si>
  <si>
    <t>2nd game I've had dom, thought he was excellent again. Happily have him on a more regular basis.</t>
  </si>
  <si>
    <t>did his usual of going round players really well, but felt struggled first 30, took him off and brought him on last 30, didn't see him make loads of contributions though. Not sure how to get the most out of him.</t>
  </si>
  <si>
    <t>not his usual 2's performance where he completely dictates the game, was better 30-60 minutes in 442 though, held the centre well with billy.</t>
  </si>
  <si>
    <t>Didn't stand out today, cant remember much he did well or wrong at the same tie.</t>
  </si>
  <si>
    <t>Paddy Troy</t>
  </si>
  <si>
    <t xml:space="preserve">started off badly, with seb asking who this guy is lol but got better as the game went on, loads of energy, put himself about and very nearly got a goal too, but got an assist which was deserved. </t>
  </si>
  <si>
    <t>have to say he was pretty poor first 30 minutes, lost the ball quite frequently and messed up a fairly simple ball that would have given micah a tap in - however banged 3 goals in with excellent finishes, great runs etc. - is most defintely not a back to goal player, but a great running on winger.</t>
  </si>
  <si>
    <t>in at the 10/false 9 role he was excellent, helped the team a huge amount, whilst it didn't make him stand out as a striker i found huge value in it. Never stops running</t>
  </si>
  <si>
    <t>did really we ll when he came on, should have had 2 goals and 2 assists - was very close when voting for MOTM. good to have him back.</t>
  </si>
  <si>
    <t>did a favour going in at CB when henry was late, did a good job, then solid in at CM when we went 442, coming off at 3-0.</t>
  </si>
  <si>
    <t xml:space="preserve">just back from injury, but played well as always, scored a cracking goal from nowhere to give us the lead. </t>
  </si>
  <si>
    <t>Honourable Artillery Company 1s</t>
  </si>
  <si>
    <t xml:space="preserve">No chance with goals, only 2 other shots on target to deal with which he did well. Good on crosses. </t>
  </si>
  <si>
    <t xml:space="preserve">Top of the table clash, massive crowd well over 100 people. Really top quality game, oppo are unreal and so proud of the lads. We were slightly the better team and of course frustrating to only draw when we needed a win. We left everything on the pitch though and could not ask for more. Still 7 games to go and a lot could happen. 
Playing on the main pitch at HAC meant silly narrowness and vs a high energy press we had to be adaptable and change up our game plan. Training was key to the performance, bounce passes, passes clipped over the press and round the corner passes key on the narrow pitch and all came into play. Harry Howat on the right wing for them is exceptional and has been embarrassing step 6 sides this season in the Surrey cup. Yemi was placed at left back in a 4-3-3 doing a man marking job, Howat is possible the best player in the league, Yemi is 100% the best 1v1 defender in the league and he completely nullified the threat. In attacks we looked to morph into our usual shape, Yemi instructed to stick his man and never overlap gave us our back 3, Dockers overlaps on every attack, with Josh overlapping on the left from his 10 position . All that said we still get nowhere without matching the oppos incredible work rate, which we did. 
We started fantastically. Luke was late so the move to bring Foxy off the bench and start the aerial bombardment was brought forward, only issue with this was Foxy only has about 50 mins in him, his presence was missed at the back end of the game. Immediately we drew them in thinking we were going to pass out but then either clipped over the top of their well drilled press or looked for Foxy. We went 1-0 up early, Foxy winning first contact, Plats found Dockers on the overlap, cut back, Jarvis on the move in the box applied the finish. As good a side as the oppo are their CBs are poor but are rarely tested. The old man continued to embarrass them and getting us playing in their half. The way we were set up the CMs were being asked to do an awful lot, getting up and down the pitch and at times having to shuffle out to help out the fb when the winger couldn’t get back on the transition. While this was the right move it did allow them to roll balls into their CF Chris Heritage more often than we usually allow. Heritage is absolutely superb at holding off his man and rolling him if too close. He held off and span Crowey which is not an easy feat, we recovered the situation in a scramble. Crowe was given instruction to stand his ground, we were better off dealing with the runners than letting Heritage spin in. On about 25 mins we got done on a transition down are right, they got into the box but Crowey was well positioned with the fella going nowhere, Crowey half dived in but stopped, the player made sure there was contact, personally think this is simulation but these days people seem to appalled this as smart play. Either way you look at it he brought the penalty. Howat stuck it away, only time in the game Yemi couldn’t get within 5 yards of him. Rest of half was full bloodied, they were laying in some wayward arms, they got the same back. We continued to stick balls on their back line from any free kick or long throw we got, winning most of the first contacts and getting 5/6 phases of play keeping up the pressure. We went 2-1 up from this. Crowey forward, Foxy made a nuisance of himself, ball dropped to Crowe who span and tucked away a great finish in the bottom corner from the edge of the box. 6 goals for the season for Crowe. 
Second half it was more of the same, Foxy had to go off early, his part in the second goal saw him land awkwardly on his neck. This changed our approach. It was balls to the feet of Plats and Luke we now looked for with Jarvis playing CF in his false 9 style (notepad time Staunts😃). Plats was having a stormer and the left back was in knots at the end of the game. Both teams had similar set up and tactics in terms of looking for the RW but our LB was absolutely immense. First half the Yemi tactic made it seem neither player was on the pitch. Second half when the spaces opened up Yemi was in beast mode, time and time again he mopped up as Howat looked to make things happen. We had plans in place for his Howat switched wings or went into the 10. All of them involved Yemi following him.  
Unfortunately they scrambled an equaliser, we failed to clear when he had the chance meant the attack stayed alive from a corner.  Nice finish. 
Both teams had further chances. Couple of balls across the 6 yard box from Plats that nobody was on the move for. Keeper also made 2 very good saves from Plats. John made a nice foot save and they missed an open goal. 
Great game, top effort. Lads left it all out there and couldn’t ask for more. </t>
  </si>
  <si>
    <t xml:space="preserve">Did very well Vs tough opponent. Spayed out some great balls and his GK background helped with the distribution on short to long. </t>
  </si>
  <si>
    <t xml:space="preserve">Mad game, ultimately top game. Conceded pen and got booked, also scored and was a menace in their box.  </t>
  </si>
  <si>
    <t xml:space="preserve">Flying performance, full of energy.  Lovely work for opening goal. </t>
  </si>
  <si>
    <t xml:space="preserve">Big game Billy. Superb showing, didn't delay passes as he has a habit of. Won so many headers. They have a massive CM who Billy took care of. Physical match up was key. </t>
  </si>
  <si>
    <t xml:space="preserve">Was caught on the ball a couple of times to my frustration. Broke the lines a couple of times as well. Battling off the ball superb. </t>
  </si>
  <si>
    <t>Very nearly a 10. In the context of what he was asked to do it was a 10. Think will reserve a 10 for a 5 goal haul or something. Pocketed a superb opponent from a position he has never started a game from. We had talked about this a lot in the week and he was worried. When instructed to not think about it as LB just as man marking it simple</t>
  </si>
  <si>
    <t xml:space="preserve">So so game. Always a threat. His negative body language is so frustrating though, things don't go his way and the world has ended. At times in spells he was unplayable, wasn't for long enough periods though and has to work out a way to keep himself in the game more. </t>
  </si>
  <si>
    <t xml:space="preserve">Roasted, toasted and deep fried his man. So unfortunate not to get on scoresheet. </t>
  </si>
  <si>
    <t xml:space="preserve">Very good showing from LW and CF. Goal well taken. Hold up and link up play very good. </t>
  </si>
  <si>
    <t xml:space="preserve">Superb showing allowing us to change up our game. Didn't give the CBs anything for free. </t>
  </si>
  <si>
    <t xml:space="preserve">Turned up late when supposed to start. Did OK at times, fluffed easy passes at times. </t>
  </si>
  <si>
    <t xml:space="preserve">Good impact with limited minutes. With Billy winning so many headers from both goal kicks was tough to get Keats on. When he did come on he threw himself at the headers even though not strong point. Good on the ball and made sensible decisions. Best 1s performance this season. </t>
  </si>
  <si>
    <t>Witan 1s</t>
  </si>
  <si>
    <t>Nothing to do at all, kicking was good and off his line well.</t>
  </si>
  <si>
    <t>very poor pitch, even worse performance. couldn't build on much in terms of getting the ball played. We never looked like conceding but equally didn't look threatening at all. Poor day but 3 points.</t>
  </si>
  <si>
    <t>part of a back 4 that dealt with duties defensively but struggled to support build up play at times.</t>
  </si>
  <si>
    <t>Best of the defence in getting the ball forward. dealt with his defensive duties well.</t>
  </si>
  <si>
    <t>2nd game in a row where I am not convinced with Tam's performance. Did okay defensively but struggled to impact going forward.</t>
  </si>
  <si>
    <t>difficult in the midfield of sand to be impactful. ball bobbling around a lot in there to be impactful.</t>
  </si>
  <si>
    <t>Looked to be the best of our attacking threat. again was levelled by the pitch but should've contributed a few assists.</t>
  </si>
  <si>
    <t>goalline flatters him but both count. 2nd came from him pressing and winning it back before rounding the keeper. Hopefully it builds his confidence.</t>
  </si>
  <si>
    <t>so so so poor. Detractor to the day rather than additive.</t>
  </si>
  <si>
    <t>very solid when on the pitch. Good to see him back in the squad.</t>
  </si>
  <si>
    <t>Broke lines very well. Forgets his defensive duties at times but other than that does very well.</t>
  </si>
  <si>
    <t>Powerhouse as usual but ineffective today with service. Holds the ball up well and battles strong</t>
  </si>
  <si>
    <t>Witan 2s</t>
  </si>
  <si>
    <t xml:space="preserve">good comms and kicking again. not too much to do </t>
  </si>
  <si>
    <t xml:space="preserve">fine form continues. pitch was extremely rubbish as they had sand on the pitch to counter the bad weather we'd been having and played a part in how we played. if the pitch was better would have been a much higher deficit in the goal. 4-2-3-1 formation gives us good balance in defence and attack and helps with quick transitions. Lads getting to understand one anothers strenghts and how to work to them. Also fitness and industry really good. As mentioned given that the hardest oppos are out of the way. I anticipate a clean sweep of games. Of course still have to play current top of the league in a few weeks which will be a true test of how far we have come. 1st half played well in phases. said to the boys if we get a couple goals in first 20 game will be done. We were up 3-0 inside the first 30 mins. 2nd half demanded more of the same from the lads but we sat off a bit rather than kick on. they scored a crappy goal to give them hope. we shad chances hitting the post several times. scored before the final whistle for our 4th goal. pissed off that we didnt get the clean sheet and that performance dropped off but need to be critical when were on a run of form on things to improve on. </t>
  </si>
  <si>
    <t>strong game from max. won majority of his headers and passing was better.</t>
  </si>
  <si>
    <t>better game from kevin although he does like a dribble every game and got caught on the ball but nothing came of it. made a few tactical fouls which i also liked.,</t>
  </si>
  <si>
    <t>good energy on the right hand side. passed ball well enough</t>
  </si>
  <si>
    <t>played him at lb. his rw didnt really offer much in terms of a threat. quiet day for him. throw ins was a strong suite of his.</t>
  </si>
  <si>
    <t>battled well. get the first goal and kept energy up in middle of the park.</t>
  </si>
  <si>
    <t>tried my hand and tinkering his position. looked comfortable in the middle of the park. given hes got a defensive mindset he did well in there but didnt release early enough a few times.</t>
  </si>
  <si>
    <t>was pinging balls in behind the opppo for our wingers nicely. unlucky to not get an assist.</t>
  </si>
  <si>
    <t>2nd game were his form has carried on. linking up better with players. considering hes fasting he displayed good energy levels. took him off for 15 to give him a breather.</t>
  </si>
  <si>
    <t>kims tehcnical ability has changed since last i saw him. might not have take things as serious as when he first joined but did play well and linked up well with the boys.</t>
  </si>
  <si>
    <t>unusual of george not to have goal influence. hasnt played for a few weeks and could tell. touch was slighlty off and over dribbled at times and played himslef in to trouble. worked hard none the less.</t>
  </si>
  <si>
    <t>effective sub. came on after 30 and scored with his first few toches. over dribbled at times also but accomplished on the ball. still has a few niggles which is why brought him off with 10 to go.</t>
  </si>
  <si>
    <t>doesnt really get involved too much. not the most imposing forward. had to play him as number 10 for 20 mins as i had to drop in to dcm. went missing for that phase. doesnt really comm too much. put him back up top last 10 and got the last goal of the game with a tap in from masoods assist.</t>
  </si>
  <si>
    <t>Old Guildfordians 2s</t>
  </si>
  <si>
    <t>did little wrong today, a save off his nose in the first half and then a near post 1 v 1 stop 
from a late oppo counter won him man of the match - still really unsure with anything above
his head height but luckily the effort they did have went a few inches over the bar.</t>
  </si>
  <si>
    <t>a point away to oppo we lost against last week should be a point gained but defo feels more 
like 2 dropped here. Fully expected us to win with the team we had out this time but
never got the breaks- ref gave an early soft penalty their way after the ball hit a defenders arm in the box, natural arm position but
he said something about flow of play, was quite bizzare - then denied an obvious one at the other end when you could hear the contact acres away.
0 - 1 down at half time and the message was to continue knocking on the door and keep the ball on the ground; despite creating more chances from this it was a poorly looped 30 yard shot/clearance (not sure) from Janam that should of been an easy catch for a solid keeper but he dropped it and the ball bounced up into the chest of pearl and then rolled over the line. Jack H had a decent chance to win it with the last kick of the game but blazed his  close range volley over the bar. Gutted and some of the oppo conceded we should of won the game but we were wasteful in front of goal - pleasing dominant performance none the less.</t>
  </si>
  <si>
    <t>not as electric as the last time he played for 6s but still really handy to have, rarely loses the ball
and does well in tight areas. was planning to move him from wide to central for last 15 to see what 
he could produce but ref blew the whistle way too early.</t>
  </si>
  <si>
    <t>mixed, still tenacious and hardworking but he has a bad habbit of trying to play a tight pass into
midfield when fullback is the easy option, has cost us a goal before and nearly again on sat.</t>
  </si>
  <si>
    <t>30 mins in first half and then last 15 in 2nd half - tidy with the ball and keeps it ticking - 
was a decent showing without anything major.</t>
  </si>
  <si>
    <t>full of running and some good drives forward with the ball where he shook off other cm's  - 
bit wasteful in the final 3rd however. typically used as a winger but think he enjoys cm.</t>
  </si>
  <si>
    <t>another one who doesent stop but less effective this week as the big pitch took it's toll on him, 
was massively annoyed with himself for blazing 2 over the bar but great desire to win 2nd balls.</t>
  </si>
  <si>
    <t>first game in a few weeks and it showed, ball got stuck under him a few times. missed a couple
decent chances, wanted to take him off for final 10 but game finished early.
 Good to have around as a vice captain.</t>
  </si>
  <si>
    <t>on for me at LB at halftime, did a fair job - was important we didnt lose the ball and give them 
a way in as they werent creating much through us and he stood up to the task and played some 
nice channel balls.</t>
  </si>
  <si>
    <t>on at HT- very erratic. constantly lumps the ball away as if it's on fire. Bizzarely got an assisit
next to his name as one of his punts upfield was spilled by goalie. was meant to play dcm
but only ever seen in oppo half.</t>
  </si>
  <si>
    <t>happy to play a part at LB given the options we had today. Solid I guess - corners werent up
to usual level on the guildford hills.</t>
  </si>
  <si>
    <t>a good partnership for Callum, the more techy/tidy of the 2 - the pairing did very little wrong
and unlucky not to have a clean sheet. he's good with the ball on the foor while callum challenges.</t>
  </si>
  <si>
    <t>typically consistent, rarely loses a 1 v 1. Gem discovery for 6s at right back hence he played 90 again.
isnt the cleanest in his forward play but content that he does what a full back needs to.</t>
  </si>
  <si>
    <t>on after 30 - hardworking - never been the most techy but will challenge for anything, even at his
age. probably use him again if possible - solid dcm.</t>
  </si>
  <si>
    <t>first game in 4 months he said - didnt really show signs of it til last 15 mins or so. Gave fullbacks on
both sides problems and won some good 1 vs 1. scored a tap in late on and denied a clear pen in 1st half.</t>
  </si>
  <si>
    <t>London Welsh 1s</t>
  </si>
  <si>
    <t>2 great saves to keep us in it. Volley tipped around far post and last min spread to block winger from slotting across goal.</t>
  </si>
  <si>
    <t>Started in 4-3-1-2 and struggled to control the game. They looked attacking and threatening but struggled to get into a position where they looked like scoring. 0-0 at half time. They started second half better as we adapted to 4-3-3, striker hit a volley that was thankfully saved. Ewan bagged in his own goal with a deflection that put them 1-0 up. 10 mins later he had made up for it by putting home a bouncing ball in 6 yard box. Should;ve come away with a result but Shene also drawing leaves us net neutral</t>
  </si>
  <si>
    <t>Average from Max, good in air but expected better.</t>
  </si>
  <si>
    <t>Was my MOTM. Dealt with a very strong striker up top and came out on top 90% of the time</t>
  </si>
  <si>
    <t>Okay from Jonny, some hospital passes here and there.</t>
  </si>
  <si>
    <t>Better this week from Tam, caught lacking a little but always recovered. Sometimes over commits on the left side and leaves us vulnerable at LB</t>
  </si>
  <si>
    <t>Difficult in midfield but when got it he looked really good.</t>
  </si>
  <si>
    <t>Only played a half and was worst in the midfield but respected that and came back on for Will.</t>
  </si>
  <si>
    <t xml:space="preserve">Not the best game today, expect much better from him. Hasn't been on it for a while. </t>
  </si>
  <si>
    <t>out of position and ran a lot but could have been so much more impactful.</t>
  </si>
  <si>
    <t>Unfortunately back to same old Alex, shooting with back to goal not setting the ball.</t>
  </si>
  <si>
    <t>Very good from Kim, stretched the play and was very impactful coming on as a sub at running at the full backs</t>
  </si>
  <si>
    <t>Net neutral from Ewan, Lobbed me for their first but went on to get the equaliser, very good in that midfield though!</t>
  </si>
  <si>
    <t>Expect a lot from him now and wasn't as impactful, shooting from silly angles and not setting the ball.</t>
  </si>
  <si>
    <t>good from Squidward, could've scored one but another impact when we went 4-3-3.</t>
  </si>
  <si>
    <t>Clissold Park Rangers 2s</t>
  </si>
  <si>
    <t>typical Martin, no consistency. motm last week then a terrible error this week - a freekick
down his throat from 30 yards went straight through his hands, didnt own it, made an excuse.
kicking poor but made one good near post stop.</t>
  </si>
  <si>
    <t>good performance for the most part; went ahead early in the game and then 2 individual
errors in the first half were punished. Joel tackled in the box and a free kick through Martins
hands. Didnt think too much of the oppo but chasing the game in strong winds and a terrible
sandy pitch was tough work, and they held on with few chances created by either team
in the 2nd half. The less said about the ref the better, from another planet.</t>
  </si>
  <si>
    <t>mature performance, best of the 3 cb's today - did little wrong in tough conditions.</t>
  </si>
  <si>
    <t>poor overall, shame as he started really well coming in for the 6s but constantly trying to over play
at the back when it needs to be hooked, getting us in trouble.</t>
  </si>
  <si>
    <t>nudged motm, some good runs up and down the pitch, won the battle vs winger.</t>
  </si>
  <si>
    <t>way off it, admitted he was bad - took him off at halftime. error for equaliser then lack
of care with just about everything else he did.</t>
  </si>
  <si>
    <t>played 1st half in dcm then RW for last 10. tied with robbo for motm but gave him the nod
so i suppose i did alright. assist for fripp.</t>
  </si>
  <si>
    <t>played the 2nd half, little involvement - did what he had to, no threat down his side.</t>
  </si>
  <si>
    <t>not one of his better days, struggled in the conditions, had one off the line where he maybe could of
done better.</t>
  </si>
  <si>
    <t>same as above, missed a tame 1 v 1 putting it straight at the keeper early on. found it hard
to get going i'd say although you can see some instances of quality in his play.</t>
  </si>
  <si>
    <t>drawn a blank now for quite a while - lack of pace is what hurts him as he rarely gets in 1 v1 -
still very good for winning headers/flicks ons but i'd like to see him poaching more.</t>
  </si>
  <si>
    <t>touch was good considering not been on pitch this season, should of had a nice assist
with a good through ball to jack in 2nd half. played 45.</t>
  </si>
  <si>
    <t>turned up late,came on after 35 mins or so in place of emi and didnt get much out of him - 
not as quick as he used to be, another one that struggled.</t>
  </si>
  <si>
    <t>off it today, looked like he had a late night, not the emi i'm used to - hesistated alot and hooked
in 1st half. very quiet, not sure if he had stuff outside of football on his mind but didnt impact game today.</t>
  </si>
  <si>
    <t>scored header from 6 yards after goalkpeer tipped my effort his way, some good running
and then injured at about 70' - good box to box player.</t>
  </si>
  <si>
    <t>Old Salvatorians 1s</t>
  </si>
  <si>
    <t>His worst performance for OT's .  Always has a nerevous energy about him but even more so for this final.  He started the game looking like he had already done 90 mins.  2 errors for first goal, big error for 2nd goal.  Kicking was poor throughout the game.  Crowd got to him.</t>
  </si>
  <si>
    <t xml:space="preserve">Aside from the Nottsborough game worst showing of the season at the worst possible time.  The qaulity was just not their and the lads looked nervous to play our usual game, far too often looking for long balls.  In the times we did try to build up it was far to slow and the ball was turned over in midfield far too often.  We got what we deserved with the oppo displaying far more passion for the occasion, a few of our players froze.  All that said we were on the end of some rotten luck as well as a horrendous refereeing display, clearly influenced by the crowd.  We went 1-0 up, Josh with a nice strike on the endge of the box following a wide free kick, Crowe winning first contact and Dockers kept the chance alive. Very soon after it was 1-1, John scuffed a goal kick puttting us under pressure, Crowe made a great covering tackle which took a lucky bounce stright to there LW.  He applied a poor finish that went through Johns legs.  We got our usual decision from Lorraine Stone running the line, now 4 goals she has incorrectly chalked off in 2 games we have had her run the line.  Plats played in by Jarvis who finsihed well but Lorraine as she does makes incorrect calls for offside, how she has been invloved in a 2nd final in 2 years is an embarassment. The goal for 2-1 it was the refs turn to be terrible, Yemi won the ball, he was hooked from behind, foul not given, the LW ran at the CB's he kicked the ball too far so threw himself to the ground, no contact but free kick awarded.  It was very central and far out but John set the wall up so he was not far from his right hand post, he left 85% of the goal to aim at and the LW simply lifted over the wall, not a lot of pace on it, John took a further step to his right giving himself an impossible task to get to it.  With correct positioning he doesn't even need to dive to get to the ball. Really poor. Changes were made to try to get us back in the game, we ended the game with Aaron and Yemi as a back 2 but never really threatened an equaiser. A day where everything seemed to go wrong.  Need to pick ourselves up for the run in. </t>
  </si>
  <si>
    <t>Very good and focussed from Aaron, took care of difficult CF</t>
  </si>
  <si>
    <t>Very good and unlukcy to be hooked throwing men forward.</t>
  </si>
  <si>
    <t>Decent and menace in oppos box</t>
  </si>
  <si>
    <t>Very good and mistake from me to not bring back on</t>
  </si>
  <si>
    <t>OK performance, got up and down the pitch well.  Would have liked to have seen further forward</t>
  </si>
  <si>
    <t>Caught on the ball too much.  Need to find the balance from him with his passing quickened up</t>
  </si>
  <si>
    <t>Gave ball away carelessly far too often.  Needs to look for bouce pass and return more, turns down blind allys too much.  Is the engine room and missed off the ball when not CM.</t>
  </si>
  <si>
    <t>Very good from Josh, one of the few who rose to the occasion. Really nice strike for the goal.  When we threw men forward at the end of the game had the energy to sprint back and was noticable how he was putting the yards in</t>
  </si>
  <si>
    <t>Did OK, good on the ball as always.  No goal invlovements which is a rarity</t>
  </si>
  <si>
    <t>Same as Jarvis, did OK but not at his best.  Goal incorrectly ruled out for offside</t>
  </si>
  <si>
    <t>Not a great game from Billy, so good against HAC, not sure what happened to him here.  Very slow on the ball, not able to get around the pitch as he did vs HAC</t>
  </si>
  <si>
    <t>Very little impact, slowed attacks up allowing them to get men back</t>
  </si>
  <si>
    <t>Good impact from Ollie, was not convicned he was fit hence the lower game time.  Perhaps should have gambled more with him</t>
  </si>
  <si>
    <t xml:space="preserve">kicked well and communicated well. not really tested or at fault for goals. </t>
  </si>
  <si>
    <t xml:space="preserve">Another win in the league to continue the form, performance was far from our best and made the oppo look good. 1st half 3-0 up in 30 mins and then standards dropped. soft pen given by the ref for dubious hand ball. 2nd goal scored from oppo was breakaway goal that could have been prevented. 3-2 HT. 2nd half scored goals again at will as they were not that great, then standards dropped as they scored another lucky goal. Its good that were scoring goals but absolutely preventable goals. glad to have the win but shocking perfromance. </t>
  </si>
  <si>
    <t>got tangled up too many times with their big boy up top. affected his performance slightly.</t>
  </si>
  <si>
    <t>rusty after not playing for a while. heading was good but a little slow to react at times.</t>
  </si>
  <si>
    <t>not as effective as his usual self. did ok.</t>
  </si>
  <si>
    <t>did ok at left back. wasnt really tested by the winger</t>
  </si>
  <si>
    <t>battled well not the best in distribution. got an easy goal from their mistake,</t>
  </si>
  <si>
    <t>needs to release ball a little earlier at times. did ok in centre of the park.</t>
  </si>
  <si>
    <t>was good on the ball and linked well. dead leg in first 15 mins resulted in coming off at HT</t>
  </si>
  <si>
    <t xml:space="preserve">wasnt as effective as his most recent games. energy levels a little off from what is expected of him. </t>
  </si>
  <si>
    <t>Hat trick from george to make up from no goal influence in the last 2 games. took his goals well and was our best player.</t>
  </si>
  <si>
    <t>did well on the flank. battled well last 20 mins. took his goal well from our corner.</t>
  </si>
  <si>
    <t xml:space="preserve">still unsure about fabio. doesnt translate his training perfromances over to 11 aside. need to work on him. </t>
  </si>
  <si>
    <t>came on as a sub after 25 mins. did well against their winger. needs to release ball quicker.</t>
  </si>
  <si>
    <t>Reigatians 1s</t>
  </si>
  <si>
    <t>OK game.  Couple of very good saves.  Continues with his terrible mixed calling causing confusion from conrers. Kicking into the wind wasn't the best.</t>
  </si>
  <si>
    <t xml:space="preserve">A decent showing but cant help feel we missed an opportunity to run up a few more goals as behind on GD at the moment.  Second half in particular where the oppo seemingly gave up defending at times. Had 3/4 times where we had large numberical overloads and didnt take the right shot / pass.  As in the first game oppo set up very deep and narrow looking for turnovers in CM.  As worked on in training in build up we looked where possible to push Crowe into CDM and getting Josh and Matt on his 45's and on the ball, Yemi to CF if there was a need to go lang.  This was the set up from GK's and we managed to do this a few times from open play such was the deep set up of oppo.  This was also the reason for Ollie starting ahead of Jamie who had done nothing wrong, Ollie got 3 assists and would have been MOTM if Jarvis hadn't scored 4.  We dominated early and went inot a 2 comfortable 2 goal led, Ollie playing so high up the pitch, LB was on toast, Jarvis on hand for both early goals that effectivey settled the game.  2-0 at half time, expected the oppo to bombard us with the long ball having the strong wind behind them.  We play better with the wind against us as focuss goes more to passing game, we really did switch off for periods in the second half.  Would be 15 mins of domination and 5 mins of silliness. Think without a top level oppoent players took liberties.  Jarvis truley wrapped the game up with a left footed piledriver for 3-0.  We allowed a very sloppy goal agaisnt us to deny the clean sheet, player ran right through the middle of the pitch and multiuple players didnt match the intensity of his run, John made a great save but they had a player following up who pulled off a ridiculous diving header on the reaction to score. Yemi scored from a Jarvis corner after a GK mistake and Jarvis smashed a freekick in for 5-1. Should have had more.  Good response from the lads but guilty of not being 100% throughout the game. </t>
  </si>
  <si>
    <t xml:space="preserve">Decent, took a couple of liberties jumping in ahead of the CF- when he shouldnt have, led to nothing as his recovery pace is insane. The CF was decent and gave Aaron some tough moments but Aaron won the battle. </t>
  </si>
  <si>
    <t>Was playing very well before misjudging a boucing ball, trying to make up for error absolultye cruched into a wreckless tackle.  Hooked at HT to stop the risk of going down to 10, only way the oppo would have had a chance and he does have previous for this. Came back on final few mins RCB.</t>
  </si>
  <si>
    <t xml:space="preserve">Took to role in the build up well if a little too advanced at times. One time ended up on RW and the ball was turned over putting us under pressure.  Not at his absolute beast mode best but decent.  Ended the game CM and was a well needed bit of energy in there. </t>
  </si>
  <si>
    <t xml:space="preserve">Again very good but not at best.  His B game too much for oppo though. </t>
  </si>
  <si>
    <t xml:space="preserve">Sensational game and really pleasing as was a tough decisoion to not pick Jamie. 3 assists, and tourtued the RB all game.  2nd goal was  all him, fanstaisc fist touch from the raking Matt Thomas ball setting him free of the RB near half way line, drove into the box, drew covering CB in, nipped passed him to byline and cut back for Jarvis to tap in. </t>
  </si>
  <si>
    <t xml:space="preserve">Was very good in managing the build up shape vs a mid to low block.  Got him on the ball more and with more time.  Worldie of a pass setting Ollie free down the left for 2nd goal.  Faded a bit, brought off for a rest but Yemi cramped up. </t>
  </si>
  <si>
    <t xml:space="preserve">Goal and an assist both with his head.  At times it looked like the oppo were winning CM battle, Yemi didn't allow this.  Some sloppy passes but some great work off the ball, standard Yemi. </t>
  </si>
  <si>
    <t>Has a habit of taking his level down vs oppo not on his level. Did so here.  He wasn't really in the build up shape I wanted as often as I wanted.  It is designed to get hinm on the ball, so disapointed in that regard.  Was still decent but feel not as ruthless as he could have been.</t>
  </si>
  <si>
    <t xml:space="preserve">A little way off his best, lost the ball too often and just didnt click for him.  Came back on at RWB where he was superb, good to have as an option but will limit that to when the oppo are poor or we are gambeling. </t>
  </si>
  <si>
    <t xml:space="preserve">4 goals, assist and MOTM. Actually not at his best but shows what a beast he has become as a striker. Ball was bouncing off him in the opening exchanges, in the last 12 months he seems to have exchanged his exceptional passing for exceptional goal scoring which is something the team sorley needed. First goal punshed poor defending allowing him too many touches in the box and drove a left footed shot in, second goal was a left footed tap in following brialliant work from Ollie.  Completed a left footed hat-trick with a thunderous drive from 25 yards out, 4th was the goal of the season contender free-kick. Where I subbed him for a round of applause. Could have had about 7, missed easier chances. </t>
  </si>
  <si>
    <t>With the ball holding up stuck Foxy on in the 10 to give us some airal presence for when we needed to go long.  He did a great job in that regard as you would expect.  Also some lovley link up play and agression off the ball</t>
  </si>
  <si>
    <t xml:space="preserve">Slighly better than in recent weeks if a liitle slow on the ball.  Hold up play was great and showed some great determination in tracking back covering players when he saw them flagging. </t>
  </si>
  <si>
    <t>Very harsh to not be starting but needed Ollie on that pitch.  Came on LCB and was comfortable</t>
  </si>
  <si>
    <t>Old Strand Academicals 1s</t>
  </si>
  <si>
    <t>Not really a foot out of line, struggled to get to both goals but was at full stretch. Kicking out of hands difficult with wind conditions but dealt with 4/5 shots and a last min freekick comfortably.</t>
  </si>
  <si>
    <t>A tale of two very different halves. First half we kept the ball so well and popped it around, but never transitioned it forward enough. we spent a lot of time trying to draw them on and inevitable they just compressed and compressed. 2nd half was much spicier. goal conceded from a corner, spare man headed back across goal. Denver got a hand but not enough on it. 5 mins later another cross lands on the edge of the box and CB half volleys into the roof of the net, think John would've struggled with that. Picked ourselves back up and pressed on. 2-1 came from a Dan R cross that Rich Jones powerfully heads in. 2nd from a Rich Jones outside of the boot and Dan Klin calmly finished after rounding the CB. Held on for last 5 with strong backline performance</t>
  </si>
  <si>
    <t>Good to have Ish back after the ankle break. First 20 he was up there for MoTM as he was getting the ball forward, overlapping etc. Seemed to tire towards the end but guess to be expected after 8 weeks of no football</t>
  </si>
  <si>
    <t>Better of the 2 CBs today. Desperate to play short but couldn't break the lines with a pass. Not attributable to him per say but rendered playing from the back obsolete at times.</t>
  </si>
  <si>
    <t>part of the CB duo that didn't really put a foot wrong. Kept the ball well but struggled to lead to anything</t>
  </si>
  <si>
    <t>I can see why Staunts likes him as he is attacking and helps to break lines, I struggle with him as he can be a bit weak. in the 2s where skill is even higher think he gets away with it but was bullied today.</t>
  </si>
  <si>
    <t>Man possessed today, a lot of the performances this year have rested on his shoulders and great to have him.</t>
  </si>
  <si>
    <t>Hothead back but we love it, need that passion in the squad and stood up for Dan R when they were getting shirtsy.</t>
  </si>
  <si>
    <t>Didn't play but coached from sideline</t>
  </si>
  <si>
    <t>Very good off the bench today, would attribute us starting to break lines down to his selfish running, would pick again.</t>
  </si>
  <si>
    <t>One of the better games we have seen him play, dropping him deeper and made him captain seemed to click. May start him their next week.</t>
  </si>
  <si>
    <t>okay today, very effective and less selfish than I have seen him.</t>
  </si>
  <si>
    <t>1st half he didn't get the ball and invisible, 2nd half vital to stealing the point back.</t>
  </si>
  <si>
    <t>Solid when he came on, shifted to LB and did a job so good to see can still play at this level.</t>
  </si>
  <si>
    <t>can be devastating but someone needs to help him with fundementals of football as often didn't grasp game plan.</t>
  </si>
  <si>
    <t>Solid game overall. Kicked well in the first half against the wind and 2nd half swept the line well. Unlucky for the 1st goal, came and claimed it at their striker's feet only to have my own player kick the ball out of my hands. No chance on the 2nd goal as it was drilled low and hard into the corner going through players legs first.</t>
  </si>
  <si>
    <t>Joel didn't look too comfortable in the wing back position, he looks better suited as a full back. He was solid but struggled at times knowing where he should be</t>
  </si>
  <si>
    <t>It was a weird one for Anthony. He played well however he was also at fault for both the oppo's goals in one way or another. Their first goal he slid in and kicked the ball out my hands when I'd just beaten their striker to it. The 2nd he gave away a stupid free kick on the edge of our box. Those 2 moments aside however he had a good game.</t>
  </si>
  <si>
    <t xml:space="preserve">The stand out defender today. Good at recovery although he struggles when he has to use his left foot. Needs to work on his fitness as well but overall a good game </t>
  </si>
  <si>
    <t xml:space="preserve">Poor from Stu, he looked really off it. If it was anyone else id have taken him off in the first half. He did improve in the 2nd half but you could tell he was rusty </t>
  </si>
  <si>
    <t xml:space="preserve">Generally did well although could have seen red for a stupid retaliation. Also at times was too interested in winding up the oppo rather than listening to setting up a defensive line instruction. That aside he played well, looked composed on the ball and didn't get beaten by his opposite man </t>
  </si>
  <si>
    <t>Good game from Callum. Looked to get us driving forward well and gave us a different threat when he came on</t>
  </si>
  <si>
    <t>Good game from Christian. Didn't get on the ball as much as would have liked first half. Then when we started playing well, he was at the heart of it. When he went off we lost control a bit which showed how influential he had been</t>
  </si>
  <si>
    <t xml:space="preserve">Solid but unspectacular game from Sam. He didn't have the impact he would have liked </t>
  </si>
  <si>
    <t xml:space="preserve">Another battling performance from Harry especially with his ankle blowing up like a balloon. He played on though and scored the winner </t>
  </si>
  <si>
    <t>Really good game from Ciaran. He gave his all and scored a good goal. Looked a pest to the oppo and was energetic and full of running all game</t>
  </si>
  <si>
    <t xml:space="preserve">Josh looks short of sharpness. Did get a goal but it was chalked off for offside. He needs minutes and game time and a good pre season ahead of next season to get him off and running </t>
  </si>
  <si>
    <t xml:space="preserve">Poor game from Deji. He looked off it, his hold up play and passing were poor too. He did get an assist for the winner though by using his footballing intelligence, something you just can't teach </t>
  </si>
  <si>
    <t>Looked sharp and a threat all game. Opened the scoring by pouncing on a poor back pass which was the least he deserved</t>
  </si>
  <si>
    <t>Old Wokingians 6s</t>
  </si>
  <si>
    <t>same ol, struggles to follow warm up, talked nonsense to the ref to the point he was nearly sin binned
and the one time he came off his line with any conviction was for a ball that was already going well
away from goal which he was never getting too - took the man out and easy penalty.</t>
  </si>
  <si>
    <t>Like the previous game we got ourselves ahead but bad individual errors let them back in.
conditions were awful so did warn about playing backwards and around our box but half
the team just doesent want to listen, losing my voice now. - bad pass backwards  from paddy to cb for them to cash in and equalise
for the first goal, needless Martin foul to give them a pentalty for the 2nd, and then heads dropped
and we seemed to stop playing any football, deflected effort for their 3rd to wrap game up.
lack of ability for some boys to control a 12 yard pass or hook it more than 15 yards is concerning. Less said about the GK
the better - the circuis act is just boring now- think we've had the more reliable keeper for 2 fixtures all season
which is harsh on the rest of the lads - should have the luxury of a diff goalie for 2 or 3 games to end the season atleast.
* tom d dropped out, Dean S a no show.</t>
  </si>
  <si>
    <t>would probably have to put it as another off day for dhw, wasnt awful but alot of wayward passes,
nothing producting going forwards - know he has got more about him, conditions didnt help.</t>
  </si>
  <si>
    <t>got the assist, overall play was decent. too many touches however, at times it does seem
he feels like its the tali show but alot of his tricks didnt come off - needs to release earlier.</t>
  </si>
  <si>
    <t>terrible, would of thought it was his first time playing football and then has the nerve to sulk when
subbed at half time. struggles to clear the ball, lack of technique in most areas.</t>
  </si>
  <si>
    <t>wasnt his day - messaged after to admit this. on a positive i feel like the fight was their til
the end.</t>
  </si>
  <si>
    <t>suffered from a gk that doesent communicate, bit hesistant at times but always puts himself
up for a header. lack of pace hurts him but have seen worse cb performances from others.</t>
  </si>
  <si>
    <t>ok touches in cm, little effect out wide today - would have liked more of the ball here but missed
a 1 v 1 from deec keeper save when intercepting a pass.</t>
  </si>
  <si>
    <t>started sub, normally has a good impact when off the bench but saw little of him, think it 
was a combo of the weather and the team geneally stopped playing in the 2nd half. corners
were ok as ever.</t>
  </si>
  <si>
    <t>not one of his better games, misplaced a few passes and seemed to hesitate a bit.
i was extra aggy and vocal today, not sure if it made people nervous but they need to grow
a pair if so.</t>
  </si>
  <si>
    <t>so so game. moments where he could of cleared better but no glaring errors.</t>
  </si>
  <si>
    <t>one of the few decent performers but still had some wayward passes in his locker. first
game in a while, think he did ok getting round the pitch considering.</t>
  </si>
  <si>
    <t>debut for 6s, looked ok on the ball and got our goal with a decent near post effort - bad error
for them to score a few minutes later but still nabbed motm.</t>
  </si>
  <si>
    <t>wasnt tested that much. slow to release the ball to start counters at times.</t>
  </si>
  <si>
    <t xml:space="preserve">not a good day for us. not enough hunger or discipline to get back in the game. the wind played a huge part in how game was played and effected so many moments of the game.  1st half concede preventable goal. then simply didnt produce enough threatening opps. 2nd half we did better and had 2 chances to take the goal but didnt take. emi had 1 v 1 saved by keeper. claeys had an open goal scenario but 1st touch was too heavy to score off of. all round poor performance and will be laying into the lads at training. </t>
  </si>
  <si>
    <t xml:space="preserve">won majority of aerial abilities and was agressive through out </t>
  </si>
  <si>
    <t>played a half only as hard work. did well in 1st half but needs to read the play a bit more at times.</t>
  </si>
  <si>
    <t>did ok. has an issue with reading the phases of play at times. needs to really keep to 2 touch.</t>
  </si>
  <si>
    <t>not as influential as before and forced the game at times.</t>
  </si>
  <si>
    <t xml:space="preserve">not the best with ball at his feet. but ran his socks off and was physical through out. </t>
  </si>
  <si>
    <t>really forced the game and didnt really read the game patterns at times.</t>
  </si>
  <si>
    <t>was man marked for 90 mins by biggest man on the pitch. put in good set pieces but not too many people committing to the ball.</t>
  </si>
  <si>
    <t xml:space="preserve">started as number 9 and didnt offer much, put back on wing at half time and did better there. </t>
  </si>
  <si>
    <t>not his influential self and did too much dribbling in non threatening areas of the pitch.</t>
  </si>
  <si>
    <t>missed open goal due to haevy touch, didnt really offer too much else.</t>
  </si>
  <si>
    <t>good running and carrying team up the pitch, unlucky not to get a goal when in 1v1. one of the better performers on the day.</t>
  </si>
  <si>
    <t>good to have hallam back. not one of his most influential games. rushed the game at times and looked for killer pass often.</t>
  </si>
  <si>
    <t>gave him a half to ease back after long lay off. did well when he was on.</t>
  </si>
  <si>
    <t>Clissold Park Rangers 1s</t>
  </si>
  <si>
    <t>solid start from Chim, made some great saves, but feel he's lacking confidence a bit these days, particularly when a certain player was having a go at him unfairly. Really made some key saves at the start though, always great to have him.</t>
  </si>
  <si>
    <t>Started off well, looked like considerably the stronger team, however they had a few players turn up late who made a considerable difference when they came on. Whilst we dominated first half hour, they had the better chances, with some defensive errors leading to 1 on 1's that Chim did really well to keep us level on both occassions. Game flowed with both teams having good chances. Kim came back on RM second half and made a huge difference, assisting the first goal, and then moments later a cross come shot for the 2nd goal. We were under the kosh for the remainder of the match as they got a goal back, and we were looking to just hold on for the win, which we did. Good win as clissold were right behind us.</t>
  </si>
  <si>
    <t>Max always gives his all, challenging and battling, making a big difference and currently my best defender. Was close to getting MOTM in our previous game if it wasn't for Corey's hat trick. Didn't think this week was his best week actually, but was still excellent.</t>
  </si>
  <si>
    <t>Seb seems to have a habit of having a go at players recently, and there's been times when he's at least partially at fault - unusal as didn't think that was his persona, but has been happening more often. His football hasn't been up to his usual standard.</t>
  </si>
  <si>
    <t>standard paul performance, does a good job at left back, lacks a bit of a final product though.</t>
  </si>
  <si>
    <t>wanted to play CB - definitely a stronger LB. few errors, think as a CB needs more game reading where as LB can be more one dimensional. still put big effort in and utilised his attributes.</t>
  </si>
  <si>
    <t>Good from Stan, solid player - only thing I'd say is nothing came from his efforts, e.g. goalscoring opps - however great in the middle and picking up the ball and redistributing.</t>
  </si>
  <si>
    <t>Always solid from Alex, but again would like to be creating opportunities.</t>
  </si>
  <si>
    <t>Always causing havoc, however didn't quite fall for him today - doesn't beat players like he used to.</t>
  </si>
  <si>
    <t>Made some great opportunities which were converted and ultimately he was the reason we won. He's been performing consistently well since he 's been back</t>
  </si>
  <si>
    <t xml:space="preserve">Usual great stuff from dockerill, hounding CB's like his life depends on it - only had 1 chance today, but he took it really well - ball comes into the box, deflected off their CB, takes a touch, lets it drop down (thought he took too long) half volley bottom corner. </t>
  </si>
  <si>
    <t>Claudien's hold up play was excellent, defenders couldn't get near him, however not enough incision in the next moves. Could have taken a few more shots at times. Played very well though.</t>
  </si>
  <si>
    <t>came on after 30 minutes, struggled to really get into the game - has lost fitness and tenacity since his injury which he hasn't been able to regain. came off after 40 minutes with another ankle injury.</t>
  </si>
  <si>
    <t>paz showed some excellent flashes of brilliance at times, however again wasn't able to affect the game with chance creation. played at both RM and CM. he was in at CM when we scored both the goals.</t>
  </si>
  <si>
    <t>Really good display from Ewan in CM, he is so good at creating chances, either with his runs into the box, or direct passing. Moved him into CB when tam got injured, and he was really strong there as well with his communication and organisation.</t>
  </si>
  <si>
    <t>Bealonians 1s</t>
  </si>
  <si>
    <t xml:space="preserve">Outstanding.  Positioning spot on, distribution as to be expected top nothc.  Dominated on crosses.  Made 2 good saves but comfortable saves. Same he doesn't want to go in goial every week.  </t>
  </si>
  <si>
    <t>Very good if comfortable game.  Oppo CF is a hold up battler type and got zero out of Aaron.  Still struggling with hip flexor and had to go off</t>
  </si>
  <si>
    <t xml:space="preserve">Very good, subbed for Jamie but did little wrong.  Surpeb in tieing up the left side of the pitch by himself allowing Ollie to be higher up the pitch. </t>
  </si>
  <si>
    <t>Decent, in periods of domination stepped into CM</t>
  </si>
  <si>
    <t>Decent retun from Paz.  Very good at wing back, stayed high up the pitch, worked back well on transitions. Came back on CM and was decent.</t>
  </si>
  <si>
    <t xml:space="preserve">Form continues, ball carrying superb.  Oppo could not get to grips with him.  Missed a relativley simple chance in second half, on left foot but his left foot is so good expected to hit the target. </t>
  </si>
  <si>
    <t>Pretty good, lost the ball once in dangerous area.  Rest of the game distribution was very good.</t>
  </si>
  <si>
    <t xml:space="preserve">Mixed bag from Dockers.  Started in CM, having to put Yemi on bench easy decision was to start Keats or Paz in there.  We tend to struggle without Yemis energy and need a set of legs covering yards to compliment Matt Thomas.  Dockers did this superbly well and had us on the dront foot leading the counter press. With Yemi on at HT he went to RWB and didnt have the best second half, misplaced a lot of passes. </t>
  </si>
  <si>
    <t>Bit of a non event in this game.  Hes taken the 10 role into a free role, this is fine when the trade off is goals and assists, that has dried up and his positioning both on and off the ball is questionable at best.  In possession he tends to drift to a wing, this is not exactly where I want him (instruction is an inside chanel with Jarvis on the other, split 10s),  on the wing is fine though especially the left as Ollie tends to react go infield.  Its his postioning off the ball or on transitions that is the concern.  He stops playing and seems to take every pass not going his way as a personal insult.  Kills our counter press.  Missed an easy header 5 yards out, was unlucky with one shot that was going in but hit Paz.  Is still a threat and remains one of the best players in the league, just seems to be hitting a wobble.</t>
  </si>
  <si>
    <t>So so game.  Moments in build up but couldn't crave out a clear cut chance for himself.  If one of our clear cut chances fall to him the game would have been won</t>
  </si>
  <si>
    <t xml:space="preserve">Looked rusty first 20 mins. Grew into game and towards the end demonstrated excellent hold up and link up play.  </t>
  </si>
  <si>
    <t xml:space="preserve">Unfortunate to have lost starting spot with the form of Ollie.  Came on LCB and did well.  Almost cost us the game with a moment of madness final 10 seconds trying to take a player on in the box and was robbed.  Fortubaltey their player was isolated and Crowe / Yemi their on the cover. </t>
  </si>
  <si>
    <t xml:space="preserve">I needed him to take / set up training session on Thursday due to my toe, turned up 10 mins late and I had already set up.  Turned up 45 mins late for this game,gave me no choice but to put on bench.  Really poor however sadly not a new issue. On and HT and was decent CM.  Moved to back line when Aaron off injured and wanted to get Keaton on.  </t>
  </si>
  <si>
    <t xml:space="preserve">Did OK for the breif time he was on.  Had chance on the cut back, stumlbed on massive divit, dislocated knee cap, fractured knee cap, snapped platella tendon - out 6 months min. </t>
  </si>
  <si>
    <t>Fulham Compton Old Boys 2s</t>
  </si>
  <si>
    <t>Clean sheet for when he was in goal and all round good showing. Very nervous when he has the ball sometimes but only one mistake in palming the ball down to the striker but made up for it with incredible save.</t>
  </si>
  <si>
    <t>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t>
  </si>
  <si>
    <t>typical Joe V showing. Nothing too extraordinary but solid and dealt with a lot of long ball.</t>
  </si>
  <si>
    <t>Chris has been vital to this season. So instrumental to the success of 3s. Calm on the ball and popped the ball around the team.</t>
  </si>
  <si>
    <t>Did a solid dropping to the 3s and at times was devastating. Running and breaking lines. I think he is much better suited to 3s based on reviews but can see why he's in the 2s.</t>
  </si>
  <si>
    <t>Such a better performance this week than last. again played against Mo Kennou and pocketed him for 90 mins.</t>
  </si>
  <si>
    <t>Similar to Alex M and having them both is chaos. Broke lines played incisive passing.</t>
  </si>
  <si>
    <t>Cm</t>
  </si>
  <si>
    <t>Got injured at 30 mins mark, hopefully back for Woking.</t>
  </si>
  <si>
    <t>Underrated performance today. Started on the bench but the 2 assists say it all. Came back on upfront and was game-changing. Love to see him playing at his game because he's moved around a lot this season. Quality shone through today.</t>
  </si>
  <si>
    <t>MoTM performance for how he carried the ball. Suits our home pitches as it allows him to spread the full back why and cuts it back. Had fullback on toast for the whole game.</t>
  </si>
  <si>
    <t>Typical Rich J performance, gamestyle didn't suit him as he is a bully up top but managed to bring him in more in the second half and managed to get the winner.</t>
  </si>
  <si>
    <t>A decent showing, Opener from a pretty ridiculous angle. Subbed at 50 as had to go in goal for last 20 mins.</t>
  </si>
  <si>
    <t>Not bad today, doesn't look out of place at LB and good option there. Strong long throw (not Denver and Lundie level but close) and strong in the tackle.</t>
  </si>
  <si>
    <t>The Scottish Workhorse back in action. must have touched every blade of grass. Quality showing as per.</t>
  </si>
  <si>
    <t>Okay from Alex, looked a little lost in the CAM role but was marked by a very good 8.</t>
  </si>
  <si>
    <t>Reigatians 5s</t>
  </si>
  <si>
    <t>First clean sheet since '21. That's not made up, I've tried to find a more recent clean sheet
of his but it doesent seem to exist. Made a good 1 vs 1 save after an error from yours truly.</t>
  </si>
  <si>
    <t>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t>
  </si>
  <si>
    <t>did ok but lets the ball bounce too often when he should attack it, also a bit too causal on the 
ball for my liking in the 6s, likes to pass backwards and spends too much time joking around on pitch.</t>
  </si>
  <si>
    <t>had to play him outwide to accomodate tali and matt, he did well and had some nice linkage
with robbo on the right- at time needlessly gave the ball back to oppo with 40 yard pings.
created a couple chances late on which a poacher would of loved.</t>
  </si>
  <si>
    <t>started awful, got into a row with oppo and could not trap the football, clearly a mental
thing rather than ability. grew into game and took players on in better 2nd half.</t>
  </si>
  <si>
    <t>3 games for 6s, 3 wins. probably doesent have the fitness for cm and went missing a little
when played there, but better at dcm, good ball retention - put a shift in.</t>
  </si>
  <si>
    <t>played the first 45. had a tough half at left back vs nippy young winger who had him for 
pace.</t>
  </si>
  <si>
    <t>played 2nd half - cb. probably better suited to cb than cm - attacks the ball well but needs
to work on his game understanding - how high our line should be , etc.</t>
  </si>
  <si>
    <t>started dcm and was having a nice time of it, decent ping over defence for the assist. Kai
injured 10 min into 2nd half so went LB, little issues minus one ball over the top late on.</t>
  </si>
  <si>
    <t>got injured which was a shame as he was having a really good game, assured on the ball and 
calling the line well. solid at cb in 1st half.</t>
  </si>
  <si>
    <t>great recovery runs to deal with winger, and some decent forward play on the right - got
a couple motm votes as he normally does. 6s mr consistent this year.</t>
  </si>
  <si>
    <t>first appearance in a while, gave him 2nd half as the 9 - did better than i expected. put 
himself into battles as a big man should and had a goal ruled out which was a 50/50 offside
call. not the quickest but a physical presence.</t>
  </si>
  <si>
    <t>on for me after 30 mins, some decent runs through the middle. no real end product when
in decent positions unfortunately but all round play was good enough.</t>
  </si>
  <si>
    <t>took his goal very well, shame it wasnt on veo - lovely lob over keeper. had been threatening
to score from range in first half. very composed on the ball and deserved motm.</t>
  </si>
  <si>
    <t>first half as the 9 - had an effort saved onto post, and one off the line - got a further 15 mins
on the left at end of game and did well to keep ball for us.</t>
  </si>
  <si>
    <t>Players</t>
  </si>
  <si>
    <t>Score for</t>
  </si>
  <si>
    <t>Score against</t>
  </si>
  <si>
    <t>Match Date</t>
  </si>
  <si>
    <t>Check</t>
  </si>
  <si>
    <t>URL</t>
  </si>
  <si>
    <t>https://docs.google.com/spreadsheets/d/1clAU3Z70KD66cTYUub-XaF_mxW5vAeDklTMh8e1yQeo/edit#gid=1128867548</t>
  </si>
  <si>
    <t>Sheet</t>
  </si>
  <si>
    <t>1s Subs/OTPI!</t>
  </si>
  <si>
    <t>https://docs.google.com/spreadsheets/d/1udSgUVxFGltgl09A5I_rkkLTxeq2WFyWbCincoOBw3w/edit#gid=1926124634</t>
  </si>
  <si>
    <t>2s Subs/OTPI!</t>
  </si>
  <si>
    <t>https://docs.google.com/spreadsheets/d/1PSP6-qrTIpKju2-qhjGqyHm2tgdaO8cekHG8054I5ME/edit#gid=1926124634</t>
  </si>
  <si>
    <t>3s Subs/OTPI!</t>
  </si>
  <si>
    <t>https://docs.google.com/spreadsheets/d/1wjThV7JW0kKqm7uO2-sxXBC1cc060y3WcgMgZvGPF_o/edit#gid=1926124634</t>
  </si>
  <si>
    <t>4s Subs/OTPI!</t>
  </si>
  <si>
    <t>https://docs.google.com/spreadsheets/d/1K8B0ZDgiN5PQN5bAFZJCRhKT29fWeClAxGSw-zrC2Zg/edit#gid=1926124634</t>
  </si>
  <si>
    <t>5sSubsOTPI!</t>
  </si>
  <si>
    <t>https://docs.google.com/spreadsheets/d/1EFWefMneSUEtKqHn5Aw1V-ztft1bNtKF3gyCaIQtU4c/edit#gid=1926124634</t>
  </si>
  <si>
    <t>6sSubsOTPI!</t>
  </si>
  <si>
    <t>https://docs.google.com/spreadsheets/d/1TBzheQThyyD80WP6Pv5jOI5Q2V_6vhg_8aW0ab0cAzo/edit#gid=1432288565</t>
  </si>
  <si>
    <t>Vets Subs/OTPI!</t>
  </si>
  <si>
    <t xml:space="preserve">Appearance Filter: </t>
  </si>
  <si>
    <t>Team:</t>
  </si>
  <si>
    <t>Date</t>
  </si>
  <si>
    <t>Opposition Club</t>
  </si>
  <si>
    <t>Oppo</t>
  </si>
  <si>
    <t>1s</t>
  </si>
  <si>
    <t>2s</t>
  </si>
  <si>
    <t>3s</t>
  </si>
  <si>
    <t>4s</t>
  </si>
  <si>
    <t>5s</t>
  </si>
  <si>
    <t>6s</t>
  </si>
  <si>
    <t>Glyn Old Boys</t>
  </si>
  <si>
    <t>Sinjuns Grammarians</t>
  </si>
  <si>
    <t>Reigatians</t>
  </si>
  <si>
    <t>Old Manorians</t>
  </si>
  <si>
    <t>Albanian</t>
  </si>
  <si>
    <t>Honourable Artillery Company</t>
  </si>
  <si>
    <t>Clissold Park Rangers</t>
  </si>
  <si>
    <t>Old Paulines</t>
  </si>
  <si>
    <t>Player Name:</t>
  </si>
  <si>
    <t>Top</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</si>
</sst>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 mmm"/>
    <numFmt numFmtId="165" formatCode="M/d/yyyy"/>
    <numFmt numFmtId="166" formatCode="dd mmm"/>
    <numFmt numFmtId="167" formatCode="d&quot;-&quot;mmm&quot;-&quot;yyyy"/>
    <numFmt numFmtId="168" formatCode="dd/MM/yyyy"/>
    <numFmt numFmtId="169" formatCode="d mmm yyyy"/>
  </numFmts>
  <fonts count="18">
    <font>
      <sz val="10.0"/>
      <color rgb="FF000000"/>
      <name val="Arial"/>
      <scheme val="minor"/>
    </font>
    <font>
      <sz val="9.0"/>
      <color rgb="FF000000"/>
      <name val="&quot;Google Sans Mono&quot;"/>
    </font>
    <font>
      <color theme="1"/>
      <name val="Arial"/>
      <scheme val="minor"/>
    </font>
    <font>
      <b/>
      <color theme="1"/>
      <name val="Arial"/>
      <scheme val="minor"/>
    </font>
    <font>
      <b/>
      <sz val="9.0"/>
      <color rgb="FF000000"/>
      <name val="&quot;Google Sans Mono&quot;"/>
    </font>
    <font>
      <color rgb="FF999999"/>
      <name val="Arial"/>
      <scheme val="minor"/>
    </font>
    <font/>
    <font>
      <color rgb="FFFFFFFF"/>
      <name val="Arial"/>
      <scheme val="minor"/>
    </font>
    <font>
      <b/>
      <sz val="12.0"/>
      <color theme="1"/>
      <name val="Calibri"/>
    </font>
    <font>
      <sz val="12.0"/>
      <color theme="1"/>
      <name val="Calibri"/>
    </font>
    <font>
      <b/>
      <color theme="1"/>
      <name val="Arial"/>
    </font>
    <font>
      <sz val="12.0"/>
      <color rgb="FF000000"/>
      <name val="Calibri"/>
    </font>
    <font>
      <color theme="1"/>
      <name val="Arial"/>
    </font>
    <font>
      <color rgb="FF000000"/>
      <name val="Tahoma"/>
    </font>
    <font>
      <u/>
      <sz val="9.0"/>
      <color rgb="FF008000"/>
      <name val="&quot;Google Sans Mono&quot;"/>
    </font>
    <font>
      <sz val="9.0"/>
      <color rgb="FF008000"/>
      <name val="&quot;Google Sans Mono&quot;"/>
    </font>
    <font>
      <b/>
      <color theme="1"/>
      <name val="Calibri"/>
    </font>
    <font>
      <color theme="1"/>
      <name val="Calibri"/>
    </font>
  </fonts>
  <fills count="9">
    <fill>
      <patternFill patternType="none"/>
    </fill>
    <fill>
      <patternFill patternType="lightGray"/>
    </fill>
    <fill>
      <patternFill patternType="solid">
        <fgColor rgb="FFFFFFFF"/>
        <bgColor rgb="FFFFFFFF"/>
      </patternFill>
    </fill>
    <fill>
      <patternFill patternType="solid">
        <fgColor rgb="FFFFD966"/>
        <bgColor rgb="FFFFD966"/>
      </patternFill>
    </fill>
    <fill>
      <patternFill patternType="solid">
        <fgColor rgb="FFD9D9D9"/>
        <bgColor rgb="FFD9D9D9"/>
      </patternFill>
    </fill>
    <fill>
      <patternFill patternType="solid">
        <fgColor rgb="FFE69138"/>
        <bgColor rgb="FFE69138"/>
      </patternFill>
    </fill>
    <fill>
      <patternFill patternType="solid">
        <fgColor rgb="FF999999"/>
        <bgColor rgb="FF999999"/>
      </patternFill>
    </fill>
    <fill>
      <patternFill patternType="solid">
        <fgColor rgb="FFC9DAF8"/>
        <bgColor rgb="FFC9DAF8"/>
      </patternFill>
    </fill>
    <fill>
      <patternFill patternType="solid">
        <fgColor rgb="FFFFFF00"/>
        <bgColor rgb="FFFFFF00"/>
      </patternFill>
    </fill>
  </fills>
  <borders count="20">
    <border/>
    <border>
      <left style="thin">
        <color rgb="FF999999"/>
      </left>
      <right style="thin">
        <color rgb="FF999999"/>
      </right>
      <top style="thin">
        <color rgb="FF999999"/>
      </top>
      <bottom style="thin">
        <color rgb="FF999999"/>
      </bottom>
    </border>
    <border>
      <right style="thin">
        <color rgb="FF999999"/>
      </right>
    </border>
    <border>
      <left style="thin">
        <color rgb="FF999999"/>
      </left>
      <right style="thin">
        <color rgb="FF999999"/>
      </right>
    </border>
    <border>
      <right style="thin">
        <color rgb="FF999999"/>
      </right>
      <bottom style="thin">
        <color rgb="FF999999"/>
      </bottom>
    </border>
    <border>
      <left style="thin">
        <color rgb="FF999999"/>
      </left>
      <right style="thin">
        <color rgb="FF999999"/>
      </right>
      <bottom style="thin">
        <color rgb="FF999999"/>
      </bottom>
    </border>
    <border>
      <right style="thin">
        <color rgb="FF999999"/>
      </right>
      <top style="thin">
        <color rgb="FF999999"/>
      </top>
      <bottom style="thin">
        <color rgb="FF999999"/>
      </bottom>
    </border>
    <border>
      <right style="thin">
        <color rgb="FF999999"/>
      </right>
      <top style="thin">
        <color rgb="FF999999"/>
      </top>
    </border>
    <border>
      <left style="thin">
        <color rgb="FF999999"/>
      </left>
      <right style="thin">
        <color rgb="FF999999"/>
      </right>
      <top style="thin">
        <color rgb="FF999999"/>
      </top>
    </border>
    <border>
      <bottom style="thin">
        <color rgb="FF999999"/>
      </bottom>
    </border>
    <border>
      <left style="thin">
        <color rgb="FF999999"/>
      </left>
      <bottom style="thin">
        <color rgb="FF999999"/>
      </bottom>
    </border>
    <border>
      <left style="thin">
        <color rgb="FF999999"/>
      </lef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99">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0" fontId="2" numFmtId="0" xfId="0" applyFont="1"/>
    <xf borderId="0" fillId="0" fontId="2" numFmtId="2" xfId="0" applyAlignment="1" applyFont="1" applyNumberFormat="1">
      <alignment readingOrder="0"/>
    </xf>
    <xf borderId="0" fillId="0" fontId="2" numFmtId="0" xfId="0" applyAlignment="1" applyFont="1">
      <alignment readingOrder="0"/>
    </xf>
    <xf borderId="0" fillId="3" fontId="2" numFmtId="0" xfId="0" applyAlignment="1" applyFill="1" applyFont="1">
      <alignment readingOrder="0"/>
    </xf>
    <xf borderId="0" fillId="0" fontId="2" numFmtId="2" xfId="0" applyFont="1" applyNumberFormat="1"/>
    <xf borderId="0" fillId="4" fontId="2" numFmtId="0" xfId="0" applyAlignment="1" applyFill="1" applyFont="1">
      <alignment readingOrder="0"/>
    </xf>
    <xf borderId="0" fillId="5" fontId="2" numFmtId="0" xfId="0" applyAlignment="1" applyFill="1" applyFont="1">
      <alignment readingOrder="0"/>
    </xf>
    <xf borderId="0" fillId="0" fontId="2" numFmtId="164" xfId="0" applyFont="1" applyNumberFormat="1"/>
    <xf borderId="0" fillId="0" fontId="2" numFmtId="165" xfId="0" applyFont="1" applyNumberFormat="1"/>
    <xf borderId="0" fillId="0" fontId="2" numFmtId="166" xfId="0" applyFont="1" applyNumberFormat="1"/>
    <xf borderId="0" fillId="0" fontId="3" numFmtId="0" xfId="0" applyAlignment="1" applyFont="1">
      <alignment horizontal="center" readingOrder="0"/>
    </xf>
    <xf borderId="0" fillId="0" fontId="2" numFmtId="166" xfId="0" applyAlignment="1" applyFont="1" applyNumberFormat="1">
      <alignment horizontal="center" readingOrder="0"/>
    </xf>
    <xf borderId="1" fillId="6" fontId="2" numFmtId="0" xfId="0" applyBorder="1" applyFill="1" applyFont="1"/>
    <xf borderId="2" fillId="6" fontId="1" numFmtId="0" xfId="0" applyBorder="1" applyFont="1"/>
    <xf borderId="3" fillId="6" fontId="2" numFmtId="0" xfId="0" applyBorder="1" applyFont="1"/>
    <xf borderId="0" fillId="2" fontId="4" numFmtId="0" xfId="0" applyAlignment="1" applyFont="1">
      <alignment readingOrder="0"/>
    </xf>
    <xf borderId="0" fillId="0" fontId="2" numFmtId="0" xfId="0" applyAlignment="1" applyFont="1">
      <alignment shrinkToFit="0" wrapText="0"/>
    </xf>
    <xf borderId="4" fillId="6" fontId="2" numFmtId="0" xfId="0" applyBorder="1" applyFont="1"/>
    <xf borderId="5" fillId="6" fontId="2" numFmtId="0" xfId="0" applyBorder="1" applyFont="1"/>
    <xf borderId="6" fillId="6" fontId="2" numFmtId="0" xfId="0" applyBorder="1" applyFont="1"/>
    <xf borderId="6" fillId="6" fontId="2" numFmtId="0" xfId="0" applyAlignment="1" applyBorder="1" applyFont="1">
      <alignment readingOrder="0"/>
    </xf>
    <xf borderId="1" fillId="6" fontId="2" numFmtId="0" xfId="0" applyAlignment="1" applyBorder="1" applyFont="1">
      <alignment readingOrder="0"/>
    </xf>
    <xf borderId="1" fillId="6" fontId="1" numFmtId="0" xfId="0" applyBorder="1" applyFont="1"/>
    <xf borderId="7" fillId="6" fontId="2" numFmtId="0" xfId="0" applyBorder="1" applyFont="1"/>
    <xf borderId="8" fillId="6" fontId="2" numFmtId="0" xfId="0" applyBorder="1" applyFont="1"/>
    <xf borderId="6" fillId="6" fontId="5" numFmtId="0" xfId="0" applyBorder="1" applyFont="1"/>
    <xf borderId="6" fillId="0" fontId="2" numFmtId="0" xfId="0" applyBorder="1" applyFont="1"/>
    <xf borderId="1" fillId="0" fontId="2" numFmtId="0" xfId="0" applyBorder="1" applyFont="1"/>
    <xf borderId="0" fillId="0" fontId="2" numFmtId="166" xfId="0" applyAlignment="1" applyFont="1" applyNumberFormat="1">
      <alignment readingOrder="0"/>
    </xf>
    <xf borderId="0" fillId="0" fontId="2" numFmtId="164" xfId="0" applyAlignment="1" applyFont="1" applyNumberFormat="1">
      <alignment readingOrder="0"/>
    </xf>
    <xf borderId="9" fillId="0" fontId="2" numFmtId="166" xfId="0" applyAlignment="1" applyBorder="1" applyFont="1" applyNumberFormat="1">
      <alignment horizontal="center" readingOrder="0"/>
    </xf>
    <xf borderId="9" fillId="0" fontId="6" numFmtId="0" xfId="0" applyBorder="1" applyFont="1"/>
    <xf borderId="4" fillId="0" fontId="6" numFmtId="0" xfId="0" applyBorder="1" applyFont="1"/>
    <xf borderId="10" fillId="6" fontId="2" numFmtId="0" xfId="0" applyBorder="1" applyFont="1"/>
    <xf borderId="0" fillId="6" fontId="2" numFmtId="0" xfId="0" applyFont="1"/>
    <xf borderId="2" fillId="6" fontId="2" numFmtId="0" xfId="0" applyBorder="1" applyFont="1"/>
    <xf borderId="3" fillId="6" fontId="2" numFmtId="0" xfId="0" applyAlignment="1" applyBorder="1" applyFont="1">
      <alignment horizontal="center" readingOrder="0"/>
    </xf>
    <xf borderId="11" fillId="6" fontId="2" numFmtId="0" xfId="0" applyBorder="1" applyFont="1"/>
    <xf borderId="0" fillId="0" fontId="2" numFmtId="0" xfId="0" applyAlignment="1" applyFont="1">
      <alignment horizontal="center"/>
    </xf>
    <xf borderId="0" fillId="0" fontId="2" numFmtId="0" xfId="0" applyAlignment="1" applyFont="1">
      <alignment horizontal="center" readingOrder="0"/>
    </xf>
    <xf borderId="1" fillId="6" fontId="2" numFmtId="0" xfId="0" applyAlignment="1" applyBorder="1" applyFont="1">
      <alignment horizontal="center"/>
    </xf>
    <xf borderId="0" fillId="6" fontId="2" numFmtId="0" xfId="0" applyAlignment="1" applyFont="1">
      <alignment horizontal="center"/>
    </xf>
    <xf borderId="12" fillId="0" fontId="3" numFmtId="0" xfId="0" applyAlignment="1" applyBorder="1" applyFont="1">
      <alignment readingOrder="0"/>
    </xf>
    <xf borderId="13" fillId="0" fontId="3" numFmtId="0" xfId="0" applyAlignment="1" applyBorder="1" applyFont="1">
      <alignment readingOrder="0"/>
    </xf>
    <xf borderId="14" fillId="0" fontId="3" numFmtId="0" xfId="0" applyAlignment="1" applyBorder="1" applyFont="1">
      <alignment readingOrder="0"/>
    </xf>
    <xf borderId="0" fillId="6" fontId="7" numFmtId="0" xfId="0" applyAlignment="1" applyFont="1">
      <alignment readingOrder="0"/>
    </xf>
    <xf borderId="15" fillId="0" fontId="2" numFmtId="0" xfId="0" applyBorder="1" applyFont="1"/>
    <xf borderId="16" fillId="0" fontId="2" numFmtId="0" xfId="0" applyBorder="1" applyFont="1"/>
    <xf borderId="0" fillId="6" fontId="7" numFmtId="0" xfId="0" applyFont="1"/>
    <xf borderId="15" fillId="0" fontId="2" numFmtId="49" xfId="0" applyBorder="1" applyFont="1" applyNumberFormat="1"/>
    <xf borderId="17" fillId="0" fontId="2" numFmtId="0" xfId="0" applyBorder="1" applyFont="1"/>
    <xf borderId="18" fillId="0" fontId="2" numFmtId="0" xfId="0" applyBorder="1" applyFont="1"/>
    <xf borderId="19" fillId="0" fontId="2" numFmtId="0" xfId="0" applyBorder="1" applyFont="1"/>
    <xf borderId="0" fillId="0" fontId="8" numFmtId="0" xfId="0" applyAlignment="1" applyFont="1">
      <alignment vertical="bottom"/>
    </xf>
    <xf borderId="0" fillId="0" fontId="9" numFmtId="0" xfId="0" applyAlignment="1" applyFont="1">
      <alignment vertical="bottom"/>
    </xf>
    <xf borderId="0" fillId="0" fontId="9" numFmtId="0" xfId="0" applyAlignment="1" applyFont="1">
      <alignment horizontal="right" vertical="bottom"/>
    </xf>
    <xf borderId="0" fillId="0" fontId="9" numFmtId="0" xfId="0" applyAlignment="1" applyFont="1">
      <alignment shrinkToFit="0" vertical="bottom" wrapText="0"/>
    </xf>
    <xf borderId="0" fillId="0" fontId="9" numFmtId="0" xfId="0" applyAlignment="1" applyFont="1">
      <alignment readingOrder="0" vertical="bottom"/>
    </xf>
    <xf borderId="0" fillId="0" fontId="10" numFmtId="0" xfId="0" applyAlignment="1" applyFont="1">
      <alignment horizontal="center" readingOrder="0" vertical="bottom"/>
    </xf>
    <xf borderId="0" fillId="0" fontId="10" numFmtId="0" xfId="0" applyAlignment="1" applyFont="1">
      <alignment horizontal="left" readingOrder="0" vertical="bottom"/>
    </xf>
    <xf borderId="0" fillId="0" fontId="10" numFmtId="0" xfId="0" applyAlignment="1" applyFont="1">
      <alignment horizontal="center" vertical="bottom"/>
    </xf>
    <xf borderId="0" fillId="0" fontId="10" numFmtId="0" xfId="0" applyAlignment="1" applyFont="1">
      <alignment horizontal="left" vertical="bottom"/>
    </xf>
    <xf borderId="0" fillId="0" fontId="10" numFmtId="0" xfId="0" applyAlignment="1" applyFont="1">
      <alignment readingOrder="0" vertical="bottom"/>
    </xf>
    <xf borderId="0" fillId="0" fontId="10" numFmtId="49" xfId="0" applyAlignment="1" applyFont="1" applyNumberFormat="1">
      <alignment horizontal="center" readingOrder="0" vertical="bottom"/>
    </xf>
    <xf borderId="0" fillId="0" fontId="10" numFmtId="0" xfId="0" applyAlignment="1" applyFont="1">
      <alignment horizontal="center" readingOrder="0" shrinkToFit="0" vertical="bottom" wrapText="0"/>
    </xf>
    <xf borderId="0" fillId="0" fontId="11" numFmtId="0" xfId="0" applyAlignment="1" applyFont="1">
      <alignment readingOrder="0" shrinkToFit="0" vertical="bottom" wrapText="0"/>
    </xf>
    <xf borderId="0" fillId="2" fontId="1" numFmtId="164" xfId="0" applyAlignment="1" applyFont="1" applyNumberFormat="1">
      <alignment readingOrder="0"/>
    </xf>
    <xf borderId="0" fillId="2" fontId="1" numFmtId="49" xfId="0" applyFont="1" applyNumberFormat="1"/>
    <xf borderId="0" fillId="2" fontId="1" numFmtId="0" xfId="0" applyAlignment="1" applyFont="1">
      <alignment shrinkToFit="0" wrapText="0"/>
    </xf>
    <xf borderId="0" fillId="0" fontId="11" numFmtId="4" xfId="0" applyAlignment="1" applyFont="1" applyNumberFormat="1">
      <alignment shrinkToFit="0" vertical="bottom" wrapText="0"/>
    </xf>
    <xf borderId="0" fillId="0" fontId="2" numFmtId="4" xfId="0" applyFont="1" applyNumberFormat="1"/>
    <xf borderId="0" fillId="0" fontId="2" numFmtId="49" xfId="0" applyFont="1" applyNumberFormat="1"/>
    <xf borderId="0" fillId="0" fontId="12" numFmtId="0" xfId="0" applyAlignment="1" applyFont="1">
      <alignment horizontal="right" vertical="bottom"/>
    </xf>
    <xf borderId="0" fillId="0" fontId="12" numFmtId="0" xfId="0" applyAlignment="1" applyFont="1">
      <alignment horizontal="right" readingOrder="0" vertical="bottom"/>
    </xf>
    <xf borderId="0" fillId="0" fontId="2" numFmtId="0" xfId="0" applyAlignment="1" applyFont="1">
      <alignment shrinkToFit="0" wrapText="0"/>
    </xf>
    <xf borderId="0" fillId="0" fontId="2" numFmtId="0" xfId="0" applyAlignment="1" applyFont="1">
      <alignment readingOrder="0" shrinkToFit="0" wrapText="0"/>
    </xf>
    <xf borderId="0" fillId="2" fontId="13" numFmtId="0" xfId="0" applyAlignment="1" applyFont="1">
      <alignment readingOrder="0"/>
    </xf>
    <xf quotePrefix="1" borderId="0" fillId="0" fontId="2" numFmtId="49" xfId="0" applyAlignment="1" applyFont="1" applyNumberFormat="1">
      <alignment readingOrder="0"/>
    </xf>
    <xf borderId="0" fillId="0" fontId="2" numFmtId="49" xfId="0" applyAlignment="1" applyFont="1" applyNumberFormat="1">
      <alignment readingOrder="0"/>
    </xf>
    <xf borderId="0" fillId="0" fontId="2" numFmtId="0" xfId="0" applyAlignment="1" applyFont="1">
      <alignment readingOrder="0"/>
    </xf>
    <xf borderId="0" fillId="0" fontId="2" numFmtId="0" xfId="0" applyFont="1"/>
    <xf borderId="0" fillId="0" fontId="2" numFmtId="167" xfId="0" applyFont="1" applyNumberFormat="1"/>
    <xf borderId="0" fillId="0" fontId="2" numFmtId="168" xfId="0" applyFont="1" applyNumberFormat="1"/>
    <xf borderId="0" fillId="2" fontId="1" numFmtId="167" xfId="0" applyFont="1" applyNumberFormat="1"/>
    <xf borderId="0" fillId="2" fontId="14" numFmtId="0" xfId="0" applyAlignment="1" applyFont="1">
      <alignment readingOrder="0"/>
    </xf>
    <xf borderId="0" fillId="2" fontId="15" numFmtId="0" xfId="0" applyAlignment="1" applyFont="1">
      <alignment readingOrder="0"/>
    </xf>
    <xf borderId="0" fillId="2" fontId="1" numFmtId="168" xfId="0" applyFont="1" applyNumberFormat="1"/>
    <xf borderId="0" fillId="7" fontId="2" numFmtId="0" xfId="0" applyAlignment="1" applyFill="1" applyFont="1">
      <alignment readingOrder="0"/>
    </xf>
    <xf borderId="0" fillId="7" fontId="2" numFmtId="0" xfId="0" applyFont="1"/>
    <xf borderId="0" fillId="0" fontId="16" numFmtId="0" xfId="0" applyAlignment="1" applyFont="1">
      <alignment horizontal="center" vertical="bottom"/>
    </xf>
    <xf borderId="0" fillId="0" fontId="2" numFmtId="169" xfId="0" applyAlignment="1" applyFont="1" applyNumberFormat="1">
      <alignment readingOrder="0"/>
    </xf>
    <xf borderId="0" fillId="0" fontId="17" numFmtId="0" xfId="0" applyAlignment="1" applyFont="1">
      <alignment horizontal="center" vertical="bottom"/>
    </xf>
    <xf borderId="0" fillId="0" fontId="12" numFmtId="168" xfId="0" applyAlignment="1" applyFont="1" applyNumberFormat="1">
      <alignment vertical="bottom"/>
    </xf>
    <xf borderId="0" fillId="0" fontId="12" numFmtId="0" xfId="0" applyAlignment="1" applyFont="1">
      <alignment vertical="bottom"/>
    </xf>
    <xf borderId="0" fillId="8" fontId="17" numFmtId="0" xfId="0" applyAlignment="1" applyFill="1" applyFont="1">
      <alignment horizontal="center" vertical="bottom"/>
    </xf>
    <xf borderId="0" fillId="0" fontId="12" numFmtId="0" xfId="0" applyAlignment="1" applyFont="1">
      <alignment readingOrder="0" vertical="bottom"/>
    </xf>
  </cellXfs>
  <cellStyles count="1">
    <cellStyle xfId="0" name="Normal" builtinId="0"/>
  </cellStyles>
  <dxfs count="3">
    <dxf>
      <font/>
      <fill>
        <patternFill patternType="solid">
          <fgColor rgb="FFB7E1CD"/>
          <bgColor rgb="FFB7E1CD"/>
        </patternFill>
      </fill>
      <border/>
    </dxf>
    <dxf>
      <font/>
      <fill>
        <patternFill patternType="solid">
          <fgColor rgb="FFFF0000"/>
          <bgColor rgb="FFFF0000"/>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google.com/spreadsheets/d/1clAU3Z70KD66cTYUub-XaF_mxW5vAeDklTMh8e1yQeo/edit"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google.com/spreadsheets/d/1udSgUVxFGltgl09A5I_rkkLTxeq2WFyWbCincoOBw3w/edit"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d/1PSP6-qrTIpKju2-qhjGqyHm2tgdaO8cekHG8054I5ME/edit"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wjThV7JW0kKqm7uO2-sxXBC1cc060y3WcgMgZvGPF_o/edit"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cs.google.com/spreadsheets/d/1K8B0ZDgiN5PQN5bAFZJCRhKT29fWeClAxGSw-zrC2Zg/edit"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ocs.google.com/spreadsheets/d/1EFWefMneSUEtKqHn5Aw1V-ztft1bNtKF3gyCaIQtU4c/edit"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ocs.google.com/spreadsheets/d/1TBzheQThyyD80WP6Pv5jOI5Q2V_6vhg_8aW0ab0cAzo/edit"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63"/>
    <col customWidth="1" min="3" max="3" width="13.38"/>
    <col customWidth="1" min="8" max="9" width="14.75"/>
  </cols>
  <sheetData>
    <row r="1">
      <c r="A1" s="1" t="s">
        <v>0</v>
      </c>
      <c r="B1" s="2" t="str">
        <f>IFERROR(__xludf.DUMMYFUNCTION("query('OTPI Scores'!A:AA,""select C, Count(C), sum(H), sum(I), sum(R), sum(AA) WHERE C is not null and B!='Friendly' group by C order by sum(AA) Desc LABEL sum(AA) 'Points', sum(H) 'Goals', sum(I) 'Assists', Count(C) 'Appearances', sum(R) 'MOTM'"")"),"Player Name")</f>
        <v>Player Name</v>
      </c>
      <c r="C1" s="3" t="str">
        <f>IFERROR(__xludf.DUMMYFUNCTION("""COMPUTED_VALUE"""),"Appearances")</f>
        <v>Appearances</v>
      </c>
      <c r="D1" s="3" t="str">
        <f>IFERROR(__xludf.DUMMYFUNCTION("""COMPUTED_VALUE"""),"Goals")</f>
        <v>Goals</v>
      </c>
      <c r="E1" s="3" t="str">
        <f>IFERROR(__xludf.DUMMYFUNCTION("""COMPUTED_VALUE"""),"Assists")</f>
        <v>Assists</v>
      </c>
      <c r="F1" s="2" t="str">
        <f>IFERROR(__xludf.DUMMYFUNCTION("""COMPUTED_VALUE"""),"MOTM")</f>
        <v>MOTM</v>
      </c>
      <c r="G1" s="3" t="str">
        <f>IFERROR(__xludf.DUMMYFUNCTION("""COMPUTED_VALUE"""),"Points")</f>
        <v>Points</v>
      </c>
      <c r="H1" s="4" t="s">
        <v>1</v>
      </c>
      <c r="I1" s="5" t="s">
        <v>2</v>
      </c>
      <c r="J1" s="5" t="s">
        <v>3</v>
      </c>
      <c r="K1" s="5"/>
    </row>
    <row r="2">
      <c r="A2" s="6">
        <v>1.0</v>
      </c>
      <c r="B2" s="3" t="str">
        <f>IFERROR(__xludf.DUMMYFUNCTION("""COMPUTED_VALUE"""),"Jarvis Cheek")</f>
        <v>Jarvis Cheek</v>
      </c>
      <c r="C2" s="3">
        <f>IFERROR(__xludf.DUMMYFUNCTION("""COMPUTED_VALUE"""),21.0)</f>
        <v>21</v>
      </c>
      <c r="D2" s="3">
        <f>IFERROR(__xludf.DUMMYFUNCTION("""COMPUTED_VALUE"""),16.0)</f>
        <v>16</v>
      </c>
      <c r="E2" s="3">
        <f>IFERROR(__xludf.DUMMYFUNCTION("""COMPUTED_VALUE"""),12.0)</f>
        <v>12</v>
      </c>
      <c r="F2" s="3">
        <f>IFERROR(__xludf.DUMMYFUNCTION("""COMPUTED_VALUE"""),5.0)</f>
        <v>5</v>
      </c>
      <c r="G2" s="3">
        <f>IFERROR(__xludf.DUMMYFUNCTION("""COMPUTED_VALUE"""),162.0)</f>
        <v>162</v>
      </c>
      <c r="H2" s="7">
        <f t="shared" ref="H2:H258" si="1">G2/C2</f>
        <v>7.714285714</v>
      </c>
      <c r="I2" s="3">
        <f>G2-iferror(VLOOKUP(B2,'OPTI Leadboard Last Week'!A:G,6,FALSE),0)</f>
        <v>26</v>
      </c>
      <c r="J2" s="3" t="str">
        <f>IF(IF(LEN(B2)=0,"",IFERROR(IF(VLOOKUP(B2,'OPTI Leadboard Last Week'!A:G,7,FALSE)-A2&gt;0,"+"&amp;VLOOKUP(B2,'OPTI Leadboard Last Week'!A:G,7,FALSE)-A2,"-"&amp;abs(VLOOKUP(B2,'OPTI Leadboard Last Week'!A:G,7,FALSE)-A2)),"NEW"))="-0","--",IF(LEN(B2)=0,"",IFERROR(IF(VLOOKUP(B2,'OPTI Leadboard Last Week'!A:G,7,FALSE)-A2&gt;0,"+"&amp;VLOOKUP(B2,'OPTI Leadboard Last Week'!A:G,7,FALSE)-A2,"-"&amp;abs(VLOOKUP(B2,'OPTI Leadboard Last Week'!A:G,7,FALSE)-A2)),"NEW")))</f>
        <v>+1</v>
      </c>
    </row>
    <row r="3">
      <c r="A3" s="8">
        <f t="shared" ref="A3:A259" si="2">if(len(B3)&gt;0,A2+1,"")</f>
        <v>2</v>
      </c>
      <c r="B3" s="3" t="str">
        <f>IFERROR(__xludf.DUMMYFUNCTION("""COMPUTED_VALUE"""),"Josh Sherriff-Jolly")</f>
        <v>Josh Sherriff-Jolly</v>
      </c>
      <c r="C3" s="3">
        <f>IFERROR(__xludf.DUMMYFUNCTION("""COMPUTED_VALUE"""),21.0)</f>
        <v>21</v>
      </c>
      <c r="D3" s="3">
        <f>IFERROR(__xludf.DUMMYFUNCTION("""COMPUTED_VALUE"""),10.0)</f>
        <v>10</v>
      </c>
      <c r="E3" s="3">
        <f>IFERROR(__xludf.DUMMYFUNCTION("""COMPUTED_VALUE"""),9.0)</f>
        <v>9</v>
      </c>
      <c r="F3" s="3">
        <f>IFERROR(__xludf.DUMMYFUNCTION("""COMPUTED_VALUE"""),4.0)</f>
        <v>4</v>
      </c>
      <c r="G3" s="3">
        <f>IFERROR(__xludf.DUMMYFUNCTION("""COMPUTED_VALUE"""),139.0)</f>
        <v>139</v>
      </c>
      <c r="H3" s="7">
        <f t="shared" si="1"/>
        <v>6.619047619</v>
      </c>
      <c r="I3" s="3">
        <f>G3-iferror(VLOOKUP(B3,'OPTI Leadboard Last Week'!A:G,6,FALSE),0)</f>
        <v>2</v>
      </c>
      <c r="J3" s="3" t="str">
        <f>IF(IF(LEN(B3)=0,"",IFERROR(IF(VLOOKUP(B3,'OPTI Leadboard Last Week'!A:G,7,FALSE)-A3&gt;0,"+"&amp;VLOOKUP(B3,'OPTI Leadboard Last Week'!A:G,7,FALSE)-A3,"-"&amp;abs(VLOOKUP(B3,'OPTI Leadboard Last Week'!A:G,7,FALSE)-A3)),"NEW"))="-0","--",IF(LEN(B3)=0,"",IFERROR(IF(VLOOKUP(B3,'OPTI Leadboard Last Week'!A:G,7,FALSE)-A3&gt;0,"+"&amp;VLOOKUP(B3,'OPTI Leadboard Last Week'!A:G,7,FALSE)-A3,"-"&amp;abs(VLOOKUP(B3,'OPTI Leadboard Last Week'!A:G,7,FALSE)-A3)),"NEW")))</f>
        <v>-1</v>
      </c>
    </row>
    <row r="4">
      <c r="A4" s="9">
        <f t="shared" si="2"/>
        <v>3</v>
      </c>
      <c r="B4" s="3" t="str">
        <f>IFERROR(__xludf.DUMMYFUNCTION("""COMPUTED_VALUE"""),"Matt Crowe")</f>
        <v>Matt Crowe</v>
      </c>
      <c r="C4" s="3">
        <f>IFERROR(__xludf.DUMMYFUNCTION("""COMPUTED_VALUE"""),23.0)</f>
        <v>23</v>
      </c>
      <c r="D4" s="3">
        <f>IFERROR(__xludf.DUMMYFUNCTION("""COMPUTED_VALUE"""),6.0)</f>
        <v>6</v>
      </c>
      <c r="E4" s="3">
        <f>IFERROR(__xludf.DUMMYFUNCTION("""COMPUTED_VALUE"""),2.0)</f>
        <v>2</v>
      </c>
      <c r="F4" s="3">
        <f>IFERROR(__xludf.DUMMYFUNCTION("""COMPUTED_VALUE"""),2.0)</f>
        <v>2</v>
      </c>
      <c r="G4" s="3">
        <f>IFERROR(__xludf.DUMMYFUNCTION("""COMPUTED_VALUE"""),118.0)</f>
        <v>118</v>
      </c>
      <c r="H4" s="7">
        <f t="shared" si="1"/>
        <v>5.130434783</v>
      </c>
      <c r="I4" s="3">
        <f>G4-iferror(VLOOKUP(B4,'OPTI Leadboard Last Week'!A:G,6,FALSE),0)</f>
        <v>2</v>
      </c>
      <c r="J4" s="3" t="str">
        <f>IF(IF(LEN(B4)=0,"",IFERROR(IF(VLOOKUP(B4,'OPTI Leadboard Last Week'!A:G,7,FALSE)-A4&gt;0,"+"&amp;VLOOKUP(B4,'OPTI Leadboard Last Week'!A:G,7,FALSE)-A4,"-"&amp;abs(VLOOKUP(B4,'OPTI Leadboard Last Week'!A:G,7,FALSE)-A4)),"NEW"))="-0","--",IF(LEN(B4)=0,"",IFERROR(IF(VLOOKUP(B4,'OPTI Leadboard Last Week'!A:G,7,FALSE)-A4&gt;0,"+"&amp;VLOOKUP(B4,'OPTI Leadboard Last Week'!A:G,7,FALSE)-A4,"-"&amp;abs(VLOOKUP(B4,'OPTI Leadboard Last Week'!A:G,7,FALSE)-A4)),"NEW")))</f>
        <v>--</v>
      </c>
    </row>
    <row r="5">
      <c r="A5" s="5">
        <f t="shared" si="2"/>
        <v>4</v>
      </c>
      <c r="B5" s="3" t="str">
        <f>IFERROR(__xludf.DUMMYFUNCTION("""COMPUTED_VALUE"""),"Alex Dockerill")</f>
        <v>Alex Dockerill</v>
      </c>
      <c r="C5" s="3">
        <f>IFERROR(__xludf.DUMMYFUNCTION("""COMPUTED_VALUE"""),19.0)</f>
        <v>19</v>
      </c>
      <c r="D5" s="3">
        <f>IFERROR(__xludf.DUMMYFUNCTION("""COMPUTED_VALUE"""),13.0)</f>
        <v>13</v>
      </c>
      <c r="E5" s="3">
        <f>IFERROR(__xludf.DUMMYFUNCTION("""COMPUTED_VALUE"""),4.0)</f>
        <v>4</v>
      </c>
      <c r="F5" s="3">
        <f>IFERROR(__xludf.DUMMYFUNCTION("""COMPUTED_VALUE"""),4.0)</f>
        <v>4</v>
      </c>
      <c r="G5" s="3">
        <f>IFERROR(__xludf.DUMMYFUNCTION("""COMPUTED_VALUE"""),116.0)</f>
        <v>116</v>
      </c>
      <c r="H5" s="7">
        <f t="shared" si="1"/>
        <v>6.105263158</v>
      </c>
      <c r="I5" s="3">
        <f>G5-iferror(VLOOKUP(B5,'OPTI Leadboard Last Week'!A:G,6,FALSE),0)</f>
        <v>6</v>
      </c>
      <c r="J5" s="3" t="str">
        <f>IF(IF(LEN(B5)=0,"",IFERROR(IF(VLOOKUP(B5,'OPTI Leadboard Last Week'!A:G,7,FALSE)-A5&gt;0,"+"&amp;VLOOKUP(B5,'OPTI Leadboard Last Week'!A:G,7,FALSE)-A5,"-"&amp;abs(VLOOKUP(B5,'OPTI Leadboard Last Week'!A:G,7,FALSE)-A5)),"NEW"))="-0","--",IF(LEN(B5)=0,"",IFERROR(IF(VLOOKUP(B5,'OPTI Leadboard Last Week'!A:G,7,FALSE)-A5&gt;0,"+"&amp;VLOOKUP(B5,'OPTI Leadboard Last Week'!A:G,7,FALSE)-A5,"-"&amp;abs(VLOOKUP(B5,'OPTI Leadboard Last Week'!A:G,7,FALSE)-A5)),"NEW")))</f>
        <v>--</v>
      </c>
    </row>
    <row r="6">
      <c r="A6" s="5">
        <f t="shared" si="2"/>
        <v>5</v>
      </c>
      <c r="B6" s="3" t="str">
        <f>IFERROR(__xludf.DUMMYFUNCTION("""COMPUTED_VALUE"""),"Alex Stevens")</f>
        <v>Alex Stevens</v>
      </c>
      <c r="C6" s="3">
        <f>IFERROR(__xludf.DUMMYFUNCTION("""COMPUTED_VALUE"""),20.0)</f>
        <v>20</v>
      </c>
      <c r="D6" s="3">
        <f>IFERROR(__xludf.DUMMYFUNCTION("""COMPUTED_VALUE"""),10.0)</f>
        <v>10</v>
      </c>
      <c r="E6" s="3">
        <f>IFERROR(__xludf.DUMMYFUNCTION("""COMPUTED_VALUE"""),7.0)</f>
        <v>7</v>
      </c>
      <c r="F6" s="3">
        <f>IFERROR(__xludf.DUMMYFUNCTION("""COMPUTED_VALUE"""),1.0)</f>
        <v>1</v>
      </c>
      <c r="G6" s="3">
        <f>IFERROR(__xludf.DUMMYFUNCTION("""COMPUTED_VALUE"""),104.0)</f>
        <v>104</v>
      </c>
      <c r="H6" s="7">
        <f t="shared" si="1"/>
        <v>5.2</v>
      </c>
      <c r="I6" s="3">
        <f>G6-iferror(VLOOKUP(B6,'OPTI Leadboard Last Week'!A:G,6,FALSE),0)</f>
        <v>2</v>
      </c>
      <c r="J6" s="3" t="str">
        <f>IF(IF(LEN(B6)=0,"",IFERROR(IF(VLOOKUP(B6,'OPTI Leadboard Last Week'!A:G,7,FALSE)-A6&gt;0,"+"&amp;VLOOKUP(B6,'OPTI Leadboard Last Week'!A:G,7,FALSE)-A6,"-"&amp;abs(VLOOKUP(B6,'OPTI Leadboard Last Week'!A:G,7,FALSE)-A6)),"NEW"))="-0","--",IF(LEN(B6)=0,"",IFERROR(IF(VLOOKUP(B6,'OPTI Leadboard Last Week'!A:G,7,FALSE)-A6&gt;0,"+"&amp;VLOOKUP(B6,'OPTI Leadboard Last Week'!A:G,7,FALSE)-A6,"-"&amp;abs(VLOOKUP(B6,'OPTI Leadboard Last Week'!A:G,7,FALSE)-A6)),"NEW")))</f>
        <v>--</v>
      </c>
    </row>
    <row r="7">
      <c r="A7" s="5">
        <f t="shared" si="2"/>
        <v>6</v>
      </c>
      <c r="B7" s="3" t="str">
        <f>IFERROR(__xludf.DUMMYFUNCTION("""COMPUTED_VALUE"""),"George Connolly")</f>
        <v>George Connolly</v>
      </c>
      <c r="C7" s="3">
        <f>IFERROR(__xludf.DUMMYFUNCTION("""COMPUTED_VALUE"""),13.0)</f>
        <v>13</v>
      </c>
      <c r="D7" s="3">
        <f>IFERROR(__xludf.DUMMYFUNCTION("""COMPUTED_VALUE"""),10.0)</f>
        <v>10</v>
      </c>
      <c r="E7" s="3">
        <f>IFERROR(__xludf.DUMMYFUNCTION("""COMPUTED_VALUE"""),6.0)</f>
        <v>6</v>
      </c>
      <c r="F7" s="3">
        <f>IFERROR(__xludf.DUMMYFUNCTION("""COMPUTED_VALUE"""),2.0)</f>
        <v>2</v>
      </c>
      <c r="G7" s="3">
        <f>IFERROR(__xludf.DUMMYFUNCTION("""COMPUTED_VALUE"""),93.0)</f>
        <v>93</v>
      </c>
      <c r="H7" s="7">
        <f t="shared" si="1"/>
        <v>7.153846154</v>
      </c>
      <c r="I7" s="3">
        <f>G7-iferror(VLOOKUP(B7,'OPTI Leadboard Last Week'!A:G,6,FALSE),0)</f>
        <v>2</v>
      </c>
      <c r="J7" s="3" t="str">
        <f>IF(IF(LEN(B7)=0,"",IFERROR(IF(VLOOKUP(B7,'OPTI Leadboard Last Week'!A:G,7,FALSE)-A7&gt;0,"+"&amp;VLOOKUP(B7,'OPTI Leadboard Last Week'!A:G,7,FALSE)-A7,"-"&amp;abs(VLOOKUP(B7,'OPTI Leadboard Last Week'!A:G,7,FALSE)-A7)),"NEW"))="-0","--",IF(LEN(B7)=0,"",IFERROR(IF(VLOOKUP(B7,'OPTI Leadboard Last Week'!A:G,7,FALSE)-A7&gt;0,"+"&amp;VLOOKUP(B7,'OPTI Leadboard Last Week'!A:G,7,FALSE)-A7,"-"&amp;abs(VLOOKUP(B7,'OPTI Leadboard Last Week'!A:G,7,FALSE)-A7)),"NEW")))</f>
        <v>--</v>
      </c>
    </row>
    <row r="8">
      <c r="A8" s="5">
        <f t="shared" si="2"/>
        <v>7</v>
      </c>
      <c r="B8" s="3" t="str">
        <f>IFERROR(__xludf.DUMMYFUNCTION("""COMPUTED_VALUE"""),"John Harrison")</f>
        <v>John Harrison</v>
      </c>
      <c r="C8" s="3">
        <f>IFERROR(__xludf.DUMMYFUNCTION("""COMPUTED_VALUE"""),22.0)</f>
        <v>22</v>
      </c>
      <c r="D8" s="3"/>
      <c r="E8" s="3"/>
      <c r="F8" s="3">
        <f>IFERROR(__xludf.DUMMYFUNCTION("""COMPUTED_VALUE"""),2.0)</f>
        <v>2</v>
      </c>
      <c r="G8" s="3">
        <f>IFERROR(__xludf.DUMMYFUNCTION("""COMPUTED_VALUE"""),89.0)</f>
        <v>89</v>
      </c>
      <c r="H8" s="7">
        <f t="shared" si="1"/>
        <v>4.045454545</v>
      </c>
      <c r="I8" s="3">
        <f>G8-iferror(VLOOKUP(B8,'OPTI Leadboard Last Week'!A:G,6,FALSE),0)</f>
        <v>2</v>
      </c>
      <c r="J8" s="3" t="str">
        <f>IF(IF(LEN(B8)=0,"",IFERROR(IF(VLOOKUP(B8,'OPTI Leadboard Last Week'!A:G,7,FALSE)-A8&gt;0,"+"&amp;VLOOKUP(B8,'OPTI Leadboard Last Week'!A:G,7,FALSE)-A8,"-"&amp;abs(VLOOKUP(B8,'OPTI Leadboard Last Week'!A:G,7,FALSE)-A8)),"NEW"))="-0","--",IF(LEN(B8)=0,"",IFERROR(IF(VLOOKUP(B8,'OPTI Leadboard Last Week'!A:G,7,FALSE)-A8&gt;0,"+"&amp;VLOOKUP(B8,'OPTI Leadboard Last Week'!A:G,7,FALSE)-A8,"-"&amp;abs(VLOOKUP(B8,'OPTI Leadboard Last Week'!A:G,7,FALSE)-A8)),"NEW")))</f>
        <v>--</v>
      </c>
    </row>
    <row r="9">
      <c r="A9" s="5">
        <f t="shared" si="2"/>
        <v>8</v>
      </c>
      <c r="B9" s="3" t="str">
        <f>IFERROR(__xludf.DUMMYFUNCTION("""COMPUTED_VALUE"""),"Ollie Sewell")</f>
        <v>Ollie Sewell</v>
      </c>
      <c r="C9" s="3">
        <f>IFERROR(__xludf.DUMMYFUNCTION("""COMPUTED_VALUE"""),18.0)</f>
        <v>18</v>
      </c>
      <c r="D9" s="3">
        <f>IFERROR(__xludf.DUMMYFUNCTION("""COMPUTED_VALUE"""),3.0)</f>
        <v>3</v>
      </c>
      <c r="E9" s="3">
        <f>IFERROR(__xludf.DUMMYFUNCTION("""COMPUTED_VALUE"""),7.0)</f>
        <v>7</v>
      </c>
      <c r="F9" s="3">
        <f>IFERROR(__xludf.DUMMYFUNCTION("""COMPUTED_VALUE"""),3.0)</f>
        <v>3</v>
      </c>
      <c r="G9" s="3">
        <f>IFERROR(__xludf.DUMMYFUNCTION("""COMPUTED_VALUE"""),89.0)</f>
        <v>89</v>
      </c>
      <c r="H9" s="7">
        <f t="shared" si="1"/>
        <v>4.944444444</v>
      </c>
      <c r="I9" s="3">
        <f>G9-iferror(VLOOKUP(B9,'OPTI Leadboard Last Week'!A:G,6,FALSE),0)</f>
        <v>11</v>
      </c>
      <c r="J9" s="3" t="str">
        <f>IF(IF(LEN(B9)=0,"",IFERROR(IF(VLOOKUP(B9,'OPTI Leadboard Last Week'!A:G,7,FALSE)-A9&gt;0,"+"&amp;VLOOKUP(B9,'OPTI Leadboard Last Week'!A:G,7,FALSE)-A9,"-"&amp;abs(VLOOKUP(B9,'OPTI Leadboard Last Week'!A:G,7,FALSE)-A9)),"NEW"))="-0","--",IF(LEN(B9)=0,"",IFERROR(IF(VLOOKUP(B9,'OPTI Leadboard Last Week'!A:G,7,FALSE)-A9&gt;0,"+"&amp;VLOOKUP(B9,'OPTI Leadboard Last Week'!A:G,7,FALSE)-A9,"-"&amp;abs(VLOOKUP(B9,'OPTI Leadboard Last Week'!A:G,7,FALSE)-A9)),"NEW")))</f>
        <v>+5</v>
      </c>
    </row>
    <row r="10">
      <c r="A10" s="5">
        <f t="shared" si="2"/>
        <v>9</v>
      </c>
      <c r="B10" s="3" t="str">
        <f>IFERROR(__xludf.DUMMYFUNCTION("""COMPUTED_VALUE"""),"Adam Platten")</f>
        <v>Adam Platten</v>
      </c>
      <c r="C10" s="3">
        <f>IFERROR(__xludf.DUMMYFUNCTION("""COMPUTED_VALUE"""),14.0)</f>
        <v>14</v>
      </c>
      <c r="D10" s="3">
        <f>IFERROR(__xludf.DUMMYFUNCTION("""COMPUTED_VALUE"""),9.0)</f>
        <v>9</v>
      </c>
      <c r="E10" s="3">
        <f>IFERROR(__xludf.DUMMYFUNCTION("""COMPUTED_VALUE"""),5.0)</f>
        <v>5</v>
      </c>
      <c r="F10" s="3">
        <f>IFERROR(__xludf.DUMMYFUNCTION("""COMPUTED_VALUE"""),1.0)</f>
        <v>1</v>
      </c>
      <c r="G10" s="3">
        <f>IFERROR(__xludf.DUMMYFUNCTION("""COMPUTED_VALUE"""),87.0)</f>
        <v>87</v>
      </c>
      <c r="H10" s="7">
        <f t="shared" si="1"/>
        <v>6.214285714</v>
      </c>
      <c r="I10" s="3">
        <f>G10-iferror(VLOOKUP(B10,'OPTI Leadboard Last Week'!A:G,6,FALSE),0)</f>
        <v>2</v>
      </c>
      <c r="J10" s="3" t="str">
        <f>IF(IF(LEN(B10)=0,"",IFERROR(IF(VLOOKUP(B10,'OPTI Leadboard Last Week'!A:G,7,FALSE)-A10&gt;0,"+"&amp;VLOOKUP(B10,'OPTI Leadboard Last Week'!A:G,7,FALSE)-A10,"-"&amp;abs(VLOOKUP(B10,'OPTI Leadboard Last Week'!A:G,7,FALSE)-A10)),"NEW"))="-0","--",IF(LEN(B10)=0,"",IFERROR(IF(VLOOKUP(B10,'OPTI Leadboard Last Week'!A:G,7,FALSE)-A10&gt;0,"+"&amp;VLOOKUP(B10,'OPTI Leadboard Last Week'!A:G,7,FALSE)-A10,"-"&amp;abs(VLOOKUP(B10,'OPTI Leadboard Last Week'!A:G,7,FALSE)-A10)),"NEW")))</f>
        <v>--</v>
      </c>
    </row>
    <row r="11">
      <c r="A11" s="5">
        <f t="shared" si="2"/>
        <v>10</v>
      </c>
      <c r="B11" s="3" t="str">
        <f>IFERROR(__xludf.DUMMYFUNCTION("""COMPUTED_VALUE"""),"Rich Lundie")</f>
        <v>Rich Lundie</v>
      </c>
      <c r="C11" s="3">
        <f>IFERROR(__xludf.DUMMYFUNCTION("""COMPUTED_VALUE"""),18.0)</f>
        <v>18</v>
      </c>
      <c r="D11" s="3">
        <f>IFERROR(__xludf.DUMMYFUNCTION("""COMPUTED_VALUE"""),7.0)</f>
        <v>7</v>
      </c>
      <c r="E11" s="3">
        <f>IFERROR(__xludf.DUMMYFUNCTION("""COMPUTED_VALUE"""),4.0)</f>
        <v>4</v>
      </c>
      <c r="F11" s="3">
        <f>IFERROR(__xludf.DUMMYFUNCTION("""COMPUTED_VALUE"""),1.0)</f>
        <v>1</v>
      </c>
      <c r="G11" s="3">
        <f>IFERROR(__xludf.DUMMYFUNCTION("""COMPUTED_VALUE"""),87.0)</f>
        <v>87</v>
      </c>
      <c r="H11" s="7">
        <f t="shared" si="1"/>
        <v>4.833333333</v>
      </c>
      <c r="I11" s="3">
        <f>G11-iferror(VLOOKUP(B11,'OPTI Leadboard Last Week'!A:G,6,FALSE),0)</f>
        <v>0</v>
      </c>
      <c r="J11" s="3" t="str">
        <f>IF(IF(LEN(B11)=0,"",IFERROR(IF(VLOOKUP(B11,'OPTI Leadboard Last Week'!A:G,7,FALSE)-A11&gt;0,"+"&amp;VLOOKUP(B11,'OPTI Leadboard Last Week'!A:G,7,FALSE)-A11,"-"&amp;abs(VLOOKUP(B11,'OPTI Leadboard Last Week'!A:G,7,FALSE)-A11)),"NEW"))="-0","--",IF(LEN(B11)=0,"",IFERROR(IF(VLOOKUP(B11,'OPTI Leadboard Last Week'!A:G,7,FALSE)-A11&gt;0,"+"&amp;VLOOKUP(B11,'OPTI Leadboard Last Week'!A:G,7,FALSE)-A11,"-"&amp;abs(VLOOKUP(B11,'OPTI Leadboard Last Week'!A:G,7,FALSE)-A11)),"NEW")))</f>
        <v>-2</v>
      </c>
    </row>
    <row r="12">
      <c r="A12" s="5">
        <f t="shared" si="2"/>
        <v>11</v>
      </c>
      <c r="B12" s="3" t="str">
        <f>IFERROR(__xludf.DUMMYFUNCTION("""COMPUTED_VALUE"""),"Masood Hamidi")</f>
        <v>Masood Hamidi</v>
      </c>
      <c r="C12" s="3">
        <f>IFERROR(__xludf.DUMMYFUNCTION("""COMPUTED_VALUE"""),20.0)</f>
        <v>20</v>
      </c>
      <c r="D12" s="3">
        <f>IFERROR(__xludf.DUMMYFUNCTION("""COMPUTED_VALUE"""),3.0)</f>
        <v>3</v>
      </c>
      <c r="E12" s="3">
        <f>IFERROR(__xludf.DUMMYFUNCTION("""COMPUTED_VALUE"""),8.0)</f>
        <v>8</v>
      </c>
      <c r="F12" s="3">
        <f>IFERROR(__xludf.DUMMYFUNCTION("""COMPUTED_VALUE"""),2.0)</f>
        <v>2</v>
      </c>
      <c r="G12" s="3">
        <f>IFERROR(__xludf.DUMMYFUNCTION("""COMPUTED_VALUE"""),84.0)</f>
        <v>84</v>
      </c>
      <c r="H12" s="7">
        <f t="shared" si="1"/>
        <v>4.2</v>
      </c>
      <c r="I12" s="3">
        <f>G12-iferror(VLOOKUP(B12,'OPTI Leadboard Last Week'!A:G,6,FALSE),0)</f>
        <v>2</v>
      </c>
      <c r="J12" s="3" t="str">
        <f>IF(IF(LEN(B12)=0,"",IFERROR(IF(VLOOKUP(B12,'OPTI Leadboard Last Week'!A:G,7,FALSE)-A12&gt;0,"+"&amp;VLOOKUP(B12,'OPTI Leadboard Last Week'!A:G,7,FALSE)-A12,"-"&amp;abs(VLOOKUP(B12,'OPTI Leadboard Last Week'!A:G,7,FALSE)-A12)),"NEW"))="-0","--",IF(LEN(B12)=0,"",IFERROR(IF(VLOOKUP(B12,'OPTI Leadboard Last Week'!A:G,7,FALSE)-A12&gt;0,"+"&amp;VLOOKUP(B12,'OPTI Leadboard Last Week'!A:G,7,FALSE)-A12,"-"&amp;abs(VLOOKUP(B12,'OPTI Leadboard Last Week'!A:G,7,FALSE)-A12)),"NEW")))</f>
        <v>-1</v>
      </c>
    </row>
    <row r="13">
      <c r="A13" s="5">
        <f t="shared" si="2"/>
        <v>12</v>
      </c>
      <c r="B13" s="3" t="str">
        <f>IFERROR(__xludf.DUMMYFUNCTION("""COMPUTED_VALUE"""),"Richard Jones")</f>
        <v>Richard Jones</v>
      </c>
      <c r="C13" s="3">
        <f>IFERROR(__xludf.DUMMYFUNCTION("""COMPUTED_VALUE"""),13.0)</f>
        <v>13</v>
      </c>
      <c r="D13" s="3">
        <f>IFERROR(__xludf.DUMMYFUNCTION("""COMPUTED_VALUE"""),13.0)</f>
        <v>13</v>
      </c>
      <c r="E13" s="3">
        <f>IFERROR(__xludf.DUMMYFUNCTION("""COMPUTED_VALUE"""),2.0)</f>
        <v>2</v>
      </c>
      <c r="F13" s="3">
        <f>IFERROR(__xludf.DUMMYFUNCTION("""COMPUTED_VALUE"""),1.0)</f>
        <v>1</v>
      </c>
      <c r="G13" s="3">
        <f>IFERROR(__xludf.DUMMYFUNCTION("""COMPUTED_VALUE"""),83.0)</f>
        <v>83</v>
      </c>
      <c r="H13" s="7">
        <f t="shared" si="1"/>
        <v>6.384615385</v>
      </c>
      <c r="I13" s="3">
        <f>G13-iferror(VLOOKUP(B13,'OPTI Leadboard Last Week'!A:G,6,FALSE),0)</f>
        <v>9</v>
      </c>
      <c r="J13" s="3" t="str">
        <f>IF(IF(LEN(B13)=0,"",IFERROR(IF(VLOOKUP(B13,'OPTI Leadboard Last Week'!A:G,7,FALSE)-A13&gt;0,"+"&amp;VLOOKUP(B13,'OPTI Leadboard Last Week'!A:G,7,FALSE)-A13,"-"&amp;abs(VLOOKUP(B13,'OPTI Leadboard Last Week'!A:G,7,FALSE)-A13)),"NEW"))="-0","--",IF(LEN(B13)=0,"",IFERROR(IF(VLOOKUP(B13,'OPTI Leadboard Last Week'!A:G,7,FALSE)-A13&gt;0,"+"&amp;VLOOKUP(B13,'OPTI Leadboard Last Week'!A:G,7,FALSE)-A13,"-"&amp;abs(VLOOKUP(B13,'OPTI Leadboard Last Week'!A:G,7,FALSE)-A13)),"NEW")))</f>
        <v>+6</v>
      </c>
    </row>
    <row r="14">
      <c r="A14" s="5">
        <f t="shared" si="2"/>
        <v>13</v>
      </c>
      <c r="B14" s="3" t="str">
        <f>IFERROR(__xludf.DUMMYFUNCTION("""COMPUTED_VALUE"""),"Harry Fripp")</f>
        <v>Harry Fripp</v>
      </c>
      <c r="C14" s="3">
        <f>IFERROR(__xludf.DUMMYFUNCTION("""COMPUTED_VALUE"""),18.0)</f>
        <v>18</v>
      </c>
      <c r="D14" s="3">
        <f>IFERROR(__xludf.DUMMYFUNCTION("""COMPUTED_VALUE"""),2.0)</f>
        <v>2</v>
      </c>
      <c r="E14" s="3">
        <f>IFERROR(__xludf.DUMMYFUNCTION("""COMPUTED_VALUE"""),4.0)</f>
        <v>4</v>
      </c>
      <c r="F14" s="3">
        <f>IFERROR(__xludf.DUMMYFUNCTION("""COMPUTED_VALUE"""),3.0)</f>
        <v>3</v>
      </c>
      <c r="G14" s="3">
        <f>IFERROR(__xludf.DUMMYFUNCTION("""COMPUTED_VALUE"""),81.0)</f>
        <v>81</v>
      </c>
      <c r="H14" s="7">
        <f t="shared" si="1"/>
        <v>4.5</v>
      </c>
      <c r="I14" s="3">
        <f>G14-iferror(VLOOKUP(B14,'OPTI Leadboard Last Week'!A:G,6,FALSE),0)</f>
        <v>6</v>
      </c>
      <c r="J14" s="3" t="str">
        <f>IF(IF(LEN(B14)=0,"",IFERROR(IF(VLOOKUP(B14,'OPTI Leadboard Last Week'!A:G,7,FALSE)-A14&gt;0,"+"&amp;VLOOKUP(B14,'OPTI Leadboard Last Week'!A:G,7,FALSE)-A14,"-"&amp;abs(VLOOKUP(B14,'OPTI Leadboard Last Week'!A:G,7,FALSE)-A14)),"NEW"))="-0","--",IF(LEN(B14)=0,"",IFERROR(IF(VLOOKUP(B14,'OPTI Leadboard Last Week'!A:G,7,FALSE)-A14&gt;0,"+"&amp;VLOOKUP(B14,'OPTI Leadboard Last Week'!A:G,7,FALSE)-A14,"-"&amp;abs(VLOOKUP(B14,'OPTI Leadboard Last Week'!A:G,7,FALSE)-A14)),"NEW")))</f>
        <v>+3</v>
      </c>
    </row>
    <row r="15">
      <c r="A15" s="5">
        <f t="shared" si="2"/>
        <v>14</v>
      </c>
      <c r="B15" s="3" t="str">
        <f>IFERROR(__xludf.DUMMYFUNCTION("""COMPUTED_VALUE"""),"Alex Mansfield")</f>
        <v>Alex Mansfield</v>
      </c>
      <c r="C15" s="3">
        <f>IFERROR(__xludf.DUMMYFUNCTION("""COMPUTED_VALUE"""),18.0)</f>
        <v>18</v>
      </c>
      <c r="D15" s="3">
        <f>IFERROR(__xludf.DUMMYFUNCTION("""COMPUTED_VALUE"""),5.0)</f>
        <v>5</v>
      </c>
      <c r="E15" s="3">
        <f>IFERROR(__xludf.DUMMYFUNCTION("""COMPUTED_VALUE"""),1.0)</f>
        <v>1</v>
      </c>
      <c r="F15" s="3">
        <f>IFERROR(__xludf.DUMMYFUNCTION("""COMPUTED_VALUE"""),3.0)</f>
        <v>3</v>
      </c>
      <c r="G15" s="3">
        <f>IFERROR(__xludf.DUMMYFUNCTION("""COMPUTED_VALUE"""),80.0)</f>
        <v>80</v>
      </c>
      <c r="H15" s="7">
        <f t="shared" si="1"/>
        <v>4.444444444</v>
      </c>
      <c r="I15" s="3">
        <f>G15-iferror(VLOOKUP(B15,'OPTI Leadboard Last Week'!A:G,6,FALSE),0)</f>
        <v>2</v>
      </c>
      <c r="J15" s="3" t="str">
        <f>IF(IF(LEN(B15)=0,"",IFERROR(IF(VLOOKUP(B15,'OPTI Leadboard Last Week'!A:G,7,FALSE)-A15&gt;0,"+"&amp;VLOOKUP(B15,'OPTI Leadboard Last Week'!A:G,7,FALSE)-A15,"-"&amp;abs(VLOOKUP(B15,'OPTI Leadboard Last Week'!A:G,7,FALSE)-A15)),"NEW"))="-0","--",IF(LEN(B15)=0,"",IFERROR(IF(VLOOKUP(B15,'OPTI Leadboard Last Week'!A:G,7,FALSE)-A15&gt;0,"+"&amp;VLOOKUP(B15,'OPTI Leadboard Last Week'!A:G,7,FALSE)-A15,"-"&amp;abs(VLOOKUP(B15,'OPTI Leadboard Last Week'!A:G,7,FALSE)-A15)),"NEW")))</f>
        <v>-3</v>
      </c>
    </row>
    <row r="16">
      <c r="A16" s="5">
        <f t="shared" si="2"/>
        <v>15</v>
      </c>
      <c r="B16" s="3" t="str">
        <f>IFERROR(__xludf.DUMMYFUNCTION("""COMPUTED_VALUE"""),"Emi Muhadri")</f>
        <v>Emi Muhadri</v>
      </c>
      <c r="C16" s="3">
        <f>IFERROR(__xludf.DUMMYFUNCTION("""COMPUTED_VALUE"""),23.0)</f>
        <v>23</v>
      </c>
      <c r="D16" s="3">
        <f>IFERROR(__xludf.DUMMYFUNCTION("""COMPUTED_VALUE"""),3.0)</f>
        <v>3</v>
      </c>
      <c r="E16" s="3">
        <f>IFERROR(__xludf.DUMMYFUNCTION("""COMPUTED_VALUE"""),4.0)</f>
        <v>4</v>
      </c>
      <c r="F16" s="3">
        <f>IFERROR(__xludf.DUMMYFUNCTION("""COMPUTED_VALUE"""),1.0)</f>
        <v>1</v>
      </c>
      <c r="G16" s="3">
        <f>IFERROR(__xludf.DUMMYFUNCTION("""COMPUTED_VALUE"""),80.0)</f>
        <v>80</v>
      </c>
      <c r="H16" s="7">
        <f t="shared" si="1"/>
        <v>3.47826087</v>
      </c>
      <c r="I16" s="3">
        <f>G16-iferror(VLOOKUP(B16,'OPTI Leadboard Last Week'!A:G,6,FALSE),0)</f>
        <v>2</v>
      </c>
      <c r="J16" s="3" t="str">
        <f>IF(IF(LEN(B16)=0,"",IFERROR(IF(VLOOKUP(B16,'OPTI Leadboard Last Week'!A:G,7,FALSE)-A16&gt;0,"+"&amp;VLOOKUP(B16,'OPTI Leadboard Last Week'!A:G,7,FALSE)-A16,"-"&amp;abs(VLOOKUP(B16,'OPTI Leadboard Last Week'!A:G,7,FALSE)-A16)),"NEW"))="-0","--",IF(LEN(B16)=0,"",IFERROR(IF(VLOOKUP(B16,'OPTI Leadboard Last Week'!A:G,7,FALSE)-A16&gt;0,"+"&amp;VLOOKUP(B16,'OPTI Leadboard Last Week'!A:G,7,FALSE)-A16,"-"&amp;abs(VLOOKUP(B16,'OPTI Leadboard Last Week'!A:G,7,FALSE)-A16)),"NEW")))</f>
        <v>-3</v>
      </c>
    </row>
    <row r="17">
      <c r="A17" s="5">
        <f t="shared" si="2"/>
        <v>16</v>
      </c>
      <c r="B17" s="3" t="str">
        <f>IFERROR(__xludf.DUMMYFUNCTION("""COMPUTED_VALUE"""),"Ciaran Curran")</f>
        <v>Ciaran Curran</v>
      </c>
      <c r="C17" s="3">
        <f>IFERROR(__xludf.DUMMYFUNCTION("""COMPUTED_VALUE"""),17.0)</f>
        <v>17</v>
      </c>
      <c r="D17" s="3">
        <f>IFERROR(__xludf.DUMMYFUNCTION("""COMPUTED_VALUE"""),3.0)</f>
        <v>3</v>
      </c>
      <c r="E17" s="3">
        <f>IFERROR(__xludf.DUMMYFUNCTION("""COMPUTED_VALUE"""),3.0)</f>
        <v>3</v>
      </c>
      <c r="F17" s="3">
        <f>IFERROR(__xludf.DUMMYFUNCTION("""COMPUTED_VALUE"""),2.0)</f>
        <v>2</v>
      </c>
      <c r="G17" s="3">
        <f>IFERROR(__xludf.DUMMYFUNCTION("""COMPUTED_VALUE"""),79.0)</f>
        <v>79</v>
      </c>
      <c r="H17" s="7">
        <f t="shared" si="1"/>
        <v>4.647058824</v>
      </c>
      <c r="I17" s="3">
        <f>G17-iferror(VLOOKUP(B17,'OPTI Leadboard Last Week'!A:G,6,FALSE),0)</f>
        <v>13</v>
      </c>
      <c r="J17" s="3" t="str">
        <f>IF(IF(LEN(B17)=0,"",IFERROR(IF(VLOOKUP(B17,'OPTI Leadboard Last Week'!A:G,7,FALSE)-A17&gt;0,"+"&amp;VLOOKUP(B17,'OPTI Leadboard Last Week'!A:G,7,FALSE)-A17,"-"&amp;abs(VLOOKUP(B17,'OPTI Leadboard Last Week'!A:G,7,FALSE)-A17)),"NEW"))="-0","--",IF(LEN(B17)=0,"",IFERROR(IF(VLOOKUP(B17,'OPTI Leadboard Last Week'!A:G,7,FALSE)-A17&gt;0,"+"&amp;VLOOKUP(B17,'OPTI Leadboard Last Week'!A:G,7,FALSE)-A17,"-"&amp;abs(VLOOKUP(B17,'OPTI Leadboard Last Week'!A:G,7,FALSE)-A17)),"NEW")))</f>
        <v>+10</v>
      </c>
    </row>
    <row r="18">
      <c r="A18" s="5">
        <f t="shared" si="2"/>
        <v>17</v>
      </c>
      <c r="B18" s="3" t="str">
        <f>IFERROR(__xludf.DUMMYFUNCTION("""COMPUTED_VALUE"""),"Chris Claeys")</f>
        <v>Chris Claeys</v>
      </c>
      <c r="C18" s="3">
        <f>IFERROR(__xludf.DUMMYFUNCTION("""COMPUTED_VALUE"""),19.0)</f>
        <v>19</v>
      </c>
      <c r="D18" s="3">
        <f>IFERROR(__xludf.DUMMYFUNCTION("""COMPUTED_VALUE"""),8.0)</f>
        <v>8</v>
      </c>
      <c r="E18" s="3">
        <f>IFERROR(__xludf.DUMMYFUNCTION("""COMPUTED_VALUE"""),1.0)</f>
        <v>1</v>
      </c>
      <c r="F18" s="3">
        <f>IFERROR(__xludf.DUMMYFUNCTION("""COMPUTED_VALUE"""),1.0)</f>
        <v>1</v>
      </c>
      <c r="G18" s="3">
        <f>IFERROR(__xludf.DUMMYFUNCTION("""COMPUTED_VALUE"""),78.0)</f>
        <v>78</v>
      </c>
      <c r="H18" s="7">
        <f t="shared" si="1"/>
        <v>4.105263158</v>
      </c>
      <c r="I18" s="3">
        <f>G18-iferror(VLOOKUP(B18,'OPTI Leadboard Last Week'!A:G,6,FALSE),0)</f>
        <v>2</v>
      </c>
      <c r="J18" s="3" t="str">
        <f>IF(IF(LEN(B18)=0,"",IFERROR(IF(VLOOKUP(B18,'OPTI Leadboard Last Week'!A:G,7,FALSE)-A18&gt;0,"+"&amp;VLOOKUP(B18,'OPTI Leadboard Last Week'!A:G,7,FALSE)-A18,"-"&amp;abs(VLOOKUP(B18,'OPTI Leadboard Last Week'!A:G,7,FALSE)-A18)),"NEW"))="-0","--",IF(LEN(B18)=0,"",IFERROR(IF(VLOOKUP(B18,'OPTI Leadboard Last Week'!A:G,7,FALSE)-A18&gt;0,"+"&amp;VLOOKUP(B18,'OPTI Leadboard Last Week'!A:G,7,FALSE)-A18,"-"&amp;abs(VLOOKUP(B18,'OPTI Leadboard Last Week'!A:G,7,FALSE)-A18)),"NEW")))</f>
        <v>-3</v>
      </c>
    </row>
    <row r="19">
      <c r="A19" s="5">
        <f t="shared" si="2"/>
        <v>18</v>
      </c>
      <c r="B19" s="3" t="str">
        <f>IFERROR(__xludf.DUMMYFUNCTION("""COMPUTED_VALUE"""),"Yemi Oviosu")</f>
        <v>Yemi Oviosu</v>
      </c>
      <c r="C19" s="3">
        <f>IFERROR(__xludf.DUMMYFUNCTION("""COMPUTED_VALUE"""),18.0)</f>
        <v>18</v>
      </c>
      <c r="D19" s="3">
        <f>IFERROR(__xludf.DUMMYFUNCTION("""COMPUTED_VALUE"""),2.0)</f>
        <v>2</v>
      </c>
      <c r="E19" s="3">
        <f>IFERROR(__xludf.DUMMYFUNCTION("""COMPUTED_VALUE"""),3.0)</f>
        <v>3</v>
      </c>
      <c r="F19" s="3">
        <f>IFERROR(__xludf.DUMMYFUNCTION("""COMPUTED_VALUE"""),2.0)</f>
        <v>2</v>
      </c>
      <c r="G19" s="3">
        <f>IFERROR(__xludf.DUMMYFUNCTION("""COMPUTED_VALUE"""),78.0)</f>
        <v>78</v>
      </c>
      <c r="H19" s="7">
        <f t="shared" si="1"/>
        <v>4.333333333</v>
      </c>
      <c r="I19" s="3">
        <f>G19-iferror(VLOOKUP(B19,'OPTI Leadboard Last Week'!A:G,6,FALSE),0)</f>
        <v>10</v>
      </c>
      <c r="J19" s="3" t="str">
        <f>IF(IF(LEN(B19)=0,"",IFERROR(IF(VLOOKUP(B19,'OPTI Leadboard Last Week'!A:G,7,FALSE)-A19&gt;0,"+"&amp;VLOOKUP(B19,'OPTI Leadboard Last Week'!A:G,7,FALSE)-A19,"-"&amp;abs(VLOOKUP(B19,'OPTI Leadboard Last Week'!A:G,7,FALSE)-A19)),"NEW"))="-0","--",IF(LEN(B19)=0,"",IFERROR(IF(VLOOKUP(B19,'OPTI Leadboard Last Week'!A:G,7,FALSE)-A19&gt;0,"+"&amp;VLOOKUP(B19,'OPTI Leadboard Last Week'!A:G,7,FALSE)-A19,"-"&amp;abs(VLOOKUP(B19,'OPTI Leadboard Last Week'!A:G,7,FALSE)-A19)),"NEW")))</f>
        <v>+5</v>
      </c>
    </row>
    <row r="20">
      <c r="A20" s="5">
        <f t="shared" si="2"/>
        <v>19</v>
      </c>
      <c r="B20" s="3" t="str">
        <f>IFERROR(__xludf.DUMMYFUNCTION("""COMPUTED_VALUE"""),"Theo Horton")</f>
        <v>Theo Horton</v>
      </c>
      <c r="C20" s="3">
        <f>IFERROR(__xludf.DUMMYFUNCTION("""COMPUTED_VALUE"""),22.0)</f>
        <v>22</v>
      </c>
      <c r="D20" s="3"/>
      <c r="E20" s="3">
        <f>IFERROR(__xludf.DUMMYFUNCTION("""COMPUTED_VALUE"""),2.0)</f>
        <v>2</v>
      </c>
      <c r="F20" s="3">
        <f>IFERROR(__xludf.DUMMYFUNCTION("""COMPUTED_VALUE"""),2.0)</f>
        <v>2</v>
      </c>
      <c r="G20" s="3">
        <f>IFERROR(__xludf.DUMMYFUNCTION("""COMPUTED_VALUE"""),77.0)</f>
        <v>77</v>
      </c>
      <c r="H20" s="7">
        <f t="shared" si="1"/>
        <v>3.5</v>
      </c>
      <c r="I20" s="3">
        <f>G20-iferror(VLOOKUP(B20,'OPTI Leadboard Last Week'!A:G,6,FALSE),0)</f>
        <v>1</v>
      </c>
      <c r="J20" s="3" t="str">
        <f>IF(IF(LEN(B20)=0,"",IFERROR(IF(VLOOKUP(B20,'OPTI Leadboard Last Week'!A:G,7,FALSE)-A20&gt;0,"+"&amp;VLOOKUP(B20,'OPTI Leadboard Last Week'!A:G,7,FALSE)-A20,"-"&amp;abs(VLOOKUP(B20,'OPTI Leadboard Last Week'!A:G,7,FALSE)-A20)),"NEW"))="-0","--",IF(LEN(B20)=0,"",IFERROR(IF(VLOOKUP(B20,'OPTI Leadboard Last Week'!A:G,7,FALSE)-A20&gt;0,"+"&amp;VLOOKUP(B20,'OPTI Leadboard Last Week'!A:G,7,FALSE)-A20,"-"&amp;abs(VLOOKUP(B20,'OPTI Leadboard Last Week'!A:G,7,FALSE)-A20)),"NEW")))</f>
        <v>-4</v>
      </c>
    </row>
    <row r="21">
      <c r="A21" s="5">
        <f t="shared" si="2"/>
        <v>20</v>
      </c>
      <c r="B21" s="3" t="str">
        <f>IFERROR(__xludf.DUMMYFUNCTION("""COMPUTED_VALUE"""),"Nathan Baverstock")</f>
        <v>Nathan Baverstock</v>
      </c>
      <c r="C21" s="3">
        <f>IFERROR(__xludf.DUMMYFUNCTION("""COMPUTED_VALUE"""),15.0)</f>
        <v>15</v>
      </c>
      <c r="D21" s="3">
        <f>IFERROR(__xludf.DUMMYFUNCTION("""COMPUTED_VALUE"""),6.0)</f>
        <v>6</v>
      </c>
      <c r="E21" s="3">
        <f>IFERROR(__xludf.DUMMYFUNCTION("""COMPUTED_VALUE"""),2.0)</f>
        <v>2</v>
      </c>
      <c r="F21" s="3">
        <f>IFERROR(__xludf.DUMMYFUNCTION("""COMPUTED_VALUE"""),3.0)</f>
        <v>3</v>
      </c>
      <c r="G21" s="3">
        <f>IFERROR(__xludf.DUMMYFUNCTION("""COMPUTED_VALUE"""),76.0)</f>
        <v>76</v>
      </c>
      <c r="H21" s="7">
        <f t="shared" si="1"/>
        <v>5.066666667</v>
      </c>
      <c r="I21" s="3">
        <f>G21-iferror(VLOOKUP(B21,'OPTI Leadboard Last Week'!A:G,6,FALSE),0)</f>
        <v>1</v>
      </c>
      <c r="J21" s="3" t="str">
        <f>IF(IF(LEN(B21)=0,"",IFERROR(IF(VLOOKUP(B21,'OPTI Leadboard Last Week'!A:G,7,FALSE)-A21&gt;0,"+"&amp;VLOOKUP(B21,'OPTI Leadboard Last Week'!A:G,7,FALSE)-A21,"-"&amp;abs(VLOOKUP(B21,'OPTI Leadboard Last Week'!A:G,7,FALSE)-A21)),"NEW"))="-0","--",IF(LEN(B21)=0,"",IFERROR(IF(VLOOKUP(B21,'OPTI Leadboard Last Week'!A:G,7,FALSE)-A21&gt;0,"+"&amp;VLOOKUP(B21,'OPTI Leadboard Last Week'!A:G,7,FALSE)-A21,"-"&amp;abs(VLOOKUP(B21,'OPTI Leadboard Last Week'!A:G,7,FALSE)-A21)),"NEW")))</f>
        <v>-3</v>
      </c>
    </row>
    <row r="22">
      <c r="A22" s="5">
        <f t="shared" si="2"/>
        <v>21</v>
      </c>
      <c r="B22" s="3" t="str">
        <f>IFERROR(__xludf.DUMMYFUNCTION("""COMPUTED_VALUE"""),"Alex Scott-Ruddock")</f>
        <v>Alex Scott-Ruddock</v>
      </c>
      <c r="C22" s="3">
        <f>IFERROR(__xludf.DUMMYFUNCTION("""COMPUTED_VALUE"""),16.0)</f>
        <v>16</v>
      </c>
      <c r="D22" s="3"/>
      <c r="E22" s="3">
        <f>IFERROR(__xludf.DUMMYFUNCTION("""COMPUTED_VALUE"""),1.0)</f>
        <v>1</v>
      </c>
      <c r="F22" s="3">
        <f>IFERROR(__xludf.DUMMYFUNCTION("""COMPUTED_VALUE"""),1.0)</f>
        <v>1</v>
      </c>
      <c r="G22" s="3">
        <f>IFERROR(__xludf.DUMMYFUNCTION("""COMPUTED_VALUE"""),74.0)</f>
        <v>74</v>
      </c>
      <c r="H22" s="7">
        <f t="shared" si="1"/>
        <v>4.625</v>
      </c>
      <c r="I22" s="3">
        <f>G22-iferror(VLOOKUP(B22,'OPTI Leadboard Last Week'!A:G,6,FALSE),0)</f>
        <v>2</v>
      </c>
      <c r="J22" s="3" t="str">
        <f>IF(IF(LEN(B22)=0,"",IFERROR(IF(VLOOKUP(B22,'OPTI Leadboard Last Week'!A:G,7,FALSE)-A22&gt;0,"+"&amp;VLOOKUP(B22,'OPTI Leadboard Last Week'!A:G,7,FALSE)-A22,"-"&amp;abs(VLOOKUP(B22,'OPTI Leadboard Last Week'!A:G,7,FALSE)-A22)),"NEW"))="-0","--",IF(LEN(B22)=0,"",IFERROR(IF(VLOOKUP(B22,'OPTI Leadboard Last Week'!A:G,7,FALSE)-A22&gt;0,"+"&amp;VLOOKUP(B22,'OPTI Leadboard Last Week'!A:G,7,FALSE)-A22,"-"&amp;abs(VLOOKUP(B22,'OPTI Leadboard Last Week'!A:G,7,FALSE)-A22)),"NEW")))</f>
        <v>-2</v>
      </c>
    </row>
    <row r="23">
      <c r="A23" s="5">
        <f t="shared" si="2"/>
        <v>22</v>
      </c>
      <c r="B23" s="3" t="str">
        <f>IFERROR(__xludf.DUMMYFUNCTION("""COMPUTED_VALUE"""),"Will French")</f>
        <v>Will French</v>
      </c>
      <c r="C23" s="3">
        <f>IFERROR(__xludf.DUMMYFUNCTION("""COMPUTED_VALUE"""),20.0)</f>
        <v>20</v>
      </c>
      <c r="D23" s="3">
        <f>IFERROR(__xludf.DUMMYFUNCTION("""COMPUTED_VALUE"""),4.0)</f>
        <v>4</v>
      </c>
      <c r="E23" s="3">
        <f>IFERROR(__xludf.DUMMYFUNCTION("""COMPUTED_VALUE"""),7.0)</f>
        <v>7</v>
      </c>
      <c r="F23" s="3">
        <f>IFERROR(__xludf.DUMMYFUNCTION("""COMPUTED_VALUE"""),0.0)</f>
        <v>0</v>
      </c>
      <c r="G23" s="3">
        <f>IFERROR(__xludf.DUMMYFUNCTION("""COMPUTED_VALUE"""),74.0)</f>
        <v>74</v>
      </c>
      <c r="H23" s="7">
        <f t="shared" si="1"/>
        <v>3.7</v>
      </c>
      <c r="I23" s="3">
        <f>G23-iferror(VLOOKUP(B23,'OPTI Leadboard Last Week'!A:G,6,FALSE),0)</f>
        <v>2</v>
      </c>
      <c r="J23" s="3" t="str">
        <f>IF(IF(LEN(B23)=0,"",IFERROR(IF(VLOOKUP(B23,'OPTI Leadboard Last Week'!A:G,7,FALSE)-A23&gt;0,"+"&amp;VLOOKUP(B23,'OPTI Leadboard Last Week'!A:G,7,FALSE)-A23,"-"&amp;abs(VLOOKUP(B23,'OPTI Leadboard Last Week'!A:G,7,FALSE)-A23)),"NEW"))="-0","--",IF(LEN(B23)=0,"",IFERROR(IF(VLOOKUP(B23,'OPTI Leadboard Last Week'!A:G,7,FALSE)-A23&gt;0,"+"&amp;VLOOKUP(B23,'OPTI Leadboard Last Week'!A:G,7,FALSE)-A23,"-"&amp;abs(VLOOKUP(B23,'OPTI Leadboard Last Week'!A:G,7,FALSE)-A23)),"NEW")))</f>
        <v>-2</v>
      </c>
    </row>
    <row r="24">
      <c r="A24" s="5">
        <f t="shared" si="2"/>
        <v>23</v>
      </c>
      <c r="B24" s="3" t="str">
        <f>IFERROR(__xludf.DUMMYFUNCTION("""COMPUTED_VALUE"""),"Ade Lawal")</f>
        <v>Ade Lawal</v>
      </c>
      <c r="C24" s="3">
        <f>IFERROR(__xludf.DUMMYFUNCTION("""COMPUTED_VALUE"""),18.0)</f>
        <v>18</v>
      </c>
      <c r="D24" s="3">
        <f>IFERROR(__xludf.DUMMYFUNCTION("""COMPUTED_VALUE"""),1.0)</f>
        <v>1</v>
      </c>
      <c r="E24" s="3"/>
      <c r="F24" s="3">
        <f>IFERROR(__xludf.DUMMYFUNCTION("""COMPUTED_VALUE"""),2.0)</f>
        <v>2</v>
      </c>
      <c r="G24" s="3">
        <f>IFERROR(__xludf.DUMMYFUNCTION("""COMPUTED_VALUE"""),71.0)</f>
        <v>71</v>
      </c>
      <c r="H24" s="7">
        <f t="shared" si="1"/>
        <v>3.944444444</v>
      </c>
      <c r="I24" s="3">
        <f>G24-iferror(VLOOKUP(B24,'OPTI Leadboard Last Week'!A:G,6,FALSE),0)</f>
        <v>0</v>
      </c>
      <c r="J24" s="3" t="str">
        <f>IF(IF(LEN(B24)=0,"",IFERROR(IF(VLOOKUP(B24,'OPTI Leadboard Last Week'!A:G,7,FALSE)-A24&gt;0,"+"&amp;VLOOKUP(B24,'OPTI Leadboard Last Week'!A:G,7,FALSE)-A24,"-"&amp;abs(VLOOKUP(B24,'OPTI Leadboard Last Week'!A:G,7,FALSE)-A24)),"NEW"))="-0","--",IF(LEN(B24)=0,"",IFERROR(IF(VLOOKUP(B24,'OPTI Leadboard Last Week'!A:G,7,FALSE)-A24&gt;0,"+"&amp;VLOOKUP(B24,'OPTI Leadboard Last Week'!A:G,7,FALSE)-A24,"-"&amp;abs(VLOOKUP(B24,'OPTI Leadboard Last Week'!A:G,7,FALSE)-A24)),"NEW")))</f>
        <v>-2</v>
      </c>
    </row>
    <row r="25">
      <c r="A25" s="5">
        <f t="shared" si="2"/>
        <v>24</v>
      </c>
      <c r="B25" s="3" t="str">
        <f>IFERROR(__xludf.DUMMYFUNCTION("""COMPUTED_VALUE"""),"Dan Russell")</f>
        <v>Dan Russell</v>
      </c>
      <c r="C25" s="3">
        <f>IFERROR(__xludf.DUMMYFUNCTION("""COMPUTED_VALUE"""),16.0)</f>
        <v>16</v>
      </c>
      <c r="D25" s="3">
        <f>IFERROR(__xludf.DUMMYFUNCTION("""COMPUTED_VALUE"""),4.0)</f>
        <v>4</v>
      </c>
      <c r="E25" s="3">
        <f>IFERROR(__xludf.DUMMYFUNCTION("""COMPUTED_VALUE"""),5.0)</f>
        <v>5</v>
      </c>
      <c r="F25" s="3">
        <f>IFERROR(__xludf.DUMMYFUNCTION("""COMPUTED_VALUE"""),1.0)</f>
        <v>1</v>
      </c>
      <c r="G25" s="3">
        <f>IFERROR(__xludf.DUMMYFUNCTION("""COMPUTED_VALUE"""),70.0)</f>
        <v>70</v>
      </c>
      <c r="H25" s="7">
        <f t="shared" si="1"/>
        <v>4.375</v>
      </c>
      <c r="I25" s="3">
        <f>G25-iferror(VLOOKUP(B25,'OPTI Leadboard Last Week'!A:G,6,FALSE),0)</f>
        <v>9</v>
      </c>
      <c r="J25" s="3" t="str">
        <f>IF(IF(LEN(B25)=0,"",IFERROR(IF(VLOOKUP(B25,'OPTI Leadboard Last Week'!A:G,7,FALSE)-A25&gt;0,"+"&amp;VLOOKUP(B25,'OPTI Leadboard Last Week'!A:G,7,FALSE)-A25,"-"&amp;abs(VLOOKUP(B25,'OPTI Leadboard Last Week'!A:G,7,FALSE)-A25)),"NEW"))="-0","--",IF(LEN(B25)=0,"",IFERROR(IF(VLOOKUP(B25,'OPTI Leadboard Last Week'!A:G,7,FALSE)-A25&gt;0,"+"&amp;VLOOKUP(B25,'OPTI Leadboard Last Week'!A:G,7,FALSE)-A25,"-"&amp;abs(VLOOKUP(B25,'OPTI Leadboard Last Week'!A:G,7,FALSE)-A25)),"NEW")))</f>
        <v>+5</v>
      </c>
    </row>
    <row r="26">
      <c r="A26" s="5">
        <f t="shared" si="2"/>
        <v>25</v>
      </c>
      <c r="B26" s="3" t="str">
        <f>IFERROR(__xludf.DUMMYFUNCTION("""COMPUTED_VALUE"""),"Jack Harris")</f>
        <v>Jack Harris</v>
      </c>
      <c r="C26" s="3">
        <f>IFERROR(__xludf.DUMMYFUNCTION("""COMPUTED_VALUE"""),15.0)</f>
        <v>15</v>
      </c>
      <c r="D26" s="3">
        <f>IFERROR(__xludf.DUMMYFUNCTION("""COMPUTED_VALUE"""),1.0)</f>
        <v>1</v>
      </c>
      <c r="E26" s="3">
        <f>IFERROR(__xludf.DUMMYFUNCTION("""COMPUTED_VALUE"""),2.0)</f>
        <v>2</v>
      </c>
      <c r="F26" s="3">
        <f>IFERROR(__xludf.DUMMYFUNCTION("""COMPUTED_VALUE"""),1.0)</f>
        <v>1</v>
      </c>
      <c r="G26" s="3">
        <f>IFERROR(__xludf.DUMMYFUNCTION("""COMPUTED_VALUE"""),69.0)</f>
        <v>69</v>
      </c>
      <c r="H26" s="7">
        <f t="shared" si="1"/>
        <v>4.6</v>
      </c>
      <c r="I26" s="3">
        <f>G26-iferror(VLOOKUP(B26,'OPTI Leadboard Last Week'!A:G,6,FALSE),0)</f>
        <v>0</v>
      </c>
      <c r="J26" s="3" t="str">
        <f>IF(IF(LEN(B26)=0,"",IFERROR(IF(VLOOKUP(B26,'OPTI Leadboard Last Week'!A:G,7,FALSE)-A26&gt;0,"+"&amp;VLOOKUP(B26,'OPTI Leadboard Last Week'!A:G,7,FALSE)-A26,"-"&amp;abs(VLOOKUP(B26,'OPTI Leadboard Last Week'!A:G,7,FALSE)-A26)),"NEW"))="-0","--",IF(LEN(B26)=0,"",IFERROR(IF(VLOOKUP(B26,'OPTI Leadboard Last Week'!A:G,7,FALSE)-A26&gt;0,"+"&amp;VLOOKUP(B26,'OPTI Leadboard Last Week'!A:G,7,FALSE)-A26,"-"&amp;abs(VLOOKUP(B26,'OPTI Leadboard Last Week'!A:G,7,FALSE)-A26)),"NEW")))</f>
        <v>-3</v>
      </c>
    </row>
    <row r="27">
      <c r="A27" s="5">
        <f t="shared" si="2"/>
        <v>26</v>
      </c>
      <c r="B27" s="3" t="str">
        <f>IFERROR(__xludf.DUMMYFUNCTION("""COMPUTED_VALUE"""),"Nima Naghdi")</f>
        <v>Nima Naghdi</v>
      </c>
      <c r="C27" s="3">
        <f>IFERROR(__xludf.DUMMYFUNCTION("""COMPUTED_VALUE"""),21.0)</f>
        <v>21</v>
      </c>
      <c r="D27" s="3">
        <f>IFERROR(__xludf.DUMMYFUNCTION("""COMPUTED_VALUE"""),2.0)</f>
        <v>2</v>
      </c>
      <c r="E27" s="3">
        <f>IFERROR(__xludf.DUMMYFUNCTION("""COMPUTED_VALUE"""),4.0)</f>
        <v>4</v>
      </c>
      <c r="F27" s="3">
        <f>IFERROR(__xludf.DUMMYFUNCTION("""COMPUTED_VALUE"""),1.0)</f>
        <v>1</v>
      </c>
      <c r="G27" s="3">
        <f>IFERROR(__xludf.DUMMYFUNCTION("""COMPUTED_VALUE"""),69.0)</f>
        <v>69</v>
      </c>
      <c r="H27" s="7">
        <f t="shared" si="1"/>
        <v>3.285714286</v>
      </c>
      <c r="I27" s="3">
        <f>G27-iferror(VLOOKUP(B27,'OPTI Leadboard Last Week'!A:G,6,FALSE),0)</f>
        <v>2</v>
      </c>
      <c r="J27" s="3" t="str">
        <f>IF(IF(LEN(B27)=0,"",IFERROR(IF(VLOOKUP(B27,'OPTI Leadboard Last Week'!A:G,7,FALSE)-A27&gt;0,"+"&amp;VLOOKUP(B27,'OPTI Leadboard Last Week'!A:G,7,FALSE)-A27,"-"&amp;abs(VLOOKUP(B27,'OPTI Leadboard Last Week'!A:G,7,FALSE)-A27)),"NEW"))="-0","--",IF(LEN(B27)=0,"",IFERROR(IF(VLOOKUP(B27,'OPTI Leadboard Last Week'!A:G,7,FALSE)-A27&gt;0,"+"&amp;VLOOKUP(B27,'OPTI Leadboard Last Week'!A:G,7,FALSE)-A27,"-"&amp;abs(VLOOKUP(B27,'OPTI Leadboard Last Week'!A:G,7,FALSE)-A27)),"NEW")))</f>
        <v>-2</v>
      </c>
    </row>
    <row r="28">
      <c r="A28" s="5">
        <f t="shared" si="2"/>
        <v>27</v>
      </c>
      <c r="B28" s="3" t="str">
        <f>IFERROR(__xludf.DUMMYFUNCTION("""COMPUTED_VALUE"""),"Tom Love")</f>
        <v>Tom Love</v>
      </c>
      <c r="C28" s="3">
        <f>IFERROR(__xludf.DUMMYFUNCTION("""COMPUTED_VALUE"""),13.0)</f>
        <v>13</v>
      </c>
      <c r="D28" s="3">
        <f>IFERROR(__xludf.DUMMYFUNCTION("""COMPUTED_VALUE"""),3.0)</f>
        <v>3</v>
      </c>
      <c r="E28" s="3">
        <f>IFERROR(__xludf.DUMMYFUNCTION("""COMPUTED_VALUE"""),2.0)</f>
        <v>2</v>
      </c>
      <c r="F28" s="3">
        <f>IFERROR(__xludf.DUMMYFUNCTION("""COMPUTED_VALUE"""),4.0)</f>
        <v>4</v>
      </c>
      <c r="G28" s="3">
        <f>IFERROR(__xludf.DUMMYFUNCTION("""COMPUTED_VALUE"""),69.0)</f>
        <v>69</v>
      </c>
      <c r="H28" s="7">
        <f t="shared" si="1"/>
        <v>5.307692308</v>
      </c>
      <c r="I28" s="3">
        <f>G28-iferror(VLOOKUP(B28,'OPTI Leadboard Last Week'!A:G,6,FALSE),0)</f>
        <v>2</v>
      </c>
      <c r="J28" s="3" t="str">
        <f>IF(IF(LEN(B28)=0,"",IFERROR(IF(VLOOKUP(B28,'OPTI Leadboard Last Week'!A:G,7,FALSE)-A28&gt;0,"+"&amp;VLOOKUP(B28,'OPTI Leadboard Last Week'!A:G,7,FALSE)-A28,"-"&amp;abs(VLOOKUP(B28,'OPTI Leadboard Last Week'!A:G,7,FALSE)-A28)),"NEW"))="-0","--",IF(LEN(B28)=0,"",IFERROR(IF(VLOOKUP(B28,'OPTI Leadboard Last Week'!A:G,7,FALSE)-A28&gt;0,"+"&amp;VLOOKUP(B28,'OPTI Leadboard Last Week'!A:G,7,FALSE)-A28,"-"&amp;abs(VLOOKUP(B28,'OPTI Leadboard Last Week'!A:G,7,FALSE)-A28)),"NEW")))</f>
        <v>-2</v>
      </c>
    </row>
    <row r="29">
      <c r="A29" s="5">
        <f t="shared" si="2"/>
        <v>28</v>
      </c>
      <c r="B29" s="3" t="str">
        <f>IFERROR(__xludf.DUMMYFUNCTION("""COMPUTED_VALUE"""),"Sean Rowlett")</f>
        <v>Sean Rowlett</v>
      </c>
      <c r="C29" s="3">
        <f>IFERROR(__xludf.DUMMYFUNCTION("""COMPUTED_VALUE"""),19.0)</f>
        <v>19</v>
      </c>
      <c r="D29" s="3">
        <f>IFERROR(__xludf.DUMMYFUNCTION("""COMPUTED_VALUE"""),4.0)</f>
        <v>4</v>
      </c>
      <c r="E29" s="3"/>
      <c r="F29" s="3">
        <f>IFERROR(__xludf.DUMMYFUNCTION("""COMPUTED_VALUE"""),2.0)</f>
        <v>2</v>
      </c>
      <c r="G29" s="3">
        <f>IFERROR(__xludf.DUMMYFUNCTION("""COMPUTED_VALUE"""),65.0)</f>
        <v>65</v>
      </c>
      <c r="H29" s="7">
        <f t="shared" si="1"/>
        <v>3.421052632</v>
      </c>
      <c r="I29" s="3">
        <f>G29-iferror(VLOOKUP(B29,'OPTI Leadboard Last Week'!A:G,6,FALSE),0)</f>
        <v>2</v>
      </c>
      <c r="J29" s="3" t="str">
        <f>IF(IF(LEN(B29)=0,"",IFERROR(IF(VLOOKUP(B29,'OPTI Leadboard Last Week'!A:G,7,FALSE)-A29&gt;0,"+"&amp;VLOOKUP(B29,'OPTI Leadboard Last Week'!A:G,7,FALSE)-A29,"-"&amp;abs(VLOOKUP(B29,'OPTI Leadboard Last Week'!A:G,7,FALSE)-A29)),"NEW"))="-0","--",IF(LEN(B29)=0,"",IFERROR(IF(VLOOKUP(B29,'OPTI Leadboard Last Week'!A:G,7,FALSE)-A29&gt;0,"+"&amp;VLOOKUP(B29,'OPTI Leadboard Last Week'!A:G,7,FALSE)-A29,"-"&amp;abs(VLOOKUP(B29,'OPTI Leadboard Last Week'!A:G,7,FALSE)-A29)),"NEW")))</f>
        <v>--</v>
      </c>
    </row>
    <row r="30">
      <c r="A30" s="5">
        <f t="shared" si="2"/>
        <v>29</v>
      </c>
      <c r="B30" s="3" t="str">
        <f>IFERROR(__xludf.DUMMYFUNCTION("""COMPUTED_VALUE"""),"Rob Edmonds")</f>
        <v>Rob Edmonds</v>
      </c>
      <c r="C30" s="3">
        <f>IFERROR(__xludf.DUMMYFUNCTION("""COMPUTED_VALUE"""),10.0)</f>
        <v>10</v>
      </c>
      <c r="D30" s="3">
        <f>IFERROR(__xludf.DUMMYFUNCTION("""COMPUTED_VALUE"""),8.0)</f>
        <v>8</v>
      </c>
      <c r="E30" s="3">
        <f>IFERROR(__xludf.DUMMYFUNCTION("""COMPUTED_VALUE"""),4.0)</f>
        <v>4</v>
      </c>
      <c r="F30" s="3">
        <f>IFERROR(__xludf.DUMMYFUNCTION("""COMPUTED_VALUE"""),0.0)</f>
        <v>0</v>
      </c>
      <c r="G30" s="3">
        <f>IFERROR(__xludf.DUMMYFUNCTION("""COMPUTED_VALUE"""),63.0)</f>
        <v>63</v>
      </c>
      <c r="H30" s="7">
        <f t="shared" si="1"/>
        <v>6.3</v>
      </c>
      <c r="I30" s="3">
        <f>G30-iferror(VLOOKUP(B30,'OPTI Leadboard Last Week'!A:G,6,FALSE),0)</f>
        <v>0</v>
      </c>
      <c r="J30" s="3" t="str">
        <f>IF(IF(LEN(B30)=0,"",IFERROR(IF(VLOOKUP(B30,'OPTI Leadboard Last Week'!A:G,7,FALSE)-A30&gt;0,"+"&amp;VLOOKUP(B30,'OPTI Leadboard Last Week'!A:G,7,FALSE)-A30,"-"&amp;abs(VLOOKUP(B30,'OPTI Leadboard Last Week'!A:G,7,FALSE)-A30)),"NEW"))="-0","--",IF(LEN(B30)=0,"",IFERROR(IF(VLOOKUP(B30,'OPTI Leadboard Last Week'!A:G,7,FALSE)-A30&gt;0,"+"&amp;VLOOKUP(B30,'OPTI Leadboard Last Week'!A:G,7,FALSE)-A30,"-"&amp;abs(VLOOKUP(B30,'OPTI Leadboard Last Week'!A:G,7,FALSE)-A30)),"NEW")))</f>
        <v>-2</v>
      </c>
    </row>
    <row r="31">
      <c r="A31" s="5">
        <f t="shared" si="2"/>
        <v>30</v>
      </c>
      <c r="B31" s="3" t="str">
        <f>IFERROR(__xludf.DUMMYFUNCTION("""COMPUTED_VALUE"""),"Jamie Wood")</f>
        <v>Jamie Wood</v>
      </c>
      <c r="C31" s="3">
        <f>IFERROR(__xludf.DUMMYFUNCTION("""COMPUTED_VALUE"""),18.0)</f>
        <v>18</v>
      </c>
      <c r="D31" s="3">
        <f>IFERROR(__xludf.DUMMYFUNCTION("""COMPUTED_VALUE"""),1.0)</f>
        <v>1</v>
      </c>
      <c r="E31" s="3"/>
      <c r="F31" s="3">
        <f>IFERROR(__xludf.DUMMYFUNCTION("""COMPUTED_VALUE"""),1.0)</f>
        <v>1</v>
      </c>
      <c r="G31" s="3">
        <f>IFERROR(__xludf.DUMMYFUNCTION("""COMPUTED_VALUE"""),60.0)</f>
        <v>60</v>
      </c>
      <c r="H31" s="7">
        <f t="shared" si="1"/>
        <v>3.333333333</v>
      </c>
      <c r="I31" s="3">
        <f>G31-iferror(VLOOKUP(B31,'OPTI Leadboard Last Week'!A:G,6,FALSE),0)</f>
        <v>2</v>
      </c>
      <c r="J31" s="3" t="str">
        <f>IF(IF(LEN(B31)=0,"",IFERROR(IF(VLOOKUP(B31,'OPTI Leadboard Last Week'!A:G,7,FALSE)-A31&gt;0,"+"&amp;VLOOKUP(B31,'OPTI Leadboard Last Week'!A:G,7,FALSE)-A31,"-"&amp;abs(VLOOKUP(B31,'OPTI Leadboard Last Week'!A:G,7,FALSE)-A31)),"NEW"))="-0","--",IF(LEN(B31)=0,"",IFERROR(IF(VLOOKUP(B31,'OPTI Leadboard Last Week'!A:G,7,FALSE)-A31&gt;0,"+"&amp;VLOOKUP(B31,'OPTI Leadboard Last Week'!A:G,7,FALSE)-A31,"-"&amp;abs(VLOOKUP(B31,'OPTI Leadboard Last Week'!A:G,7,FALSE)-A31)),"NEW")))</f>
        <v>--</v>
      </c>
    </row>
    <row r="32">
      <c r="A32" s="5">
        <f t="shared" si="2"/>
        <v>31</v>
      </c>
      <c r="B32" s="3" t="str">
        <f>IFERROR(__xludf.DUMMYFUNCTION("""COMPUTED_VALUE"""),"Paul Ball")</f>
        <v>Paul Ball</v>
      </c>
      <c r="C32" s="3">
        <f>IFERROR(__xludf.DUMMYFUNCTION("""COMPUTED_VALUE"""),15.0)</f>
        <v>15</v>
      </c>
      <c r="D32" s="3">
        <f>IFERROR(__xludf.DUMMYFUNCTION("""COMPUTED_VALUE"""),3.0)</f>
        <v>3</v>
      </c>
      <c r="E32" s="3">
        <f>IFERROR(__xludf.DUMMYFUNCTION("""COMPUTED_VALUE"""),4.0)</f>
        <v>4</v>
      </c>
      <c r="F32" s="3">
        <f>IFERROR(__xludf.DUMMYFUNCTION("""COMPUTED_VALUE"""),1.0)</f>
        <v>1</v>
      </c>
      <c r="G32" s="3">
        <f>IFERROR(__xludf.DUMMYFUNCTION("""COMPUTED_VALUE"""),59.0)</f>
        <v>59</v>
      </c>
      <c r="H32" s="7">
        <f t="shared" si="1"/>
        <v>3.933333333</v>
      </c>
      <c r="I32" s="3">
        <f>G32-iferror(VLOOKUP(B32,'OPTI Leadboard Last Week'!A:G,6,FALSE),0)</f>
        <v>2</v>
      </c>
      <c r="J32" s="3" t="str">
        <f>IF(IF(LEN(B32)=0,"",IFERROR(IF(VLOOKUP(B32,'OPTI Leadboard Last Week'!A:G,7,FALSE)-A32&gt;0,"+"&amp;VLOOKUP(B32,'OPTI Leadboard Last Week'!A:G,7,FALSE)-A32,"-"&amp;abs(VLOOKUP(B32,'OPTI Leadboard Last Week'!A:G,7,FALSE)-A32)),"NEW"))="-0","--",IF(LEN(B32)=0,"",IFERROR(IF(VLOOKUP(B32,'OPTI Leadboard Last Week'!A:G,7,FALSE)-A32&gt;0,"+"&amp;VLOOKUP(B32,'OPTI Leadboard Last Week'!A:G,7,FALSE)-A32,"-"&amp;abs(VLOOKUP(B32,'OPTI Leadboard Last Week'!A:G,7,FALSE)-A32)),"NEW")))</f>
        <v>--</v>
      </c>
    </row>
    <row r="33">
      <c r="A33" s="5">
        <f t="shared" si="2"/>
        <v>32</v>
      </c>
      <c r="B33" s="3" t="str">
        <f>IFERROR(__xludf.DUMMYFUNCTION("""COMPUTED_VALUE"""),"Charlie Doe")</f>
        <v>Charlie Doe</v>
      </c>
      <c r="C33" s="3">
        <f>IFERROR(__xludf.DUMMYFUNCTION("""COMPUTED_VALUE"""),15.0)</f>
        <v>15</v>
      </c>
      <c r="D33" s="3"/>
      <c r="E33" s="3">
        <f>IFERROR(__xludf.DUMMYFUNCTION("""COMPUTED_VALUE"""),1.0)</f>
        <v>1</v>
      </c>
      <c r="F33" s="3">
        <f>IFERROR(__xludf.DUMMYFUNCTION("""COMPUTED_VALUE"""),4.0)</f>
        <v>4</v>
      </c>
      <c r="G33" s="3">
        <f>IFERROR(__xludf.DUMMYFUNCTION("""COMPUTED_VALUE"""),57.0)</f>
        <v>57</v>
      </c>
      <c r="H33" s="7">
        <f t="shared" si="1"/>
        <v>3.8</v>
      </c>
      <c r="I33" s="3">
        <f>G33-iferror(VLOOKUP(B33,'OPTI Leadboard Last Week'!A:G,6,FALSE),0)</f>
        <v>2</v>
      </c>
      <c r="J33" s="3" t="str">
        <f>IF(IF(LEN(B33)=0,"",IFERROR(IF(VLOOKUP(B33,'OPTI Leadboard Last Week'!A:G,7,FALSE)-A33&gt;0,"+"&amp;VLOOKUP(B33,'OPTI Leadboard Last Week'!A:G,7,FALSE)-A33,"-"&amp;abs(VLOOKUP(B33,'OPTI Leadboard Last Week'!A:G,7,FALSE)-A33)),"NEW"))="-0","--",IF(LEN(B33)=0,"",IFERROR(IF(VLOOKUP(B33,'OPTI Leadboard Last Week'!A:G,7,FALSE)-A33&gt;0,"+"&amp;VLOOKUP(B33,'OPTI Leadboard Last Week'!A:G,7,FALSE)-A33,"-"&amp;abs(VLOOKUP(B33,'OPTI Leadboard Last Week'!A:G,7,FALSE)-A33)),"NEW")))</f>
        <v>+2</v>
      </c>
    </row>
    <row r="34">
      <c r="A34" s="5">
        <f t="shared" si="2"/>
        <v>33</v>
      </c>
      <c r="B34" s="3" t="str">
        <f>IFERROR(__xludf.DUMMYFUNCTION("""COMPUTED_VALUE"""),"Luke Dyges")</f>
        <v>Luke Dyges</v>
      </c>
      <c r="C34" s="3">
        <f>IFERROR(__xludf.DUMMYFUNCTION("""COMPUTED_VALUE"""),17.0)</f>
        <v>17</v>
      </c>
      <c r="D34" s="3">
        <f>IFERROR(__xludf.DUMMYFUNCTION("""COMPUTED_VALUE"""),4.0)</f>
        <v>4</v>
      </c>
      <c r="E34" s="3">
        <f>IFERROR(__xludf.DUMMYFUNCTION("""COMPUTED_VALUE"""),4.0)</f>
        <v>4</v>
      </c>
      <c r="F34" s="3">
        <f>IFERROR(__xludf.DUMMYFUNCTION("""COMPUTED_VALUE"""),0.0)</f>
        <v>0</v>
      </c>
      <c r="G34" s="3">
        <f>IFERROR(__xludf.DUMMYFUNCTION("""COMPUTED_VALUE"""),57.0)</f>
        <v>57</v>
      </c>
      <c r="H34" s="7">
        <f t="shared" si="1"/>
        <v>3.352941176</v>
      </c>
      <c r="I34" s="3">
        <f>G34-iferror(VLOOKUP(B34,'OPTI Leadboard Last Week'!A:G,6,FALSE),0)</f>
        <v>2</v>
      </c>
      <c r="J34" s="3" t="str">
        <f>IF(IF(LEN(B34)=0,"",IFERROR(IF(VLOOKUP(B34,'OPTI Leadboard Last Week'!A:G,7,FALSE)-A34&gt;0,"+"&amp;VLOOKUP(B34,'OPTI Leadboard Last Week'!A:G,7,FALSE)-A34,"-"&amp;abs(VLOOKUP(B34,'OPTI Leadboard Last Week'!A:G,7,FALSE)-A34)),"NEW"))="-0","--",IF(LEN(B34)=0,"",IFERROR(IF(VLOOKUP(B34,'OPTI Leadboard Last Week'!A:G,7,FALSE)-A34&gt;0,"+"&amp;VLOOKUP(B34,'OPTI Leadboard Last Week'!A:G,7,FALSE)-A34,"-"&amp;abs(VLOOKUP(B34,'OPTI Leadboard Last Week'!A:G,7,FALSE)-A34)),"NEW")))</f>
        <v>+2</v>
      </c>
    </row>
    <row r="35">
      <c r="A35" s="5">
        <f t="shared" si="2"/>
        <v>34</v>
      </c>
      <c r="B35" s="3" t="str">
        <f>IFERROR(__xludf.DUMMYFUNCTION("""COMPUTED_VALUE"""),"Andres Ahlgren")</f>
        <v>Andres Ahlgren</v>
      </c>
      <c r="C35" s="3">
        <f>IFERROR(__xludf.DUMMYFUNCTION("""COMPUTED_VALUE"""),13.0)</f>
        <v>13</v>
      </c>
      <c r="D35" s="3">
        <f>IFERROR(__xludf.DUMMYFUNCTION("""COMPUTED_VALUE"""),2.0)</f>
        <v>2</v>
      </c>
      <c r="E35" s="3">
        <f>IFERROR(__xludf.DUMMYFUNCTION("""COMPUTED_VALUE"""),2.0)</f>
        <v>2</v>
      </c>
      <c r="F35" s="3">
        <f>IFERROR(__xludf.DUMMYFUNCTION("""COMPUTED_VALUE"""),2.0)</f>
        <v>2</v>
      </c>
      <c r="G35" s="3">
        <f>IFERROR(__xludf.DUMMYFUNCTION("""COMPUTED_VALUE"""),56.0)</f>
        <v>56</v>
      </c>
      <c r="H35" s="7">
        <f t="shared" si="1"/>
        <v>4.307692308</v>
      </c>
      <c r="I35" s="3">
        <f>G35-iferror(VLOOKUP(B35,'OPTI Leadboard Last Week'!A:G,6,FALSE),0)</f>
        <v>0</v>
      </c>
      <c r="J35" s="3" t="str">
        <f>IF(IF(LEN(B35)=0,"",IFERROR(IF(VLOOKUP(B35,'OPTI Leadboard Last Week'!A:G,7,FALSE)-A35&gt;0,"+"&amp;VLOOKUP(B35,'OPTI Leadboard Last Week'!A:G,7,FALSE)-A35,"-"&amp;abs(VLOOKUP(B35,'OPTI Leadboard Last Week'!A:G,7,FALSE)-A35)),"NEW"))="-0","--",IF(LEN(B35)=0,"",IFERROR(IF(VLOOKUP(B35,'OPTI Leadboard Last Week'!A:G,7,FALSE)-A35&gt;0,"+"&amp;VLOOKUP(B35,'OPTI Leadboard Last Week'!A:G,7,FALSE)-A35,"-"&amp;abs(VLOOKUP(B35,'OPTI Leadboard Last Week'!A:G,7,FALSE)-A35)),"NEW")))</f>
        <v>-2</v>
      </c>
    </row>
    <row r="36">
      <c r="A36" s="5">
        <f t="shared" si="2"/>
        <v>35</v>
      </c>
      <c r="B36" s="3" t="str">
        <f>IFERROR(__xludf.DUMMYFUNCTION("""COMPUTED_VALUE"""),"Keaton Cohen")</f>
        <v>Keaton Cohen</v>
      </c>
      <c r="C36" s="3">
        <f>IFERROR(__xludf.DUMMYFUNCTION("""COMPUTED_VALUE"""),12.0)</f>
        <v>12</v>
      </c>
      <c r="D36" s="3">
        <f>IFERROR(__xludf.DUMMYFUNCTION("""COMPUTED_VALUE"""),2.0)</f>
        <v>2</v>
      </c>
      <c r="E36" s="3">
        <f>IFERROR(__xludf.DUMMYFUNCTION("""COMPUTED_VALUE"""),2.0)</f>
        <v>2</v>
      </c>
      <c r="F36" s="3">
        <f>IFERROR(__xludf.DUMMYFUNCTION("""COMPUTED_VALUE"""),3.0)</f>
        <v>3</v>
      </c>
      <c r="G36" s="3">
        <f>IFERROR(__xludf.DUMMYFUNCTION("""COMPUTED_VALUE"""),56.0)</f>
        <v>56</v>
      </c>
      <c r="H36" s="7">
        <f t="shared" si="1"/>
        <v>4.666666667</v>
      </c>
      <c r="I36" s="3">
        <f>G36-iferror(VLOOKUP(B36,'OPTI Leadboard Last Week'!A:G,6,FALSE),0)</f>
        <v>0</v>
      </c>
      <c r="J36" s="3" t="str">
        <f>IF(IF(LEN(B36)=0,"",IFERROR(IF(VLOOKUP(B36,'OPTI Leadboard Last Week'!A:G,7,FALSE)-A36&gt;0,"+"&amp;VLOOKUP(B36,'OPTI Leadboard Last Week'!A:G,7,FALSE)-A36,"-"&amp;abs(VLOOKUP(B36,'OPTI Leadboard Last Week'!A:G,7,FALSE)-A36)),"NEW"))="-0","--",IF(LEN(B36)=0,"",IFERROR(IF(VLOOKUP(B36,'OPTI Leadboard Last Week'!A:G,7,FALSE)-A36&gt;0,"+"&amp;VLOOKUP(B36,'OPTI Leadboard Last Week'!A:G,7,FALSE)-A36,"-"&amp;abs(VLOOKUP(B36,'OPTI Leadboard Last Week'!A:G,7,FALSE)-A36)),"NEW")))</f>
        <v>-2</v>
      </c>
    </row>
    <row r="37">
      <c r="A37" s="5">
        <f t="shared" si="2"/>
        <v>36</v>
      </c>
      <c r="B37" s="3" t="str">
        <f>IFERROR(__xludf.DUMMYFUNCTION("""COMPUTED_VALUE"""),"Stanley Timms")</f>
        <v>Stanley Timms</v>
      </c>
      <c r="C37" s="3">
        <f>IFERROR(__xludf.DUMMYFUNCTION("""COMPUTED_VALUE"""),16.0)</f>
        <v>16</v>
      </c>
      <c r="D37" s="3">
        <f>IFERROR(__xludf.DUMMYFUNCTION("""COMPUTED_VALUE"""),2.0)</f>
        <v>2</v>
      </c>
      <c r="E37" s="3"/>
      <c r="F37" s="3">
        <f>IFERROR(__xludf.DUMMYFUNCTION("""COMPUTED_VALUE"""),0.0)</f>
        <v>0</v>
      </c>
      <c r="G37" s="3">
        <f>IFERROR(__xludf.DUMMYFUNCTION("""COMPUTED_VALUE"""),56.0)</f>
        <v>56</v>
      </c>
      <c r="H37" s="7">
        <f t="shared" si="1"/>
        <v>3.5</v>
      </c>
      <c r="I37" s="3">
        <f>G37-iferror(VLOOKUP(B37,'OPTI Leadboard Last Week'!A:G,6,FALSE),0)</f>
        <v>2</v>
      </c>
      <c r="J37" s="3" t="str">
        <f>IF(IF(LEN(B37)=0,"",IFERROR(IF(VLOOKUP(B37,'OPTI Leadboard Last Week'!A:G,7,FALSE)-A37&gt;0,"+"&amp;VLOOKUP(B37,'OPTI Leadboard Last Week'!A:G,7,FALSE)-A37,"-"&amp;abs(VLOOKUP(B37,'OPTI Leadboard Last Week'!A:G,7,FALSE)-A37)),"NEW"))="-0","--",IF(LEN(B37)=0,"",IFERROR(IF(VLOOKUP(B37,'OPTI Leadboard Last Week'!A:G,7,FALSE)-A37&gt;0,"+"&amp;VLOOKUP(B37,'OPTI Leadboard Last Week'!A:G,7,FALSE)-A37,"-"&amp;abs(VLOOKUP(B37,'OPTI Leadboard Last Week'!A:G,7,FALSE)-A37)),"NEW")))</f>
        <v>--</v>
      </c>
    </row>
    <row r="38">
      <c r="A38" s="5">
        <f t="shared" si="2"/>
        <v>37</v>
      </c>
      <c r="B38" s="3" t="str">
        <f>IFERROR(__xludf.DUMMYFUNCTION("""COMPUTED_VALUE"""),"Deji Ogunyemi")</f>
        <v>Deji Ogunyemi</v>
      </c>
      <c r="C38" s="3">
        <f>IFERROR(__xludf.DUMMYFUNCTION("""COMPUTED_VALUE"""),12.0)</f>
        <v>12</v>
      </c>
      <c r="D38" s="3">
        <f>IFERROR(__xludf.DUMMYFUNCTION("""COMPUTED_VALUE"""),2.0)</f>
        <v>2</v>
      </c>
      <c r="E38" s="3">
        <f>IFERROR(__xludf.DUMMYFUNCTION("""COMPUTED_VALUE"""),3.0)</f>
        <v>3</v>
      </c>
      <c r="F38" s="3">
        <f>IFERROR(__xludf.DUMMYFUNCTION("""COMPUTED_VALUE"""),1.0)</f>
        <v>1</v>
      </c>
      <c r="G38" s="3">
        <f>IFERROR(__xludf.DUMMYFUNCTION("""COMPUTED_VALUE"""),55.0)</f>
        <v>55</v>
      </c>
      <c r="H38" s="7">
        <f t="shared" si="1"/>
        <v>4.583333333</v>
      </c>
      <c r="I38" s="3">
        <f>G38-iferror(VLOOKUP(B38,'OPTI Leadboard Last Week'!A:G,6,FALSE),0)</f>
        <v>5</v>
      </c>
      <c r="J38" s="3" t="str">
        <f>IF(IF(LEN(B38)=0,"",IFERROR(IF(VLOOKUP(B38,'OPTI Leadboard Last Week'!A:G,7,FALSE)-A38&gt;0,"+"&amp;VLOOKUP(B38,'OPTI Leadboard Last Week'!A:G,7,FALSE)-A38,"-"&amp;abs(VLOOKUP(B38,'OPTI Leadboard Last Week'!A:G,7,FALSE)-A38)),"NEW"))="-0","--",IF(LEN(B38)=0,"",IFERROR(IF(VLOOKUP(B38,'OPTI Leadboard Last Week'!A:G,7,FALSE)-A38&gt;0,"+"&amp;VLOOKUP(B38,'OPTI Leadboard Last Week'!A:G,7,FALSE)-A38,"-"&amp;abs(VLOOKUP(B38,'OPTI Leadboard Last Week'!A:G,7,FALSE)-A38)),"NEW")))</f>
        <v>+4</v>
      </c>
    </row>
    <row r="39">
      <c r="A39" s="5">
        <f t="shared" si="2"/>
        <v>38</v>
      </c>
      <c r="B39" s="3" t="str">
        <f>IFERROR(__xludf.DUMMYFUNCTION("""COMPUTED_VALUE"""),"Parimal Patel")</f>
        <v>Parimal Patel</v>
      </c>
      <c r="C39" s="3">
        <f>IFERROR(__xludf.DUMMYFUNCTION("""COMPUTED_VALUE"""),16.0)</f>
        <v>16</v>
      </c>
      <c r="D39" s="3">
        <f>IFERROR(__xludf.DUMMYFUNCTION("""COMPUTED_VALUE"""),1.0)</f>
        <v>1</v>
      </c>
      <c r="E39" s="3">
        <f>IFERROR(__xludf.DUMMYFUNCTION("""COMPUTED_VALUE"""),3.0)</f>
        <v>3</v>
      </c>
      <c r="F39" s="3">
        <f>IFERROR(__xludf.DUMMYFUNCTION("""COMPUTED_VALUE"""),0.0)</f>
        <v>0</v>
      </c>
      <c r="G39" s="3">
        <f>IFERROR(__xludf.DUMMYFUNCTION("""COMPUTED_VALUE"""),55.0)</f>
        <v>55</v>
      </c>
      <c r="H39" s="7">
        <f t="shared" si="1"/>
        <v>3.4375</v>
      </c>
      <c r="I39" s="3">
        <f>G39-iferror(VLOOKUP(B39,'OPTI Leadboard Last Week'!A:G,6,FALSE),0)</f>
        <v>2</v>
      </c>
      <c r="J39" s="3" t="str">
        <f>IF(IF(LEN(B39)=0,"",IFERROR(IF(VLOOKUP(B39,'OPTI Leadboard Last Week'!A:G,7,FALSE)-A39&gt;0,"+"&amp;VLOOKUP(B39,'OPTI Leadboard Last Week'!A:G,7,FALSE)-A39,"-"&amp;abs(VLOOKUP(B39,'OPTI Leadboard Last Week'!A:G,7,FALSE)-A39)),"NEW"))="-0","--",IF(LEN(B39)=0,"",IFERROR(IF(VLOOKUP(B39,'OPTI Leadboard Last Week'!A:G,7,FALSE)-A39&gt;0,"+"&amp;VLOOKUP(B39,'OPTI Leadboard Last Week'!A:G,7,FALSE)-A39,"-"&amp;abs(VLOOKUP(B39,'OPTI Leadboard Last Week'!A:G,7,FALSE)-A39)),"NEW")))</f>
        <v>-1</v>
      </c>
    </row>
    <row r="40">
      <c r="A40" s="5">
        <f t="shared" si="2"/>
        <v>39</v>
      </c>
      <c r="B40" s="3" t="str">
        <f>IFERROR(__xludf.DUMMYFUNCTION("""COMPUTED_VALUE"""),"James Rodriguez")</f>
        <v>James Rodriguez</v>
      </c>
      <c r="C40" s="3">
        <f>IFERROR(__xludf.DUMMYFUNCTION("""COMPUTED_VALUE"""),19.0)</f>
        <v>19</v>
      </c>
      <c r="D40" s="3">
        <f>IFERROR(__xludf.DUMMYFUNCTION("""COMPUTED_VALUE"""),2.0)</f>
        <v>2</v>
      </c>
      <c r="E40" s="3">
        <f>IFERROR(__xludf.DUMMYFUNCTION("""COMPUTED_VALUE"""),3.0)</f>
        <v>3</v>
      </c>
      <c r="F40" s="3">
        <f>IFERROR(__xludf.DUMMYFUNCTION("""COMPUTED_VALUE"""),1.0)</f>
        <v>1</v>
      </c>
      <c r="G40" s="3">
        <f>IFERROR(__xludf.DUMMYFUNCTION("""COMPUTED_VALUE"""),54.0)</f>
        <v>54</v>
      </c>
      <c r="H40" s="7">
        <f t="shared" si="1"/>
        <v>2.842105263</v>
      </c>
      <c r="I40" s="3">
        <f>G40-iferror(VLOOKUP(B40,'OPTI Leadboard Last Week'!A:G,6,FALSE),0)</f>
        <v>2</v>
      </c>
      <c r="J40" s="3" t="str">
        <f>IF(IF(LEN(B40)=0,"",IFERROR(IF(VLOOKUP(B40,'OPTI Leadboard Last Week'!A:G,7,FALSE)-A40&gt;0,"+"&amp;VLOOKUP(B40,'OPTI Leadboard Last Week'!A:G,7,FALSE)-A40,"-"&amp;abs(VLOOKUP(B40,'OPTI Leadboard Last Week'!A:G,7,FALSE)-A40)),"NEW"))="-0","--",IF(LEN(B40)=0,"",IFERROR(IF(VLOOKUP(B40,'OPTI Leadboard Last Week'!A:G,7,FALSE)-A40&gt;0,"+"&amp;VLOOKUP(B40,'OPTI Leadboard Last Week'!A:G,7,FALSE)-A40,"-"&amp;abs(VLOOKUP(B40,'OPTI Leadboard Last Week'!A:G,7,FALSE)-A40)),"NEW")))</f>
        <v>-1</v>
      </c>
    </row>
    <row r="41">
      <c r="A41" s="5">
        <f t="shared" si="2"/>
        <v>40</v>
      </c>
      <c r="B41" s="3" t="str">
        <f>IFERROR(__xludf.DUMMYFUNCTION("""COMPUTED_VALUE"""),"Aaron Snelling")</f>
        <v>Aaron Snelling</v>
      </c>
      <c r="C41" s="3">
        <f>IFERROR(__xludf.DUMMYFUNCTION("""COMPUTED_VALUE"""),15.0)</f>
        <v>15</v>
      </c>
      <c r="D41" s="3"/>
      <c r="E41" s="3"/>
      <c r="F41" s="3">
        <f>IFERROR(__xludf.DUMMYFUNCTION("""COMPUTED_VALUE"""),1.0)</f>
        <v>1</v>
      </c>
      <c r="G41" s="3">
        <f>IFERROR(__xludf.DUMMYFUNCTION("""COMPUTED_VALUE"""),53.0)</f>
        <v>53</v>
      </c>
      <c r="H41" s="7">
        <f t="shared" si="1"/>
        <v>3.533333333</v>
      </c>
      <c r="I41" s="3">
        <f>G41-iferror(VLOOKUP(B41,'OPTI Leadboard Last Week'!A:G,6,FALSE),0)</f>
        <v>2</v>
      </c>
      <c r="J41" s="3" t="str">
        <f>IF(IF(LEN(B41)=0,"",IFERROR(IF(VLOOKUP(B41,'OPTI Leadboard Last Week'!A:G,7,FALSE)-A41&gt;0,"+"&amp;VLOOKUP(B41,'OPTI Leadboard Last Week'!A:G,7,FALSE)-A41,"-"&amp;abs(VLOOKUP(B41,'OPTI Leadboard Last Week'!A:G,7,FALSE)-A41)),"NEW"))="-0","--",IF(LEN(B41)=0,"",IFERROR(IF(VLOOKUP(B41,'OPTI Leadboard Last Week'!A:G,7,FALSE)-A41&gt;0,"+"&amp;VLOOKUP(B41,'OPTI Leadboard Last Week'!A:G,7,FALSE)-A41,"-"&amp;abs(VLOOKUP(B41,'OPTI Leadboard Last Week'!A:G,7,FALSE)-A41)),"NEW")))</f>
        <v>-1</v>
      </c>
    </row>
    <row r="42">
      <c r="A42" s="5">
        <f t="shared" si="2"/>
        <v>41</v>
      </c>
      <c r="B42" s="3" t="str">
        <f>IFERROR(__xludf.DUMMYFUNCTION("""COMPUTED_VALUE"""),"Jason Heath")</f>
        <v>Jason Heath</v>
      </c>
      <c r="C42" s="3">
        <f>IFERROR(__xludf.DUMMYFUNCTION("""COMPUTED_VALUE"""),19.0)</f>
        <v>19</v>
      </c>
      <c r="D42" s="3">
        <f>IFERROR(__xludf.DUMMYFUNCTION("""COMPUTED_VALUE"""),1.0)</f>
        <v>1</v>
      </c>
      <c r="E42" s="3">
        <f>IFERROR(__xludf.DUMMYFUNCTION("""COMPUTED_VALUE"""),5.0)</f>
        <v>5</v>
      </c>
      <c r="F42" s="3">
        <f>IFERROR(__xludf.DUMMYFUNCTION("""COMPUTED_VALUE"""),0.0)</f>
        <v>0</v>
      </c>
      <c r="G42" s="3">
        <f>IFERROR(__xludf.DUMMYFUNCTION("""COMPUTED_VALUE"""),53.0)</f>
        <v>53</v>
      </c>
      <c r="H42" s="7">
        <f t="shared" si="1"/>
        <v>2.789473684</v>
      </c>
      <c r="I42" s="3">
        <f>G42-iferror(VLOOKUP(B42,'OPTI Leadboard Last Week'!A:G,6,FALSE),0)</f>
        <v>2</v>
      </c>
      <c r="J42" s="3" t="str">
        <f>IF(IF(LEN(B42)=0,"",IFERROR(IF(VLOOKUP(B42,'OPTI Leadboard Last Week'!A:G,7,FALSE)-A42&gt;0,"+"&amp;VLOOKUP(B42,'OPTI Leadboard Last Week'!A:G,7,FALSE)-A42,"-"&amp;abs(VLOOKUP(B42,'OPTI Leadboard Last Week'!A:G,7,FALSE)-A42)),"NEW"))="-0","--",IF(LEN(B42)=0,"",IFERROR(IF(VLOOKUP(B42,'OPTI Leadboard Last Week'!A:G,7,FALSE)-A42&gt;0,"+"&amp;VLOOKUP(B42,'OPTI Leadboard Last Week'!A:G,7,FALSE)-A42,"-"&amp;abs(VLOOKUP(B42,'OPTI Leadboard Last Week'!A:G,7,FALSE)-A42)),"NEW")))</f>
        <v>-1</v>
      </c>
    </row>
    <row r="43">
      <c r="A43" s="5">
        <f t="shared" si="2"/>
        <v>42</v>
      </c>
      <c r="B43" s="3" t="str">
        <f>IFERROR(__xludf.DUMMYFUNCTION("""COMPUTED_VALUE"""),"Max Watson")</f>
        <v>Max Watson</v>
      </c>
      <c r="C43" s="3">
        <f>IFERROR(__xludf.DUMMYFUNCTION("""COMPUTED_VALUE"""),15.0)</f>
        <v>15</v>
      </c>
      <c r="D43" s="3"/>
      <c r="E43" s="3">
        <f>IFERROR(__xludf.DUMMYFUNCTION("""COMPUTED_VALUE"""),1.0)</f>
        <v>1</v>
      </c>
      <c r="F43" s="3">
        <f>IFERROR(__xludf.DUMMYFUNCTION("""COMPUTED_VALUE"""),2.0)</f>
        <v>2</v>
      </c>
      <c r="G43" s="3">
        <f>IFERROR(__xludf.DUMMYFUNCTION("""COMPUTED_VALUE"""),53.0)</f>
        <v>53</v>
      </c>
      <c r="H43" s="7">
        <f t="shared" si="1"/>
        <v>3.533333333</v>
      </c>
      <c r="I43" s="3">
        <f>G43-iferror(VLOOKUP(B43,'OPTI Leadboard Last Week'!A:G,6,FALSE),0)</f>
        <v>7</v>
      </c>
      <c r="J43" s="3" t="str">
        <f>IF(IF(LEN(B43)=0,"",IFERROR(IF(VLOOKUP(B43,'OPTI Leadboard Last Week'!A:G,7,FALSE)-A43&gt;0,"+"&amp;VLOOKUP(B43,'OPTI Leadboard Last Week'!A:G,7,FALSE)-A43,"-"&amp;abs(VLOOKUP(B43,'OPTI Leadboard Last Week'!A:G,7,FALSE)-A43)),"NEW"))="-0","--",IF(LEN(B43)=0,"",IFERROR(IF(VLOOKUP(B43,'OPTI Leadboard Last Week'!A:G,7,FALSE)-A43&gt;0,"+"&amp;VLOOKUP(B43,'OPTI Leadboard Last Week'!A:G,7,FALSE)-A43,"-"&amp;abs(VLOOKUP(B43,'OPTI Leadboard Last Week'!A:G,7,FALSE)-A43)),"NEW")))</f>
        <v>+8</v>
      </c>
    </row>
    <row r="44">
      <c r="A44" s="5">
        <f t="shared" si="2"/>
        <v>43</v>
      </c>
      <c r="B44" s="3" t="str">
        <f>IFERROR(__xludf.DUMMYFUNCTION("""COMPUTED_VALUE"""),"Denver Lalonde")</f>
        <v>Denver Lalonde</v>
      </c>
      <c r="C44" s="3">
        <f>IFERROR(__xludf.DUMMYFUNCTION("""COMPUTED_VALUE"""),17.0)</f>
        <v>17</v>
      </c>
      <c r="D44" s="3">
        <f>IFERROR(__xludf.DUMMYFUNCTION("""COMPUTED_VALUE"""),2.0)</f>
        <v>2</v>
      </c>
      <c r="E44" s="3">
        <f>IFERROR(__xludf.DUMMYFUNCTION("""COMPUTED_VALUE"""),4.0)</f>
        <v>4</v>
      </c>
      <c r="F44" s="3">
        <f>IFERROR(__xludf.DUMMYFUNCTION("""COMPUTED_VALUE"""),1.0)</f>
        <v>1</v>
      </c>
      <c r="G44" s="3">
        <f>IFERROR(__xludf.DUMMYFUNCTION("""COMPUTED_VALUE"""),52.0)</f>
        <v>52</v>
      </c>
      <c r="H44" s="7">
        <f t="shared" si="1"/>
        <v>3.058823529</v>
      </c>
      <c r="I44" s="3">
        <f>G44-iferror(VLOOKUP(B44,'OPTI Leadboard Last Week'!A:G,6,FALSE),0)</f>
        <v>2</v>
      </c>
      <c r="J44" s="3" t="str">
        <f>IF(IF(LEN(B44)=0,"",IFERROR(IF(VLOOKUP(B44,'OPTI Leadboard Last Week'!A:G,7,FALSE)-A44&gt;0,"+"&amp;VLOOKUP(B44,'OPTI Leadboard Last Week'!A:G,7,FALSE)-A44,"-"&amp;abs(VLOOKUP(B44,'OPTI Leadboard Last Week'!A:G,7,FALSE)-A44)),"NEW"))="-0","--",IF(LEN(B44)=0,"",IFERROR(IF(VLOOKUP(B44,'OPTI Leadboard Last Week'!A:G,7,FALSE)-A44&gt;0,"+"&amp;VLOOKUP(B44,'OPTI Leadboard Last Week'!A:G,7,FALSE)-A44,"-"&amp;abs(VLOOKUP(B44,'OPTI Leadboard Last Week'!A:G,7,FALSE)-A44)),"NEW")))</f>
        <v>-1</v>
      </c>
    </row>
    <row r="45">
      <c r="A45" s="5">
        <f t="shared" si="2"/>
        <v>44</v>
      </c>
      <c r="B45" s="3" t="str">
        <f>IFERROR(__xludf.DUMMYFUNCTION("""COMPUTED_VALUE"""),"Seb Curle")</f>
        <v>Seb Curle</v>
      </c>
      <c r="C45" s="3">
        <f>IFERROR(__xludf.DUMMYFUNCTION("""COMPUTED_VALUE"""),15.0)</f>
        <v>15</v>
      </c>
      <c r="D45" s="3"/>
      <c r="E45" s="3">
        <f>IFERROR(__xludf.DUMMYFUNCTION("""COMPUTED_VALUE"""),2.0)</f>
        <v>2</v>
      </c>
      <c r="F45" s="3">
        <f>IFERROR(__xludf.DUMMYFUNCTION("""COMPUTED_VALUE"""),1.0)</f>
        <v>1</v>
      </c>
      <c r="G45" s="3">
        <f>IFERROR(__xludf.DUMMYFUNCTION("""COMPUTED_VALUE"""),52.0)</f>
        <v>52</v>
      </c>
      <c r="H45" s="7">
        <f t="shared" si="1"/>
        <v>3.466666667</v>
      </c>
      <c r="I45" s="3">
        <f>G45-iferror(VLOOKUP(B45,'OPTI Leadboard Last Week'!A:G,6,FALSE),0)</f>
        <v>2</v>
      </c>
      <c r="J45" s="3" t="str">
        <f>IF(IF(LEN(B45)=0,"",IFERROR(IF(VLOOKUP(B45,'OPTI Leadboard Last Week'!A:G,7,FALSE)-A45&gt;0,"+"&amp;VLOOKUP(B45,'OPTI Leadboard Last Week'!A:G,7,FALSE)-A45,"-"&amp;abs(VLOOKUP(B45,'OPTI Leadboard Last Week'!A:G,7,FALSE)-A45)),"NEW"))="-0","--",IF(LEN(B45)=0,"",IFERROR(IF(VLOOKUP(B45,'OPTI Leadboard Last Week'!A:G,7,FALSE)-A45&gt;0,"+"&amp;VLOOKUP(B45,'OPTI Leadboard Last Week'!A:G,7,FALSE)-A45,"-"&amp;abs(VLOOKUP(B45,'OPTI Leadboard Last Week'!A:G,7,FALSE)-A45)),"NEW")))</f>
        <v>-1</v>
      </c>
    </row>
    <row r="46">
      <c r="A46" s="5">
        <f t="shared" si="2"/>
        <v>45</v>
      </c>
      <c r="B46" s="3" t="str">
        <f>IFERROR(__xludf.DUMMYFUNCTION("""COMPUTED_VALUE"""),"Kevin Gonzalez")</f>
        <v>Kevin Gonzalez</v>
      </c>
      <c r="C46" s="3">
        <f>IFERROR(__xludf.DUMMYFUNCTION("""COMPUTED_VALUE"""),20.0)</f>
        <v>20</v>
      </c>
      <c r="D46" s="3"/>
      <c r="E46" s="3">
        <f>IFERROR(__xludf.DUMMYFUNCTION("""COMPUTED_VALUE"""),1.0)</f>
        <v>1</v>
      </c>
      <c r="F46" s="3">
        <f>IFERROR(__xludf.DUMMYFUNCTION("""COMPUTED_VALUE"""),2.0)</f>
        <v>2</v>
      </c>
      <c r="G46" s="3">
        <f>IFERROR(__xludf.DUMMYFUNCTION("""COMPUTED_VALUE"""),51.0)</f>
        <v>51</v>
      </c>
      <c r="H46" s="7">
        <f t="shared" si="1"/>
        <v>2.55</v>
      </c>
      <c r="I46" s="3">
        <f>G46-iferror(VLOOKUP(B46,'OPTI Leadboard Last Week'!A:G,6,FALSE),0)</f>
        <v>2</v>
      </c>
      <c r="J46" s="3" t="str">
        <f>IF(IF(LEN(B46)=0,"",IFERROR(IF(VLOOKUP(B46,'OPTI Leadboard Last Week'!A:G,7,FALSE)-A46&gt;0,"+"&amp;VLOOKUP(B46,'OPTI Leadboard Last Week'!A:G,7,FALSE)-A46,"-"&amp;abs(VLOOKUP(B46,'OPTI Leadboard Last Week'!A:G,7,FALSE)-A46)),"NEW"))="-0","--",IF(LEN(B46)=0,"",IFERROR(IF(VLOOKUP(B46,'OPTI Leadboard Last Week'!A:G,7,FALSE)-A46&gt;0,"+"&amp;VLOOKUP(B46,'OPTI Leadboard Last Week'!A:G,7,FALSE)-A46,"-"&amp;abs(VLOOKUP(B46,'OPTI Leadboard Last Week'!A:G,7,FALSE)-A46)),"NEW")))</f>
        <v>+1</v>
      </c>
    </row>
    <row r="47">
      <c r="A47" s="5">
        <f t="shared" si="2"/>
        <v>46</v>
      </c>
      <c r="B47" s="3" t="str">
        <f>IFERROR(__xludf.DUMMYFUNCTION("""COMPUTED_VALUE"""),"Ellis Forrester")</f>
        <v>Ellis Forrester</v>
      </c>
      <c r="C47" s="3">
        <f>IFERROR(__xludf.DUMMYFUNCTION("""COMPUTED_VALUE"""),17.0)</f>
        <v>17</v>
      </c>
      <c r="D47" s="3"/>
      <c r="E47" s="3">
        <f>IFERROR(__xludf.DUMMYFUNCTION("""COMPUTED_VALUE"""),2.0)</f>
        <v>2</v>
      </c>
      <c r="F47" s="3">
        <f>IFERROR(__xludf.DUMMYFUNCTION("""COMPUTED_VALUE"""),0.0)</f>
        <v>0</v>
      </c>
      <c r="G47" s="3">
        <f>IFERROR(__xludf.DUMMYFUNCTION("""COMPUTED_VALUE"""),50.0)</f>
        <v>50</v>
      </c>
      <c r="H47" s="7">
        <f t="shared" si="1"/>
        <v>2.941176471</v>
      </c>
      <c r="I47" s="3">
        <f>G47-iferror(VLOOKUP(B47,'OPTI Leadboard Last Week'!A:G,6,FALSE),0)</f>
        <v>1</v>
      </c>
      <c r="J47" s="3" t="str">
        <f>IF(IF(LEN(B47)=0,"",IFERROR(IF(VLOOKUP(B47,'OPTI Leadboard Last Week'!A:G,7,FALSE)-A47&gt;0,"+"&amp;VLOOKUP(B47,'OPTI Leadboard Last Week'!A:G,7,FALSE)-A47,"-"&amp;abs(VLOOKUP(B47,'OPTI Leadboard Last Week'!A:G,7,FALSE)-A47)),"NEW"))="-0","--",IF(LEN(B47)=0,"",IFERROR(IF(VLOOKUP(B47,'OPTI Leadboard Last Week'!A:G,7,FALSE)-A47&gt;0,"+"&amp;VLOOKUP(B47,'OPTI Leadboard Last Week'!A:G,7,FALSE)-A47,"-"&amp;abs(VLOOKUP(B47,'OPTI Leadboard Last Week'!A:G,7,FALSE)-A47)),"NEW")))</f>
        <v>-1</v>
      </c>
    </row>
    <row r="48">
      <c r="A48" s="5">
        <f t="shared" si="2"/>
        <v>47</v>
      </c>
      <c r="B48" s="3" t="str">
        <f>IFERROR(__xludf.DUMMYFUNCTION("""COMPUTED_VALUE"""),"Mark Roberts")</f>
        <v>Mark Roberts</v>
      </c>
      <c r="C48" s="3">
        <f>IFERROR(__xludf.DUMMYFUNCTION("""COMPUTED_VALUE"""),16.0)</f>
        <v>16</v>
      </c>
      <c r="D48" s="3"/>
      <c r="E48" s="3">
        <f>IFERROR(__xludf.DUMMYFUNCTION("""COMPUTED_VALUE"""),3.0)</f>
        <v>3</v>
      </c>
      <c r="F48" s="3">
        <f>IFERROR(__xludf.DUMMYFUNCTION("""COMPUTED_VALUE"""),2.0)</f>
        <v>2</v>
      </c>
      <c r="G48" s="3">
        <f>IFERROR(__xludf.DUMMYFUNCTION("""COMPUTED_VALUE"""),50.0)</f>
        <v>50</v>
      </c>
      <c r="H48" s="7">
        <f t="shared" si="1"/>
        <v>3.125</v>
      </c>
      <c r="I48" s="3">
        <f>G48-iferror(VLOOKUP(B48,'OPTI Leadboard Last Week'!A:G,6,FALSE),0)</f>
        <v>1</v>
      </c>
      <c r="J48" s="3" t="str">
        <f>IF(IF(LEN(B48)=0,"",IFERROR(IF(VLOOKUP(B48,'OPTI Leadboard Last Week'!A:G,7,FALSE)-A48&gt;0,"+"&amp;VLOOKUP(B48,'OPTI Leadboard Last Week'!A:G,7,FALSE)-A48,"-"&amp;abs(VLOOKUP(B48,'OPTI Leadboard Last Week'!A:G,7,FALSE)-A48)),"NEW"))="-0","--",IF(LEN(B48)=0,"",IFERROR(IF(VLOOKUP(B48,'OPTI Leadboard Last Week'!A:G,7,FALSE)-A48&gt;0,"+"&amp;VLOOKUP(B48,'OPTI Leadboard Last Week'!A:G,7,FALSE)-A48,"-"&amp;abs(VLOOKUP(B48,'OPTI Leadboard Last Week'!A:G,7,FALSE)-A48)),"NEW")))</f>
        <v>--</v>
      </c>
    </row>
    <row r="49">
      <c r="A49" s="5">
        <f t="shared" si="2"/>
        <v>48</v>
      </c>
      <c r="B49" s="3" t="str">
        <f>IFERROR(__xludf.DUMMYFUNCTION("""COMPUTED_VALUE"""),"Max Miles")</f>
        <v>Max Miles</v>
      </c>
      <c r="C49" s="3">
        <f>IFERROR(__xludf.DUMMYFUNCTION("""COMPUTED_VALUE"""),13.0)</f>
        <v>13</v>
      </c>
      <c r="D49" s="3">
        <f>IFERROR(__xludf.DUMMYFUNCTION("""COMPUTED_VALUE"""),2.0)</f>
        <v>2</v>
      </c>
      <c r="E49" s="3"/>
      <c r="F49" s="3">
        <f>IFERROR(__xludf.DUMMYFUNCTION("""COMPUTED_VALUE"""),2.0)</f>
        <v>2</v>
      </c>
      <c r="G49" s="3">
        <f>IFERROR(__xludf.DUMMYFUNCTION("""COMPUTED_VALUE"""),50.0)</f>
        <v>50</v>
      </c>
      <c r="H49" s="7">
        <f t="shared" si="1"/>
        <v>3.846153846</v>
      </c>
      <c r="I49" s="3">
        <f>G49-iferror(VLOOKUP(B49,'OPTI Leadboard Last Week'!A:G,6,FALSE),0)</f>
        <v>7</v>
      </c>
      <c r="J49" s="3" t="str">
        <f>IF(IF(LEN(B49)=0,"",IFERROR(IF(VLOOKUP(B49,'OPTI Leadboard Last Week'!A:G,7,FALSE)-A49&gt;0,"+"&amp;VLOOKUP(B49,'OPTI Leadboard Last Week'!A:G,7,FALSE)-A49,"-"&amp;abs(VLOOKUP(B49,'OPTI Leadboard Last Week'!A:G,7,FALSE)-A49)),"NEW"))="-0","--",IF(LEN(B49)=0,"",IFERROR(IF(VLOOKUP(B49,'OPTI Leadboard Last Week'!A:G,7,FALSE)-A49&gt;0,"+"&amp;VLOOKUP(B49,'OPTI Leadboard Last Week'!A:G,7,FALSE)-A49,"-"&amp;abs(VLOOKUP(B49,'OPTI Leadboard Last Week'!A:G,7,FALSE)-A49)),"NEW")))</f>
        <v>+12</v>
      </c>
    </row>
    <row r="50">
      <c r="A50" s="5">
        <f t="shared" si="2"/>
        <v>49</v>
      </c>
      <c r="B50" s="3" t="str">
        <f>IFERROR(__xludf.DUMMYFUNCTION("""COMPUTED_VALUE"""),"Cameron Pashley")</f>
        <v>Cameron Pashley</v>
      </c>
      <c r="C50" s="3">
        <f>IFERROR(__xludf.DUMMYFUNCTION("""COMPUTED_VALUE"""),11.0)</f>
        <v>11</v>
      </c>
      <c r="D50" s="3"/>
      <c r="E50" s="3">
        <f>IFERROR(__xludf.DUMMYFUNCTION("""COMPUTED_VALUE"""),4.0)</f>
        <v>4</v>
      </c>
      <c r="F50" s="3">
        <f>IFERROR(__xludf.DUMMYFUNCTION("""COMPUTED_VALUE"""),3.0)</f>
        <v>3</v>
      </c>
      <c r="G50" s="3">
        <f>IFERROR(__xludf.DUMMYFUNCTION("""COMPUTED_VALUE"""),49.0)</f>
        <v>49</v>
      </c>
      <c r="H50" s="7">
        <f t="shared" si="1"/>
        <v>4.454545455</v>
      </c>
      <c r="I50" s="3">
        <f>G50-iferror(VLOOKUP(B50,'OPTI Leadboard Last Week'!A:G,6,FALSE),0)</f>
        <v>0</v>
      </c>
      <c r="J50" s="3" t="str">
        <f>IF(IF(LEN(B50)=0,"",IFERROR(IF(VLOOKUP(B50,'OPTI Leadboard Last Week'!A:G,7,FALSE)-A50&gt;0,"+"&amp;VLOOKUP(B50,'OPTI Leadboard Last Week'!A:G,7,FALSE)-A50,"-"&amp;abs(VLOOKUP(B50,'OPTI Leadboard Last Week'!A:G,7,FALSE)-A50)),"NEW"))="-0","--",IF(LEN(B50)=0,"",IFERROR(IF(VLOOKUP(B50,'OPTI Leadboard Last Week'!A:G,7,FALSE)-A50&gt;0,"+"&amp;VLOOKUP(B50,'OPTI Leadboard Last Week'!A:G,7,FALSE)-A50,"-"&amp;abs(VLOOKUP(B50,'OPTI Leadboard Last Week'!A:G,7,FALSE)-A50)),"NEW")))</f>
        <v>-5</v>
      </c>
    </row>
    <row r="51">
      <c r="A51" s="5">
        <f t="shared" si="2"/>
        <v>50</v>
      </c>
      <c r="B51" s="3" t="str">
        <f>IFERROR(__xludf.DUMMYFUNCTION("""COMPUTED_VALUE"""),"Ed Wightman")</f>
        <v>Ed Wightman</v>
      </c>
      <c r="C51" s="3">
        <f>IFERROR(__xludf.DUMMYFUNCTION("""COMPUTED_VALUE"""),10.0)</f>
        <v>10</v>
      </c>
      <c r="D51" s="3">
        <f>IFERROR(__xludf.DUMMYFUNCTION("""COMPUTED_VALUE"""),4.0)</f>
        <v>4</v>
      </c>
      <c r="E51" s="3">
        <f>IFERROR(__xludf.DUMMYFUNCTION("""COMPUTED_VALUE"""),2.0)</f>
        <v>2</v>
      </c>
      <c r="F51" s="3">
        <f>IFERROR(__xludf.DUMMYFUNCTION("""COMPUTED_VALUE"""),1.0)</f>
        <v>1</v>
      </c>
      <c r="G51" s="3">
        <f>IFERROR(__xludf.DUMMYFUNCTION("""COMPUTED_VALUE"""),47.0)</f>
        <v>47</v>
      </c>
      <c r="H51" s="7">
        <f t="shared" si="1"/>
        <v>4.7</v>
      </c>
      <c r="I51" s="3">
        <f>G51-iferror(VLOOKUP(B51,'OPTI Leadboard Last Week'!A:G,6,FALSE),0)</f>
        <v>2</v>
      </c>
      <c r="J51" s="3" t="str">
        <f>IF(IF(LEN(B51)=0,"",IFERROR(IF(VLOOKUP(B51,'OPTI Leadboard Last Week'!A:G,7,FALSE)-A51&gt;0,"+"&amp;VLOOKUP(B51,'OPTI Leadboard Last Week'!A:G,7,FALSE)-A51,"-"&amp;abs(VLOOKUP(B51,'OPTI Leadboard Last Week'!A:G,7,FALSE)-A51)),"NEW"))="-0","--",IF(LEN(B51)=0,"",IFERROR(IF(VLOOKUP(B51,'OPTI Leadboard Last Week'!A:G,7,FALSE)-A51&gt;0,"+"&amp;VLOOKUP(B51,'OPTI Leadboard Last Week'!A:G,7,FALSE)-A51,"-"&amp;abs(VLOOKUP(B51,'OPTI Leadboard Last Week'!A:G,7,FALSE)-A51)),"NEW")))</f>
        <v>+1</v>
      </c>
    </row>
    <row r="52">
      <c r="A52" s="5">
        <f t="shared" si="2"/>
        <v>51</v>
      </c>
      <c r="B52" s="3" t="str">
        <f>IFERROR(__xludf.DUMMYFUNCTION("""COMPUTED_VALUE"""),"Billy Mclean")</f>
        <v>Billy Mclean</v>
      </c>
      <c r="C52" s="3">
        <f>IFERROR(__xludf.DUMMYFUNCTION("""COMPUTED_VALUE"""),16.0)</f>
        <v>16</v>
      </c>
      <c r="D52" s="3"/>
      <c r="E52" s="3">
        <f>IFERROR(__xludf.DUMMYFUNCTION("""COMPUTED_VALUE"""),2.0)</f>
        <v>2</v>
      </c>
      <c r="F52" s="3">
        <f>IFERROR(__xludf.DUMMYFUNCTION("""COMPUTED_VALUE"""),0.0)</f>
        <v>0</v>
      </c>
      <c r="G52" s="3">
        <f>IFERROR(__xludf.DUMMYFUNCTION("""COMPUTED_VALUE"""),46.0)</f>
        <v>46</v>
      </c>
      <c r="H52" s="7">
        <f t="shared" si="1"/>
        <v>2.875</v>
      </c>
      <c r="I52" s="3">
        <f>G52-iferror(VLOOKUP(B52,'OPTI Leadboard Last Week'!A:G,6,FALSE),0)</f>
        <v>0</v>
      </c>
      <c r="J52" s="3" t="str">
        <f>IF(IF(LEN(B52)=0,"",IFERROR(IF(VLOOKUP(B52,'OPTI Leadboard Last Week'!A:G,7,FALSE)-A52&gt;0,"+"&amp;VLOOKUP(B52,'OPTI Leadboard Last Week'!A:G,7,FALSE)-A52,"-"&amp;abs(VLOOKUP(B52,'OPTI Leadboard Last Week'!A:G,7,FALSE)-A52)),"NEW"))="-0","--",IF(LEN(B52)=0,"",IFERROR(IF(VLOOKUP(B52,'OPTI Leadboard Last Week'!A:G,7,FALSE)-A52&gt;0,"+"&amp;VLOOKUP(B52,'OPTI Leadboard Last Week'!A:G,7,FALSE)-A52,"-"&amp;abs(VLOOKUP(B52,'OPTI Leadboard Last Week'!A:G,7,FALSE)-A52)),"NEW")))</f>
        <v>-3</v>
      </c>
    </row>
    <row r="53">
      <c r="A53" s="5">
        <f t="shared" si="2"/>
        <v>52</v>
      </c>
      <c r="B53" s="3" t="str">
        <f>IFERROR(__xludf.DUMMYFUNCTION("""COMPUTED_VALUE"""),"Harold Kiyingi")</f>
        <v>Harold Kiyingi</v>
      </c>
      <c r="C53" s="3">
        <f>IFERROR(__xludf.DUMMYFUNCTION("""COMPUTED_VALUE"""),16.0)</f>
        <v>16</v>
      </c>
      <c r="D53" s="3">
        <f>IFERROR(__xludf.DUMMYFUNCTION("""COMPUTED_VALUE"""),3.0)</f>
        <v>3</v>
      </c>
      <c r="E53" s="3">
        <f>IFERROR(__xludf.DUMMYFUNCTION("""COMPUTED_VALUE"""),1.0)</f>
        <v>1</v>
      </c>
      <c r="F53" s="3">
        <f>IFERROR(__xludf.DUMMYFUNCTION("""COMPUTED_VALUE"""),0.0)</f>
        <v>0</v>
      </c>
      <c r="G53" s="3">
        <f>IFERROR(__xludf.DUMMYFUNCTION("""COMPUTED_VALUE"""),46.0)</f>
        <v>46</v>
      </c>
      <c r="H53" s="7">
        <f t="shared" si="1"/>
        <v>2.875</v>
      </c>
      <c r="I53" s="3">
        <f>G53-iferror(VLOOKUP(B53,'OPTI Leadboard Last Week'!A:G,6,FALSE),0)</f>
        <v>2</v>
      </c>
      <c r="J53" s="3" t="str">
        <f>IF(IF(LEN(B53)=0,"",IFERROR(IF(VLOOKUP(B53,'OPTI Leadboard Last Week'!A:G,7,FALSE)-A53&gt;0,"+"&amp;VLOOKUP(B53,'OPTI Leadboard Last Week'!A:G,7,FALSE)-A53,"-"&amp;abs(VLOOKUP(B53,'OPTI Leadboard Last Week'!A:G,7,FALSE)-A53)),"NEW"))="-0","--",IF(LEN(B53)=0,"",IFERROR(IF(VLOOKUP(B53,'OPTI Leadboard Last Week'!A:G,7,FALSE)-A53&gt;0,"+"&amp;VLOOKUP(B53,'OPTI Leadboard Last Week'!A:G,7,FALSE)-A53,"-"&amp;abs(VLOOKUP(B53,'OPTI Leadboard Last Week'!A:G,7,FALSE)-A53)),"NEW")))</f>
        <v>+2</v>
      </c>
    </row>
    <row r="54">
      <c r="A54" s="5">
        <f t="shared" si="2"/>
        <v>53</v>
      </c>
      <c r="B54" s="3" t="str">
        <f>IFERROR(__xludf.DUMMYFUNCTION("""COMPUTED_VALUE"""),"Joel Wright")</f>
        <v>Joel Wright</v>
      </c>
      <c r="C54" s="3">
        <f>IFERROR(__xludf.DUMMYFUNCTION("""COMPUTED_VALUE"""),15.0)</f>
        <v>15</v>
      </c>
      <c r="D54" s="3"/>
      <c r="E54" s="3">
        <f>IFERROR(__xludf.DUMMYFUNCTION("""COMPUTED_VALUE"""),1.0)</f>
        <v>1</v>
      </c>
      <c r="F54" s="3">
        <f>IFERROR(__xludf.DUMMYFUNCTION("""COMPUTED_VALUE"""),1.0)</f>
        <v>1</v>
      </c>
      <c r="G54" s="3">
        <f>IFERROR(__xludf.DUMMYFUNCTION("""COMPUTED_VALUE"""),46.0)</f>
        <v>46</v>
      </c>
      <c r="H54" s="7">
        <f t="shared" si="1"/>
        <v>3.066666667</v>
      </c>
      <c r="I54" s="3">
        <f>G54-iferror(VLOOKUP(B54,'OPTI Leadboard Last Week'!A:G,6,FALSE),0)</f>
        <v>2</v>
      </c>
      <c r="J54" s="3" t="str">
        <f>IF(IF(LEN(B54)=0,"",IFERROR(IF(VLOOKUP(B54,'OPTI Leadboard Last Week'!A:G,7,FALSE)-A54&gt;0,"+"&amp;VLOOKUP(B54,'OPTI Leadboard Last Week'!A:G,7,FALSE)-A54,"-"&amp;abs(VLOOKUP(B54,'OPTI Leadboard Last Week'!A:G,7,FALSE)-A54)),"NEW"))="-0","--",IF(LEN(B54)=0,"",IFERROR(IF(VLOOKUP(B54,'OPTI Leadboard Last Week'!A:G,7,FALSE)-A54&gt;0,"+"&amp;VLOOKUP(B54,'OPTI Leadboard Last Week'!A:G,7,FALSE)-A54,"-"&amp;abs(VLOOKUP(B54,'OPTI Leadboard Last Week'!A:G,7,FALSE)-A54)),"NEW")))</f>
        <v>+2</v>
      </c>
    </row>
    <row r="55">
      <c r="A55" s="5">
        <f t="shared" si="2"/>
        <v>54</v>
      </c>
      <c r="B55" s="3" t="str">
        <f>IFERROR(__xludf.DUMMYFUNCTION("""COMPUTED_VALUE"""),"Jonny Simmons")</f>
        <v>Jonny Simmons</v>
      </c>
      <c r="C55" s="3">
        <f>IFERROR(__xludf.DUMMYFUNCTION("""COMPUTED_VALUE"""),14.0)</f>
        <v>14</v>
      </c>
      <c r="D55" s="3"/>
      <c r="E55" s="3"/>
      <c r="F55" s="3">
        <f>IFERROR(__xludf.DUMMYFUNCTION("""COMPUTED_VALUE"""),1.0)</f>
        <v>1</v>
      </c>
      <c r="G55" s="3">
        <f>IFERROR(__xludf.DUMMYFUNCTION("""COMPUTED_VALUE"""),46.0)</f>
        <v>46</v>
      </c>
      <c r="H55" s="7">
        <f t="shared" si="1"/>
        <v>3.285714286</v>
      </c>
      <c r="I55" s="3">
        <f>G55-iferror(VLOOKUP(B55,'OPTI Leadboard Last Week'!A:G,6,FALSE),0)</f>
        <v>0</v>
      </c>
      <c r="J55" s="3" t="str">
        <f>IF(IF(LEN(B55)=0,"",IFERROR(IF(VLOOKUP(B55,'OPTI Leadboard Last Week'!A:G,7,FALSE)-A55&gt;0,"+"&amp;VLOOKUP(B55,'OPTI Leadboard Last Week'!A:G,7,FALSE)-A55,"-"&amp;abs(VLOOKUP(B55,'OPTI Leadboard Last Week'!A:G,7,FALSE)-A55)),"NEW"))="-0","--",IF(LEN(B55)=0,"",IFERROR(IF(VLOOKUP(B55,'OPTI Leadboard Last Week'!A:G,7,FALSE)-A55&gt;0,"+"&amp;VLOOKUP(B55,'OPTI Leadboard Last Week'!A:G,7,FALSE)-A55,"-"&amp;abs(VLOOKUP(B55,'OPTI Leadboard Last Week'!A:G,7,FALSE)-A55)),"NEW")))</f>
        <v>-5</v>
      </c>
    </row>
    <row r="56">
      <c r="A56" s="5">
        <f t="shared" si="2"/>
        <v>55</v>
      </c>
      <c r="B56" s="3" t="str">
        <f>IFERROR(__xludf.DUMMYFUNCTION("""COMPUTED_VALUE"""),"Kai Clack")</f>
        <v>Kai Clack</v>
      </c>
      <c r="C56" s="3">
        <f>IFERROR(__xludf.DUMMYFUNCTION("""COMPUTED_VALUE"""),11.0)</f>
        <v>11</v>
      </c>
      <c r="D56" s="3"/>
      <c r="E56" s="3">
        <f>IFERROR(__xludf.DUMMYFUNCTION("""COMPUTED_VALUE"""),1.0)</f>
        <v>1</v>
      </c>
      <c r="F56" s="3">
        <f>IFERROR(__xludf.DUMMYFUNCTION("""COMPUTED_VALUE"""),0.0)</f>
        <v>0</v>
      </c>
      <c r="G56" s="3">
        <f>IFERROR(__xludf.DUMMYFUNCTION("""COMPUTED_VALUE"""),46.0)</f>
        <v>46</v>
      </c>
      <c r="H56" s="7">
        <f t="shared" si="1"/>
        <v>4.181818182</v>
      </c>
      <c r="I56" s="3">
        <f>G56-iferror(VLOOKUP(B56,'OPTI Leadboard Last Week'!A:G,6,FALSE),0)</f>
        <v>2</v>
      </c>
      <c r="J56" s="3" t="str">
        <f>IF(IF(LEN(B56)=0,"",IFERROR(IF(VLOOKUP(B56,'OPTI Leadboard Last Week'!A:G,7,FALSE)-A56&gt;0,"+"&amp;VLOOKUP(B56,'OPTI Leadboard Last Week'!A:G,7,FALSE)-A56,"-"&amp;abs(VLOOKUP(B56,'OPTI Leadboard Last Week'!A:G,7,FALSE)-A56)),"NEW"))="-0","--",IF(LEN(B56)=0,"",IFERROR(IF(VLOOKUP(B56,'OPTI Leadboard Last Week'!A:G,7,FALSE)-A56&gt;0,"+"&amp;VLOOKUP(B56,'OPTI Leadboard Last Week'!A:G,7,FALSE)-A56,"-"&amp;abs(VLOOKUP(B56,'OPTI Leadboard Last Week'!A:G,7,FALSE)-A56)),"NEW")))</f>
        <v>+1</v>
      </c>
    </row>
    <row r="57">
      <c r="A57" s="5">
        <f t="shared" si="2"/>
        <v>56</v>
      </c>
      <c r="B57" s="3" t="str">
        <f>IFERROR(__xludf.DUMMYFUNCTION("""COMPUTED_VALUE"""),"Nick Chimonides")</f>
        <v>Nick Chimonides</v>
      </c>
      <c r="C57" s="3">
        <f>IFERROR(__xludf.DUMMYFUNCTION("""COMPUTED_VALUE"""),16.0)</f>
        <v>16</v>
      </c>
      <c r="D57" s="3"/>
      <c r="E57" s="3">
        <f>IFERROR(__xludf.DUMMYFUNCTION("""COMPUTED_VALUE"""),1.0)</f>
        <v>1</v>
      </c>
      <c r="F57" s="3">
        <f>IFERROR(__xludf.DUMMYFUNCTION("""COMPUTED_VALUE"""),0.0)</f>
        <v>0</v>
      </c>
      <c r="G57" s="3">
        <f>IFERROR(__xludf.DUMMYFUNCTION("""COMPUTED_VALUE"""),46.0)</f>
        <v>46</v>
      </c>
      <c r="H57" s="7">
        <f t="shared" si="1"/>
        <v>2.875</v>
      </c>
      <c r="I57" s="3">
        <f>G57-iferror(VLOOKUP(B57,'OPTI Leadboard Last Week'!A:G,6,FALSE),0)</f>
        <v>2</v>
      </c>
      <c r="J57" s="3" t="str">
        <f>IF(IF(LEN(B57)=0,"",IFERROR(IF(VLOOKUP(B57,'OPTI Leadboard Last Week'!A:G,7,FALSE)-A57&gt;0,"+"&amp;VLOOKUP(B57,'OPTI Leadboard Last Week'!A:G,7,FALSE)-A57,"-"&amp;abs(VLOOKUP(B57,'OPTI Leadboard Last Week'!A:G,7,FALSE)-A57)),"NEW"))="-0","--",IF(LEN(B57)=0,"",IFERROR(IF(VLOOKUP(B57,'OPTI Leadboard Last Week'!A:G,7,FALSE)-A57&gt;0,"+"&amp;VLOOKUP(B57,'OPTI Leadboard Last Week'!A:G,7,FALSE)-A57,"-"&amp;abs(VLOOKUP(B57,'OPTI Leadboard Last Week'!A:G,7,FALSE)-A57)),"NEW")))</f>
        <v>+1</v>
      </c>
    </row>
    <row r="58">
      <c r="A58" s="5">
        <f t="shared" si="2"/>
        <v>57</v>
      </c>
      <c r="B58" s="3" t="str">
        <f>IFERROR(__xludf.DUMMYFUNCTION("""COMPUTED_VALUE"""),"Ben Dockerill")</f>
        <v>Ben Dockerill</v>
      </c>
      <c r="C58" s="3">
        <f>IFERROR(__xludf.DUMMYFUNCTION("""COMPUTED_VALUE"""),14.0)</f>
        <v>14</v>
      </c>
      <c r="D58" s="3"/>
      <c r="E58" s="3">
        <f>IFERROR(__xludf.DUMMYFUNCTION("""COMPUTED_VALUE"""),5.0)</f>
        <v>5</v>
      </c>
      <c r="F58" s="3">
        <f>IFERROR(__xludf.DUMMYFUNCTION("""COMPUTED_VALUE"""),0.0)</f>
        <v>0</v>
      </c>
      <c r="G58" s="3">
        <f>IFERROR(__xludf.DUMMYFUNCTION("""COMPUTED_VALUE"""),45.0)</f>
        <v>45</v>
      </c>
      <c r="H58" s="7">
        <f t="shared" si="1"/>
        <v>3.214285714</v>
      </c>
      <c r="I58" s="3">
        <f>G58-iferror(VLOOKUP(B58,'OPTI Leadboard Last Week'!A:G,6,FALSE),0)</f>
        <v>2</v>
      </c>
      <c r="J58" s="3" t="str">
        <f>IF(IF(LEN(B58)=0,"",IFERROR(IF(VLOOKUP(B58,'OPTI Leadboard Last Week'!A:G,7,FALSE)-A58&gt;0,"+"&amp;VLOOKUP(B58,'OPTI Leadboard Last Week'!A:G,7,FALSE)-A58,"-"&amp;abs(VLOOKUP(B58,'OPTI Leadboard Last Week'!A:G,7,FALSE)-A58)),"NEW"))="-0","--",IF(LEN(B58)=0,"",IFERROR(IF(VLOOKUP(B58,'OPTI Leadboard Last Week'!A:G,7,FALSE)-A58&gt;0,"+"&amp;VLOOKUP(B58,'OPTI Leadboard Last Week'!A:G,7,FALSE)-A58,"-"&amp;abs(VLOOKUP(B58,'OPTI Leadboard Last Week'!A:G,7,FALSE)-A58)),"NEW")))</f>
        <v>+2</v>
      </c>
    </row>
    <row r="59">
      <c r="A59" s="5">
        <f t="shared" si="2"/>
        <v>58</v>
      </c>
      <c r="B59" s="3" t="str">
        <f>IFERROR(__xludf.DUMMYFUNCTION("""COMPUTED_VALUE"""),"Stu Jordan")</f>
        <v>Stu Jordan</v>
      </c>
      <c r="C59" s="3">
        <f>IFERROR(__xludf.DUMMYFUNCTION("""COMPUTED_VALUE"""),12.0)</f>
        <v>12</v>
      </c>
      <c r="D59" s="3"/>
      <c r="E59" s="3"/>
      <c r="F59" s="3">
        <f>IFERROR(__xludf.DUMMYFUNCTION("""COMPUTED_VALUE"""),0.0)</f>
        <v>0</v>
      </c>
      <c r="G59" s="3">
        <f>IFERROR(__xludf.DUMMYFUNCTION("""COMPUTED_VALUE"""),45.0)</f>
        <v>45</v>
      </c>
      <c r="H59" s="7">
        <f t="shared" si="1"/>
        <v>3.75</v>
      </c>
      <c r="I59" s="3">
        <f>G59-iferror(VLOOKUP(B59,'OPTI Leadboard Last Week'!A:G,6,FALSE),0)</f>
        <v>2</v>
      </c>
      <c r="J59" s="3" t="str">
        <f>IF(IF(LEN(B59)=0,"",IFERROR(IF(VLOOKUP(B59,'OPTI Leadboard Last Week'!A:G,7,FALSE)-A59&gt;0,"+"&amp;VLOOKUP(B59,'OPTI Leadboard Last Week'!A:G,7,FALSE)-A59,"-"&amp;abs(VLOOKUP(B59,'OPTI Leadboard Last Week'!A:G,7,FALSE)-A59)),"NEW"))="-0","--",IF(LEN(B59)=0,"",IFERROR(IF(VLOOKUP(B59,'OPTI Leadboard Last Week'!A:G,7,FALSE)-A59&gt;0,"+"&amp;VLOOKUP(B59,'OPTI Leadboard Last Week'!A:G,7,FALSE)-A59,"-"&amp;abs(VLOOKUP(B59,'OPTI Leadboard Last Week'!A:G,7,FALSE)-A59)),"NEW")))</f>
        <v>+3</v>
      </c>
    </row>
    <row r="60">
      <c r="A60" s="5">
        <f t="shared" si="2"/>
        <v>59</v>
      </c>
      <c r="B60" s="3" t="str">
        <f>IFERROR(__xludf.DUMMYFUNCTION("""COMPUTED_VALUE"""),"Anish Philips")</f>
        <v>Anish Philips</v>
      </c>
      <c r="C60" s="3">
        <f>IFERROR(__xludf.DUMMYFUNCTION("""COMPUTED_VALUE"""),13.0)</f>
        <v>13</v>
      </c>
      <c r="D60" s="3"/>
      <c r="E60" s="3">
        <f>IFERROR(__xludf.DUMMYFUNCTION("""COMPUTED_VALUE"""),5.0)</f>
        <v>5</v>
      </c>
      <c r="F60" s="3">
        <f>IFERROR(__xludf.DUMMYFUNCTION("""COMPUTED_VALUE"""),1.0)</f>
        <v>1</v>
      </c>
      <c r="G60" s="3">
        <f>IFERROR(__xludf.DUMMYFUNCTION("""COMPUTED_VALUE"""),44.0)</f>
        <v>44</v>
      </c>
      <c r="H60" s="7">
        <f t="shared" si="1"/>
        <v>3.384615385</v>
      </c>
      <c r="I60" s="3">
        <f>G60-iferror(VLOOKUP(B60,'OPTI Leadboard Last Week'!A:G,6,FALSE),0)</f>
        <v>0</v>
      </c>
      <c r="J60" s="3" t="str">
        <f>IF(IF(LEN(B60)=0,"",IFERROR(IF(VLOOKUP(B60,'OPTI Leadboard Last Week'!A:G,7,FALSE)-A60&gt;0,"+"&amp;VLOOKUP(B60,'OPTI Leadboard Last Week'!A:G,7,FALSE)-A60,"-"&amp;abs(VLOOKUP(B60,'OPTI Leadboard Last Week'!A:G,7,FALSE)-A60)),"NEW"))="-0","--",IF(LEN(B60)=0,"",IFERROR(IF(VLOOKUP(B60,'OPTI Leadboard Last Week'!A:G,7,FALSE)-A60&gt;0,"+"&amp;VLOOKUP(B60,'OPTI Leadboard Last Week'!A:G,7,FALSE)-A60,"-"&amp;abs(VLOOKUP(B60,'OPTI Leadboard Last Week'!A:G,7,FALSE)-A60)),"NEW")))</f>
        <v>-7</v>
      </c>
    </row>
    <row r="61">
      <c r="A61" s="5">
        <f t="shared" si="2"/>
        <v>60</v>
      </c>
      <c r="B61" s="3" t="str">
        <f>IFERROR(__xludf.DUMMYFUNCTION("""COMPUTED_VALUE"""),"Calum Bennett")</f>
        <v>Calum Bennett</v>
      </c>
      <c r="C61" s="3">
        <f>IFERROR(__xludf.DUMMYFUNCTION("""COMPUTED_VALUE"""),13.0)</f>
        <v>13</v>
      </c>
      <c r="D61" s="3">
        <f>IFERROR(__xludf.DUMMYFUNCTION("""COMPUTED_VALUE"""),3.0)</f>
        <v>3</v>
      </c>
      <c r="E61" s="3"/>
      <c r="F61" s="3">
        <f>IFERROR(__xludf.DUMMYFUNCTION("""COMPUTED_VALUE"""),0.0)</f>
        <v>0</v>
      </c>
      <c r="G61" s="3">
        <f>IFERROR(__xludf.DUMMYFUNCTION("""COMPUTED_VALUE"""),44.0)</f>
        <v>44</v>
      </c>
      <c r="H61" s="7">
        <f t="shared" si="1"/>
        <v>3.384615385</v>
      </c>
      <c r="I61" s="3">
        <f>G61-iferror(VLOOKUP(B61,'OPTI Leadboard Last Week'!A:G,6,FALSE),0)</f>
        <v>2</v>
      </c>
      <c r="J61" s="3" t="str">
        <f>IF(IF(LEN(B61)=0,"",IFERROR(IF(VLOOKUP(B61,'OPTI Leadboard Last Week'!A:G,7,FALSE)-A61&gt;0,"+"&amp;VLOOKUP(B61,'OPTI Leadboard Last Week'!A:G,7,FALSE)-A61,"-"&amp;abs(VLOOKUP(B61,'OPTI Leadboard Last Week'!A:G,7,FALSE)-A61)),"NEW"))="-0","--",IF(LEN(B61)=0,"",IFERROR(IF(VLOOKUP(B61,'OPTI Leadboard Last Week'!A:G,7,FALSE)-A61&gt;0,"+"&amp;VLOOKUP(B61,'OPTI Leadboard Last Week'!A:G,7,FALSE)-A61,"-"&amp;abs(VLOOKUP(B61,'OPTI Leadboard Last Week'!A:G,7,FALSE)-A61)),"NEW")))</f>
        <v>+2</v>
      </c>
    </row>
    <row r="62">
      <c r="A62" s="5">
        <f t="shared" si="2"/>
        <v>61</v>
      </c>
      <c r="B62" s="3" t="str">
        <f>IFERROR(__xludf.DUMMYFUNCTION("""COMPUTED_VALUE"""),"Connor White")</f>
        <v>Connor White</v>
      </c>
      <c r="C62" s="3">
        <f>IFERROR(__xludf.DUMMYFUNCTION("""COMPUTED_VALUE"""),11.0)</f>
        <v>11</v>
      </c>
      <c r="D62" s="3"/>
      <c r="E62" s="3">
        <f>IFERROR(__xludf.DUMMYFUNCTION("""COMPUTED_VALUE"""),4.0)</f>
        <v>4</v>
      </c>
      <c r="F62" s="3">
        <f>IFERROR(__xludf.DUMMYFUNCTION("""COMPUTED_VALUE"""),0.0)</f>
        <v>0</v>
      </c>
      <c r="G62" s="3">
        <f>IFERROR(__xludf.DUMMYFUNCTION("""COMPUTED_VALUE"""),44.0)</f>
        <v>44</v>
      </c>
      <c r="H62" s="7">
        <f t="shared" si="1"/>
        <v>4</v>
      </c>
      <c r="I62" s="3">
        <f>G62-iferror(VLOOKUP(B62,'OPTI Leadboard Last Week'!A:G,6,FALSE),0)</f>
        <v>0</v>
      </c>
      <c r="J62" s="3" t="str">
        <f>IF(IF(LEN(B62)=0,"",IFERROR(IF(VLOOKUP(B62,'OPTI Leadboard Last Week'!A:G,7,FALSE)-A62&gt;0,"+"&amp;VLOOKUP(B62,'OPTI Leadboard Last Week'!A:G,7,FALSE)-A62,"-"&amp;abs(VLOOKUP(B62,'OPTI Leadboard Last Week'!A:G,7,FALSE)-A62)),"NEW"))="-0","--",IF(LEN(B62)=0,"",IFERROR(IF(VLOOKUP(B62,'OPTI Leadboard Last Week'!A:G,7,FALSE)-A62&gt;0,"+"&amp;VLOOKUP(B62,'OPTI Leadboard Last Week'!A:G,7,FALSE)-A62,"-"&amp;abs(VLOOKUP(B62,'OPTI Leadboard Last Week'!A:G,7,FALSE)-A62)),"NEW")))</f>
        <v>-8</v>
      </c>
    </row>
    <row r="63">
      <c r="A63" s="5">
        <f t="shared" si="2"/>
        <v>62</v>
      </c>
      <c r="B63" s="3" t="str">
        <f>IFERROR(__xludf.DUMMYFUNCTION("""COMPUTED_VALUE"""),"Sean Staunton")</f>
        <v>Sean Staunton</v>
      </c>
      <c r="C63" s="3">
        <f>IFERROR(__xludf.DUMMYFUNCTION("""COMPUTED_VALUE"""),7.0)</f>
        <v>7</v>
      </c>
      <c r="D63" s="3">
        <f>IFERROR(__xludf.DUMMYFUNCTION("""COMPUTED_VALUE"""),4.0)</f>
        <v>4</v>
      </c>
      <c r="E63" s="3">
        <f>IFERROR(__xludf.DUMMYFUNCTION("""COMPUTED_VALUE"""),3.0)</f>
        <v>3</v>
      </c>
      <c r="F63" s="3">
        <f>IFERROR(__xludf.DUMMYFUNCTION("""COMPUTED_VALUE"""),0.0)</f>
        <v>0</v>
      </c>
      <c r="G63" s="3">
        <f>IFERROR(__xludf.DUMMYFUNCTION("""COMPUTED_VALUE"""),44.0)</f>
        <v>44</v>
      </c>
      <c r="H63" s="7">
        <f t="shared" si="1"/>
        <v>6.285714286</v>
      </c>
      <c r="I63" s="3">
        <f>G63-iferror(VLOOKUP(B63,'OPTI Leadboard Last Week'!A:G,6,FALSE),0)</f>
        <v>0</v>
      </c>
      <c r="J63" s="3" t="str">
        <f>IF(IF(LEN(B63)=0,"",IFERROR(IF(VLOOKUP(B63,'OPTI Leadboard Last Week'!A:G,7,FALSE)-A63&gt;0,"+"&amp;VLOOKUP(B63,'OPTI Leadboard Last Week'!A:G,7,FALSE)-A63,"-"&amp;abs(VLOOKUP(B63,'OPTI Leadboard Last Week'!A:G,7,FALSE)-A63)),"NEW"))="-0","--",IF(LEN(B63)=0,"",IFERROR(IF(VLOOKUP(B63,'OPTI Leadboard Last Week'!A:G,7,FALSE)-A63&gt;0,"+"&amp;VLOOKUP(B63,'OPTI Leadboard Last Week'!A:G,7,FALSE)-A63,"-"&amp;abs(VLOOKUP(B63,'OPTI Leadboard Last Week'!A:G,7,FALSE)-A63)),"NEW")))</f>
        <v>-4</v>
      </c>
    </row>
    <row r="64">
      <c r="A64" s="5">
        <f t="shared" si="2"/>
        <v>63</v>
      </c>
      <c r="B64" s="3" t="str">
        <f>IFERROR(__xludf.DUMMYFUNCTION("""COMPUTED_VALUE"""),"Chris Douthwaite")</f>
        <v>Chris Douthwaite</v>
      </c>
      <c r="C64" s="3">
        <f>IFERROR(__xludf.DUMMYFUNCTION("""COMPUTED_VALUE"""),15.0)</f>
        <v>15</v>
      </c>
      <c r="D64" s="3"/>
      <c r="E64" s="3"/>
      <c r="F64" s="3">
        <f>IFERROR(__xludf.DUMMYFUNCTION("""COMPUTED_VALUE"""),1.0)</f>
        <v>1</v>
      </c>
      <c r="G64" s="3">
        <f>IFERROR(__xludf.DUMMYFUNCTION("""COMPUTED_VALUE"""),43.0)</f>
        <v>43</v>
      </c>
      <c r="H64" s="7">
        <f t="shared" si="1"/>
        <v>2.866666667</v>
      </c>
      <c r="I64" s="3">
        <f>G64-iferror(VLOOKUP(B64,'OPTI Leadboard Last Week'!A:G,6,FALSE),0)</f>
        <v>2</v>
      </c>
      <c r="J64" s="3" t="str">
        <f>IF(IF(LEN(B64)=0,"",IFERROR(IF(VLOOKUP(B64,'OPTI Leadboard Last Week'!A:G,7,FALSE)-A64&gt;0,"+"&amp;VLOOKUP(B64,'OPTI Leadboard Last Week'!A:G,7,FALSE)-A64,"-"&amp;abs(VLOOKUP(B64,'OPTI Leadboard Last Week'!A:G,7,FALSE)-A64)),"NEW"))="-0","--",IF(LEN(B64)=0,"",IFERROR(IF(VLOOKUP(B64,'OPTI Leadboard Last Week'!A:G,7,FALSE)-A64&gt;0,"+"&amp;VLOOKUP(B64,'OPTI Leadboard Last Week'!A:G,7,FALSE)-A64,"-"&amp;abs(VLOOKUP(B64,'OPTI Leadboard Last Week'!A:G,7,FALSE)-A64)),"NEW")))</f>
        <v>--</v>
      </c>
    </row>
    <row r="65">
      <c r="A65" s="5">
        <f t="shared" si="2"/>
        <v>64</v>
      </c>
      <c r="B65" s="3" t="str">
        <f>IFERROR(__xludf.DUMMYFUNCTION("""COMPUTED_VALUE"""),"Matthew Thomas")</f>
        <v>Matthew Thomas</v>
      </c>
      <c r="C65" s="3">
        <f>IFERROR(__xludf.DUMMYFUNCTION("""COMPUTED_VALUE"""),16.0)</f>
        <v>16</v>
      </c>
      <c r="D65" s="3"/>
      <c r="E65" s="3">
        <f>IFERROR(__xludf.DUMMYFUNCTION("""COMPUTED_VALUE"""),1.0)</f>
        <v>1</v>
      </c>
      <c r="F65" s="3">
        <f>IFERROR(__xludf.DUMMYFUNCTION("""COMPUTED_VALUE"""),1.0)</f>
        <v>1</v>
      </c>
      <c r="G65" s="3">
        <f>IFERROR(__xludf.DUMMYFUNCTION("""COMPUTED_VALUE"""),42.0)</f>
        <v>42</v>
      </c>
      <c r="H65" s="7">
        <f t="shared" si="1"/>
        <v>2.625</v>
      </c>
      <c r="I65" s="3">
        <f>G65-iferror(VLOOKUP(B65,'OPTI Leadboard Last Week'!A:G,6,FALSE),0)</f>
        <v>2</v>
      </c>
      <c r="J65" s="3" t="str">
        <f>IF(IF(LEN(B65)=0,"",IFERROR(IF(VLOOKUP(B65,'OPTI Leadboard Last Week'!A:G,7,FALSE)-A65&gt;0,"+"&amp;VLOOKUP(B65,'OPTI Leadboard Last Week'!A:G,7,FALSE)-A65,"-"&amp;abs(VLOOKUP(B65,'OPTI Leadboard Last Week'!A:G,7,FALSE)-A65)),"NEW"))="-0","--",IF(LEN(B65)=0,"",IFERROR(IF(VLOOKUP(B65,'OPTI Leadboard Last Week'!A:G,7,FALSE)-A65&gt;0,"+"&amp;VLOOKUP(B65,'OPTI Leadboard Last Week'!A:G,7,FALSE)-A65,"-"&amp;abs(VLOOKUP(B65,'OPTI Leadboard Last Week'!A:G,7,FALSE)-A65)),"NEW")))</f>
        <v>+2</v>
      </c>
    </row>
    <row r="66">
      <c r="A66" s="5">
        <f t="shared" si="2"/>
        <v>65</v>
      </c>
      <c r="B66" s="3" t="str">
        <f>IFERROR(__xludf.DUMMYFUNCTION("""COMPUTED_VALUE"""),"Christian King")</f>
        <v>Christian King</v>
      </c>
      <c r="C66" s="3">
        <f>IFERROR(__xludf.DUMMYFUNCTION("""COMPUTED_VALUE"""),12.0)</f>
        <v>12</v>
      </c>
      <c r="D66" s="3">
        <f>IFERROR(__xludf.DUMMYFUNCTION("""COMPUTED_VALUE"""),1.0)</f>
        <v>1</v>
      </c>
      <c r="E66" s="3">
        <f>IFERROR(__xludf.DUMMYFUNCTION("""COMPUTED_VALUE"""),2.0)</f>
        <v>2</v>
      </c>
      <c r="F66" s="3">
        <f>IFERROR(__xludf.DUMMYFUNCTION("""COMPUTED_VALUE"""),1.0)</f>
        <v>1</v>
      </c>
      <c r="G66" s="3">
        <f>IFERROR(__xludf.DUMMYFUNCTION("""COMPUTED_VALUE"""),41.0)</f>
        <v>41</v>
      </c>
      <c r="H66" s="7">
        <f t="shared" si="1"/>
        <v>3.416666667</v>
      </c>
      <c r="I66" s="3">
        <f>G66-iferror(VLOOKUP(B66,'OPTI Leadboard Last Week'!A:G,6,FALSE),0)</f>
        <v>2</v>
      </c>
      <c r="J66" s="3" t="str">
        <f>IF(IF(LEN(B66)=0,"",IFERROR(IF(VLOOKUP(B66,'OPTI Leadboard Last Week'!A:G,7,FALSE)-A66&gt;0,"+"&amp;VLOOKUP(B66,'OPTI Leadboard Last Week'!A:G,7,FALSE)-A66,"-"&amp;abs(VLOOKUP(B66,'OPTI Leadboard Last Week'!A:G,7,FALSE)-A66)),"NEW"))="-0","--",IF(LEN(B66)=0,"",IFERROR(IF(VLOOKUP(B66,'OPTI Leadboard Last Week'!A:G,7,FALSE)-A66&gt;0,"+"&amp;VLOOKUP(B66,'OPTI Leadboard Last Week'!A:G,7,FALSE)-A66,"-"&amp;abs(VLOOKUP(B66,'OPTI Leadboard Last Week'!A:G,7,FALSE)-A66)),"NEW")))</f>
        <v>+3</v>
      </c>
    </row>
    <row r="67">
      <c r="A67" s="5">
        <f t="shared" si="2"/>
        <v>66</v>
      </c>
      <c r="B67" s="3" t="str">
        <f>IFERROR(__xludf.DUMMYFUNCTION("""COMPUTED_VALUE"""),"Finn Coolen")</f>
        <v>Finn Coolen</v>
      </c>
      <c r="C67" s="3">
        <f>IFERROR(__xludf.DUMMYFUNCTION("""COMPUTED_VALUE"""),13.0)</f>
        <v>13</v>
      </c>
      <c r="D67" s="3">
        <f>IFERROR(__xludf.DUMMYFUNCTION("""COMPUTED_VALUE"""),1.0)</f>
        <v>1</v>
      </c>
      <c r="E67" s="3">
        <f>IFERROR(__xludf.DUMMYFUNCTION("""COMPUTED_VALUE"""),2.0)</f>
        <v>2</v>
      </c>
      <c r="F67" s="3">
        <f>IFERROR(__xludf.DUMMYFUNCTION("""COMPUTED_VALUE"""),0.0)</f>
        <v>0</v>
      </c>
      <c r="G67" s="3">
        <f>IFERROR(__xludf.DUMMYFUNCTION("""COMPUTED_VALUE"""),41.0)</f>
        <v>41</v>
      </c>
      <c r="H67" s="7">
        <f t="shared" si="1"/>
        <v>3.153846154</v>
      </c>
      <c r="I67" s="3">
        <f>G67-iferror(VLOOKUP(B67,'OPTI Leadboard Last Week'!A:G,6,FALSE),0)</f>
        <v>0</v>
      </c>
      <c r="J67" s="3" t="str">
        <f>IF(IF(LEN(B67)=0,"",IFERROR(IF(VLOOKUP(B67,'OPTI Leadboard Last Week'!A:G,7,FALSE)-A67&gt;0,"+"&amp;VLOOKUP(B67,'OPTI Leadboard Last Week'!A:G,7,FALSE)-A67,"-"&amp;abs(VLOOKUP(B67,'OPTI Leadboard Last Week'!A:G,7,FALSE)-A67)),"NEW"))="-0","--",IF(LEN(B67)=0,"",IFERROR(IF(VLOOKUP(B67,'OPTI Leadboard Last Week'!A:G,7,FALSE)-A67&gt;0,"+"&amp;VLOOKUP(B67,'OPTI Leadboard Last Week'!A:G,7,FALSE)-A67,"-"&amp;abs(VLOOKUP(B67,'OPTI Leadboard Last Week'!A:G,7,FALSE)-A67)),"NEW")))</f>
        <v>-2</v>
      </c>
    </row>
    <row r="68">
      <c r="A68" s="5">
        <f t="shared" si="2"/>
        <v>67</v>
      </c>
      <c r="B68" s="3" t="str">
        <f>IFERROR(__xludf.DUMMYFUNCTION("""COMPUTED_VALUE"""),"Richard Scott")</f>
        <v>Richard Scott</v>
      </c>
      <c r="C68" s="3">
        <f>IFERROR(__xludf.DUMMYFUNCTION("""COMPUTED_VALUE"""),5.0)</f>
        <v>5</v>
      </c>
      <c r="D68" s="3">
        <f>IFERROR(__xludf.DUMMYFUNCTION("""COMPUTED_VALUE"""),6.0)</f>
        <v>6</v>
      </c>
      <c r="E68" s="3">
        <f>IFERROR(__xludf.DUMMYFUNCTION("""COMPUTED_VALUE"""),1.0)</f>
        <v>1</v>
      </c>
      <c r="F68" s="3">
        <f>IFERROR(__xludf.DUMMYFUNCTION("""COMPUTED_VALUE"""),1.0)</f>
        <v>1</v>
      </c>
      <c r="G68" s="3">
        <f>IFERROR(__xludf.DUMMYFUNCTION("""COMPUTED_VALUE"""),41.0)</f>
        <v>41</v>
      </c>
      <c r="H68" s="7">
        <f t="shared" si="1"/>
        <v>8.2</v>
      </c>
      <c r="I68" s="3">
        <f>G68-iferror(VLOOKUP(B68,'OPTI Leadboard Last Week'!A:G,6,FALSE),0)</f>
        <v>0</v>
      </c>
      <c r="J68" s="3" t="str">
        <f>IF(IF(LEN(B68)=0,"",IFERROR(IF(VLOOKUP(B68,'OPTI Leadboard Last Week'!A:G,7,FALSE)-A68&gt;0,"+"&amp;VLOOKUP(B68,'OPTI Leadboard Last Week'!A:G,7,FALSE)-A68,"-"&amp;abs(VLOOKUP(B68,'OPTI Leadboard Last Week'!A:G,7,FALSE)-A68)),"NEW"))="-0","--",IF(LEN(B68)=0,"",IFERROR(IF(VLOOKUP(B68,'OPTI Leadboard Last Week'!A:G,7,FALSE)-A68&gt;0,"+"&amp;VLOOKUP(B68,'OPTI Leadboard Last Week'!A:G,7,FALSE)-A68,"-"&amp;abs(VLOOKUP(B68,'OPTI Leadboard Last Week'!A:G,7,FALSE)-A68)),"NEW")))</f>
        <v>-2</v>
      </c>
    </row>
    <row r="69">
      <c r="A69" s="5">
        <f t="shared" si="2"/>
        <v>68</v>
      </c>
      <c r="B69" s="3" t="str">
        <f>IFERROR(__xludf.DUMMYFUNCTION("""COMPUTED_VALUE"""),"Sam A'Court")</f>
        <v>Sam A'Court</v>
      </c>
      <c r="C69" s="3">
        <f>IFERROR(__xludf.DUMMYFUNCTION("""COMPUTED_VALUE"""),14.0)</f>
        <v>14</v>
      </c>
      <c r="D69" s="3">
        <f>IFERROR(__xludf.DUMMYFUNCTION("""COMPUTED_VALUE"""),1.0)</f>
        <v>1</v>
      </c>
      <c r="E69" s="3"/>
      <c r="F69" s="3">
        <f>IFERROR(__xludf.DUMMYFUNCTION("""COMPUTED_VALUE"""),0.0)</f>
        <v>0</v>
      </c>
      <c r="G69" s="3">
        <f>IFERROR(__xludf.DUMMYFUNCTION("""COMPUTED_VALUE"""),41.0)</f>
        <v>41</v>
      </c>
      <c r="H69" s="7">
        <f t="shared" si="1"/>
        <v>2.928571429</v>
      </c>
      <c r="I69" s="3">
        <f>G69-iferror(VLOOKUP(B69,'OPTI Leadboard Last Week'!A:G,6,FALSE),0)</f>
        <v>2</v>
      </c>
      <c r="J69" s="3" t="str">
        <f>IF(IF(LEN(B69)=0,"",IFERROR(IF(VLOOKUP(B69,'OPTI Leadboard Last Week'!A:G,7,FALSE)-A69&gt;0,"+"&amp;VLOOKUP(B69,'OPTI Leadboard Last Week'!A:G,7,FALSE)-A69,"-"&amp;abs(VLOOKUP(B69,'OPTI Leadboard Last Week'!A:G,7,FALSE)-A69)),"NEW"))="-0","--",IF(LEN(B69)=0,"",IFERROR(IF(VLOOKUP(B69,'OPTI Leadboard Last Week'!A:G,7,FALSE)-A69&gt;0,"+"&amp;VLOOKUP(B69,'OPTI Leadboard Last Week'!A:G,7,FALSE)-A69,"-"&amp;abs(VLOOKUP(B69,'OPTI Leadboard Last Week'!A:G,7,FALSE)-A69)),"NEW")))</f>
        <v>+2</v>
      </c>
    </row>
    <row r="70">
      <c r="A70" s="5">
        <f t="shared" si="2"/>
        <v>69</v>
      </c>
      <c r="B70" s="3" t="str">
        <f>IFERROR(__xludf.DUMMYFUNCTION("""COMPUTED_VALUE"""),"Tam de Lacey")</f>
        <v>Tam de Lacey</v>
      </c>
      <c r="C70" s="3">
        <f>IFERROR(__xludf.DUMMYFUNCTION("""COMPUTED_VALUE"""),14.0)</f>
        <v>14</v>
      </c>
      <c r="D70" s="3"/>
      <c r="E70" s="3"/>
      <c r="F70" s="3">
        <f>IFERROR(__xludf.DUMMYFUNCTION("""COMPUTED_VALUE"""),0.0)</f>
        <v>0</v>
      </c>
      <c r="G70" s="3">
        <f>IFERROR(__xludf.DUMMYFUNCTION("""COMPUTED_VALUE"""),41.0)</f>
        <v>41</v>
      </c>
      <c r="H70" s="7">
        <f t="shared" si="1"/>
        <v>2.928571429</v>
      </c>
      <c r="I70" s="3">
        <f>G70-iferror(VLOOKUP(B70,'OPTI Leadboard Last Week'!A:G,6,FALSE),0)</f>
        <v>2</v>
      </c>
      <c r="J70" s="3" t="str">
        <f>IF(IF(LEN(B70)=0,"",IFERROR(IF(VLOOKUP(B70,'OPTI Leadboard Last Week'!A:G,7,FALSE)-A70&gt;0,"+"&amp;VLOOKUP(B70,'OPTI Leadboard Last Week'!A:G,7,FALSE)-A70,"-"&amp;abs(VLOOKUP(B70,'OPTI Leadboard Last Week'!A:G,7,FALSE)-A70)),"NEW"))="-0","--",IF(LEN(B70)=0,"",IFERROR(IF(VLOOKUP(B70,'OPTI Leadboard Last Week'!A:G,7,FALSE)-A70&gt;0,"+"&amp;VLOOKUP(B70,'OPTI Leadboard Last Week'!A:G,7,FALSE)-A70,"-"&amp;abs(VLOOKUP(B70,'OPTI Leadboard Last Week'!A:G,7,FALSE)-A70)),"NEW")))</f>
        <v>+2</v>
      </c>
    </row>
    <row r="71">
      <c r="A71" s="5">
        <f t="shared" si="2"/>
        <v>70</v>
      </c>
      <c r="B71" s="3" t="str">
        <f>IFERROR(__xludf.DUMMYFUNCTION("""COMPUTED_VALUE"""),"Calum Edwards")</f>
        <v>Calum Edwards</v>
      </c>
      <c r="C71" s="3">
        <f>IFERROR(__xludf.DUMMYFUNCTION("""COMPUTED_VALUE"""),10.0)</f>
        <v>10</v>
      </c>
      <c r="D71" s="3">
        <f>IFERROR(__xludf.DUMMYFUNCTION("""COMPUTED_VALUE"""),1.0)</f>
        <v>1</v>
      </c>
      <c r="E71" s="3"/>
      <c r="F71" s="3">
        <f>IFERROR(__xludf.DUMMYFUNCTION("""COMPUTED_VALUE"""),2.0)</f>
        <v>2</v>
      </c>
      <c r="G71" s="3">
        <f>IFERROR(__xludf.DUMMYFUNCTION("""COMPUTED_VALUE"""),40.0)</f>
        <v>40</v>
      </c>
      <c r="H71" s="7">
        <f t="shared" si="1"/>
        <v>4</v>
      </c>
      <c r="I71" s="3">
        <f>G71-iferror(VLOOKUP(B71,'OPTI Leadboard Last Week'!A:G,6,FALSE),0)</f>
        <v>1</v>
      </c>
      <c r="J71" s="3" t="str">
        <f>IF(IF(LEN(B71)=0,"",IFERROR(IF(VLOOKUP(B71,'OPTI Leadboard Last Week'!A:G,7,FALSE)-A71&gt;0,"+"&amp;VLOOKUP(B71,'OPTI Leadboard Last Week'!A:G,7,FALSE)-A71,"-"&amp;abs(VLOOKUP(B71,'OPTI Leadboard Last Week'!A:G,7,FALSE)-A71)),"NEW"))="-0","--",IF(LEN(B71)=0,"",IFERROR(IF(VLOOKUP(B71,'OPTI Leadboard Last Week'!A:G,7,FALSE)-A71&gt;0,"+"&amp;VLOOKUP(B71,'OPTI Leadboard Last Week'!A:G,7,FALSE)-A71,"-"&amp;abs(VLOOKUP(B71,'OPTI Leadboard Last Week'!A:G,7,FALSE)-A71)),"NEW")))</f>
        <v>-3</v>
      </c>
    </row>
    <row r="72">
      <c r="A72" s="5">
        <f t="shared" si="2"/>
        <v>71</v>
      </c>
      <c r="B72" s="3" t="str">
        <f>IFERROR(__xludf.DUMMYFUNCTION("""COMPUTED_VALUE"""),"Daniel Sheehan")</f>
        <v>Daniel Sheehan</v>
      </c>
      <c r="C72" s="3">
        <f>IFERROR(__xludf.DUMMYFUNCTION("""COMPUTED_VALUE"""),11.0)</f>
        <v>11</v>
      </c>
      <c r="D72" s="3">
        <f>IFERROR(__xludf.DUMMYFUNCTION("""COMPUTED_VALUE"""),3.0)</f>
        <v>3</v>
      </c>
      <c r="E72" s="3">
        <f>IFERROR(__xludf.DUMMYFUNCTION("""COMPUTED_VALUE"""),3.0)</f>
        <v>3</v>
      </c>
      <c r="F72" s="3">
        <f>IFERROR(__xludf.DUMMYFUNCTION("""COMPUTED_VALUE"""),0.0)</f>
        <v>0</v>
      </c>
      <c r="G72" s="3">
        <f>IFERROR(__xludf.DUMMYFUNCTION("""COMPUTED_VALUE"""),39.0)</f>
        <v>39</v>
      </c>
      <c r="H72" s="7">
        <f t="shared" si="1"/>
        <v>3.545454545</v>
      </c>
      <c r="I72" s="3">
        <f>G72-iferror(VLOOKUP(B72,'OPTI Leadboard Last Week'!A:G,6,FALSE),0)</f>
        <v>6</v>
      </c>
      <c r="J72" s="3" t="str">
        <f>IF(IF(LEN(B72)=0,"",IFERROR(IF(VLOOKUP(B72,'OPTI Leadboard Last Week'!A:G,7,FALSE)-A72&gt;0,"+"&amp;VLOOKUP(B72,'OPTI Leadboard Last Week'!A:G,7,FALSE)-A72,"-"&amp;abs(VLOOKUP(B72,'OPTI Leadboard Last Week'!A:G,7,FALSE)-A72)),"NEW"))="-0","--",IF(LEN(B72)=0,"",IFERROR(IF(VLOOKUP(B72,'OPTI Leadboard Last Week'!A:G,7,FALSE)-A72&gt;0,"+"&amp;VLOOKUP(B72,'OPTI Leadboard Last Week'!A:G,7,FALSE)-A72,"-"&amp;abs(VLOOKUP(B72,'OPTI Leadboard Last Week'!A:G,7,FALSE)-A72)),"NEW")))</f>
        <v>+8</v>
      </c>
    </row>
    <row r="73">
      <c r="A73" s="5">
        <f t="shared" si="2"/>
        <v>72</v>
      </c>
      <c r="B73" s="3" t="str">
        <f>IFERROR(__xludf.DUMMYFUNCTION("""COMPUTED_VALUE"""),"David Holmes-White")</f>
        <v>David Holmes-White</v>
      </c>
      <c r="C73" s="3">
        <f>IFERROR(__xludf.DUMMYFUNCTION("""COMPUTED_VALUE"""),15.0)</f>
        <v>15</v>
      </c>
      <c r="D73" s="3"/>
      <c r="E73" s="3">
        <f>IFERROR(__xludf.DUMMYFUNCTION("""COMPUTED_VALUE"""),1.0)</f>
        <v>1</v>
      </c>
      <c r="F73" s="3">
        <f>IFERROR(__xludf.DUMMYFUNCTION("""COMPUTED_VALUE"""),0.0)</f>
        <v>0</v>
      </c>
      <c r="G73" s="3">
        <f>IFERROR(__xludf.DUMMYFUNCTION("""COMPUTED_VALUE"""),39.0)</f>
        <v>39</v>
      </c>
      <c r="H73" s="7">
        <f t="shared" si="1"/>
        <v>2.6</v>
      </c>
      <c r="I73" s="3">
        <f>G73-iferror(VLOOKUP(B73,'OPTI Leadboard Last Week'!A:G,6,FALSE),0)</f>
        <v>2</v>
      </c>
      <c r="J73" s="3" t="str">
        <f>IF(IF(LEN(B73)=0,"",IFERROR(IF(VLOOKUP(B73,'OPTI Leadboard Last Week'!A:G,7,FALSE)-A73&gt;0,"+"&amp;VLOOKUP(B73,'OPTI Leadboard Last Week'!A:G,7,FALSE)-A73,"-"&amp;abs(VLOOKUP(B73,'OPTI Leadboard Last Week'!A:G,7,FALSE)-A73)),"NEW"))="-0","--",IF(LEN(B73)=0,"",IFERROR(IF(VLOOKUP(B73,'OPTI Leadboard Last Week'!A:G,7,FALSE)-A73&gt;0,"+"&amp;VLOOKUP(B73,'OPTI Leadboard Last Week'!A:G,7,FALSE)-A73,"-"&amp;abs(VLOOKUP(B73,'OPTI Leadboard Last Week'!A:G,7,FALSE)-A73)),"NEW")))</f>
        <v>+1</v>
      </c>
    </row>
    <row r="74">
      <c r="A74" s="5">
        <f t="shared" si="2"/>
        <v>73</v>
      </c>
      <c r="B74" s="3" t="str">
        <f>IFERROR(__xludf.DUMMYFUNCTION("""COMPUTED_VALUE"""),"Jack Hind")</f>
        <v>Jack Hind</v>
      </c>
      <c r="C74" s="3">
        <f>IFERROR(__xludf.DUMMYFUNCTION("""COMPUTED_VALUE"""),10.0)</f>
        <v>10</v>
      </c>
      <c r="D74" s="3">
        <f>IFERROR(__xludf.DUMMYFUNCTION("""COMPUTED_VALUE"""),5.0)</f>
        <v>5</v>
      </c>
      <c r="E74" s="3">
        <f>IFERROR(__xludf.DUMMYFUNCTION("""COMPUTED_VALUE"""),1.0)</f>
        <v>1</v>
      </c>
      <c r="F74" s="3">
        <f>IFERROR(__xludf.DUMMYFUNCTION("""COMPUTED_VALUE"""),0.0)</f>
        <v>0</v>
      </c>
      <c r="G74" s="3">
        <f>IFERROR(__xludf.DUMMYFUNCTION("""COMPUTED_VALUE"""),39.0)</f>
        <v>39</v>
      </c>
      <c r="H74" s="7">
        <f t="shared" si="1"/>
        <v>3.9</v>
      </c>
      <c r="I74" s="3">
        <f>G74-iferror(VLOOKUP(B74,'OPTI Leadboard Last Week'!A:G,6,FALSE),0)</f>
        <v>0</v>
      </c>
      <c r="J74" s="3" t="str">
        <f>IF(IF(LEN(B74)=0,"",IFERROR(IF(VLOOKUP(B74,'OPTI Leadboard Last Week'!A:G,7,FALSE)-A74&gt;0,"+"&amp;VLOOKUP(B74,'OPTI Leadboard Last Week'!A:G,7,FALSE)-A74,"-"&amp;abs(VLOOKUP(B74,'OPTI Leadboard Last Week'!A:G,7,FALSE)-A74)),"NEW"))="-0","--",IF(LEN(B74)=0,"",IFERROR(IF(VLOOKUP(B74,'OPTI Leadboard Last Week'!A:G,7,FALSE)-A74&gt;0,"+"&amp;VLOOKUP(B74,'OPTI Leadboard Last Week'!A:G,7,FALSE)-A74,"-"&amp;abs(VLOOKUP(B74,'OPTI Leadboard Last Week'!A:G,7,FALSE)-A74)),"NEW")))</f>
        <v>-4</v>
      </c>
    </row>
    <row r="75">
      <c r="A75" s="5">
        <f t="shared" si="2"/>
        <v>74</v>
      </c>
      <c r="B75" s="3" t="str">
        <f>IFERROR(__xludf.DUMMYFUNCTION("""COMPUTED_VALUE"""),"Oli Barton")</f>
        <v>Oli Barton</v>
      </c>
      <c r="C75" s="3">
        <f>IFERROR(__xludf.DUMMYFUNCTION("""COMPUTED_VALUE"""),11.0)</f>
        <v>11</v>
      </c>
      <c r="D75" s="3">
        <f>IFERROR(__xludf.DUMMYFUNCTION("""COMPUTED_VALUE"""),1.0)</f>
        <v>1</v>
      </c>
      <c r="E75" s="3">
        <f>IFERROR(__xludf.DUMMYFUNCTION("""COMPUTED_VALUE"""),1.0)</f>
        <v>1</v>
      </c>
      <c r="F75" s="3">
        <f>IFERROR(__xludf.DUMMYFUNCTION("""COMPUTED_VALUE"""),1.0)</f>
        <v>1</v>
      </c>
      <c r="G75" s="3">
        <f>IFERROR(__xludf.DUMMYFUNCTION("""COMPUTED_VALUE"""),38.0)</f>
        <v>38</v>
      </c>
      <c r="H75" s="7">
        <f t="shared" si="1"/>
        <v>3.454545455</v>
      </c>
      <c r="I75" s="3">
        <f>G75-iferror(VLOOKUP(B75,'OPTI Leadboard Last Week'!A:G,6,FALSE),0)</f>
        <v>0</v>
      </c>
      <c r="J75" s="3" t="str">
        <f>IF(IF(LEN(B75)=0,"",IFERROR(IF(VLOOKUP(B75,'OPTI Leadboard Last Week'!A:G,7,FALSE)-A75&gt;0,"+"&amp;VLOOKUP(B75,'OPTI Leadboard Last Week'!A:G,7,FALSE)-A75,"-"&amp;abs(VLOOKUP(B75,'OPTI Leadboard Last Week'!A:G,7,FALSE)-A75)),"NEW"))="-0","--",IF(LEN(B75)=0,"",IFERROR(IF(VLOOKUP(B75,'OPTI Leadboard Last Week'!A:G,7,FALSE)-A75&gt;0,"+"&amp;VLOOKUP(B75,'OPTI Leadboard Last Week'!A:G,7,FALSE)-A75,"-"&amp;abs(VLOOKUP(B75,'OPTI Leadboard Last Week'!A:G,7,FALSE)-A75)),"NEW")))</f>
        <v>-2</v>
      </c>
    </row>
    <row r="76">
      <c r="A76" s="5">
        <f t="shared" si="2"/>
        <v>75</v>
      </c>
      <c r="B76" s="3" t="str">
        <f>IFERROR(__xludf.DUMMYFUNCTION("""COMPUTED_VALUE"""),"George Havord")</f>
        <v>George Havord</v>
      </c>
      <c r="C76" s="3">
        <f>IFERROR(__xludf.DUMMYFUNCTION("""COMPUTED_VALUE"""),12.0)</f>
        <v>12</v>
      </c>
      <c r="D76" s="3">
        <f>IFERROR(__xludf.DUMMYFUNCTION("""COMPUTED_VALUE"""),1.0)</f>
        <v>1</v>
      </c>
      <c r="E76" s="3"/>
      <c r="F76" s="3">
        <f>IFERROR(__xludf.DUMMYFUNCTION("""COMPUTED_VALUE"""),2.0)</f>
        <v>2</v>
      </c>
      <c r="G76" s="3">
        <f>IFERROR(__xludf.DUMMYFUNCTION("""COMPUTED_VALUE"""),37.0)</f>
        <v>37</v>
      </c>
      <c r="H76" s="7">
        <f t="shared" si="1"/>
        <v>3.083333333</v>
      </c>
      <c r="I76" s="3">
        <f>G76-iferror(VLOOKUP(B76,'OPTI Leadboard Last Week'!A:G,6,FALSE),0)</f>
        <v>2</v>
      </c>
      <c r="J76" s="3" t="str">
        <f>IF(IF(LEN(B76)=0,"",IFERROR(IF(VLOOKUP(B76,'OPTI Leadboard Last Week'!A:G,7,FALSE)-A76&gt;0,"+"&amp;VLOOKUP(B76,'OPTI Leadboard Last Week'!A:G,7,FALSE)-A76,"-"&amp;abs(VLOOKUP(B76,'OPTI Leadboard Last Week'!A:G,7,FALSE)-A76)),"NEW"))="-0","--",IF(LEN(B76)=0,"",IFERROR(IF(VLOOKUP(B76,'OPTI Leadboard Last Week'!A:G,7,FALSE)-A76&gt;0,"+"&amp;VLOOKUP(B76,'OPTI Leadboard Last Week'!A:G,7,FALSE)-A76,"-"&amp;abs(VLOOKUP(B76,'OPTI Leadboard Last Week'!A:G,7,FALSE)-A76)),"NEW")))</f>
        <v>--</v>
      </c>
    </row>
    <row r="77">
      <c r="A77" s="5">
        <f t="shared" si="2"/>
        <v>76</v>
      </c>
      <c r="B77" s="3" t="str">
        <f>IFERROR(__xludf.DUMMYFUNCTION("""COMPUTED_VALUE"""),"Martin Goodson")</f>
        <v>Martin Goodson</v>
      </c>
      <c r="C77" s="3">
        <f>IFERROR(__xludf.DUMMYFUNCTION("""COMPUTED_VALUE"""),21.0)</f>
        <v>21</v>
      </c>
      <c r="D77" s="3"/>
      <c r="E77" s="3"/>
      <c r="F77" s="3">
        <f>IFERROR(__xludf.DUMMYFUNCTION("""COMPUTED_VALUE"""),2.0)</f>
        <v>2</v>
      </c>
      <c r="G77" s="3">
        <f>IFERROR(__xludf.DUMMYFUNCTION("""COMPUTED_VALUE"""),37.0)</f>
        <v>37</v>
      </c>
      <c r="H77" s="7">
        <f t="shared" si="1"/>
        <v>1.761904762</v>
      </c>
      <c r="I77" s="3">
        <f>G77-iferror(VLOOKUP(B77,'OPTI Leadboard Last Week'!A:G,6,FALSE),0)</f>
        <v>1</v>
      </c>
      <c r="J77" s="3" t="str">
        <f>IF(IF(LEN(B77)=0,"",IFERROR(IF(VLOOKUP(B77,'OPTI Leadboard Last Week'!A:G,7,FALSE)-A77&gt;0,"+"&amp;VLOOKUP(B77,'OPTI Leadboard Last Week'!A:G,7,FALSE)-A77,"-"&amp;abs(VLOOKUP(B77,'OPTI Leadboard Last Week'!A:G,7,FALSE)-A77)),"NEW"))="-0","--",IF(LEN(B77)=0,"",IFERROR(IF(VLOOKUP(B77,'OPTI Leadboard Last Week'!A:G,7,FALSE)-A77&gt;0,"+"&amp;VLOOKUP(B77,'OPTI Leadboard Last Week'!A:G,7,FALSE)-A77,"-"&amp;abs(VLOOKUP(B77,'OPTI Leadboard Last Week'!A:G,7,FALSE)-A77)),"NEW")))</f>
        <v>-2</v>
      </c>
    </row>
    <row r="78">
      <c r="A78" s="5">
        <f t="shared" si="2"/>
        <v>77</v>
      </c>
      <c r="B78" s="3" t="str">
        <f>IFERROR(__xludf.DUMMYFUNCTION("""COMPUTED_VALUE"""),"Corey Cleave")</f>
        <v>Corey Cleave</v>
      </c>
      <c r="C78" s="3">
        <f>IFERROR(__xludf.DUMMYFUNCTION("""COMPUTED_VALUE"""),8.0)</f>
        <v>8</v>
      </c>
      <c r="D78" s="3">
        <f>IFERROR(__xludf.DUMMYFUNCTION("""COMPUTED_VALUE"""),4.0)</f>
        <v>4</v>
      </c>
      <c r="E78" s="3"/>
      <c r="F78" s="3">
        <f>IFERROR(__xludf.DUMMYFUNCTION("""COMPUTED_VALUE"""),1.0)</f>
        <v>1</v>
      </c>
      <c r="G78" s="3">
        <f>IFERROR(__xludf.DUMMYFUNCTION("""COMPUTED_VALUE"""),36.0)</f>
        <v>36</v>
      </c>
      <c r="H78" s="7">
        <f t="shared" si="1"/>
        <v>4.5</v>
      </c>
      <c r="I78" s="3">
        <f>G78-iferror(VLOOKUP(B78,'OPTI Leadboard Last Week'!A:G,6,FALSE),0)</f>
        <v>2</v>
      </c>
      <c r="J78" s="3" t="str">
        <f>IF(IF(LEN(B78)=0,"",IFERROR(IF(VLOOKUP(B78,'OPTI Leadboard Last Week'!A:G,7,FALSE)-A78&gt;0,"+"&amp;VLOOKUP(B78,'OPTI Leadboard Last Week'!A:G,7,FALSE)-A78,"-"&amp;abs(VLOOKUP(B78,'OPTI Leadboard Last Week'!A:G,7,FALSE)-A78)),"NEW"))="-0","--",IF(LEN(B78)=0,"",IFERROR(IF(VLOOKUP(B78,'OPTI Leadboard Last Week'!A:G,7,FALSE)-A78&gt;0,"+"&amp;VLOOKUP(B78,'OPTI Leadboard Last Week'!A:G,7,FALSE)-A78,"-"&amp;abs(VLOOKUP(B78,'OPTI Leadboard Last Week'!A:G,7,FALSE)-A78)),"NEW")))</f>
        <v>--</v>
      </c>
    </row>
    <row r="79">
      <c r="A79" s="5">
        <f t="shared" si="2"/>
        <v>78</v>
      </c>
      <c r="B79" s="3" t="str">
        <f>IFERROR(__xludf.DUMMYFUNCTION("""COMPUTED_VALUE"""),"Sidney Hopper-Kelly")</f>
        <v>Sidney Hopper-Kelly</v>
      </c>
      <c r="C79" s="3">
        <f>IFERROR(__xludf.DUMMYFUNCTION("""COMPUTED_VALUE"""),10.0)</f>
        <v>10</v>
      </c>
      <c r="D79" s="3"/>
      <c r="E79" s="3">
        <f>IFERROR(__xludf.DUMMYFUNCTION("""COMPUTED_VALUE"""),1.0)</f>
        <v>1</v>
      </c>
      <c r="F79" s="3">
        <f>IFERROR(__xludf.DUMMYFUNCTION("""COMPUTED_VALUE"""),1.0)</f>
        <v>1</v>
      </c>
      <c r="G79" s="3">
        <f>IFERROR(__xludf.DUMMYFUNCTION("""COMPUTED_VALUE"""),36.0)</f>
        <v>36</v>
      </c>
      <c r="H79" s="7">
        <f t="shared" si="1"/>
        <v>3.6</v>
      </c>
      <c r="I79" s="3">
        <f>G79-iferror(VLOOKUP(B79,'OPTI Leadboard Last Week'!A:G,6,FALSE),0)</f>
        <v>2</v>
      </c>
      <c r="J79" s="3" t="str">
        <f>IF(IF(LEN(B79)=0,"",IFERROR(IF(VLOOKUP(B79,'OPTI Leadboard Last Week'!A:G,7,FALSE)-A79&gt;0,"+"&amp;VLOOKUP(B79,'OPTI Leadboard Last Week'!A:G,7,FALSE)-A79,"-"&amp;abs(VLOOKUP(B79,'OPTI Leadboard Last Week'!A:G,7,FALSE)-A79)),"NEW"))="-0","--",IF(LEN(B79)=0,"",IFERROR(IF(VLOOKUP(B79,'OPTI Leadboard Last Week'!A:G,7,FALSE)-A79&gt;0,"+"&amp;VLOOKUP(B79,'OPTI Leadboard Last Week'!A:G,7,FALSE)-A79,"-"&amp;abs(VLOOKUP(B79,'OPTI Leadboard Last Week'!A:G,7,FALSE)-A79)),"NEW")))</f>
        <v>--</v>
      </c>
    </row>
    <row r="80">
      <c r="A80" s="5">
        <f t="shared" si="2"/>
        <v>79</v>
      </c>
      <c r="B80" s="3" t="str">
        <f>IFERROR(__xludf.DUMMYFUNCTION("""COMPUTED_VALUE"""),"Tom Riley")</f>
        <v>Tom Riley</v>
      </c>
      <c r="C80" s="3">
        <f>IFERROR(__xludf.DUMMYFUNCTION("""COMPUTED_VALUE"""),12.0)</f>
        <v>12</v>
      </c>
      <c r="D80" s="3"/>
      <c r="E80" s="3">
        <f>IFERROR(__xludf.DUMMYFUNCTION("""COMPUTED_VALUE"""),3.0)</f>
        <v>3</v>
      </c>
      <c r="F80" s="3">
        <f>IFERROR(__xludf.DUMMYFUNCTION("""COMPUTED_VALUE"""),0.0)</f>
        <v>0</v>
      </c>
      <c r="G80" s="3">
        <f>IFERROR(__xludf.DUMMYFUNCTION("""COMPUTED_VALUE"""),35.0)</f>
        <v>35</v>
      </c>
      <c r="H80" s="7">
        <f t="shared" si="1"/>
        <v>2.916666667</v>
      </c>
      <c r="I80" s="3">
        <f>G80-iferror(VLOOKUP(B80,'OPTI Leadboard Last Week'!A:G,6,FALSE),0)</f>
        <v>2</v>
      </c>
      <c r="J80" s="3" t="str">
        <f>IF(IF(LEN(B80)=0,"",IFERROR(IF(VLOOKUP(B80,'OPTI Leadboard Last Week'!A:G,7,FALSE)-A80&gt;0,"+"&amp;VLOOKUP(B80,'OPTI Leadboard Last Week'!A:G,7,FALSE)-A80,"-"&amp;abs(VLOOKUP(B80,'OPTI Leadboard Last Week'!A:G,7,FALSE)-A80)),"NEW"))="-0","--",IF(LEN(B80)=0,"",IFERROR(IF(VLOOKUP(B80,'OPTI Leadboard Last Week'!A:G,7,FALSE)-A80&gt;0,"+"&amp;VLOOKUP(B80,'OPTI Leadboard Last Week'!A:G,7,FALSE)-A80,"-"&amp;abs(VLOOKUP(B80,'OPTI Leadboard Last Week'!A:G,7,FALSE)-A80)),"NEW")))</f>
        <v>+2</v>
      </c>
    </row>
    <row r="81">
      <c r="A81" s="5">
        <f t="shared" si="2"/>
        <v>80</v>
      </c>
      <c r="B81" s="3" t="str">
        <f>IFERROR(__xludf.DUMMYFUNCTION("""COMPUTED_VALUE"""),"Will Sollory")</f>
        <v>Will Sollory</v>
      </c>
      <c r="C81" s="3">
        <f>IFERROR(__xludf.DUMMYFUNCTION("""COMPUTED_VALUE"""),13.0)</f>
        <v>13</v>
      </c>
      <c r="D81" s="3"/>
      <c r="E81" s="3">
        <f>IFERROR(__xludf.DUMMYFUNCTION("""COMPUTED_VALUE"""),2.0)</f>
        <v>2</v>
      </c>
      <c r="F81" s="3">
        <f>IFERROR(__xludf.DUMMYFUNCTION("""COMPUTED_VALUE"""),0.0)</f>
        <v>0</v>
      </c>
      <c r="G81" s="3">
        <f>IFERROR(__xludf.DUMMYFUNCTION("""COMPUTED_VALUE"""),35.0)</f>
        <v>35</v>
      </c>
      <c r="H81" s="7">
        <f t="shared" si="1"/>
        <v>2.692307692</v>
      </c>
      <c r="I81" s="3">
        <f>G81-iferror(VLOOKUP(B81,'OPTI Leadboard Last Week'!A:G,6,FALSE),0)</f>
        <v>0</v>
      </c>
      <c r="J81" s="3" t="str">
        <f>IF(IF(LEN(B81)=0,"",IFERROR(IF(VLOOKUP(B81,'OPTI Leadboard Last Week'!A:G,7,FALSE)-A81&gt;0,"+"&amp;VLOOKUP(B81,'OPTI Leadboard Last Week'!A:G,7,FALSE)-A81,"-"&amp;abs(VLOOKUP(B81,'OPTI Leadboard Last Week'!A:G,7,FALSE)-A81)),"NEW"))="-0","--",IF(LEN(B81)=0,"",IFERROR(IF(VLOOKUP(B81,'OPTI Leadboard Last Week'!A:G,7,FALSE)-A81&gt;0,"+"&amp;VLOOKUP(B81,'OPTI Leadboard Last Week'!A:G,7,FALSE)-A81,"-"&amp;abs(VLOOKUP(B81,'OPTI Leadboard Last Week'!A:G,7,FALSE)-A81)),"NEW")))</f>
        <v>-4</v>
      </c>
    </row>
    <row r="82">
      <c r="A82" s="5">
        <f t="shared" si="2"/>
        <v>81</v>
      </c>
      <c r="B82" s="3" t="str">
        <f>IFERROR(__xludf.DUMMYFUNCTION("""COMPUTED_VALUE"""),"Anthony Ball")</f>
        <v>Anthony Ball</v>
      </c>
      <c r="C82" s="3">
        <f>IFERROR(__xludf.DUMMYFUNCTION("""COMPUTED_VALUE"""),14.0)</f>
        <v>14</v>
      </c>
      <c r="D82" s="3"/>
      <c r="E82" s="3">
        <f>IFERROR(__xludf.DUMMYFUNCTION("""COMPUTED_VALUE"""),1.0)</f>
        <v>1</v>
      </c>
      <c r="F82" s="3">
        <f>IFERROR(__xludf.DUMMYFUNCTION("""COMPUTED_VALUE"""),0.0)</f>
        <v>0</v>
      </c>
      <c r="G82" s="3">
        <f>IFERROR(__xludf.DUMMYFUNCTION("""COMPUTED_VALUE"""),34.0)</f>
        <v>34</v>
      </c>
      <c r="H82" s="7">
        <f t="shared" si="1"/>
        <v>2.428571429</v>
      </c>
      <c r="I82" s="3">
        <f>G82-iferror(VLOOKUP(B82,'OPTI Leadboard Last Week'!A:G,6,FALSE),0)</f>
        <v>2</v>
      </c>
      <c r="J82" s="3" t="str">
        <f>IF(IF(LEN(B82)=0,"",IFERROR(IF(VLOOKUP(B82,'OPTI Leadboard Last Week'!A:G,7,FALSE)-A82&gt;0,"+"&amp;VLOOKUP(B82,'OPTI Leadboard Last Week'!A:G,7,FALSE)-A82,"-"&amp;abs(VLOOKUP(B82,'OPTI Leadboard Last Week'!A:G,7,FALSE)-A82)),"NEW"))="-0","--",IF(LEN(B82)=0,"",IFERROR(IF(VLOOKUP(B82,'OPTI Leadboard Last Week'!A:G,7,FALSE)-A82&gt;0,"+"&amp;VLOOKUP(B82,'OPTI Leadboard Last Week'!A:G,7,FALSE)-A82,"-"&amp;abs(VLOOKUP(B82,'OPTI Leadboard Last Week'!A:G,7,FALSE)-A82)),"NEW")))</f>
        <v>+1</v>
      </c>
    </row>
    <row r="83">
      <c r="A83" s="5">
        <f t="shared" si="2"/>
        <v>82</v>
      </c>
      <c r="B83" s="3" t="str">
        <f>IFERROR(__xludf.DUMMYFUNCTION("""COMPUTED_VALUE"""),"Pearl Bakengela")</f>
        <v>Pearl Bakengela</v>
      </c>
      <c r="C83" s="3">
        <f>IFERROR(__xludf.DUMMYFUNCTION("""COMPUTED_VALUE"""),9.0)</f>
        <v>9</v>
      </c>
      <c r="D83" s="3">
        <f>IFERROR(__xludf.DUMMYFUNCTION("""COMPUTED_VALUE"""),4.0)</f>
        <v>4</v>
      </c>
      <c r="E83" s="3"/>
      <c r="F83" s="3">
        <f>IFERROR(__xludf.DUMMYFUNCTION("""COMPUTED_VALUE"""),0.0)</f>
        <v>0</v>
      </c>
      <c r="G83" s="3">
        <f>IFERROR(__xludf.DUMMYFUNCTION("""COMPUTED_VALUE"""),33.0)</f>
        <v>33</v>
      </c>
      <c r="H83" s="7">
        <f t="shared" si="1"/>
        <v>3.666666667</v>
      </c>
      <c r="I83" s="3">
        <f>G83-iferror(VLOOKUP(B83,'OPTI Leadboard Last Week'!A:G,6,FALSE),0)</f>
        <v>0</v>
      </c>
      <c r="J83" s="3" t="str">
        <f>IF(IF(LEN(B83)=0,"",IFERROR(IF(VLOOKUP(B83,'OPTI Leadboard Last Week'!A:G,7,FALSE)-A83&gt;0,"+"&amp;VLOOKUP(B83,'OPTI Leadboard Last Week'!A:G,7,FALSE)-A83,"-"&amp;abs(VLOOKUP(B83,'OPTI Leadboard Last Week'!A:G,7,FALSE)-A83)),"NEW"))="-0","--",IF(LEN(B83)=0,"",IFERROR(IF(VLOOKUP(B83,'OPTI Leadboard Last Week'!A:G,7,FALSE)-A83&gt;0,"+"&amp;VLOOKUP(B83,'OPTI Leadboard Last Week'!A:G,7,FALSE)-A83,"-"&amp;abs(VLOOKUP(B83,'OPTI Leadboard Last Week'!A:G,7,FALSE)-A83)),"NEW")))</f>
        <v>-2</v>
      </c>
    </row>
    <row r="84">
      <c r="A84" s="5">
        <f t="shared" si="2"/>
        <v>83</v>
      </c>
      <c r="B84" s="3" t="str">
        <f>IFERROR(__xludf.DUMMYFUNCTION("""COMPUTED_VALUE"""),"Hallam Wye")</f>
        <v>Hallam Wye</v>
      </c>
      <c r="C84" s="3">
        <f>IFERROR(__xludf.DUMMYFUNCTION("""COMPUTED_VALUE"""),13.0)</f>
        <v>13</v>
      </c>
      <c r="D84" s="3">
        <f>IFERROR(__xludf.DUMMYFUNCTION("""COMPUTED_VALUE"""),1.0)</f>
        <v>1</v>
      </c>
      <c r="E84" s="3">
        <f>IFERROR(__xludf.DUMMYFUNCTION("""COMPUTED_VALUE"""),1.0)</f>
        <v>1</v>
      </c>
      <c r="F84" s="3">
        <f>IFERROR(__xludf.DUMMYFUNCTION("""COMPUTED_VALUE"""),0.0)</f>
        <v>0</v>
      </c>
      <c r="G84" s="3">
        <f>IFERROR(__xludf.DUMMYFUNCTION("""COMPUTED_VALUE"""),32.0)</f>
        <v>32</v>
      </c>
      <c r="H84" s="7">
        <f t="shared" si="1"/>
        <v>2.461538462</v>
      </c>
      <c r="I84" s="3">
        <f>G84-iferror(VLOOKUP(B84,'OPTI Leadboard Last Week'!A:G,6,FALSE),0)</f>
        <v>2</v>
      </c>
      <c r="J84" s="3" t="str">
        <f>IF(IF(LEN(B84)=0,"",IFERROR(IF(VLOOKUP(B84,'OPTI Leadboard Last Week'!A:G,7,FALSE)-A84&gt;0,"+"&amp;VLOOKUP(B84,'OPTI Leadboard Last Week'!A:G,7,FALSE)-A84,"-"&amp;abs(VLOOKUP(B84,'OPTI Leadboard Last Week'!A:G,7,FALSE)-A84)),"NEW"))="-0","--",IF(LEN(B84)=0,"",IFERROR(IF(VLOOKUP(B84,'OPTI Leadboard Last Week'!A:G,7,FALSE)-A84&gt;0,"+"&amp;VLOOKUP(B84,'OPTI Leadboard Last Week'!A:G,7,FALSE)-A84,"-"&amp;abs(VLOOKUP(B84,'OPTI Leadboard Last Week'!A:G,7,FALSE)-A84)),"NEW")))</f>
        <v>+2</v>
      </c>
    </row>
    <row r="85">
      <c r="A85" s="5">
        <f t="shared" si="2"/>
        <v>84</v>
      </c>
      <c r="B85" s="3" t="str">
        <f>IFERROR(__xludf.DUMMYFUNCTION("""COMPUTED_VALUE"""),"Josh Billings")</f>
        <v>Josh Billings</v>
      </c>
      <c r="C85" s="3">
        <f>IFERROR(__xludf.DUMMYFUNCTION("""COMPUTED_VALUE"""),7.0)</f>
        <v>7</v>
      </c>
      <c r="D85" s="3">
        <f>IFERROR(__xludf.DUMMYFUNCTION("""COMPUTED_VALUE"""),3.0)</f>
        <v>3</v>
      </c>
      <c r="E85" s="3">
        <f>IFERROR(__xludf.DUMMYFUNCTION("""COMPUTED_VALUE"""),2.0)</f>
        <v>2</v>
      </c>
      <c r="F85" s="3">
        <f>IFERROR(__xludf.DUMMYFUNCTION("""COMPUTED_VALUE"""),0.0)</f>
        <v>0</v>
      </c>
      <c r="G85" s="3">
        <f>IFERROR(__xludf.DUMMYFUNCTION("""COMPUTED_VALUE"""),32.0)</f>
        <v>32</v>
      </c>
      <c r="H85" s="7">
        <f t="shared" si="1"/>
        <v>4.571428571</v>
      </c>
      <c r="I85" s="3">
        <f>G85-iferror(VLOOKUP(B85,'OPTI Leadboard Last Week'!A:G,6,FALSE),0)</f>
        <v>2</v>
      </c>
      <c r="J85" s="3" t="str">
        <f>IF(IF(LEN(B85)=0,"",IFERROR(IF(VLOOKUP(B85,'OPTI Leadboard Last Week'!A:G,7,FALSE)-A85&gt;0,"+"&amp;VLOOKUP(B85,'OPTI Leadboard Last Week'!A:G,7,FALSE)-A85,"-"&amp;abs(VLOOKUP(B85,'OPTI Leadboard Last Week'!A:G,7,FALSE)-A85)),"NEW"))="-0","--",IF(LEN(B85)=0,"",IFERROR(IF(VLOOKUP(B85,'OPTI Leadboard Last Week'!A:G,7,FALSE)-A85&gt;0,"+"&amp;VLOOKUP(B85,'OPTI Leadboard Last Week'!A:G,7,FALSE)-A85,"-"&amp;abs(VLOOKUP(B85,'OPTI Leadboard Last Week'!A:G,7,FALSE)-A85)),"NEW")))</f>
        <v>+2</v>
      </c>
    </row>
    <row r="86">
      <c r="A86" s="5">
        <f t="shared" si="2"/>
        <v>85</v>
      </c>
      <c r="B86" s="3" t="str">
        <f>IFERROR(__xludf.DUMMYFUNCTION("""COMPUTED_VALUE"""),"Henry Pepperell")</f>
        <v>Henry Pepperell</v>
      </c>
      <c r="C86" s="3">
        <f>IFERROR(__xludf.DUMMYFUNCTION("""COMPUTED_VALUE"""),7.0)</f>
        <v>7</v>
      </c>
      <c r="D86" s="3"/>
      <c r="E86" s="3">
        <f>IFERROR(__xludf.DUMMYFUNCTION("""COMPUTED_VALUE"""),1.0)</f>
        <v>1</v>
      </c>
      <c r="F86" s="3">
        <f>IFERROR(__xludf.DUMMYFUNCTION("""COMPUTED_VALUE"""),1.0)</f>
        <v>1</v>
      </c>
      <c r="G86" s="3">
        <f>IFERROR(__xludf.DUMMYFUNCTION("""COMPUTED_VALUE"""),31.0)</f>
        <v>31</v>
      </c>
      <c r="H86" s="7">
        <f t="shared" si="1"/>
        <v>4.428571429</v>
      </c>
      <c r="I86" s="3">
        <f>G86-iferror(VLOOKUP(B86,'OPTI Leadboard Last Week'!A:G,6,FALSE),0)</f>
        <v>0</v>
      </c>
      <c r="J86" s="3" t="str">
        <f>IF(IF(LEN(B86)=0,"",IFERROR(IF(VLOOKUP(B86,'OPTI Leadboard Last Week'!A:G,7,FALSE)-A86&gt;0,"+"&amp;VLOOKUP(B86,'OPTI Leadboard Last Week'!A:G,7,FALSE)-A86,"-"&amp;abs(VLOOKUP(B86,'OPTI Leadboard Last Week'!A:G,7,FALSE)-A86)),"NEW"))="-0","--",IF(LEN(B86)=0,"",IFERROR(IF(VLOOKUP(B86,'OPTI Leadboard Last Week'!A:G,7,FALSE)-A86&gt;0,"+"&amp;VLOOKUP(B86,'OPTI Leadboard Last Week'!A:G,7,FALSE)-A86,"-"&amp;abs(VLOOKUP(B86,'OPTI Leadboard Last Week'!A:G,7,FALSE)-A86)),"NEW")))</f>
        <v>-2</v>
      </c>
    </row>
    <row r="87">
      <c r="A87" s="5">
        <f t="shared" si="2"/>
        <v>86</v>
      </c>
      <c r="B87" s="3" t="str">
        <f>IFERROR(__xludf.DUMMYFUNCTION("""COMPUTED_VALUE"""),"Andrew Barclay")</f>
        <v>Andrew Barclay</v>
      </c>
      <c r="C87" s="3">
        <f>IFERROR(__xludf.DUMMYFUNCTION("""COMPUTED_VALUE"""),10.0)</f>
        <v>10</v>
      </c>
      <c r="D87" s="3"/>
      <c r="E87" s="3">
        <f>IFERROR(__xludf.DUMMYFUNCTION("""COMPUTED_VALUE"""),1.0)</f>
        <v>1</v>
      </c>
      <c r="F87" s="3">
        <f>IFERROR(__xludf.DUMMYFUNCTION("""COMPUTED_VALUE"""),1.0)</f>
        <v>1</v>
      </c>
      <c r="G87" s="3">
        <f>IFERROR(__xludf.DUMMYFUNCTION("""COMPUTED_VALUE"""),30.0)</f>
        <v>30</v>
      </c>
      <c r="H87" s="7">
        <f t="shared" si="1"/>
        <v>3</v>
      </c>
      <c r="I87" s="3">
        <f>G87-iferror(VLOOKUP(B87,'OPTI Leadboard Last Week'!A:G,6,FALSE),0)</f>
        <v>0</v>
      </c>
      <c r="J87" s="3" t="str">
        <f>IF(IF(LEN(B87)=0,"",IFERROR(IF(VLOOKUP(B87,'OPTI Leadboard Last Week'!A:G,7,FALSE)-A87&gt;0,"+"&amp;VLOOKUP(B87,'OPTI Leadboard Last Week'!A:G,7,FALSE)-A87,"-"&amp;abs(VLOOKUP(B87,'OPTI Leadboard Last Week'!A:G,7,FALSE)-A87)),"NEW"))="-0","--",IF(LEN(B87)=0,"",IFERROR(IF(VLOOKUP(B87,'OPTI Leadboard Last Week'!A:G,7,FALSE)-A87&gt;0,"+"&amp;VLOOKUP(B87,'OPTI Leadboard Last Week'!A:G,7,FALSE)-A87,"-"&amp;abs(VLOOKUP(B87,'OPTI Leadboard Last Week'!A:G,7,FALSE)-A87)),"NEW")))</f>
        <v>-2</v>
      </c>
    </row>
    <row r="88">
      <c r="A88" s="5">
        <f t="shared" si="2"/>
        <v>87</v>
      </c>
      <c r="B88" s="3" t="str">
        <f>IFERROR(__xludf.DUMMYFUNCTION("""COMPUTED_VALUE"""),"Claudien Mwalimu")</f>
        <v>Claudien Mwalimu</v>
      </c>
      <c r="C88" s="3">
        <f>IFERROR(__xludf.DUMMYFUNCTION("""COMPUTED_VALUE"""),6.0)</f>
        <v>6</v>
      </c>
      <c r="D88" s="3">
        <f>IFERROR(__xludf.DUMMYFUNCTION("""COMPUTED_VALUE"""),2.0)</f>
        <v>2</v>
      </c>
      <c r="E88" s="3"/>
      <c r="F88" s="3">
        <f>IFERROR(__xludf.DUMMYFUNCTION("""COMPUTED_VALUE"""),2.0)</f>
        <v>2</v>
      </c>
      <c r="G88" s="3">
        <f>IFERROR(__xludf.DUMMYFUNCTION("""COMPUTED_VALUE"""),30.0)</f>
        <v>30</v>
      </c>
      <c r="H88" s="7">
        <f t="shared" si="1"/>
        <v>5</v>
      </c>
      <c r="I88" s="3">
        <f>G88-iferror(VLOOKUP(B88,'OPTI Leadboard Last Week'!A:G,6,FALSE),0)</f>
        <v>2</v>
      </c>
      <c r="J88" s="3" t="str">
        <f>IF(IF(LEN(B88)=0,"",IFERROR(IF(VLOOKUP(B88,'OPTI Leadboard Last Week'!A:G,7,FALSE)-A88&gt;0,"+"&amp;VLOOKUP(B88,'OPTI Leadboard Last Week'!A:G,7,FALSE)-A88,"-"&amp;abs(VLOOKUP(B88,'OPTI Leadboard Last Week'!A:G,7,FALSE)-A88)),"NEW"))="-0","--",IF(LEN(B88)=0,"",IFERROR(IF(VLOOKUP(B88,'OPTI Leadboard Last Week'!A:G,7,FALSE)-A88&gt;0,"+"&amp;VLOOKUP(B88,'OPTI Leadboard Last Week'!A:G,7,FALSE)-A88,"-"&amp;abs(VLOOKUP(B88,'OPTI Leadboard Last Week'!A:G,7,FALSE)-A88)),"NEW")))</f>
        <v>+1</v>
      </c>
    </row>
    <row r="89">
      <c r="A89" s="5">
        <f t="shared" si="2"/>
        <v>88</v>
      </c>
      <c r="B89" s="3" t="str">
        <f>IFERROR(__xludf.DUMMYFUNCTION("""COMPUTED_VALUE"""),"Joe Vincent")</f>
        <v>Joe Vincent</v>
      </c>
      <c r="C89" s="3">
        <f>IFERROR(__xludf.DUMMYFUNCTION("""COMPUTED_VALUE"""),12.0)</f>
        <v>12</v>
      </c>
      <c r="D89" s="3"/>
      <c r="E89" s="3"/>
      <c r="F89" s="3">
        <f>IFERROR(__xludf.DUMMYFUNCTION("""COMPUTED_VALUE"""),1.0)</f>
        <v>1</v>
      </c>
      <c r="G89" s="3">
        <f>IFERROR(__xludf.DUMMYFUNCTION("""COMPUTED_VALUE"""),30.0)</f>
        <v>30</v>
      </c>
      <c r="H89" s="7">
        <f t="shared" si="1"/>
        <v>2.5</v>
      </c>
      <c r="I89" s="3">
        <f>G89-iferror(VLOOKUP(B89,'OPTI Leadboard Last Week'!A:G,6,FALSE),0)</f>
        <v>1</v>
      </c>
      <c r="J89" s="3" t="str">
        <f>IF(IF(LEN(B89)=0,"",IFERROR(IF(VLOOKUP(B89,'OPTI Leadboard Last Week'!A:G,7,FALSE)-A89&gt;0,"+"&amp;VLOOKUP(B89,'OPTI Leadboard Last Week'!A:G,7,FALSE)-A89,"-"&amp;abs(VLOOKUP(B89,'OPTI Leadboard Last Week'!A:G,7,FALSE)-A89)),"NEW"))="-0","--",IF(LEN(B89)=0,"",IFERROR(IF(VLOOKUP(B89,'OPTI Leadboard Last Week'!A:G,7,FALSE)-A89&gt;0,"+"&amp;VLOOKUP(B89,'OPTI Leadboard Last Week'!A:G,7,FALSE)-A89,"-"&amp;abs(VLOOKUP(B89,'OPTI Leadboard Last Week'!A:G,7,FALSE)-A89)),"NEW")))</f>
        <v>-1</v>
      </c>
    </row>
    <row r="90">
      <c r="A90" s="5">
        <f t="shared" si="2"/>
        <v>89</v>
      </c>
      <c r="B90" s="3" t="str">
        <f>IFERROR(__xludf.DUMMYFUNCTION("""COMPUTED_VALUE"""),"Janam Satra")</f>
        <v>Janam Satra</v>
      </c>
      <c r="C90" s="3">
        <f>IFERROR(__xludf.DUMMYFUNCTION("""COMPUTED_VALUE"""),14.0)</f>
        <v>14</v>
      </c>
      <c r="D90" s="3"/>
      <c r="E90" s="3">
        <f>IFERROR(__xludf.DUMMYFUNCTION("""COMPUTED_VALUE"""),1.0)</f>
        <v>1</v>
      </c>
      <c r="F90" s="3">
        <f>IFERROR(__xludf.DUMMYFUNCTION("""COMPUTED_VALUE"""),0.0)</f>
        <v>0</v>
      </c>
      <c r="G90" s="3">
        <f>IFERROR(__xludf.DUMMYFUNCTION("""COMPUTED_VALUE"""),29.0)</f>
        <v>29</v>
      </c>
      <c r="H90" s="7">
        <f t="shared" si="1"/>
        <v>2.071428571</v>
      </c>
      <c r="I90" s="3">
        <f>G90-iferror(VLOOKUP(B90,'OPTI Leadboard Last Week'!A:G,6,FALSE),0)</f>
        <v>1</v>
      </c>
      <c r="J90" s="3" t="str">
        <f>IF(IF(LEN(B90)=0,"",IFERROR(IF(VLOOKUP(B90,'OPTI Leadboard Last Week'!A:G,7,FALSE)-A90&gt;0,"+"&amp;VLOOKUP(B90,'OPTI Leadboard Last Week'!A:G,7,FALSE)-A90,"-"&amp;abs(VLOOKUP(B90,'OPTI Leadboard Last Week'!A:G,7,FALSE)-A90)),"NEW"))="-0","--",IF(LEN(B90)=0,"",IFERROR(IF(VLOOKUP(B90,'OPTI Leadboard Last Week'!A:G,7,FALSE)-A90&gt;0,"+"&amp;VLOOKUP(B90,'OPTI Leadboard Last Week'!A:G,7,FALSE)-A90,"-"&amp;abs(VLOOKUP(B90,'OPTI Leadboard Last Week'!A:G,7,FALSE)-A90)),"NEW")))</f>
        <v>--</v>
      </c>
    </row>
    <row r="91">
      <c r="A91" s="5">
        <f t="shared" si="2"/>
        <v>90</v>
      </c>
      <c r="B91" s="3" t="str">
        <f>IFERROR(__xludf.DUMMYFUNCTION("""COMPUTED_VALUE"""),"Tom Taylor")</f>
        <v>Tom Taylor</v>
      </c>
      <c r="C91" s="3">
        <f>IFERROR(__xludf.DUMMYFUNCTION("""COMPUTED_VALUE"""),8.0)</f>
        <v>8</v>
      </c>
      <c r="D91" s="3">
        <f>IFERROR(__xludf.DUMMYFUNCTION("""COMPUTED_VALUE"""),2.0)</f>
        <v>2</v>
      </c>
      <c r="E91" s="3"/>
      <c r="F91" s="3">
        <f>IFERROR(__xludf.DUMMYFUNCTION("""COMPUTED_VALUE"""),1.0)</f>
        <v>1</v>
      </c>
      <c r="G91" s="3">
        <f>IFERROR(__xludf.DUMMYFUNCTION("""COMPUTED_VALUE"""),29.0)</f>
        <v>29</v>
      </c>
      <c r="H91" s="7">
        <f t="shared" si="1"/>
        <v>3.625</v>
      </c>
      <c r="I91" s="3">
        <f>G91-iferror(VLOOKUP(B91,'OPTI Leadboard Last Week'!A:G,6,FALSE),0)</f>
        <v>2</v>
      </c>
      <c r="J91" s="3" t="str">
        <f>IF(IF(LEN(B91)=0,"",IFERROR(IF(VLOOKUP(B91,'OPTI Leadboard Last Week'!A:G,7,FALSE)-A91&gt;0,"+"&amp;VLOOKUP(B91,'OPTI Leadboard Last Week'!A:G,7,FALSE)-A91,"-"&amp;abs(VLOOKUP(B91,'OPTI Leadboard Last Week'!A:G,7,FALSE)-A91)),"NEW"))="-0","--",IF(LEN(B91)=0,"",IFERROR(IF(VLOOKUP(B91,'OPTI Leadboard Last Week'!A:G,7,FALSE)-A91&gt;0,"+"&amp;VLOOKUP(B91,'OPTI Leadboard Last Week'!A:G,7,FALSE)-A91,"-"&amp;abs(VLOOKUP(B91,'OPTI Leadboard Last Week'!A:G,7,FALSE)-A91)),"NEW")))</f>
        <v>+3</v>
      </c>
    </row>
    <row r="92">
      <c r="A92" s="5">
        <f t="shared" si="2"/>
        <v>91</v>
      </c>
      <c r="B92" s="3" t="str">
        <f>IFERROR(__xludf.DUMMYFUNCTION("""COMPUTED_VALUE"""),"Leuman Coronado")</f>
        <v>Leuman Coronado</v>
      </c>
      <c r="C92" s="3">
        <f>IFERROR(__xludf.DUMMYFUNCTION("""COMPUTED_VALUE"""),8.0)</f>
        <v>8</v>
      </c>
      <c r="D92" s="3"/>
      <c r="E92" s="3"/>
      <c r="F92" s="3">
        <f>IFERROR(__xludf.DUMMYFUNCTION("""COMPUTED_VALUE"""),2.0)</f>
        <v>2</v>
      </c>
      <c r="G92" s="3">
        <f>IFERROR(__xludf.DUMMYFUNCTION("""COMPUTED_VALUE"""),28.0)</f>
        <v>28</v>
      </c>
      <c r="H92" s="7">
        <f t="shared" si="1"/>
        <v>3.5</v>
      </c>
      <c r="I92" s="3">
        <f>G92-iferror(VLOOKUP(B92,'OPTI Leadboard Last Week'!A:G,6,FALSE),0)</f>
        <v>0</v>
      </c>
      <c r="J92" s="3" t="str">
        <f>IF(IF(LEN(B92)=0,"",IFERROR(IF(VLOOKUP(B92,'OPTI Leadboard Last Week'!A:G,7,FALSE)-A92&gt;0,"+"&amp;VLOOKUP(B92,'OPTI Leadboard Last Week'!A:G,7,FALSE)-A92,"-"&amp;abs(VLOOKUP(B92,'OPTI Leadboard Last Week'!A:G,7,FALSE)-A92)),"NEW"))="-0","--",IF(LEN(B92)=0,"",IFERROR(IF(VLOOKUP(B92,'OPTI Leadboard Last Week'!A:G,7,FALSE)-A92&gt;0,"+"&amp;VLOOKUP(B92,'OPTI Leadboard Last Week'!A:G,7,FALSE)-A92,"-"&amp;abs(VLOOKUP(B92,'OPTI Leadboard Last Week'!A:G,7,FALSE)-A92)),"NEW")))</f>
        <v>-1</v>
      </c>
    </row>
    <row r="93">
      <c r="A93" s="5">
        <f t="shared" si="2"/>
        <v>92</v>
      </c>
      <c r="B93" s="3" t="str">
        <f>IFERROR(__xludf.DUMMYFUNCTION("""COMPUTED_VALUE"""),"Steve Francis")</f>
        <v>Steve Francis</v>
      </c>
      <c r="C93" s="3">
        <f>IFERROR(__xludf.DUMMYFUNCTION("""COMPUTED_VALUE"""),4.0)</f>
        <v>4</v>
      </c>
      <c r="D93" s="3">
        <f>IFERROR(__xludf.DUMMYFUNCTION("""COMPUTED_VALUE"""),5.0)</f>
        <v>5</v>
      </c>
      <c r="E93" s="3"/>
      <c r="F93" s="3">
        <f>IFERROR(__xludf.DUMMYFUNCTION("""COMPUTED_VALUE"""),0.0)</f>
        <v>0</v>
      </c>
      <c r="G93" s="3">
        <f>IFERROR(__xludf.DUMMYFUNCTION("""COMPUTED_VALUE"""),28.0)</f>
        <v>28</v>
      </c>
      <c r="H93" s="7">
        <f t="shared" si="1"/>
        <v>7</v>
      </c>
      <c r="I93" s="3">
        <f>G93-iferror(VLOOKUP(B93,'OPTI Leadboard Last Week'!A:G,6,FALSE),0)</f>
        <v>0</v>
      </c>
      <c r="J93" s="3" t="str">
        <f>IF(IF(LEN(B93)=0,"",IFERROR(IF(VLOOKUP(B93,'OPTI Leadboard Last Week'!A:G,7,FALSE)-A93&gt;0,"+"&amp;VLOOKUP(B93,'OPTI Leadboard Last Week'!A:G,7,FALSE)-A93,"-"&amp;abs(VLOOKUP(B93,'OPTI Leadboard Last Week'!A:G,7,FALSE)-A93)),"NEW"))="-0","--",IF(LEN(B93)=0,"",IFERROR(IF(VLOOKUP(B93,'OPTI Leadboard Last Week'!A:G,7,FALSE)-A93&gt;0,"+"&amp;VLOOKUP(B93,'OPTI Leadboard Last Week'!A:G,7,FALSE)-A93,"-"&amp;abs(VLOOKUP(B93,'OPTI Leadboard Last Week'!A:G,7,FALSE)-A93)),"NEW")))</f>
        <v>-1</v>
      </c>
    </row>
    <row r="94">
      <c r="A94" s="5">
        <f t="shared" si="2"/>
        <v>93</v>
      </c>
      <c r="B94" s="3" t="str">
        <f>IFERROR(__xludf.DUMMYFUNCTION("""COMPUTED_VALUE"""),"Tali Kiwanuka")</f>
        <v>Tali Kiwanuka</v>
      </c>
      <c r="C94" s="3">
        <f>IFERROR(__xludf.DUMMYFUNCTION("""COMPUTED_VALUE"""),8.0)</f>
        <v>8</v>
      </c>
      <c r="D94" s="3">
        <f>IFERROR(__xludf.DUMMYFUNCTION("""COMPUTED_VALUE"""),2.0)</f>
        <v>2</v>
      </c>
      <c r="E94" s="3">
        <f>IFERROR(__xludf.DUMMYFUNCTION("""COMPUTED_VALUE"""),1.0)</f>
        <v>1</v>
      </c>
      <c r="F94" s="3">
        <f>IFERROR(__xludf.DUMMYFUNCTION("""COMPUTED_VALUE"""),1.0)</f>
        <v>1</v>
      </c>
      <c r="G94" s="3">
        <f>IFERROR(__xludf.DUMMYFUNCTION("""COMPUTED_VALUE"""),28.0)</f>
        <v>28</v>
      </c>
      <c r="H94" s="7">
        <f t="shared" si="1"/>
        <v>3.5</v>
      </c>
      <c r="I94" s="3">
        <f>G94-iferror(VLOOKUP(B94,'OPTI Leadboard Last Week'!A:G,6,FALSE),0)</f>
        <v>4</v>
      </c>
      <c r="J94" s="3" t="str">
        <f>IF(IF(LEN(B94)=0,"",IFERROR(IF(VLOOKUP(B94,'OPTI Leadboard Last Week'!A:G,7,FALSE)-A94&gt;0,"+"&amp;VLOOKUP(B94,'OPTI Leadboard Last Week'!A:G,7,FALSE)-A94,"-"&amp;abs(VLOOKUP(B94,'OPTI Leadboard Last Week'!A:G,7,FALSE)-A94)),"NEW"))="-0","--",IF(LEN(B94)=0,"",IFERROR(IF(VLOOKUP(B94,'OPTI Leadboard Last Week'!A:G,7,FALSE)-A94&gt;0,"+"&amp;VLOOKUP(B94,'OPTI Leadboard Last Week'!A:G,7,FALSE)-A94,"-"&amp;abs(VLOOKUP(B94,'OPTI Leadboard Last Week'!A:G,7,FALSE)-A94)),"NEW")))</f>
        <v>+10</v>
      </c>
    </row>
    <row r="95">
      <c r="A95" s="5">
        <f t="shared" si="2"/>
        <v>94</v>
      </c>
      <c r="B95" s="3" t="str">
        <f>IFERROR(__xludf.DUMMYFUNCTION("""COMPUTED_VALUE"""),"Gaz Wheldale")</f>
        <v>Gaz Wheldale</v>
      </c>
      <c r="C95" s="3">
        <f>IFERROR(__xludf.DUMMYFUNCTION("""COMPUTED_VALUE"""),6.0)</f>
        <v>6</v>
      </c>
      <c r="D95" s="3"/>
      <c r="E95" s="3">
        <f>IFERROR(__xludf.DUMMYFUNCTION("""COMPUTED_VALUE"""),2.0)</f>
        <v>2</v>
      </c>
      <c r="F95" s="3">
        <f>IFERROR(__xludf.DUMMYFUNCTION("""COMPUTED_VALUE"""),1.0)</f>
        <v>1</v>
      </c>
      <c r="G95" s="3">
        <f>IFERROR(__xludf.DUMMYFUNCTION("""COMPUTED_VALUE"""),27.0)</f>
        <v>27</v>
      </c>
      <c r="H95" s="7">
        <f t="shared" si="1"/>
        <v>4.5</v>
      </c>
      <c r="I95" s="3">
        <f>G95-iferror(VLOOKUP(B95,'OPTI Leadboard Last Week'!A:G,6,FALSE),0)</f>
        <v>0</v>
      </c>
      <c r="J95" s="3" t="str">
        <f>IF(IF(LEN(B95)=0,"",IFERROR(IF(VLOOKUP(B95,'OPTI Leadboard Last Week'!A:G,7,FALSE)-A95&gt;0,"+"&amp;VLOOKUP(B95,'OPTI Leadboard Last Week'!A:G,7,FALSE)-A95,"-"&amp;abs(VLOOKUP(B95,'OPTI Leadboard Last Week'!A:G,7,FALSE)-A95)),"NEW"))="-0","--",IF(LEN(B95)=0,"",IFERROR(IF(VLOOKUP(B95,'OPTI Leadboard Last Week'!A:G,7,FALSE)-A95&gt;0,"+"&amp;VLOOKUP(B95,'OPTI Leadboard Last Week'!A:G,7,FALSE)-A95,"-"&amp;abs(VLOOKUP(B95,'OPTI Leadboard Last Week'!A:G,7,FALSE)-A95)),"NEW")))</f>
        <v>-2</v>
      </c>
    </row>
    <row r="96">
      <c r="A96" s="5">
        <f t="shared" si="2"/>
        <v>95</v>
      </c>
      <c r="B96" s="3" t="str">
        <f>IFERROR(__xludf.DUMMYFUNCTION("""COMPUTED_VALUE"""),"Billy King")</f>
        <v>Billy King</v>
      </c>
      <c r="C96" s="3">
        <f>IFERROR(__xludf.DUMMYFUNCTION("""COMPUTED_VALUE"""),8.0)</f>
        <v>8</v>
      </c>
      <c r="D96" s="3"/>
      <c r="E96" s="3">
        <f>IFERROR(__xludf.DUMMYFUNCTION("""COMPUTED_VALUE"""),2.0)</f>
        <v>2</v>
      </c>
      <c r="F96" s="3">
        <f>IFERROR(__xludf.DUMMYFUNCTION("""COMPUTED_VALUE"""),0.0)</f>
        <v>0</v>
      </c>
      <c r="G96" s="3">
        <f>IFERROR(__xludf.DUMMYFUNCTION("""COMPUTED_VALUE"""),26.0)</f>
        <v>26</v>
      </c>
      <c r="H96" s="7">
        <f t="shared" si="1"/>
        <v>3.25</v>
      </c>
      <c r="I96" s="3">
        <f>G96-iferror(VLOOKUP(B96,'OPTI Leadboard Last Week'!A:G,6,FALSE),0)</f>
        <v>2</v>
      </c>
      <c r="J96" s="3" t="str">
        <f>IF(IF(LEN(B96)=0,"",IFERROR(IF(VLOOKUP(B96,'OPTI Leadboard Last Week'!A:G,7,FALSE)-A96&gt;0,"+"&amp;VLOOKUP(B96,'OPTI Leadboard Last Week'!A:G,7,FALSE)-A96,"-"&amp;abs(VLOOKUP(B96,'OPTI Leadboard Last Week'!A:G,7,FALSE)-A96)),"NEW"))="-0","--",IF(LEN(B96)=0,"",IFERROR(IF(VLOOKUP(B96,'OPTI Leadboard Last Week'!A:G,7,FALSE)-A96&gt;0,"+"&amp;VLOOKUP(B96,'OPTI Leadboard Last Week'!A:G,7,FALSE)-A96,"-"&amp;abs(VLOOKUP(B96,'OPTI Leadboard Last Week'!A:G,7,FALSE)-A96)),"NEW")))</f>
        <v>+5</v>
      </c>
    </row>
    <row r="97">
      <c r="A97" s="5">
        <f t="shared" si="2"/>
        <v>96</v>
      </c>
      <c r="B97" s="3" t="str">
        <f>IFERROR(__xludf.DUMMYFUNCTION("""COMPUTED_VALUE"""),"Jabari Dixon")</f>
        <v>Jabari Dixon</v>
      </c>
      <c r="C97" s="3">
        <f>IFERROR(__xludf.DUMMYFUNCTION("""COMPUTED_VALUE"""),10.0)</f>
        <v>10</v>
      </c>
      <c r="D97" s="3"/>
      <c r="E97" s="3"/>
      <c r="F97" s="3">
        <f>IFERROR(__xludf.DUMMYFUNCTION("""COMPUTED_VALUE"""),1.0)</f>
        <v>1</v>
      </c>
      <c r="G97" s="3">
        <f>IFERROR(__xludf.DUMMYFUNCTION("""COMPUTED_VALUE"""),26.0)</f>
        <v>26</v>
      </c>
      <c r="H97" s="7">
        <f t="shared" si="1"/>
        <v>2.6</v>
      </c>
      <c r="I97" s="3">
        <f>G97-iferror(VLOOKUP(B97,'OPTI Leadboard Last Week'!A:G,6,FALSE),0)</f>
        <v>0</v>
      </c>
      <c r="J97" s="3" t="str">
        <f>IF(IF(LEN(B97)=0,"",IFERROR(IF(VLOOKUP(B97,'OPTI Leadboard Last Week'!A:G,7,FALSE)-A97&gt;0,"+"&amp;VLOOKUP(B97,'OPTI Leadboard Last Week'!A:G,7,FALSE)-A97,"-"&amp;abs(VLOOKUP(B97,'OPTI Leadboard Last Week'!A:G,7,FALSE)-A97)),"NEW"))="-0","--",IF(LEN(B97)=0,"",IFERROR(IF(VLOOKUP(B97,'OPTI Leadboard Last Week'!A:G,7,FALSE)-A97&gt;0,"+"&amp;VLOOKUP(B97,'OPTI Leadboard Last Week'!A:G,7,FALSE)-A97,"-"&amp;abs(VLOOKUP(B97,'OPTI Leadboard Last Week'!A:G,7,FALSE)-A97)),"NEW")))</f>
        <v>-2</v>
      </c>
    </row>
    <row r="98">
      <c r="A98" s="5">
        <f t="shared" si="2"/>
        <v>97</v>
      </c>
      <c r="B98" s="3" t="str">
        <f>IFERROR(__xludf.DUMMYFUNCTION("""COMPUTED_VALUE"""),"Lee Clark")</f>
        <v>Lee Clark</v>
      </c>
      <c r="C98" s="3">
        <f>IFERROR(__xludf.DUMMYFUNCTION("""COMPUTED_VALUE"""),11.0)</f>
        <v>11</v>
      </c>
      <c r="D98" s="3"/>
      <c r="E98" s="3"/>
      <c r="F98" s="3">
        <f>IFERROR(__xludf.DUMMYFUNCTION("""COMPUTED_VALUE"""),0.0)</f>
        <v>0</v>
      </c>
      <c r="G98" s="3">
        <f>IFERROR(__xludf.DUMMYFUNCTION("""COMPUTED_VALUE"""),26.0)</f>
        <v>26</v>
      </c>
      <c r="H98" s="7">
        <f t="shared" si="1"/>
        <v>2.363636364</v>
      </c>
      <c r="I98" s="3">
        <f>G98-iferror(VLOOKUP(B98,'OPTI Leadboard Last Week'!A:G,6,FALSE),0)</f>
        <v>0</v>
      </c>
      <c r="J98" s="3" t="str">
        <f>IF(IF(LEN(B98)=0,"",IFERROR(IF(VLOOKUP(B98,'OPTI Leadboard Last Week'!A:G,7,FALSE)-A98&gt;0,"+"&amp;VLOOKUP(B98,'OPTI Leadboard Last Week'!A:G,7,FALSE)-A98,"-"&amp;abs(VLOOKUP(B98,'OPTI Leadboard Last Week'!A:G,7,FALSE)-A98)),"NEW"))="-0","--",IF(LEN(B98)=0,"",IFERROR(IF(VLOOKUP(B98,'OPTI Leadboard Last Week'!A:G,7,FALSE)-A98&gt;0,"+"&amp;VLOOKUP(B98,'OPTI Leadboard Last Week'!A:G,7,FALSE)-A98,"-"&amp;abs(VLOOKUP(B98,'OPTI Leadboard Last Week'!A:G,7,FALSE)-A98)),"NEW")))</f>
        <v>-2</v>
      </c>
    </row>
    <row r="99">
      <c r="A99" s="5">
        <f t="shared" si="2"/>
        <v>98</v>
      </c>
      <c r="B99" s="3" t="str">
        <f>IFERROR(__xludf.DUMMYFUNCTION("""COMPUTED_VALUE"""),"Cameron Ward")</f>
        <v>Cameron Ward</v>
      </c>
      <c r="C99" s="3">
        <f>IFERROR(__xludf.DUMMYFUNCTION("""COMPUTED_VALUE"""),8.0)</f>
        <v>8</v>
      </c>
      <c r="D99" s="3"/>
      <c r="E99" s="3">
        <f>IFERROR(__xludf.DUMMYFUNCTION("""COMPUTED_VALUE"""),2.0)</f>
        <v>2</v>
      </c>
      <c r="F99" s="3">
        <f>IFERROR(__xludf.DUMMYFUNCTION("""COMPUTED_VALUE"""),0.0)</f>
        <v>0</v>
      </c>
      <c r="G99" s="3">
        <f>IFERROR(__xludf.DUMMYFUNCTION("""COMPUTED_VALUE"""),25.0)</f>
        <v>25</v>
      </c>
      <c r="H99" s="7">
        <f t="shared" si="1"/>
        <v>3.125</v>
      </c>
      <c r="I99" s="3">
        <f>G99-iferror(VLOOKUP(B99,'OPTI Leadboard Last Week'!A:G,6,FALSE),0)</f>
        <v>0</v>
      </c>
      <c r="J99" s="3" t="str">
        <f>IF(IF(LEN(B99)=0,"",IFERROR(IF(VLOOKUP(B99,'OPTI Leadboard Last Week'!A:G,7,FALSE)-A99&gt;0,"+"&amp;VLOOKUP(B99,'OPTI Leadboard Last Week'!A:G,7,FALSE)-A99,"-"&amp;abs(VLOOKUP(B99,'OPTI Leadboard Last Week'!A:G,7,FALSE)-A99)),"NEW"))="-0","--",IF(LEN(B99)=0,"",IFERROR(IF(VLOOKUP(B99,'OPTI Leadboard Last Week'!A:G,7,FALSE)-A99&gt;0,"+"&amp;VLOOKUP(B99,'OPTI Leadboard Last Week'!A:G,7,FALSE)-A99,"-"&amp;abs(VLOOKUP(B99,'OPTI Leadboard Last Week'!A:G,7,FALSE)-A99)),"NEW")))</f>
        <v>-2</v>
      </c>
    </row>
    <row r="100">
      <c r="A100" s="5">
        <f t="shared" si="2"/>
        <v>99</v>
      </c>
      <c r="B100" s="3" t="str">
        <f>IFERROR(__xludf.DUMMYFUNCTION("""COMPUTED_VALUE"""),"Matt Hope")</f>
        <v>Matt Hope</v>
      </c>
      <c r="C100" s="3">
        <f>IFERROR(__xludf.DUMMYFUNCTION("""COMPUTED_VALUE"""),10.0)</f>
        <v>10</v>
      </c>
      <c r="D100" s="3">
        <f>IFERROR(__xludf.DUMMYFUNCTION("""COMPUTED_VALUE"""),1.0)</f>
        <v>1</v>
      </c>
      <c r="E100" s="3">
        <f>IFERROR(__xludf.DUMMYFUNCTION("""COMPUTED_VALUE"""),1.0)</f>
        <v>1</v>
      </c>
      <c r="F100" s="3">
        <f>IFERROR(__xludf.DUMMYFUNCTION("""COMPUTED_VALUE"""),0.0)</f>
        <v>0</v>
      </c>
      <c r="G100" s="3">
        <f>IFERROR(__xludf.DUMMYFUNCTION("""COMPUTED_VALUE"""),25.0)</f>
        <v>25</v>
      </c>
      <c r="H100" s="7">
        <f t="shared" si="1"/>
        <v>2.5</v>
      </c>
      <c r="I100" s="3">
        <f>G100-iferror(VLOOKUP(B100,'OPTI Leadboard Last Week'!A:G,6,FALSE),0)</f>
        <v>0</v>
      </c>
      <c r="J100" s="3" t="str">
        <f>IF(IF(LEN(B100)=0,"",IFERROR(IF(VLOOKUP(B100,'OPTI Leadboard Last Week'!A:G,7,FALSE)-A100&gt;0,"+"&amp;VLOOKUP(B100,'OPTI Leadboard Last Week'!A:G,7,FALSE)-A100,"-"&amp;abs(VLOOKUP(B100,'OPTI Leadboard Last Week'!A:G,7,FALSE)-A100)),"NEW"))="-0","--",IF(LEN(B100)=0,"",IFERROR(IF(VLOOKUP(B100,'OPTI Leadboard Last Week'!A:G,7,FALSE)-A100&gt;0,"+"&amp;VLOOKUP(B100,'OPTI Leadboard Last Week'!A:G,7,FALSE)-A100,"-"&amp;abs(VLOOKUP(B100,'OPTI Leadboard Last Week'!A:G,7,FALSE)-A100)),"NEW")))</f>
        <v>-2</v>
      </c>
    </row>
    <row r="101">
      <c r="A101" s="5">
        <f t="shared" si="2"/>
        <v>100</v>
      </c>
      <c r="B101" s="3" t="str">
        <f>IFERROR(__xludf.DUMMYFUNCTION("""COMPUTED_VALUE"""),"Aidan Byrne")</f>
        <v>Aidan Byrne</v>
      </c>
      <c r="C101" s="3">
        <f>IFERROR(__xludf.DUMMYFUNCTION("""COMPUTED_VALUE"""),5.0)</f>
        <v>5</v>
      </c>
      <c r="D101" s="3">
        <f>IFERROR(__xludf.DUMMYFUNCTION("""COMPUTED_VALUE"""),1.0)</f>
        <v>1</v>
      </c>
      <c r="E101" s="3"/>
      <c r="F101" s="3">
        <f>IFERROR(__xludf.DUMMYFUNCTION("""COMPUTED_VALUE"""),0.0)</f>
        <v>0</v>
      </c>
      <c r="G101" s="3">
        <f>IFERROR(__xludf.DUMMYFUNCTION("""COMPUTED_VALUE"""),24.0)</f>
        <v>24</v>
      </c>
      <c r="H101" s="7">
        <f t="shared" si="1"/>
        <v>4.8</v>
      </c>
      <c r="I101" s="3">
        <f>G101-iferror(VLOOKUP(B101,'OPTI Leadboard Last Week'!A:G,6,FALSE),0)</f>
        <v>0</v>
      </c>
      <c r="J101" s="3" t="str">
        <f>IF(IF(LEN(B101)=0,"",IFERROR(IF(VLOOKUP(B101,'OPTI Leadboard Last Week'!A:G,7,FALSE)-A101&gt;0,"+"&amp;VLOOKUP(B101,'OPTI Leadboard Last Week'!A:G,7,FALSE)-A101,"-"&amp;abs(VLOOKUP(B101,'OPTI Leadboard Last Week'!A:G,7,FALSE)-A101)),"NEW"))="-0","--",IF(LEN(B101)=0,"",IFERROR(IF(VLOOKUP(B101,'OPTI Leadboard Last Week'!A:G,7,FALSE)-A101&gt;0,"+"&amp;VLOOKUP(B101,'OPTI Leadboard Last Week'!A:G,7,FALSE)-A101,"-"&amp;abs(VLOOKUP(B101,'OPTI Leadboard Last Week'!A:G,7,FALSE)-A101)),"NEW")))</f>
        <v>-2</v>
      </c>
    </row>
    <row r="102">
      <c r="A102" s="5">
        <f t="shared" si="2"/>
        <v>101</v>
      </c>
      <c r="B102" s="3" t="str">
        <f>IFERROR(__xludf.DUMMYFUNCTION("""COMPUTED_VALUE"""),"Alex Clark")</f>
        <v>Alex Clark</v>
      </c>
      <c r="C102" s="3">
        <f>IFERROR(__xludf.DUMMYFUNCTION("""COMPUTED_VALUE"""),7.0)</f>
        <v>7</v>
      </c>
      <c r="D102" s="3">
        <f>IFERROR(__xludf.DUMMYFUNCTION("""COMPUTED_VALUE"""),1.0)</f>
        <v>1</v>
      </c>
      <c r="E102" s="3">
        <f>IFERROR(__xludf.DUMMYFUNCTION("""COMPUTED_VALUE"""),1.0)</f>
        <v>1</v>
      </c>
      <c r="F102" s="3">
        <f>IFERROR(__xludf.DUMMYFUNCTION("""COMPUTED_VALUE"""),0.0)</f>
        <v>0</v>
      </c>
      <c r="G102" s="3">
        <f>IFERROR(__xludf.DUMMYFUNCTION("""COMPUTED_VALUE"""),24.0)</f>
        <v>24</v>
      </c>
      <c r="H102" s="7">
        <f t="shared" si="1"/>
        <v>3.428571429</v>
      </c>
      <c r="I102" s="3">
        <f>G102-iferror(VLOOKUP(B102,'OPTI Leadboard Last Week'!A:G,6,FALSE),0)</f>
        <v>0</v>
      </c>
      <c r="J102" s="3" t="str">
        <f>IF(IF(LEN(B102)=0,"",IFERROR(IF(VLOOKUP(B102,'OPTI Leadboard Last Week'!A:G,7,FALSE)-A102&gt;0,"+"&amp;VLOOKUP(B102,'OPTI Leadboard Last Week'!A:G,7,FALSE)-A102,"-"&amp;abs(VLOOKUP(B102,'OPTI Leadboard Last Week'!A:G,7,FALSE)-A102)),"NEW"))="-0","--",IF(LEN(B102)=0,"",IFERROR(IF(VLOOKUP(B102,'OPTI Leadboard Last Week'!A:G,7,FALSE)-A102&gt;0,"+"&amp;VLOOKUP(B102,'OPTI Leadboard Last Week'!A:G,7,FALSE)-A102,"-"&amp;abs(VLOOKUP(B102,'OPTI Leadboard Last Week'!A:G,7,FALSE)-A102)),"NEW")))</f>
        <v>-2</v>
      </c>
    </row>
    <row r="103">
      <c r="A103" s="5">
        <f t="shared" si="2"/>
        <v>102</v>
      </c>
      <c r="B103" s="3" t="str">
        <f>IFERROR(__xludf.DUMMYFUNCTION("""COMPUTED_VALUE"""),"Dan Klin")</f>
        <v>Dan Klin</v>
      </c>
      <c r="C103" s="3">
        <f>IFERROR(__xludf.DUMMYFUNCTION("""COMPUTED_VALUE"""),7.0)</f>
        <v>7</v>
      </c>
      <c r="D103" s="3">
        <f>IFERROR(__xludf.DUMMYFUNCTION("""COMPUTED_VALUE"""),3.0)</f>
        <v>3</v>
      </c>
      <c r="E103" s="3"/>
      <c r="F103" s="3">
        <f>IFERROR(__xludf.DUMMYFUNCTION("""COMPUTED_VALUE"""),1.0)</f>
        <v>1</v>
      </c>
      <c r="G103" s="3">
        <f>IFERROR(__xludf.DUMMYFUNCTION("""COMPUTED_VALUE"""),24.0)</f>
        <v>24</v>
      </c>
      <c r="H103" s="7">
        <f t="shared" si="1"/>
        <v>3.428571429</v>
      </c>
      <c r="I103" s="3">
        <f>G103-iferror(VLOOKUP(B103,'OPTI Leadboard Last Week'!A:G,6,FALSE),0)</f>
        <v>6</v>
      </c>
      <c r="J103" s="3" t="str">
        <f>IF(IF(LEN(B103)=0,"",IFERROR(IF(VLOOKUP(B103,'OPTI Leadboard Last Week'!A:G,7,FALSE)-A103&gt;0,"+"&amp;VLOOKUP(B103,'OPTI Leadboard Last Week'!A:G,7,FALSE)-A103,"-"&amp;abs(VLOOKUP(B103,'OPTI Leadboard Last Week'!A:G,7,FALSE)-A103)),"NEW"))="-0","--",IF(LEN(B103)=0,"",IFERROR(IF(VLOOKUP(B103,'OPTI Leadboard Last Week'!A:G,7,FALSE)-A103&gt;0,"+"&amp;VLOOKUP(B103,'OPTI Leadboard Last Week'!A:G,7,FALSE)-A103,"-"&amp;abs(VLOOKUP(B103,'OPTI Leadboard Last Week'!A:G,7,FALSE)-A103)),"NEW")))</f>
        <v>+15</v>
      </c>
    </row>
    <row r="104">
      <c r="A104" s="5">
        <f t="shared" si="2"/>
        <v>103</v>
      </c>
      <c r="B104" s="3" t="str">
        <f>IFERROR(__xludf.DUMMYFUNCTION("""COMPUTED_VALUE"""),"Ewan Harris")</f>
        <v>Ewan Harris</v>
      </c>
      <c r="C104" s="3">
        <f>IFERROR(__xludf.DUMMYFUNCTION("""COMPUTED_VALUE"""),7.0)</f>
        <v>7</v>
      </c>
      <c r="D104" s="3">
        <f>IFERROR(__xludf.DUMMYFUNCTION("""COMPUTED_VALUE"""),2.0)</f>
        <v>2</v>
      </c>
      <c r="E104" s="3"/>
      <c r="F104" s="3">
        <f>IFERROR(__xludf.DUMMYFUNCTION("""COMPUTED_VALUE"""),0.0)</f>
        <v>0</v>
      </c>
      <c r="G104" s="3">
        <f>IFERROR(__xludf.DUMMYFUNCTION("""COMPUTED_VALUE"""),24.0)</f>
        <v>24</v>
      </c>
      <c r="H104" s="7">
        <f t="shared" si="1"/>
        <v>3.428571429</v>
      </c>
      <c r="I104" s="3">
        <f>G104-iferror(VLOOKUP(B104,'OPTI Leadboard Last Week'!A:G,6,FALSE),0)</f>
        <v>2</v>
      </c>
      <c r="J104" s="3" t="str">
        <f>IF(IF(LEN(B104)=0,"",IFERROR(IF(VLOOKUP(B104,'OPTI Leadboard Last Week'!A:G,7,FALSE)-A104&gt;0,"+"&amp;VLOOKUP(B104,'OPTI Leadboard Last Week'!A:G,7,FALSE)-A104,"-"&amp;abs(VLOOKUP(B104,'OPTI Leadboard Last Week'!A:G,7,FALSE)-A104)),"NEW"))="-0","--",IF(LEN(B104)=0,"",IFERROR(IF(VLOOKUP(B104,'OPTI Leadboard Last Week'!A:G,7,FALSE)-A104&gt;0,"+"&amp;VLOOKUP(B104,'OPTI Leadboard Last Week'!A:G,7,FALSE)-A104,"-"&amp;abs(VLOOKUP(B104,'OPTI Leadboard Last Week'!A:G,7,FALSE)-A104)),"NEW")))</f>
        <v>+1</v>
      </c>
    </row>
    <row r="105">
      <c r="A105" s="5">
        <f t="shared" si="2"/>
        <v>104</v>
      </c>
      <c r="B105" s="3" t="str">
        <f>IFERROR(__xludf.DUMMYFUNCTION("""COMPUTED_VALUE"""),"James Timmins")</f>
        <v>James Timmins</v>
      </c>
      <c r="C105" s="3">
        <f>IFERROR(__xludf.DUMMYFUNCTION("""COMPUTED_VALUE"""),10.0)</f>
        <v>10</v>
      </c>
      <c r="D105" s="3"/>
      <c r="E105" s="3">
        <f>IFERROR(__xludf.DUMMYFUNCTION("""COMPUTED_VALUE"""),1.0)</f>
        <v>1</v>
      </c>
      <c r="F105" s="3">
        <f>IFERROR(__xludf.DUMMYFUNCTION("""COMPUTED_VALUE"""),1.0)</f>
        <v>1</v>
      </c>
      <c r="G105" s="3">
        <f>IFERROR(__xludf.DUMMYFUNCTION("""COMPUTED_VALUE"""),24.0)</f>
        <v>24</v>
      </c>
      <c r="H105" s="7">
        <f t="shared" si="1"/>
        <v>2.4</v>
      </c>
      <c r="I105" s="3">
        <f>G105-iferror(VLOOKUP(B105,'OPTI Leadboard Last Week'!A:G,6,FALSE),0)</f>
        <v>2</v>
      </c>
      <c r="J105" s="3" t="str">
        <f>IF(IF(LEN(B105)=0,"",IFERROR(IF(VLOOKUP(B105,'OPTI Leadboard Last Week'!A:G,7,FALSE)-A105&gt;0,"+"&amp;VLOOKUP(B105,'OPTI Leadboard Last Week'!A:G,7,FALSE)-A105,"-"&amp;abs(VLOOKUP(B105,'OPTI Leadboard Last Week'!A:G,7,FALSE)-A105)),"NEW"))="-0","--",IF(LEN(B105)=0,"",IFERROR(IF(VLOOKUP(B105,'OPTI Leadboard Last Week'!A:G,7,FALSE)-A105&gt;0,"+"&amp;VLOOKUP(B105,'OPTI Leadboard Last Week'!A:G,7,FALSE)-A105,"-"&amp;abs(VLOOKUP(B105,'OPTI Leadboard Last Week'!A:G,7,FALSE)-A105)),"NEW")))</f>
        <v>+1</v>
      </c>
    </row>
    <row r="106">
      <c r="A106" s="5">
        <f t="shared" si="2"/>
        <v>105</v>
      </c>
      <c r="B106" s="3" t="str">
        <f>IFERROR(__xludf.DUMMYFUNCTION("""COMPUTED_VALUE"""),"Pierce Bennett")</f>
        <v>Pierce Bennett</v>
      </c>
      <c r="C106" s="3">
        <f>IFERROR(__xludf.DUMMYFUNCTION("""COMPUTED_VALUE"""),4.0)</f>
        <v>4</v>
      </c>
      <c r="D106" s="3">
        <f>IFERROR(__xludf.DUMMYFUNCTION("""COMPUTED_VALUE"""),3.0)</f>
        <v>3</v>
      </c>
      <c r="E106" s="3">
        <f>IFERROR(__xludf.DUMMYFUNCTION("""COMPUTED_VALUE"""),1.0)</f>
        <v>1</v>
      </c>
      <c r="F106" s="3">
        <f>IFERROR(__xludf.DUMMYFUNCTION("""COMPUTED_VALUE"""),2.0)</f>
        <v>2</v>
      </c>
      <c r="G106" s="3">
        <f>IFERROR(__xludf.DUMMYFUNCTION("""COMPUTED_VALUE"""),24.0)</f>
        <v>24</v>
      </c>
      <c r="H106" s="7">
        <f t="shared" si="1"/>
        <v>6</v>
      </c>
      <c r="I106" s="3">
        <f>G106-iferror(VLOOKUP(B106,'OPTI Leadboard Last Week'!A:G,6,FALSE),0)</f>
        <v>0</v>
      </c>
      <c r="J106" s="3" t="str">
        <f>IF(IF(LEN(B106)=0,"",IFERROR(IF(VLOOKUP(B106,'OPTI Leadboard Last Week'!A:G,7,FALSE)-A106&gt;0,"+"&amp;VLOOKUP(B106,'OPTI Leadboard Last Week'!A:G,7,FALSE)-A106,"-"&amp;abs(VLOOKUP(B106,'OPTI Leadboard Last Week'!A:G,7,FALSE)-A106)),"NEW"))="-0","--",IF(LEN(B106)=0,"",IFERROR(IF(VLOOKUP(B106,'OPTI Leadboard Last Week'!A:G,7,FALSE)-A106&gt;0,"+"&amp;VLOOKUP(B106,'OPTI Leadboard Last Week'!A:G,7,FALSE)-A106,"-"&amp;abs(VLOOKUP(B106,'OPTI Leadboard Last Week'!A:G,7,FALSE)-A106)),"NEW")))</f>
        <v>-4</v>
      </c>
    </row>
    <row r="107">
      <c r="A107" s="5">
        <f t="shared" si="2"/>
        <v>106</v>
      </c>
      <c r="B107" s="3" t="str">
        <f>IFERROR(__xludf.DUMMYFUNCTION("""COMPUTED_VALUE"""),"Ste Calder")</f>
        <v>Ste Calder</v>
      </c>
      <c r="C107" s="3">
        <f>IFERROR(__xludf.DUMMYFUNCTION("""COMPUTED_VALUE"""),4.0)</f>
        <v>4</v>
      </c>
      <c r="D107" s="3">
        <f>IFERROR(__xludf.DUMMYFUNCTION("""COMPUTED_VALUE"""),2.0)</f>
        <v>2</v>
      </c>
      <c r="E107" s="3">
        <f>IFERROR(__xludf.DUMMYFUNCTION("""COMPUTED_VALUE"""),2.0)</f>
        <v>2</v>
      </c>
      <c r="F107" s="3">
        <f>IFERROR(__xludf.DUMMYFUNCTION("""COMPUTED_VALUE"""),0.0)</f>
        <v>0</v>
      </c>
      <c r="G107" s="3">
        <f>IFERROR(__xludf.DUMMYFUNCTION("""COMPUTED_VALUE"""),24.0)</f>
        <v>24</v>
      </c>
      <c r="H107" s="7">
        <f t="shared" si="1"/>
        <v>6</v>
      </c>
      <c r="I107" s="3">
        <f>G107-iferror(VLOOKUP(B107,'OPTI Leadboard Last Week'!A:G,6,FALSE),0)</f>
        <v>0</v>
      </c>
      <c r="J107" s="3" t="str">
        <f>IF(IF(LEN(B107)=0,"",IFERROR(IF(VLOOKUP(B107,'OPTI Leadboard Last Week'!A:G,7,FALSE)-A107&gt;0,"+"&amp;VLOOKUP(B107,'OPTI Leadboard Last Week'!A:G,7,FALSE)-A107,"-"&amp;abs(VLOOKUP(B107,'OPTI Leadboard Last Week'!A:G,7,FALSE)-A107)),"NEW"))="-0","--",IF(LEN(B107)=0,"",IFERROR(IF(VLOOKUP(B107,'OPTI Leadboard Last Week'!A:G,7,FALSE)-A107&gt;0,"+"&amp;VLOOKUP(B107,'OPTI Leadboard Last Week'!A:G,7,FALSE)-A107,"-"&amp;abs(VLOOKUP(B107,'OPTI Leadboard Last Week'!A:G,7,FALSE)-A107)),"NEW")))</f>
        <v>-4</v>
      </c>
    </row>
    <row r="108">
      <c r="A108" s="5">
        <f t="shared" si="2"/>
        <v>107</v>
      </c>
      <c r="B108" s="3" t="str">
        <f>IFERROR(__xludf.DUMMYFUNCTION("""COMPUTED_VALUE"""),"Micah Pinnock")</f>
        <v>Micah Pinnock</v>
      </c>
      <c r="C108" s="3">
        <f>IFERROR(__xludf.DUMMYFUNCTION("""COMPUTED_VALUE"""),5.0)</f>
        <v>5</v>
      </c>
      <c r="D108" s="3">
        <f>IFERROR(__xludf.DUMMYFUNCTION("""COMPUTED_VALUE"""),1.0)</f>
        <v>1</v>
      </c>
      <c r="E108" s="3">
        <f>IFERROR(__xludf.DUMMYFUNCTION("""COMPUTED_VALUE"""),3.0)</f>
        <v>3</v>
      </c>
      <c r="F108" s="3">
        <f>IFERROR(__xludf.DUMMYFUNCTION("""COMPUTED_VALUE"""),0.0)</f>
        <v>0</v>
      </c>
      <c r="G108" s="3">
        <f>IFERROR(__xludf.DUMMYFUNCTION("""COMPUTED_VALUE"""),22.0)</f>
        <v>22</v>
      </c>
      <c r="H108" s="7">
        <f t="shared" si="1"/>
        <v>4.4</v>
      </c>
      <c r="I108" s="3">
        <f>G108-iferror(VLOOKUP(B108,'OPTI Leadboard Last Week'!A:G,6,FALSE),0)</f>
        <v>0</v>
      </c>
      <c r="J108" s="3" t="str">
        <f>IF(IF(LEN(B108)=0,"",IFERROR(IF(VLOOKUP(B108,'OPTI Leadboard Last Week'!A:G,7,FALSE)-A108&gt;0,"+"&amp;VLOOKUP(B108,'OPTI Leadboard Last Week'!A:G,7,FALSE)-A108,"-"&amp;abs(VLOOKUP(B108,'OPTI Leadboard Last Week'!A:G,7,FALSE)-A108)),"NEW"))="-0","--",IF(LEN(B108)=0,"",IFERROR(IF(VLOOKUP(B108,'OPTI Leadboard Last Week'!A:G,7,FALSE)-A108&gt;0,"+"&amp;VLOOKUP(B108,'OPTI Leadboard Last Week'!A:G,7,FALSE)-A108,"-"&amp;abs(VLOOKUP(B108,'OPTI Leadboard Last Week'!A:G,7,FALSE)-A108)),"NEW")))</f>
        <v>-1</v>
      </c>
    </row>
    <row r="109">
      <c r="A109" s="5">
        <f t="shared" si="2"/>
        <v>108</v>
      </c>
      <c r="B109" s="3" t="str">
        <f>IFERROR(__xludf.DUMMYFUNCTION("""COMPUTED_VALUE"""),"Peter Green")</f>
        <v>Peter Green</v>
      </c>
      <c r="C109" s="3">
        <f>IFERROR(__xludf.DUMMYFUNCTION("""COMPUTED_VALUE"""),11.0)</f>
        <v>11</v>
      </c>
      <c r="D109" s="3"/>
      <c r="E109" s="3"/>
      <c r="F109" s="3">
        <f>IFERROR(__xludf.DUMMYFUNCTION("""COMPUTED_VALUE"""),0.0)</f>
        <v>0</v>
      </c>
      <c r="G109" s="3">
        <f>IFERROR(__xludf.DUMMYFUNCTION("""COMPUTED_VALUE"""),22.0)</f>
        <v>22</v>
      </c>
      <c r="H109" s="7">
        <f t="shared" si="1"/>
        <v>2</v>
      </c>
      <c r="I109" s="3">
        <f>G109-iferror(VLOOKUP(B109,'OPTI Leadboard Last Week'!A:G,6,FALSE),0)</f>
        <v>0</v>
      </c>
      <c r="J109" s="3" t="str">
        <f>IF(IF(LEN(B109)=0,"",IFERROR(IF(VLOOKUP(B109,'OPTI Leadboard Last Week'!A:G,7,FALSE)-A109&gt;0,"+"&amp;VLOOKUP(B109,'OPTI Leadboard Last Week'!A:G,7,FALSE)-A109,"-"&amp;abs(VLOOKUP(B109,'OPTI Leadboard Last Week'!A:G,7,FALSE)-A109)),"NEW"))="-0","--",IF(LEN(B109)=0,"",IFERROR(IF(VLOOKUP(B109,'OPTI Leadboard Last Week'!A:G,7,FALSE)-A109&gt;0,"+"&amp;VLOOKUP(B109,'OPTI Leadboard Last Week'!A:G,7,FALSE)-A109,"-"&amp;abs(VLOOKUP(B109,'OPTI Leadboard Last Week'!A:G,7,FALSE)-A109)),"NEW")))</f>
        <v>-1</v>
      </c>
    </row>
    <row r="110">
      <c r="A110" s="5">
        <f t="shared" si="2"/>
        <v>109</v>
      </c>
      <c r="B110" s="3" t="str">
        <f>IFERROR(__xludf.DUMMYFUNCTION("""COMPUTED_VALUE"""),"Afnan Khan")</f>
        <v>Afnan Khan</v>
      </c>
      <c r="C110" s="3">
        <f>IFERROR(__xludf.DUMMYFUNCTION("""COMPUTED_VALUE"""),8.0)</f>
        <v>8</v>
      </c>
      <c r="D110" s="3">
        <f>IFERROR(__xludf.DUMMYFUNCTION("""COMPUTED_VALUE"""),1.0)</f>
        <v>1</v>
      </c>
      <c r="E110" s="3"/>
      <c r="F110" s="3">
        <f>IFERROR(__xludf.DUMMYFUNCTION("""COMPUTED_VALUE"""),0.0)</f>
        <v>0</v>
      </c>
      <c r="G110" s="3">
        <f>IFERROR(__xludf.DUMMYFUNCTION("""COMPUTED_VALUE"""),21.0)</f>
        <v>21</v>
      </c>
      <c r="H110" s="7">
        <f t="shared" si="1"/>
        <v>2.625</v>
      </c>
      <c r="I110" s="3">
        <f>G110-iferror(VLOOKUP(B110,'OPTI Leadboard Last Week'!A:G,6,FALSE),0)</f>
        <v>0</v>
      </c>
      <c r="J110" s="3" t="str">
        <f>IF(IF(LEN(B110)=0,"",IFERROR(IF(VLOOKUP(B110,'OPTI Leadboard Last Week'!A:G,7,FALSE)-A110&gt;0,"+"&amp;VLOOKUP(B110,'OPTI Leadboard Last Week'!A:G,7,FALSE)-A110,"-"&amp;abs(VLOOKUP(B110,'OPTI Leadboard Last Week'!A:G,7,FALSE)-A110)),"NEW"))="-0","--",IF(LEN(B110)=0,"",IFERROR(IF(VLOOKUP(B110,'OPTI Leadboard Last Week'!A:G,7,FALSE)-A110&gt;0,"+"&amp;VLOOKUP(B110,'OPTI Leadboard Last Week'!A:G,7,FALSE)-A110,"-"&amp;abs(VLOOKUP(B110,'OPTI Leadboard Last Week'!A:G,7,FALSE)-A110)),"NEW")))</f>
        <v>-1</v>
      </c>
    </row>
    <row r="111">
      <c r="A111" s="5">
        <f t="shared" si="2"/>
        <v>110</v>
      </c>
      <c r="B111" s="3" t="str">
        <f>IFERROR(__xludf.DUMMYFUNCTION("""COMPUTED_VALUE"""),"Jerome Goncalves")</f>
        <v>Jerome Goncalves</v>
      </c>
      <c r="C111" s="3">
        <f>IFERROR(__xludf.DUMMYFUNCTION("""COMPUTED_VALUE"""),7.0)</f>
        <v>7</v>
      </c>
      <c r="D111" s="3">
        <f>IFERROR(__xludf.DUMMYFUNCTION("""COMPUTED_VALUE"""),1.0)</f>
        <v>1</v>
      </c>
      <c r="E111" s="3">
        <f>IFERROR(__xludf.DUMMYFUNCTION("""COMPUTED_VALUE"""),1.0)</f>
        <v>1</v>
      </c>
      <c r="F111" s="3">
        <f>IFERROR(__xludf.DUMMYFUNCTION("""COMPUTED_VALUE"""),0.0)</f>
        <v>0</v>
      </c>
      <c r="G111" s="3">
        <f>IFERROR(__xludf.DUMMYFUNCTION("""COMPUTED_VALUE"""),21.0)</f>
        <v>21</v>
      </c>
      <c r="H111" s="7">
        <f t="shared" si="1"/>
        <v>3</v>
      </c>
      <c r="I111" s="3">
        <f>G111-iferror(VLOOKUP(B111,'OPTI Leadboard Last Week'!A:G,6,FALSE),0)</f>
        <v>2</v>
      </c>
      <c r="J111" s="3" t="str">
        <f>IF(IF(LEN(B111)=0,"",IFERROR(IF(VLOOKUP(B111,'OPTI Leadboard Last Week'!A:G,7,FALSE)-A111&gt;0,"+"&amp;VLOOKUP(B111,'OPTI Leadboard Last Week'!A:G,7,FALSE)-A111,"-"&amp;abs(VLOOKUP(B111,'OPTI Leadboard Last Week'!A:G,7,FALSE)-A111)),"NEW"))="-0","--",IF(LEN(B111)=0,"",IFERROR(IF(VLOOKUP(B111,'OPTI Leadboard Last Week'!A:G,7,FALSE)-A111&gt;0,"+"&amp;VLOOKUP(B111,'OPTI Leadboard Last Week'!A:G,7,FALSE)-A111,"-"&amp;abs(VLOOKUP(B111,'OPTI Leadboard Last Week'!A:G,7,FALSE)-A111)),"NEW")))</f>
        <v>+4</v>
      </c>
    </row>
    <row r="112">
      <c r="A112" s="5">
        <f t="shared" si="2"/>
        <v>111</v>
      </c>
      <c r="B112" s="3" t="str">
        <f>IFERROR(__xludf.DUMMYFUNCTION("""COMPUTED_VALUE"""),"Lewis Anderson")</f>
        <v>Lewis Anderson</v>
      </c>
      <c r="C112" s="3">
        <f>IFERROR(__xludf.DUMMYFUNCTION("""COMPUTED_VALUE"""),5.0)</f>
        <v>5</v>
      </c>
      <c r="D112" s="3"/>
      <c r="E112" s="3">
        <f>IFERROR(__xludf.DUMMYFUNCTION("""COMPUTED_VALUE"""),2.0)</f>
        <v>2</v>
      </c>
      <c r="F112" s="3">
        <f>IFERROR(__xludf.DUMMYFUNCTION("""COMPUTED_VALUE"""),0.0)</f>
        <v>0</v>
      </c>
      <c r="G112" s="3">
        <f>IFERROR(__xludf.DUMMYFUNCTION("""COMPUTED_VALUE"""),21.0)</f>
        <v>21</v>
      </c>
      <c r="H112" s="7">
        <f t="shared" si="1"/>
        <v>4.2</v>
      </c>
      <c r="I112" s="3">
        <f>G112-iferror(VLOOKUP(B112,'OPTI Leadboard Last Week'!A:G,6,FALSE),0)</f>
        <v>0</v>
      </c>
      <c r="J112" s="3" t="str">
        <f>IF(IF(LEN(B112)=0,"",IFERROR(IF(VLOOKUP(B112,'OPTI Leadboard Last Week'!A:G,7,FALSE)-A112&gt;0,"+"&amp;VLOOKUP(B112,'OPTI Leadboard Last Week'!A:G,7,FALSE)-A112,"-"&amp;abs(VLOOKUP(B112,'OPTI Leadboard Last Week'!A:G,7,FALSE)-A112)),"NEW"))="-0","--",IF(LEN(B112)=0,"",IFERROR(IF(VLOOKUP(B112,'OPTI Leadboard Last Week'!A:G,7,FALSE)-A112&gt;0,"+"&amp;VLOOKUP(B112,'OPTI Leadboard Last Week'!A:G,7,FALSE)-A112,"-"&amp;abs(VLOOKUP(B112,'OPTI Leadboard Last Week'!A:G,7,FALSE)-A112)),"NEW")))</f>
        <v>-2</v>
      </c>
    </row>
    <row r="113">
      <c r="A113" s="5">
        <f t="shared" si="2"/>
        <v>112</v>
      </c>
      <c r="B113" s="3" t="str">
        <f>IFERROR(__xludf.DUMMYFUNCTION("""COMPUTED_VALUE"""),"Niall Wootten")</f>
        <v>Niall Wootten</v>
      </c>
      <c r="C113" s="3">
        <f>IFERROR(__xludf.DUMMYFUNCTION("""COMPUTED_VALUE"""),7.0)</f>
        <v>7</v>
      </c>
      <c r="D113" s="3"/>
      <c r="E113" s="3"/>
      <c r="F113" s="3">
        <f>IFERROR(__xludf.DUMMYFUNCTION("""COMPUTED_VALUE"""),1.0)</f>
        <v>1</v>
      </c>
      <c r="G113" s="3">
        <f>IFERROR(__xludf.DUMMYFUNCTION("""COMPUTED_VALUE"""),21.0)</f>
        <v>21</v>
      </c>
      <c r="H113" s="7">
        <f t="shared" si="1"/>
        <v>3</v>
      </c>
      <c r="I113" s="3">
        <f>G113-iferror(VLOOKUP(B113,'OPTI Leadboard Last Week'!A:G,6,FALSE),0)</f>
        <v>2</v>
      </c>
      <c r="J113" s="3" t="str">
        <f>IF(IF(LEN(B113)=0,"",IFERROR(IF(VLOOKUP(B113,'OPTI Leadboard Last Week'!A:G,7,FALSE)-A113&gt;0,"+"&amp;VLOOKUP(B113,'OPTI Leadboard Last Week'!A:G,7,FALSE)-A113,"-"&amp;abs(VLOOKUP(B113,'OPTI Leadboard Last Week'!A:G,7,FALSE)-A113)),"NEW"))="-0","--",IF(LEN(B113)=0,"",IFERROR(IF(VLOOKUP(B113,'OPTI Leadboard Last Week'!A:G,7,FALSE)-A113&gt;0,"+"&amp;VLOOKUP(B113,'OPTI Leadboard Last Week'!A:G,7,FALSE)-A113,"-"&amp;abs(VLOOKUP(B113,'OPTI Leadboard Last Week'!A:G,7,FALSE)-A113)),"NEW")))</f>
        <v>+3</v>
      </c>
    </row>
    <row r="114">
      <c r="A114" s="5">
        <f t="shared" si="2"/>
        <v>113</v>
      </c>
      <c r="B114" s="3" t="str">
        <f>IFERROR(__xludf.DUMMYFUNCTION("""COMPUTED_VALUE"""),"Oliver Golzari")</f>
        <v>Oliver Golzari</v>
      </c>
      <c r="C114" s="3">
        <f>IFERROR(__xludf.DUMMYFUNCTION("""COMPUTED_VALUE"""),5.0)</f>
        <v>5</v>
      </c>
      <c r="D114" s="3">
        <f>IFERROR(__xludf.DUMMYFUNCTION("""COMPUTED_VALUE"""),3.0)</f>
        <v>3</v>
      </c>
      <c r="E114" s="3"/>
      <c r="F114" s="3">
        <f>IFERROR(__xludf.DUMMYFUNCTION("""COMPUTED_VALUE"""),0.0)</f>
        <v>0</v>
      </c>
      <c r="G114" s="3">
        <f>IFERROR(__xludf.DUMMYFUNCTION("""COMPUTED_VALUE"""),21.0)</f>
        <v>21</v>
      </c>
      <c r="H114" s="7">
        <f t="shared" si="1"/>
        <v>4.2</v>
      </c>
      <c r="I114" s="3">
        <f>G114-iferror(VLOOKUP(B114,'OPTI Leadboard Last Week'!A:G,6,FALSE),0)</f>
        <v>0</v>
      </c>
      <c r="J114" s="3" t="str">
        <f>IF(IF(LEN(B114)=0,"",IFERROR(IF(VLOOKUP(B114,'OPTI Leadboard Last Week'!A:G,7,FALSE)-A114&gt;0,"+"&amp;VLOOKUP(B114,'OPTI Leadboard Last Week'!A:G,7,FALSE)-A114,"-"&amp;abs(VLOOKUP(B114,'OPTI Leadboard Last Week'!A:G,7,FALSE)-A114)),"NEW"))="-0","--",IF(LEN(B114)=0,"",IFERROR(IF(VLOOKUP(B114,'OPTI Leadboard Last Week'!A:G,7,FALSE)-A114&gt;0,"+"&amp;VLOOKUP(B114,'OPTI Leadboard Last Week'!A:G,7,FALSE)-A114,"-"&amp;abs(VLOOKUP(B114,'OPTI Leadboard Last Week'!A:G,7,FALSE)-A114)),"NEW")))</f>
        <v>-3</v>
      </c>
    </row>
    <row r="115">
      <c r="A115" s="5">
        <f t="shared" si="2"/>
        <v>114</v>
      </c>
      <c r="B115" s="3" t="str">
        <f>IFERROR(__xludf.DUMMYFUNCTION("""COMPUTED_VALUE"""),"Jason Nwakaeze")</f>
        <v>Jason Nwakaeze</v>
      </c>
      <c r="C115" s="3">
        <f>IFERROR(__xludf.DUMMYFUNCTION("""COMPUTED_VALUE"""),6.0)</f>
        <v>6</v>
      </c>
      <c r="D115" s="3">
        <f>IFERROR(__xludf.DUMMYFUNCTION("""COMPUTED_VALUE"""),2.0)</f>
        <v>2</v>
      </c>
      <c r="E115" s="3"/>
      <c r="F115" s="3">
        <f>IFERROR(__xludf.DUMMYFUNCTION("""COMPUTED_VALUE"""),0.0)</f>
        <v>0</v>
      </c>
      <c r="G115" s="3">
        <f>IFERROR(__xludf.DUMMYFUNCTION("""COMPUTED_VALUE"""),20.0)</f>
        <v>20</v>
      </c>
      <c r="H115" s="7">
        <f t="shared" si="1"/>
        <v>3.333333333</v>
      </c>
      <c r="I115" s="3">
        <f>G115-iferror(VLOOKUP(B115,'OPTI Leadboard Last Week'!A:G,6,FALSE),0)</f>
        <v>0</v>
      </c>
      <c r="J115" s="3" t="str">
        <f>IF(IF(LEN(B115)=0,"",IFERROR(IF(VLOOKUP(B115,'OPTI Leadboard Last Week'!A:G,7,FALSE)-A115&gt;0,"+"&amp;VLOOKUP(B115,'OPTI Leadboard Last Week'!A:G,7,FALSE)-A115,"-"&amp;abs(VLOOKUP(B115,'OPTI Leadboard Last Week'!A:G,7,FALSE)-A115)),"NEW"))="-0","--",IF(LEN(B115)=0,"",IFERROR(IF(VLOOKUP(B115,'OPTI Leadboard Last Week'!A:G,7,FALSE)-A115&gt;0,"+"&amp;VLOOKUP(B115,'OPTI Leadboard Last Week'!A:G,7,FALSE)-A115,"-"&amp;abs(VLOOKUP(B115,'OPTI Leadboard Last Week'!A:G,7,FALSE)-A115)),"NEW")))</f>
        <v>-3</v>
      </c>
    </row>
    <row r="116">
      <c r="A116" s="5">
        <f t="shared" si="2"/>
        <v>115</v>
      </c>
      <c r="B116" s="3" t="str">
        <f>IFERROR(__xludf.DUMMYFUNCTION("""COMPUTED_VALUE"""),"Tom Davidson")</f>
        <v>Tom Davidson</v>
      </c>
      <c r="C116" s="3">
        <f>IFERROR(__xludf.DUMMYFUNCTION("""COMPUTED_VALUE"""),8.0)</f>
        <v>8</v>
      </c>
      <c r="D116" s="3"/>
      <c r="E116" s="3"/>
      <c r="F116" s="3">
        <f>IFERROR(__xludf.DUMMYFUNCTION("""COMPUTED_VALUE"""),0.0)</f>
        <v>0</v>
      </c>
      <c r="G116" s="3">
        <f>IFERROR(__xludf.DUMMYFUNCTION("""COMPUTED_VALUE"""),20.0)</f>
        <v>20</v>
      </c>
      <c r="H116" s="7">
        <f t="shared" si="1"/>
        <v>2.5</v>
      </c>
      <c r="I116" s="3">
        <f>G116-iferror(VLOOKUP(B116,'OPTI Leadboard Last Week'!A:G,6,FALSE),0)</f>
        <v>0</v>
      </c>
      <c r="J116" s="3" t="str">
        <f>IF(IF(LEN(B116)=0,"",IFERROR(IF(VLOOKUP(B116,'OPTI Leadboard Last Week'!A:G,7,FALSE)-A116&gt;0,"+"&amp;VLOOKUP(B116,'OPTI Leadboard Last Week'!A:G,7,FALSE)-A116,"-"&amp;abs(VLOOKUP(B116,'OPTI Leadboard Last Week'!A:G,7,FALSE)-A116)),"NEW"))="-0","--",IF(LEN(B116)=0,"",IFERROR(IF(VLOOKUP(B116,'OPTI Leadboard Last Week'!A:G,7,FALSE)-A116&gt;0,"+"&amp;VLOOKUP(B116,'OPTI Leadboard Last Week'!A:G,7,FALSE)-A116,"-"&amp;abs(VLOOKUP(B116,'OPTI Leadboard Last Week'!A:G,7,FALSE)-A116)),"NEW")))</f>
        <v>-3</v>
      </c>
    </row>
    <row r="117">
      <c r="A117" s="5">
        <f t="shared" si="2"/>
        <v>116</v>
      </c>
      <c r="B117" s="3" t="str">
        <f>IFERROR(__xludf.DUMMYFUNCTION("""COMPUTED_VALUE"""),"Abz Marfa")</f>
        <v>Abz Marfa</v>
      </c>
      <c r="C117" s="3">
        <f>IFERROR(__xludf.DUMMYFUNCTION("""COMPUTED_VALUE"""),6.0)</f>
        <v>6</v>
      </c>
      <c r="D117" s="3">
        <f>IFERROR(__xludf.DUMMYFUNCTION("""COMPUTED_VALUE"""),1.0)</f>
        <v>1</v>
      </c>
      <c r="E117" s="3">
        <f>IFERROR(__xludf.DUMMYFUNCTION("""COMPUTED_VALUE"""),1.0)</f>
        <v>1</v>
      </c>
      <c r="F117" s="3">
        <f>IFERROR(__xludf.DUMMYFUNCTION("""COMPUTED_VALUE"""),0.0)</f>
        <v>0</v>
      </c>
      <c r="G117" s="3">
        <f>IFERROR(__xludf.DUMMYFUNCTION("""COMPUTED_VALUE"""),19.0)</f>
        <v>19</v>
      </c>
      <c r="H117" s="7">
        <f t="shared" si="1"/>
        <v>3.166666667</v>
      </c>
      <c r="I117" s="3">
        <f>G117-iferror(VLOOKUP(B117,'OPTI Leadboard Last Week'!A:G,6,FALSE),0)</f>
        <v>0</v>
      </c>
      <c r="J117" s="3" t="str">
        <f>IF(IF(LEN(B117)=0,"",IFERROR(IF(VLOOKUP(B117,'OPTI Leadboard Last Week'!A:G,7,FALSE)-A117&gt;0,"+"&amp;VLOOKUP(B117,'OPTI Leadboard Last Week'!A:G,7,FALSE)-A117,"-"&amp;abs(VLOOKUP(B117,'OPTI Leadboard Last Week'!A:G,7,FALSE)-A117)),"NEW"))="-0","--",IF(LEN(B117)=0,"",IFERROR(IF(VLOOKUP(B117,'OPTI Leadboard Last Week'!A:G,7,FALSE)-A117&gt;0,"+"&amp;VLOOKUP(B117,'OPTI Leadboard Last Week'!A:G,7,FALSE)-A117,"-"&amp;abs(VLOOKUP(B117,'OPTI Leadboard Last Week'!A:G,7,FALSE)-A117)),"NEW")))</f>
        <v>-3</v>
      </c>
    </row>
    <row r="118">
      <c r="A118" s="5">
        <f t="shared" si="2"/>
        <v>117</v>
      </c>
      <c r="B118" s="3" t="str">
        <f>IFERROR(__xludf.DUMMYFUNCTION("""COMPUTED_VALUE"""),"Ash Mayers")</f>
        <v>Ash Mayers</v>
      </c>
      <c r="C118" s="3">
        <f>IFERROR(__xludf.DUMMYFUNCTION("""COMPUTED_VALUE"""),4.0)</f>
        <v>4</v>
      </c>
      <c r="D118" s="3">
        <f>IFERROR(__xludf.DUMMYFUNCTION("""COMPUTED_VALUE"""),1.0)</f>
        <v>1</v>
      </c>
      <c r="E118" s="3">
        <f>IFERROR(__xludf.DUMMYFUNCTION("""COMPUTED_VALUE"""),2.0)</f>
        <v>2</v>
      </c>
      <c r="F118" s="3">
        <f>IFERROR(__xludf.DUMMYFUNCTION("""COMPUTED_VALUE"""),0.0)</f>
        <v>0</v>
      </c>
      <c r="G118" s="3">
        <f>IFERROR(__xludf.DUMMYFUNCTION("""COMPUTED_VALUE"""),18.0)</f>
        <v>18</v>
      </c>
      <c r="H118" s="7">
        <f t="shared" si="1"/>
        <v>4.5</v>
      </c>
      <c r="I118" s="3">
        <f>G118-iferror(VLOOKUP(B118,'OPTI Leadboard Last Week'!A:G,6,FALSE),0)</f>
        <v>0</v>
      </c>
      <c r="J118" s="3" t="str">
        <f>IF(IF(LEN(B118)=0,"",IFERROR(IF(VLOOKUP(B118,'OPTI Leadboard Last Week'!A:G,7,FALSE)-A118&gt;0,"+"&amp;VLOOKUP(B118,'OPTI Leadboard Last Week'!A:G,7,FALSE)-A118,"-"&amp;abs(VLOOKUP(B118,'OPTI Leadboard Last Week'!A:G,7,FALSE)-A118)),"NEW"))="-0","--",IF(LEN(B118)=0,"",IFERROR(IF(VLOOKUP(B118,'OPTI Leadboard Last Week'!A:G,7,FALSE)-A118&gt;0,"+"&amp;VLOOKUP(B118,'OPTI Leadboard Last Week'!A:G,7,FALSE)-A118,"-"&amp;abs(VLOOKUP(B118,'OPTI Leadboard Last Week'!A:G,7,FALSE)-A118)),"NEW")))</f>
        <v>-1</v>
      </c>
    </row>
    <row r="119">
      <c r="A119" s="5">
        <f t="shared" si="2"/>
        <v>118</v>
      </c>
      <c r="B119" s="3" t="str">
        <f>IFERROR(__xludf.DUMMYFUNCTION("""COMPUTED_VALUE"""),"Dom Robbins")</f>
        <v>Dom Robbins</v>
      </c>
      <c r="C119" s="3">
        <f>IFERROR(__xludf.DUMMYFUNCTION("""COMPUTED_VALUE"""),8.0)</f>
        <v>8</v>
      </c>
      <c r="D119" s="3"/>
      <c r="E119" s="3">
        <f>IFERROR(__xludf.DUMMYFUNCTION("""COMPUTED_VALUE"""),1.0)</f>
        <v>1</v>
      </c>
      <c r="F119" s="3">
        <f>IFERROR(__xludf.DUMMYFUNCTION("""COMPUTED_VALUE"""),0.0)</f>
        <v>0</v>
      </c>
      <c r="G119" s="3">
        <f>IFERROR(__xludf.DUMMYFUNCTION("""COMPUTED_VALUE"""),18.0)</f>
        <v>18</v>
      </c>
      <c r="H119" s="7">
        <f t="shared" si="1"/>
        <v>2.25</v>
      </c>
      <c r="I119" s="3">
        <f>G119-iferror(VLOOKUP(B119,'OPTI Leadboard Last Week'!A:G,6,FALSE),0)</f>
        <v>2</v>
      </c>
      <c r="J119" s="3" t="str">
        <f>IF(IF(LEN(B119)=0,"",IFERROR(IF(VLOOKUP(B119,'OPTI Leadboard Last Week'!A:G,7,FALSE)-A119&gt;0,"+"&amp;VLOOKUP(B119,'OPTI Leadboard Last Week'!A:G,7,FALSE)-A119,"-"&amp;abs(VLOOKUP(B119,'OPTI Leadboard Last Week'!A:G,7,FALSE)-A119)),"NEW"))="-0","--",IF(LEN(B119)=0,"",IFERROR(IF(VLOOKUP(B119,'OPTI Leadboard Last Week'!A:G,7,FALSE)-A119&gt;0,"+"&amp;VLOOKUP(B119,'OPTI Leadboard Last Week'!A:G,7,FALSE)-A119,"-"&amp;abs(VLOOKUP(B119,'OPTI Leadboard Last Week'!A:G,7,FALSE)-A119)),"NEW")))</f>
        <v>+1</v>
      </c>
    </row>
    <row r="120">
      <c r="A120" s="5">
        <f t="shared" si="2"/>
        <v>119</v>
      </c>
      <c r="B120" s="3" t="str">
        <f>IFERROR(__xludf.DUMMYFUNCTION("""COMPUTED_VALUE"""),"Joe Docherty")</f>
        <v>Joe Docherty</v>
      </c>
      <c r="C120" s="3">
        <f>IFERROR(__xludf.DUMMYFUNCTION("""COMPUTED_VALUE"""),4.0)</f>
        <v>4</v>
      </c>
      <c r="D120" s="3"/>
      <c r="E120" s="3"/>
      <c r="F120" s="3">
        <f>IFERROR(__xludf.DUMMYFUNCTION("""COMPUTED_VALUE"""),1.0)</f>
        <v>1</v>
      </c>
      <c r="G120" s="3">
        <f>IFERROR(__xludf.DUMMYFUNCTION("""COMPUTED_VALUE"""),17.0)</f>
        <v>17</v>
      </c>
      <c r="H120" s="7">
        <f t="shared" si="1"/>
        <v>4.25</v>
      </c>
      <c r="I120" s="3">
        <f>G120-iferror(VLOOKUP(B120,'OPTI Leadboard Last Week'!A:G,6,FALSE),0)</f>
        <v>0</v>
      </c>
      <c r="J120" s="3" t="str">
        <f>IF(IF(LEN(B120)=0,"",IFERROR(IF(VLOOKUP(B120,'OPTI Leadboard Last Week'!A:G,7,FALSE)-A120&gt;0,"+"&amp;VLOOKUP(B120,'OPTI Leadboard Last Week'!A:G,7,FALSE)-A120,"-"&amp;abs(VLOOKUP(B120,'OPTI Leadboard Last Week'!A:G,7,FALSE)-A120)),"NEW"))="-0","--",IF(LEN(B120)=0,"",IFERROR(IF(VLOOKUP(B120,'OPTI Leadboard Last Week'!A:G,7,FALSE)-A120&gt;0,"+"&amp;VLOOKUP(B120,'OPTI Leadboard Last Week'!A:G,7,FALSE)-A120,"-"&amp;abs(VLOOKUP(B120,'OPTI Leadboard Last Week'!A:G,7,FALSE)-A120)),"NEW")))</f>
        <v>-1</v>
      </c>
    </row>
    <row r="121">
      <c r="A121" s="5">
        <f t="shared" si="2"/>
        <v>120</v>
      </c>
      <c r="B121" s="3" t="str">
        <f>IFERROR(__xludf.DUMMYFUNCTION("""COMPUTED_VALUE"""),"Paddy Troy")</f>
        <v>Paddy Troy</v>
      </c>
      <c r="C121" s="3">
        <f>IFERROR(__xludf.DUMMYFUNCTION("""COMPUTED_VALUE"""),2.0)</f>
        <v>2</v>
      </c>
      <c r="D121" s="3">
        <f>IFERROR(__xludf.DUMMYFUNCTION("""COMPUTED_VALUE"""),1.0)</f>
        <v>1</v>
      </c>
      <c r="E121" s="3">
        <f>IFERROR(__xludf.DUMMYFUNCTION("""COMPUTED_VALUE"""),1.0)</f>
        <v>1</v>
      </c>
      <c r="F121" s="3">
        <f>IFERROR(__xludf.DUMMYFUNCTION("""COMPUTED_VALUE"""),1.0)</f>
        <v>1</v>
      </c>
      <c r="G121" s="3">
        <f>IFERROR(__xludf.DUMMYFUNCTION("""COMPUTED_VALUE"""),16.0)</f>
        <v>16</v>
      </c>
      <c r="H121" s="7">
        <f t="shared" si="1"/>
        <v>8</v>
      </c>
      <c r="I121" s="3">
        <f>G121-iferror(VLOOKUP(B121,'OPTI Leadboard Last Week'!A:G,6,FALSE),0)</f>
        <v>11</v>
      </c>
      <c r="J121" s="3" t="str">
        <f>IF(IF(LEN(B121)=0,"",IFERROR(IF(VLOOKUP(B121,'OPTI Leadboard Last Week'!A:G,7,FALSE)-A121&gt;0,"+"&amp;VLOOKUP(B121,'OPTI Leadboard Last Week'!A:G,7,FALSE)-A121,"-"&amp;abs(VLOOKUP(B121,'OPTI Leadboard Last Week'!A:G,7,FALSE)-A121)),"NEW"))="-0","--",IF(LEN(B121)=0,"",IFERROR(IF(VLOOKUP(B121,'OPTI Leadboard Last Week'!A:G,7,FALSE)-A121&gt;0,"+"&amp;VLOOKUP(B121,'OPTI Leadboard Last Week'!A:G,7,FALSE)-A121,"-"&amp;abs(VLOOKUP(B121,'OPTI Leadboard Last Week'!A:G,7,FALSE)-A121)),"NEW")))</f>
        <v>+40</v>
      </c>
    </row>
    <row r="122">
      <c r="A122" s="5">
        <f t="shared" si="2"/>
        <v>121</v>
      </c>
      <c r="B122" s="3" t="str">
        <f>IFERROR(__xludf.DUMMYFUNCTION("""COMPUTED_VALUE"""),"Wayne Ebanks")</f>
        <v>Wayne Ebanks</v>
      </c>
      <c r="C122" s="3">
        <f>IFERROR(__xludf.DUMMYFUNCTION("""COMPUTED_VALUE"""),2.0)</f>
        <v>2</v>
      </c>
      <c r="D122" s="3">
        <f>IFERROR(__xludf.DUMMYFUNCTION("""COMPUTED_VALUE"""),1.0)</f>
        <v>1</v>
      </c>
      <c r="E122" s="3">
        <f>IFERROR(__xludf.DUMMYFUNCTION("""COMPUTED_VALUE"""),1.0)</f>
        <v>1</v>
      </c>
      <c r="F122" s="3">
        <f>IFERROR(__xludf.DUMMYFUNCTION("""COMPUTED_VALUE"""),1.0)</f>
        <v>1</v>
      </c>
      <c r="G122" s="3">
        <f>IFERROR(__xludf.DUMMYFUNCTION("""COMPUTED_VALUE"""),16.0)</f>
        <v>16</v>
      </c>
      <c r="H122" s="7">
        <f t="shared" si="1"/>
        <v>8</v>
      </c>
      <c r="I122" s="3">
        <f>G122-iferror(VLOOKUP(B122,'OPTI Leadboard Last Week'!A:G,6,FALSE),0)</f>
        <v>0</v>
      </c>
      <c r="J122" s="3" t="str">
        <f>IF(IF(LEN(B122)=0,"",IFERROR(IF(VLOOKUP(B122,'OPTI Leadboard Last Week'!A:G,7,FALSE)-A122&gt;0,"+"&amp;VLOOKUP(B122,'OPTI Leadboard Last Week'!A:G,7,FALSE)-A122,"-"&amp;abs(VLOOKUP(B122,'OPTI Leadboard Last Week'!A:G,7,FALSE)-A122)),"NEW"))="-0","--",IF(LEN(B122)=0,"",IFERROR(IF(VLOOKUP(B122,'OPTI Leadboard Last Week'!A:G,7,FALSE)-A122&gt;0,"+"&amp;VLOOKUP(B122,'OPTI Leadboard Last Week'!A:G,7,FALSE)-A122,"-"&amp;abs(VLOOKUP(B122,'OPTI Leadboard Last Week'!A:G,7,FALSE)-A122)),"NEW")))</f>
        <v>-1</v>
      </c>
    </row>
    <row r="123">
      <c r="A123" s="5">
        <f t="shared" si="2"/>
        <v>122</v>
      </c>
      <c r="B123" s="3" t="str">
        <f>IFERROR(__xludf.DUMMYFUNCTION("""COMPUTED_VALUE"""),"Kim Jaeyoon")</f>
        <v>Kim Jaeyoon</v>
      </c>
      <c r="C123" s="3">
        <f>IFERROR(__xludf.DUMMYFUNCTION("""COMPUTED_VALUE"""),4.0)</f>
        <v>4</v>
      </c>
      <c r="D123" s="3">
        <f>IFERROR(__xludf.DUMMYFUNCTION("""COMPUTED_VALUE"""),1.0)</f>
        <v>1</v>
      </c>
      <c r="E123" s="3">
        <f>IFERROR(__xludf.DUMMYFUNCTION("""COMPUTED_VALUE"""),1.0)</f>
        <v>1</v>
      </c>
      <c r="F123" s="3">
        <f>IFERROR(__xludf.DUMMYFUNCTION("""COMPUTED_VALUE"""),0.0)</f>
        <v>0</v>
      </c>
      <c r="G123" s="3">
        <f>IFERROR(__xludf.DUMMYFUNCTION("""COMPUTED_VALUE"""),15.0)</f>
        <v>15</v>
      </c>
      <c r="H123" s="7">
        <f t="shared" si="1"/>
        <v>3.75</v>
      </c>
      <c r="I123" s="3">
        <f>G123-iferror(VLOOKUP(B123,'OPTI Leadboard Last Week'!A:G,6,FALSE),0)</f>
        <v>9</v>
      </c>
      <c r="J123" s="3" t="str">
        <f>IF(IF(LEN(B123)=0,"",IFERROR(IF(VLOOKUP(B123,'OPTI Leadboard Last Week'!A:G,7,FALSE)-A123&gt;0,"+"&amp;VLOOKUP(B123,'OPTI Leadboard Last Week'!A:G,7,FALSE)-A123,"-"&amp;abs(VLOOKUP(B123,'OPTI Leadboard Last Week'!A:G,7,FALSE)-A123)),"NEW"))="-0","--",IF(LEN(B123)=0,"",IFERROR(IF(VLOOKUP(B123,'OPTI Leadboard Last Week'!A:G,7,FALSE)-A123&gt;0,"+"&amp;VLOOKUP(B123,'OPTI Leadboard Last Week'!A:G,7,FALSE)-A123,"-"&amp;abs(VLOOKUP(B123,'OPTI Leadboard Last Week'!A:G,7,FALSE)-A123)),"NEW")))</f>
        <v>+30</v>
      </c>
    </row>
    <row r="124">
      <c r="A124" s="5">
        <f t="shared" si="2"/>
        <v>123</v>
      </c>
      <c r="B124" s="3" t="str">
        <f>IFERROR(__xludf.DUMMYFUNCTION("""COMPUTED_VALUE"""),"Ben Himpe")</f>
        <v>Ben Himpe</v>
      </c>
      <c r="C124" s="3">
        <f>IFERROR(__xludf.DUMMYFUNCTION("""COMPUTED_VALUE"""),3.0)</f>
        <v>3</v>
      </c>
      <c r="D124" s="3">
        <f>IFERROR(__xludf.DUMMYFUNCTION("""COMPUTED_VALUE"""),1.0)</f>
        <v>1</v>
      </c>
      <c r="E124" s="3">
        <f>IFERROR(__xludf.DUMMYFUNCTION("""COMPUTED_VALUE"""),1.0)</f>
        <v>1</v>
      </c>
      <c r="F124" s="3">
        <f>IFERROR(__xludf.DUMMYFUNCTION("""COMPUTED_VALUE"""),0.0)</f>
        <v>0</v>
      </c>
      <c r="G124" s="3">
        <f>IFERROR(__xludf.DUMMYFUNCTION("""COMPUTED_VALUE"""),14.0)</f>
        <v>14</v>
      </c>
      <c r="H124" s="7">
        <f t="shared" si="1"/>
        <v>4.666666667</v>
      </c>
      <c r="I124" s="3">
        <f>G124-iferror(VLOOKUP(B124,'OPTI Leadboard Last Week'!A:G,6,FALSE),0)</f>
        <v>0</v>
      </c>
      <c r="J124" s="3" t="str">
        <f>IF(IF(LEN(B124)=0,"",IFERROR(IF(VLOOKUP(B124,'OPTI Leadboard Last Week'!A:G,7,FALSE)-A124&gt;0,"+"&amp;VLOOKUP(B124,'OPTI Leadboard Last Week'!A:G,7,FALSE)-A124,"-"&amp;abs(VLOOKUP(B124,'OPTI Leadboard Last Week'!A:G,7,FALSE)-A124)),"NEW"))="-0","--",IF(LEN(B124)=0,"",IFERROR(IF(VLOOKUP(B124,'OPTI Leadboard Last Week'!A:G,7,FALSE)-A124&gt;0,"+"&amp;VLOOKUP(B124,'OPTI Leadboard Last Week'!A:G,7,FALSE)-A124,"-"&amp;abs(VLOOKUP(B124,'OPTI Leadboard Last Week'!A:G,7,FALSE)-A124)),"NEW")))</f>
        <v>-2</v>
      </c>
    </row>
    <row r="125">
      <c r="A125" s="5">
        <f t="shared" si="2"/>
        <v>124</v>
      </c>
      <c r="B125" s="3" t="str">
        <f>IFERROR(__xludf.DUMMYFUNCTION("""COMPUTED_VALUE"""),"Isaac Adepegba")</f>
        <v>Isaac Adepegba</v>
      </c>
      <c r="C125" s="3">
        <f>IFERROR(__xludf.DUMMYFUNCTION("""COMPUTED_VALUE"""),5.0)</f>
        <v>5</v>
      </c>
      <c r="D125" s="3">
        <f>IFERROR(__xludf.DUMMYFUNCTION("""COMPUTED_VALUE"""),1.0)</f>
        <v>1</v>
      </c>
      <c r="E125" s="3"/>
      <c r="F125" s="3">
        <f>IFERROR(__xludf.DUMMYFUNCTION("""COMPUTED_VALUE"""),0.0)</f>
        <v>0</v>
      </c>
      <c r="G125" s="3">
        <f>IFERROR(__xludf.DUMMYFUNCTION("""COMPUTED_VALUE"""),14.0)</f>
        <v>14</v>
      </c>
      <c r="H125" s="7">
        <f t="shared" si="1"/>
        <v>2.8</v>
      </c>
      <c r="I125" s="3">
        <f>G125-iferror(VLOOKUP(B125,'OPTI Leadboard Last Week'!A:G,6,FALSE),0)</f>
        <v>0</v>
      </c>
      <c r="J125" s="3" t="str">
        <f>IF(IF(LEN(B125)=0,"",IFERROR(IF(VLOOKUP(B125,'OPTI Leadboard Last Week'!A:G,7,FALSE)-A125&gt;0,"+"&amp;VLOOKUP(B125,'OPTI Leadboard Last Week'!A:G,7,FALSE)-A125,"-"&amp;abs(VLOOKUP(B125,'OPTI Leadboard Last Week'!A:G,7,FALSE)-A125)),"NEW"))="-0","--",IF(LEN(B125)=0,"",IFERROR(IF(VLOOKUP(B125,'OPTI Leadboard Last Week'!A:G,7,FALSE)-A125&gt;0,"+"&amp;VLOOKUP(B125,'OPTI Leadboard Last Week'!A:G,7,FALSE)-A125,"-"&amp;abs(VLOOKUP(B125,'OPTI Leadboard Last Week'!A:G,7,FALSE)-A125)),"NEW")))</f>
        <v>-2</v>
      </c>
    </row>
    <row r="126">
      <c r="A126" s="5">
        <f t="shared" si="2"/>
        <v>125</v>
      </c>
      <c r="B126" s="3" t="str">
        <f>IFERROR(__xludf.DUMMYFUNCTION("""COMPUTED_VALUE"""),"Jamie Arkell")</f>
        <v>Jamie Arkell</v>
      </c>
      <c r="C126" s="3">
        <f>IFERROR(__xludf.DUMMYFUNCTION("""COMPUTED_VALUE"""),2.0)</f>
        <v>2</v>
      </c>
      <c r="D126" s="3">
        <f>IFERROR(__xludf.DUMMYFUNCTION("""COMPUTED_VALUE"""),1.0)</f>
        <v>1</v>
      </c>
      <c r="E126" s="3"/>
      <c r="F126" s="3">
        <f>IFERROR(__xludf.DUMMYFUNCTION("""COMPUTED_VALUE"""),1.0)</f>
        <v>1</v>
      </c>
      <c r="G126" s="3">
        <f>IFERROR(__xludf.DUMMYFUNCTION("""COMPUTED_VALUE"""),14.0)</f>
        <v>14</v>
      </c>
      <c r="H126" s="7">
        <f t="shared" si="1"/>
        <v>7</v>
      </c>
      <c r="I126" s="3">
        <f>G126-iferror(VLOOKUP(B126,'OPTI Leadboard Last Week'!A:G,6,FALSE),0)</f>
        <v>0</v>
      </c>
      <c r="J126" s="3" t="str">
        <f>IF(IF(LEN(B126)=0,"",IFERROR(IF(VLOOKUP(B126,'OPTI Leadboard Last Week'!A:G,7,FALSE)-A126&gt;0,"+"&amp;VLOOKUP(B126,'OPTI Leadboard Last Week'!A:G,7,FALSE)-A126,"-"&amp;abs(VLOOKUP(B126,'OPTI Leadboard Last Week'!A:G,7,FALSE)-A126)),"NEW"))="-0","--",IF(LEN(B126)=0,"",IFERROR(IF(VLOOKUP(B126,'OPTI Leadboard Last Week'!A:G,7,FALSE)-A126&gt;0,"+"&amp;VLOOKUP(B126,'OPTI Leadboard Last Week'!A:G,7,FALSE)-A126,"-"&amp;abs(VLOOKUP(B126,'OPTI Leadboard Last Week'!A:G,7,FALSE)-A126)),"NEW")))</f>
        <v>-2</v>
      </c>
    </row>
    <row r="127">
      <c r="A127" s="5">
        <f t="shared" si="2"/>
        <v>126</v>
      </c>
      <c r="B127" s="3" t="str">
        <f>IFERROR(__xludf.DUMMYFUNCTION("""COMPUTED_VALUE"""),"Joe France")</f>
        <v>Joe France</v>
      </c>
      <c r="C127" s="3">
        <f>IFERROR(__xludf.DUMMYFUNCTION("""COMPUTED_VALUE"""),7.0)</f>
        <v>7</v>
      </c>
      <c r="D127" s="3"/>
      <c r="E127" s="3"/>
      <c r="F127" s="3">
        <f>IFERROR(__xludf.DUMMYFUNCTION("""COMPUTED_VALUE"""),0.0)</f>
        <v>0</v>
      </c>
      <c r="G127" s="3">
        <f>IFERROR(__xludf.DUMMYFUNCTION("""COMPUTED_VALUE"""),14.0)</f>
        <v>14</v>
      </c>
      <c r="H127" s="7">
        <f t="shared" si="1"/>
        <v>2</v>
      </c>
      <c r="I127" s="3">
        <f>G127-iferror(VLOOKUP(B127,'OPTI Leadboard Last Week'!A:G,6,FALSE),0)</f>
        <v>0</v>
      </c>
      <c r="J127" s="3" t="str">
        <f>IF(IF(LEN(B127)=0,"",IFERROR(IF(VLOOKUP(B127,'OPTI Leadboard Last Week'!A:G,7,FALSE)-A127&gt;0,"+"&amp;VLOOKUP(B127,'OPTI Leadboard Last Week'!A:G,7,FALSE)-A127,"-"&amp;abs(VLOOKUP(B127,'OPTI Leadboard Last Week'!A:G,7,FALSE)-A127)),"NEW"))="-0","--",IF(LEN(B127)=0,"",IFERROR(IF(VLOOKUP(B127,'OPTI Leadboard Last Week'!A:G,7,FALSE)-A127&gt;0,"+"&amp;VLOOKUP(B127,'OPTI Leadboard Last Week'!A:G,7,FALSE)-A127,"-"&amp;abs(VLOOKUP(B127,'OPTI Leadboard Last Week'!A:G,7,FALSE)-A127)),"NEW")))</f>
        <v>-2</v>
      </c>
    </row>
    <row r="128">
      <c r="A128" s="5">
        <f t="shared" si="2"/>
        <v>127</v>
      </c>
      <c r="B128" s="3" t="str">
        <f>IFERROR(__xludf.DUMMYFUNCTION("""COMPUTED_VALUE"""),"Victor Lemmer")</f>
        <v>Victor Lemmer</v>
      </c>
      <c r="C128" s="3">
        <f>IFERROR(__xludf.DUMMYFUNCTION("""COMPUTED_VALUE"""),7.0)</f>
        <v>7</v>
      </c>
      <c r="D128" s="3"/>
      <c r="E128" s="3"/>
      <c r="F128" s="3">
        <f>IFERROR(__xludf.DUMMYFUNCTION("""COMPUTED_VALUE"""),0.0)</f>
        <v>0</v>
      </c>
      <c r="G128" s="3">
        <f>IFERROR(__xludf.DUMMYFUNCTION("""COMPUTED_VALUE"""),14.0)</f>
        <v>14</v>
      </c>
      <c r="H128" s="7">
        <f t="shared" si="1"/>
        <v>2</v>
      </c>
      <c r="I128" s="3">
        <f>G128-iferror(VLOOKUP(B128,'OPTI Leadboard Last Week'!A:G,6,FALSE),0)</f>
        <v>0</v>
      </c>
      <c r="J128" s="3" t="str">
        <f>IF(IF(LEN(B128)=0,"",IFERROR(IF(VLOOKUP(B128,'OPTI Leadboard Last Week'!A:G,7,FALSE)-A128&gt;0,"+"&amp;VLOOKUP(B128,'OPTI Leadboard Last Week'!A:G,7,FALSE)-A128,"-"&amp;abs(VLOOKUP(B128,'OPTI Leadboard Last Week'!A:G,7,FALSE)-A128)),"NEW"))="-0","--",IF(LEN(B128)=0,"",IFERROR(IF(VLOOKUP(B128,'OPTI Leadboard Last Week'!A:G,7,FALSE)-A128&gt;0,"+"&amp;VLOOKUP(B128,'OPTI Leadboard Last Week'!A:G,7,FALSE)-A128,"-"&amp;abs(VLOOKUP(B128,'OPTI Leadboard Last Week'!A:G,7,FALSE)-A128)),"NEW")))</f>
        <v>-2</v>
      </c>
    </row>
    <row r="129">
      <c r="A129" s="5">
        <f t="shared" si="2"/>
        <v>128</v>
      </c>
      <c r="B129" s="3" t="str">
        <f>IFERROR(__xludf.DUMMYFUNCTION("""COMPUTED_VALUE"""),"Ismail Wall")</f>
        <v>Ismail Wall</v>
      </c>
      <c r="C129" s="3">
        <f>IFERROR(__xludf.DUMMYFUNCTION("""COMPUTED_VALUE"""),8.0)</f>
        <v>8</v>
      </c>
      <c r="D129" s="3"/>
      <c r="E129" s="3">
        <f>IFERROR(__xludf.DUMMYFUNCTION("""COMPUTED_VALUE"""),1.0)</f>
        <v>1</v>
      </c>
      <c r="F129" s="3">
        <f>IFERROR(__xludf.DUMMYFUNCTION("""COMPUTED_VALUE"""),0.0)</f>
        <v>0</v>
      </c>
      <c r="G129" s="3">
        <f>IFERROR(__xludf.DUMMYFUNCTION("""COMPUTED_VALUE"""),13.0)</f>
        <v>13</v>
      </c>
      <c r="H129" s="7">
        <f t="shared" si="1"/>
        <v>1.625</v>
      </c>
      <c r="I129" s="3">
        <f>G129-iferror(VLOOKUP(B129,'OPTI Leadboard Last Week'!A:G,6,FALSE),0)</f>
        <v>2</v>
      </c>
      <c r="J129" s="3" t="str">
        <f>IF(IF(LEN(B129)=0,"",IFERROR(IF(VLOOKUP(B129,'OPTI Leadboard Last Week'!A:G,7,FALSE)-A129&gt;0,"+"&amp;VLOOKUP(B129,'OPTI Leadboard Last Week'!A:G,7,FALSE)-A129,"-"&amp;abs(VLOOKUP(B129,'OPTI Leadboard Last Week'!A:G,7,FALSE)-A129)),"NEW"))="-0","--",IF(LEN(B129)=0,"",IFERROR(IF(VLOOKUP(B129,'OPTI Leadboard Last Week'!A:G,7,FALSE)-A129&gt;0,"+"&amp;VLOOKUP(B129,'OPTI Leadboard Last Week'!A:G,7,FALSE)-A129,"-"&amp;abs(VLOOKUP(B129,'OPTI Leadboard Last Week'!A:G,7,FALSE)-A129)),"NEW")))</f>
        <v>+5</v>
      </c>
    </row>
    <row r="130">
      <c r="A130" s="5">
        <f t="shared" si="2"/>
        <v>129</v>
      </c>
      <c r="B130" s="3" t="str">
        <f>IFERROR(__xludf.DUMMYFUNCTION("""COMPUTED_VALUE"""),"Jed Evamy")</f>
        <v>Jed Evamy</v>
      </c>
      <c r="C130" s="3">
        <f>IFERROR(__xludf.DUMMYFUNCTION("""COMPUTED_VALUE"""),4.0)</f>
        <v>4</v>
      </c>
      <c r="D130" s="3"/>
      <c r="E130" s="3"/>
      <c r="F130" s="3">
        <f>IFERROR(__xludf.DUMMYFUNCTION("""COMPUTED_VALUE"""),0.0)</f>
        <v>0</v>
      </c>
      <c r="G130" s="3">
        <f>IFERROR(__xludf.DUMMYFUNCTION("""COMPUTED_VALUE"""),13.0)</f>
        <v>13</v>
      </c>
      <c r="H130" s="7">
        <f t="shared" si="1"/>
        <v>3.25</v>
      </c>
      <c r="I130" s="3">
        <f>G130-iferror(VLOOKUP(B130,'OPTI Leadboard Last Week'!A:G,6,FALSE),0)</f>
        <v>0</v>
      </c>
      <c r="J130" s="3" t="str">
        <f>IF(IF(LEN(B130)=0,"",IFERROR(IF(VLOOKUP(B130,'OPTI Leadboard Last Week'!A:G,7,FALSE)-A130&gt;0,"+"&amp;VLOOKUP(B130,'OPTI Leadboard Last Week'!A:G,7,FALSE)-A130,"-"&amp;abs(VLOOKUP(B130,'OPTI Leadboard Last Week'!A:G,7,FALSE)-A130)),"NEW"))="-0","--",IF(LEN(B130)=0,"",IFERROR(IF(VLOOKUP(B130,'OPTI Leadboard Last Week'!A:G,7,FALSE)-A130&gt;0,"+"&amp;VLOOKUP(B130,'OPTI Leadboard Last Week'!A:G,7,FALSE)-A130,"-"&amp;abs(VLOOKUP(B130,'OPTI Leadboard Last Week'!A:G,7,FALSE)-A130)),"NEW")))</f>
        <v>-3</v>
      </c>
    </row>
    <row r="131">
      <c r="A131" s="5">
        <f t="shared" si="2"/>
        <v>130</v>
      </c>
      <c r="B131" s="3" t="str">
        <f>IFERROR(__xludf.DUMMYFUNCTION("""COMPUTED_VALUE"""),"Nathan Nzau")</f>
        <v>Nathan Nzau</v>
      </c>
      <c r="C131" s="3">
        <f>IFERROR(__xludf.DUMMYFUNCTION("""COMPUTED_VALUE"""),4.0)</f>
        <v>4</v>
      </c>
      <c r="D131" s="3"/>
      <c r="E131" s="3"/>
      <c r="F131" s="3">
        <f>IFERROR(__xludf.DUMMYFUNCTION("""COMPUTED_VALUE"""),1.0)</f>
        <v>1</v>
      </c>
      <c r="G131" s="3">
        <f>IFERROR(__xludf.DUMMYFUNCTION("""COMPUTED_VALUE"""),13.0)</f>
        <v>13</v>
      </c>
      <c r="H131" s="7">
        <f t="shared" si="1"/>
        <v>3.25</v>
      </c>
      <c r="I131" s="3">
        <f>G131-iferror(VLOOKUP(B131,'OPTI Leadboard Last Week'!A:G,6,FALSE),0)</f>
        <v>0</v>
      </c>
      <c r="J131" s="3" t="str">
        <f>IF(IF(LEN(B131)=0,"",IFERROR(IF(VLOOKUP(B131,'OPTI Leadboard Last Week'!A:G,7,FALSE)-A131&gt;0,"+"&amp;VLOOKUP(B131,'OPTI Leadboard Last Week'!A:G,7,FALSE)-A131,"-"&amp;abs(VLOOKUP(B131,'OPTI Leadboard Last Week'!A:G,7,FALSE)-A131)),"NEW"))="-0","--",IF(LEN(B131)=0,"",IFERROR(IF(VLOOKUP(B131,'OPTI Leadboard Last Week'!A:G,7,FALSE)-A131&gt;0,"+"&amp;VLOOKUP(B131,'OPTI Leadboard Last Week'!A:G,7,FALSE)-A131,"-"&amp;abs(VLOOKUP(B131,'OPTI Leadboard Last Week'!A:G,7,FALSE)-A131)),"NEW")))</f>
        <v>-3</v>
      </c>
    </row>
    <row r="132">
      <c r="A132" s="5">
        <f t="shared" si="2"/>
        <v>131</v>
      </c>
      <c r="B132" s="3" t="str">
        <f>IFERROR(__xludf.DUMMYFUNCTION("""COMPUTED_VALUE"""),"Jay Mair")</f>
        <v>Jay Mair</v>
      </c>
      <c r="C132" s="3">
        <f>IFERROR(__xludf.DUMMYFUNCTION("""COMPUTED_VALUE"""),7.0)</f>
        <v>7</v>
      </c>
      <c r="D132" s="3"/>
      <c r="E132" s="3"/>
      <c r="F132" s="3">
        <f>IFERROR(__xludf.DUMMYFUNCTION("""COMPUTED_VALUE"""),0.0)</f>
        <v>0</v>
      </c>
      <c r="G132" s="3">
        <f>IFERROR(__xludf.DUMMYFUNCTION("""COMPUTED_VALUE"""),12.0)</f>
        <v>12</v>
      </c>
      <c r="H132" s="7">
        <f t="shared" si="1"/>
        <v>1.714285714</v>
      </c>
      <c r="I132" s="3">
        <f>G132-iferror(VLOOKUP(B132,'OPTI Leadboard Last Week'!A:G,6,FALSE),0)</f>
        <v>0</v>
      </c>
      <c r="J132" s="3" t="str">
        <f>IF(IF(LEN(B132)=0,"",IFERROR(IF(VLOOKUP(B132,'OPTI Leadboard Last Week'!A:G,7,FALSE)-A132&gt;0,"+"&amp;VLOOKUP(B132,'OPTI Leadboard Last Week'!A:G,7,FALSE)-A132,"-"&amp;abs(VLOOKUP(B132,'OPTI Leadboard Last Week'!A:G,7,FALSE)-A132)),"NEW"))="-0","--",IF(LEN(B132)=0,"",IFERROR(IF(VLOOKUP(B132,'OPTI Leadboard Last Week'!A:G,7,FALSE)-A132&gt;0,"+"&amp;VLOOKUP(B132,'OPTI Leadboard Last Week'!A:G,7,FALSE)-A132,"-"&amp;abs(VLOOKUP(B132,'OPTI Leadboard Last Week'!A:G,7,FALSE)-A132)),"NEW")))</f>
        <v>-3</v>
      </c>
    </row>
    <row r="133">
      <c r="A133" s="5">
        <f t="shared" si="2"/>
        <v>132</v>
      </c>
      <c r="B133" s="3" t="str">
        <f>IFERROR(__xludf.DUMMYFUNCTION("""COMPUTED_VALUE"""),"Paul Jalil")</f>
        <v>Paul Jalil</v>
      </c>
      <c r="C133" s="3">
        <f>IFERROR(__xludf.DUMMYFUNCTION("""COMPUTED_VALUE"""),5.0)</f>
        <v>5</v>
      </c>
      <c r="D133" s="3"/>
      <c r="E133" s="3">
        <f>IFERROR(__xludf.DUMMYFUNCTION("""COMPUTED_VALUE"""),1.0)</f>
        <v>1</v>
      </c>
      <c r="F133" s="3">
        <f>IFERROR(__xludf.DUMMYFUNCTION("""COMPUTED_VALUE"""),0.0)</f>
        <v>0</v>
      </c>
      <c r="G133" s="3">
        <f>IFERROR(__xludf.DUMMYFUNCTION("""COMPUTED_VALUE"""),12.0)</f>
        <v>12</v>
      </c>
      <c r="H133" s="7">
        <f t="shared" si="1"/>
        <v>2.4</v>
      </c>
      <c r="I133" s="3">
        <f>G133-iferror(VLOOKUP(B133,'OPTI Leadboard Last Week'!A:G,6,FALSE),0)</f>
        <v>0</v>
      </c>
      <c r="J133" s="3" t="str">
        <f>IF(IF(LEN(B133)=0,"",IFERROR(IF(VLOOKUP(B133,'OPTI Leadboard Last Week'!A:G,7,FALSE)-A133&gt;0,"+"&amp;VLOOKUP(B133,'OPTI Leadboard Last Week'!A:G,7,FALSE)-A133,"-"&amp;abs(VLOOKUP(B133,'OPTI Leadboard Last Week'!A:G,7,FALSE)-A133)),"NEW"))="-0","--",IF(LEN(B133)=0,"",IFERROR(IF(VLOOKUP(B133,'OPTI Leadboard Last Week'!A:G,7,FALSE)-A133&gt;0,"+"&amp;VLOOKUP(B133,'OPTI Leadboard Last Week'!A:G,7,FALSE)-A133,"-"&amp;abs(VLOOKUP(B133,'OPTI Leadboard Last Week'!A:G,7,FALSE)-A133)),"NEW")))</f>
        <v>-3</v>
      </c>
    </row>
    <row r="134">
      <c r="A134" s="5">
        <f t="shared" si="2"/>
        <v>133</v>
      </c>
      <c r="B134" s="3" t="str">
        <f>IFERROR(__xludf.DUMMYFUNCTION("""COMPUTED_VALUE"""),"Remi Sellers")</f>
        <v>Remi Sellers</v>
      </c>
      <c r="C134" s="3">
        <f>IFERROR(__xludf.DUMMYFUNCTION("""COMPUTED_VALUE"""),2.0)</f>
        <v>2</v>
      </c>
      <c r="D134" s="3"/>
      <c r="E134" s="3">
        <f>IFERROR(__xludf.DUMMYFUNCTION("""COMPUTED_VALUE"""),1.0)</f>
        <v>1</v>
      </c>
      <c r="F134" s="3">
        <f>IFERROR(__xludf.DUMMYFUNCTION("""COMPUTED_VALUE"""),1.0)</f>
        <v>1</v>
      </c>
      <c r="G134" s="3">
        <f>IFERROR(__xludf.DUMMYFUNCTION("""COMPUTED_VALUE"""),12.0)</f>
        <v>12</v>
      </c>
      <c r="H134" s="7">
        <f t="shared" si="1"/>
        <v>6</v>
      </c>
      <c r="I134" s="3">
        <f>G134-iferror(VLOOKUP(B134,'OPTI Leadboard Last Week'!A:G,6,FALSE),0)</f>
        <v>0</v>
      </c>
      <c r="J134" s="3" t="str">
        <f>IF(IF(LEN(B134)=0,"",IFERROR(IF(VLOOKUP(B134,'OPTI Leadboard Last Week'!A:G,7,FALSE)-A134&gt;0,"+"&amp;VLOOKUP(B134,'OPTI Leadboard Last Week'!A:G,7,FALSE)-A134,"-"&amp;abs(VLOOKUP(B134,'OPTI Leadboard Last Week'!A:G,7,FALSE)-A134)),"NEW"))="-0","--",IF(LEN(B134)=0,"",IFERROR(IF(VLOOKUP(B134,'OPTI Leadboard Last Week'!A:G,7,FALSE)-A134&gt;0,"+"&amp;VLOOKUP(B134,'OPTI Leadboard Last Week'!A:G,7,FALSE)-A134,"-"&amp;abs(VLOOKUP(B134,'OPTI Leadboard Last Week'!A:G,7,FALSE)-A134)),"NEW")))</f>
        <v>-3</v>
      </c>
    </row>
    <row r="135">
      <c r="A135" s="5">
        <f t="shared" si="2"/>
        <v>134</v>
      </c>
      <c r="B135" s="3" t="str">
        <f>IFERROR(__xludf.DUMMYFUNCTION("""COMPUTED_VALUE"""),"Ryan Cochrane")</f>
        <v>Ryan Cochrane</v>
      </c>
      <c r="C135" s="3">
        <f>IFERROR(__xludf.DUMMYFUNCTION("""COMPUTED_VALUE"""),4.0)</f>
        <v>4</v>
      </c>
      <c r="D135" s="3"/>
      <c r="E135" s="3"/>
      <c r="F135" s="3">
        <f>IFERROR(__xludf.DUMMYFUNCTION("""COMPUTED_VALUE"""),1.0)</f>
        <v>1</v>
      </c>
      <c r="G135" s="3">
        <f>IFERROR(__xludf.DUMMYFUNCTION("""COMPUTED_VALUE"""),12.0)</f>
        <v>12</v>
      </c>
      <c r="H135" s="7">
        <f t="shared" si="1"/>
        <v>3</v>
      </c>
      <c r="I135" s="3">
        <f>G135-iferror(VLOOKUP(B135,'OPTI Leadboard Last Week'!A:G,6,FALSE),0)</f>
        <v>0</v>
      </c>
      <c r="J135" s="3" t="str">
        <f>IF(IF(LEN(B135)=0,"",IFERROR(IF(VLOOKUP(B135,'OPTI Leadboard Last Week'!A:G,7,FALSE)-A135&gt;0,"+"&amp;VLOOKUP(B135,'OPTI Leadboard Last Week'!A:G,7,FALSE)-A135,"-"&amp;abs(VLOOKUP(B135,'OPTI Leadboard Last Week'!A:G,7,FALSE)-A135)),"NEW"))="-0","--",IF(LEN(B135)=0,"",IFERROR(IF(VLOOKUP(B135,'OPTI Leadboard Last Week'!A:G,7,FALSE)-A135&gt;0,"+"&amp;VLOOKUP(B135,'OPTI Leadboard Last Week'!A:G,7,FALSE)-A135,"-"&amp;abs(VLOOKUP(B135,'OPTI Leadboard Last Week'!A:G,7,FALSE)-A135)),"NEW")))</f>
        <v>-3</v>
      </c>
    </row>
    <row r="136">
      <c r="A136" s="5">
        <f t="shared" si="2"/>
        <v>135</v>
      </c>
      <c r="B136" s="3" t="str">
        <f>IFERROR(__xludf.DUMMYFUNCTION("""COMPUTED_VALUE"""),"Sam Laidler")</f>
        <v>Sam Laidler</v>
      </c>
      <c r="C136" s="3">
        <f>IFERROR(__xludf.DUMMYFUNCTION("""COMPUTED_VALUE"""),3.0)</f>
        <v>3</v>
      </c>
      <c r="D136" s="3"/>
      <c r="E136" s="3"/>
      <c r="F136" s="3">
        <f>IFERROR(__xludf.DUMMYFUNCTION("""COMPUTED_VALUE"""),0.0)</f>
        <v>0</v>
      </c>
      <c r="G136" s="3">
        <f>IFERROR(__xludf.DUMMYFUNCTION("""COMPUTED_VALUE"""),12.0)</f>
        <v>12</v>
      </c>
      <c r="H136" s="7">
        <f t="shared" si="1"/>
        <v>4</v>
      </c>
      <c r="I136" s="3">
        <f>G136-iferror(VLOOKUP(B136,'OPTI Leadboard Last Week'!A:G,6,FALSE),0)</f>
        <v>0</v>
      </c>
      <c r="J136" s="3" t="str">
        <f>IF(IF(LEN(B136)=0,"",IFERROR(IF(VLOOKUP(B136,'OPTI Leadboard Last Week'!A:G,7,FALSE)-A136&gt;0,"+"&amp;VLOOKUP(B136,'OPTI Leadboard Last Week'!A:G,7,FALSE)-A136,"-"&amp;abs(VLOOKUP(B136,'OPTI Leadboard Last Week'!A:G,7,FALSE)-A136)),"NEW"))="-0","--",IF(LEN(B136)=0,"",IFERROR(IF(VLOOKUP(B136,'OPTI Leadboard Last Week'!A:G,7,FALSE)-A136&gt;0,"+"&amp;VLOOKUP(B136,'OPTI Leadboard Last Week'!A:G,7,FALSE)-A136,"-"&amp;abs(VLOOKUP(B136,'OPTI Leadboard Last Week'!A:G,7,FALSE)-A136)),"NEW")))</f>
        <v>-3</v>
      </c>
    </row>
    <row r="137">
      <c r="A137" s="5">
        <f t="shared" si="2"/>
        <v>136</v>
      </c>
      <c r="B137" s="3" t="str">
        <f>IFERROR(__xludf.DUMMYFUNCTION("""COMPUTED_VALUE"""),"Reiss Hutton")</f>
        <v>Reiss Hutton</v>
      </c>
      <c r="C137" s="3">
        <f>IFERROR(__xludf.DUMMYFUNCTION("""COMPUTED_VALUE"""),3.0)</f>
        <v>3</v>
      </c>
      <c r="D137" s="3">
        <f>IFERROR(__xludf.DUMMYFUNCTION("""COMPUTED_VALUE"""),1.0)</f>
        <v>1</v>
      </c>
      <c r="E137" s="3"/>
      <c r="F137" s="3">
        <f>IFERROR(__xludf.DUMMYFUNCTION("""COMPUTED_VALUE"""),0.0)</f>
        <v>0</v>
      </c>
      <c r="G137" s="3">
        <f>IFERROR(__xludf.DUMMYFUNCTION("""COMPUTED_VALUE"""),11.0)</f>
        <v>11</v>
      </c>
      <c r="H137" s="7">
        <f t="shared" si="1"/>
        <v>3.666666667</v>
      </c>
      <c r="I137" s="3">
        <f>G137-iferror(VLOOKUP(B137,'OPTI Leadboard Last Week'!A:G,6,FALSE),0)</f>
        <v>0</v>
      </c>
      <c r="J137" s="3" t="str">
        <f>IF(IF(LEN(B137)=0,"",IFERROR(IF(VLOOKUP(B137,'OPTI Leadboard Last Week'!A:G,7,FALSE)-A137&gt;0,"+"&amp;VLOOKUP(B137,'OPTI Leadboard Last Week'!A:G,7,FALSE)-A137,"-"&amp;abs(VLOOKUP(B137,'OPTI Leadboard Last Week'!A:G,7,FALSE)-A137)),"NEW"))="-0","--",IF(LEN(B137)=0,"",IFERROR(IF(VLOOKUP(B137,'OPTI Leadboard Last Week'!A:G,7,FALSE)-A137&gt;0,"+"&amp;VLOOKUP(B137,'OPTI Leadboard Last Week'!A:G,7,FALSE)-A137,"-"&amp;abs(VLOOKUP(B137,'OPTI Leadboard Last Week'!A:G,7,FALSE)-A137)),"NEW")))</f>
        <v>-2</v>
      </c>
    </row>
    <row r="138">
      <c r="A138" s="5">
        <f t="shared" si="2"/>
        <v>137</v>
      </c>
      <c r="B138" s="3" t="str">
        <f>IFERROR(__xludf.DUMMYFUNCTION("""COMPUTED_VALUE"""),"Shavon Muir")</f>
        <v>Shavon Muir</v>
      </c>
      <c r="C138" s="3">
        <f>IFERROR(__xludf.DUMMYFUNCTION("""COMPUTED_VALUE"""),3.0)</f>
        <v>3</v>
      </c>
      <c r="D138" s="3">
        <f>IFERROR(__xludf.DUMMYFUNCTION("""COMPUTED_VALUE"""),1.0)</f>
        <v>1</v>
      </c>
      <c r="E138" s="3"/>
      <c r="F138" s="3">
        <f>IFERROR(__xludf.DUMMYFUNCTION("""COMPUTED_VALUE"""),0.0)</f>
        <v>0</v>
      </c>
      <c r="G138" s="3">
        <f>IFERROR(__xludf.DUMMYFUNCTION("""COMPUTED_VALUE"""),11.0)</f>
        <v>11</v>
      </c>
      <c r="H138" s="7">
        <f t="shared" si="1"/>
        <v>3.666666667</v>
      </c>
      <c r="I138" s="3">
        <f>G138-iferror(VLOOKUP(B138,'OPTI Leadboard Last Week'!A:G,6,FALSE),0)</f>
        <v>0</v>
      </c>
      <c r="J138" s="3" t="str">
        <f>IF(IF(LEN(B138)=0,"",IFERROR(IF(VLOOKUP(B138,'OPTI Leadboard Last Week'!A:G,7,FALSE)-A138&gt;0,"+"&amp;VLOOKUP(B138,'OPTI Leadboard Last Week'!A:G,7,FALSE)-A138,"-"&amp;abs(VLOOKUP(B138,'OPTI Leadboard Last Week'!A:G,7,FALSE)-A138)),"NEW"))="-0","--",IF(LEN(B138)=0,"",IFERROR(IF(VLOOKUP(B138,'OPTI Leadboard Last Week'!A:G,7,FALSE)-A138&gt;0,"+"&amp;VLOOKUP(B138,'OPTI Leadboard Last Week'!A:G,7,FALSE)-A138,"-"&amp;abs(VLOOKUP(B138,'OPTI Leadboard Last Week'!A:G,7,FALSE)-A138)),"NEW")))</f>
        <v>-2</v>
      </c>
    </row>
    <row r="139">
      <c r="A139" s="5">
        <f t="shared" si="2"/>
        <v>138</v>
      </c>
      <c r="B139" s="3" t="str">
        <f>IFERROR(__xludf.DUMMYFUNCTION("""COMPUTED_VALUE"""),"Sid Nayaar")</f>
        <v>Sid Nayaar</v>
      </c>
      <c r="C139" s="3">
        <f>IFERROR(__xludf.DUMMYFUNCTION("""COMPUTED_VALUE"""),6.0)</f>
        <v>6</v>
      </c>
      <c r="D139" s="3"/>
      <c r="E139" s="3"/>
      <c r="F139" s="3">
        <f>IFERROR(__xludf.DUMMYFUNCTION("""COMPUTED_VALUE"""),0.0)</f>
        <v>0</v>
      </c>
      <c r="G139" s="3">
        <f>IFERROR(__xludf.DUMMYFUNCTION("""COMPUTED_VALUE"""),11.0)</f>
        <v>11</v>
      </c>
      <c r="H139" s="7">
        <f t="shared" si="1"/>
        <v>1.833333333</v>
      </c>
      <c r="I139" s="3">
        <f>G139-iferror(VLOOKUP(B139,'OPTI Leadboard Last Week'!A:G,6,FALSE),0)</f>
        <v>0</v>
      </c>
      <c r="J139" s="3" t="str">
        <f>IF(IF(LEN(B139)=0,"",IFERROR(IF(VLOOKUP(B139,'OPTI Leadboard Last Week'!A:G,7,FALSE)-A139&gt;0,"+"&amp;VLOOKUP(B139,'OPTI Leadboard Last Week'!A:G,7,FALSE)-A139,"-"&amp;abs(VLOOKUP(B139,'OPTI Leadboard Last Week'!A:G,7,FALSE)-A139)),"NEW"))="-0","--",IF(LEN(B139)=0,"",IFERROR(IF(VLOOKUP(B139,'OPTI Leadboard Last Week'!A:G,7,FALSE)-A139&gt;0,"+"&amp;VLOOKUP(B139,'OPTI Leadboard Last Week'!A:G,7,FALSE)-A139,"-"&amp;abs(VLOOKUP(B139,'OPTI Leadboard Last Week'!A:G,7,FALSE)-A139)),"NEW")))</f>
        <v>-2</v>
      </c>
    </row>
    <row r="140">
      <c r="A140" s="5">
        <f t="shared" si="2"/>
        <v>139</v>
      </c>
      <c r="B140" s="3" t="str">
        <f>IFERROR(__xludf.DUMMYFUNCTION("""COMPUTED_VALUE"""),"Matt Price")</f>
        <v>Matt Price</v>
      </c>
      <c r="C140" s="3">
        <f>IFERROR(__xludf.DUMMYFUNCTION("""COMPUTED_VALUE"""),1.0)</f>
        <v>1</v>
      </c>
      <c r="D140" s="3"/>
      <c r="E140" s="3">
        <f>IFERROR(__xludf.DUMMYFUNCTION("""COMPUTED_VALUE"""),1.0)</f>
        <v>1</v>
      </c>
      <c r="F140" s="3">
        <f>IFERROR(__xludf.DUMMYFUNCTION("""COMPUTED_VALUE"""),1.0)</f>
        <v>1</v>
      </c>
      <c r="G140" s="3">
        <f>IFERROR(__xludf.DUMMYFUNCTION("""COMPUTED_VALUE"""),10.0)</f>
        <v>10</v>
      </c>
      <c r="H140" s="7">
        <f t="shared" si="1"/>
        <v>10</v>
      </c>
      <c r="I140" s="3">
        <f>G140-iferror(VLOOKUP(B140,'OPTI Leadboard Last Week'!A:G,6,FALSE),0)</f>
        <v>0</v>
      </c>
      <c r="J140" s="3" t="str">
        <f>IF(IF(LEN(B140)=0,"",IFERROR(IF(VLOOKUP(B140,'OPTI Leadboard Last Week'!A:G,7,FALSE)-A140&gt;0,"+"&amp;VLOOKUP(B140,'OPTI Leadboard Last Week'!A:G,7,FALSE)-A140,"-"&amp;abs(VLOOKUP(B140,'OPTI Leadboard Last Week'!A:G,7,FALSE)-A140)),"NEW"))="-0","--",IF(LEN(B140)=0,"",IFERROR(IF(VLOOKUP(B140,'OPTI Leadboard Last Week'!A:G,7,FALSE)-A140&gt;0,"+"&amp;VLOOKUP(B140,'OPTI Leadboard Last Week'!A:G,7,FALSE)-A140,"-"&amp;abs(VLOOKUP(B140,'OPTI Leadboard Last Week'!A:G,7,FALSE)-A140)),"NEW")))</f>
        <v>-2</v>
      </c>
    </row>
    <row r="141">
      <c r="A141" s="5">
        <f t="shared" si="2"/>
        <v>140</v>
      </c>
      <c r="B141" s="3" t="str">
        <f>IFERROR(__xludf.DUMMYFUNCTION("""COMPUTED_VALUE"""),"Harry Calvesbert")</f>
        <v>Harry Calvesbert</v>
      </c>
      <c r="C141" s="3">
        <f>IFERROR(__xludf.DUMMYFUNCTION("""COMPUTED_VALUE"""),5.0)</f>
        <v>5</v>
      </c>
      <c r="D141" s="3"/>
      <c r="E141" s="3"/>
      <c r="F141" s="3">
        <f>IFERROR(__xludf.DUMMYFUNCTION("""COMPUTED_VALUE"""),0.0)</f>
        <v>0</v>
      </c>
      <c r="G141" s="3">
        <f>IFERROR(__xludf.DUMMYFUNCTION("""COMPUTED_VALUE"""),9.0)</f>
        <v>9</v>
      </c>
      <c r="H141" s="7">
        <f t="shared" si="1"/>
        <v>1.8</v>
      </c>
      <c r="I141" s="3">
        <f>G141-iferror(VLOOKUP(B141,'OPTI Leadboard Last Week'!A:G,6,FALSE),0)</f>
        <v>0</v>
      </c>
      <c r="J141" s="3" t="str">
        <f>IF(IF(LEN(B141)=0,"",IFERROR(IF(VLOOKUP(B141,'OPTI Leadboard Last Week'!A:G,7,FALSE)-A141&gt;0,"+"&amp;VLOOKUP(B141,'OPTI Leadboard Last Week'!A:G,7,FALSE)-A141,"-"&amp;abs(VLOOKUP(B141,'OPTI Leadboard Last Week'!A:G,7,FALSE)-A141)),"NEW"))="-0","--",IF(LEN(B141)=0,"",IFERROR(IF(VLOOKUP(B141,'OPTI Leadboard Last Week'!A:G,7,FALSE)-A141&gt;0,"+"&amp;VLOOKUP(B141,'OPTI Leadboard Last Week'!A:G,7,FALSE)-A141,"-"&amp;abs(VLOOKUP(B141,'OPTI Leadboard Last Week'!A:G,7,FALSE)-A141)),"NEW")))</f>
        <v>-2</v>
      </c>
    </row>
    <row r="142">
      <c r="A142" s="5">
        <f t="shared" si="2"/>
        <v>141</v>
      </c>
      <c r="B142" s="3" t="str">
        <f>IFERROR(__xludf.DUMMYFUNCTION("""COMPUTED_VALUE"""),"Joseph Smith")</f>
        <v>Joseph Smith</v>
      </c>
      <c r="C142" s="3">
        <f>IFERROR(__xludf.DUMMYFUNCTION("""COMPUTED_VALUE"""),5.0)</f>
        <v>5</v>
      </c>
      <c r="D142" s="3"/>
      <c r="E142" s="3"/>
      <c r="F142" s="3">
        <f>IFERROR(__xludf.DUMMYFUNCTION("""COMPUTED_VALUE"""),0.0)</f>
        <v>0</v>
      </c>
      <c r="G142" s="3">
        <f>IFERROR(__xludf.DUMMYFUNCTION("""COMPUTED_VALUE"""),9.0)</f>
        <v>9</v>
      </c>
      <c r="H142" s="7">
        <f t="shared" si="1"/>
        <v>1.8</v>
      </c>
      <c r="I142" s="3">
        <f>G142-iferror(VLOOKUP(B142,'OPTI Leadboard Last Week'!A:G,6,FALSE),0)</f>
        <v>0</v>
      </c>
      <c r="J142" s="3" t="str">
        <f>IF(IF(LEN(B142)=0,"",IFERROR(IF(VLOOKUP(B142,'OPTI Leadboard Last Week'!A:G,7,FALSE)-A142&gt;0,"+"&amp;VLOOKUP(B142,'OPTI Leadboard Last Week'!A:G,7,FALSE)-A142,"-"&amp;abs(VLOOKUP(B142,'OPTI Leadboard Last Week'!A:G,7,FALSE)-A142)),"NEW"))="-0","--",IF(LEN(B142)=0,"",IFERROR(IF(VLOOKUP(B142,'OPTI Leadboard Last Week'!A:G,7,FALSE)-A142&gt;0,"+"&amp;VLOOKUP(B142,'OPTI Leadboard Last Week'!A:G,7,FALSE)-A142,"-"&amp;abs(VLOOKUP(B142,'OPTI Leadboard Last Week'!A:G,7,FALSE)-A142)),"NEW")))</f>
        <v>-2</v>
      </c>
    </row>
    <row r="143">
      <c r="A143" s="5">
        <f t="shared" si="2"/>
        <v>142</v>
      </c>
      <c r="B143" s="3" t="str">
        <f>IFERROR(__xludf.DUMMYFUNCTION("""COMPUTED_VALUE"""),"Lawrence Asante")</f>
        <v>Lawrence Asante</v>
      </c>
      <c r="C143" s="3">
        <f>IFERROR(__xludf.DUMMYFUNCTION("""COMPUTED_VALUE"""),2.0)</f>
        <v>2</v>
      </c>
      <c r="D143" s="3">
        <f>IFERROR(__xludf.DUMMYFUNCTION("""COMPUTED_VALUE"""),1.0)</f>
        <v>1</v>
      </c>
      <c r="E143" s="3"/>
      <c r="F143" s="3">
        <f>IFERROR(__xludf.DUMMYFUNCTION("""COMPUTED_VALUE"""),0.0)</f>
        <v>0</v>
      </c>
      <c r="G143" s="3">
        <f>IFERROR(__xludf.DUMMYFUNCTION("""COMPUTED_VALUE"""),9.0)</f>
        <v>9</v>
      </c>
      <c r="H143" s="7">
        <f t="shared" si="1"/>
        <v>4.5</v>
      </c>
      <c r="I143" s="3">
        <f>G143-iferror(VLOOKUP(B143,'OPTI Leadboard Last Week'!A:G,6,FALSE),0)</f>
        <v>0</v>
      </c>
      <c r="J143" s="3" t="str">
        <f>IF(IF(LEN(B143)=0,"",IFERROR(IF(VLOOKUP(B143,'OPTI Leadboard Last Week'!A:G,7,FALSE)-A143&gt;0,"+"&amp;VLOOKUP(B143,'OPTI Leadboard Last Week'!A:G,7,FALSE)-A143,"-"&amp;abs(VLOOKUP(B143,'OPTI Leadboard Last Week'!A:G,7,FALSE)-A143)),"NEW"))="-0","--",IF(LEN(B143)=0,"",IFERROR(IF(VLOOKUP(B143,'OPTI Leadboard Last Week'!A:G,7,FALSE)-A143&gt;0,"+"&amp;VLOOKUP(B143,'OPTI Leadboard Last Week'!A:G,7,FALSE)-A143,"-"&amp;abs(VLOOKUP(B143,'OPTI Leadboard Last Week'!A:G,7,FALSE)-A143)),"NEW")))</f>
        <v>-2</v>
      </c>
    </row>
    <row r="144">
      <c r="A144" s="5">
        <f t="shared" si="2"/>
        <v>143</v>
      </c>
      <c r="B144" s="3" t="str">
        <f>IFERROR(__xludf.DUMMYFUNCTION("""COMPUTED_VALUE"""),"Matt Powell")</f>
        <v>Matt Powell</v>
      </c>
      <c r="C144" s="3">
        <f>IFERROR(__xludf.DUMMYFUNCTION("""COMPUTED_VALUE"""),5.0)</f>
        <v>5</v>
      </c>
      <c r="D144" s="3"/>
      <c r="E144" s="3"/>
      <c r="F144" s="3">
        <f>IFERROR(__xludf.DUMMYFUNCTION("""COMPUTED_VALUE"""),0.0)</f>
        <v>0</v>
      </c>
      <c r="G144" s="3">
        <f>IFERROR(__xludf.DUMMYFUNCTION("""COMPUTED_VALUE"""),9.0)</f>
        <v>9</v>
      </c>
      <c r="H144" s="7">
        <f t="shared" si="1"/>
        <v>1.8</v>
      </c>
      <c r="I144" s="3">
        <f>G144-iferror(VLOOKUP(B144,'OPTI Leadboard Last Week'!A:G,6,FALSE),0)</f>
        <v>0</v>
      </c>
      <c r="J144" s="3" t="str">
        <f>IF(IF(LEN(B144)=0,"",IFERROR(IF(VLOOKUP(B144,'OPTI Leadboard Last Week'!A:G,7,FALSE)-A144&gt;0,"+"&amp;VLOOKUP(B144,'OPTI Leadboard Last Week'!A:G,7,FALSE)-A144,"-"&amp;abs(VLOOKUP(B144,'OPTI Leadboard Last Week'!A:G,7,FALSE)-A144)),"NEW"))="-0","--",IF(LEN(B144)=0,"",IFERROR(IF(VLOOKUP(B144,'OPTI Leadboard Last Week'!A:G,7,FALSE)-A144&gt;0,"+"&amp;VLOOKUP(B144,'OPTI Leadboard Last Week'!A:G,7,FALSE)-A144,"-"&amp;abs(VLOOKUP(B144,'OPTI Leadboard Last Week'!A:G,7,FALSE)-A144)),"NEW")))</f>
        <v>-2</v>
      </c>
    </row>
    <row r="145">
      <c r="A145" s="5">
        <f t="shared" si="2"/>
        <v>144</v>
      </c>
      <c r="B145" s="3" t="str">
        <f>IFERROR(__xludf.DUMMYFUNCTION("""COMPUTED_VALUE"""),"Raj Ramful")</f>
        <v>Raj Ramful</v>
      </c>
      <c r="C145" s="3">
        <f>IFERROR(__xludf.DUMMYFUNCTION("""COMPUTED_VALUE"""),7.0)</f>
        <v>7</v>
      </c>
      <c r="D145" s="3"/>
      <c r="E145" s="3"/>
      <c r="F145" s="3">
        <f>IFERROR(__xludf.DUMMYFUNCTION("""COMPUTED_VALUE"""),0.0)</f>
        <v>0</v>
      </c>
      <c r="G145" s="3">
        <f>IFERROR(__xludf.DUMMYFUNCTION("""COMPUTED_VALUE"""),9.0)</f>
        <v>9</v>
      </c>
      <c r="H145" s="7">
        <f t="shared" si="1"/>
        <v>1.285714286</v>
      </c>
      <c r="I145" s="3">
        <f>G145-iferror(VLOOKUP(B145,'OPTI Leadboard Last Week'!A:G,6,FALSE),0)</f>
        <v>0</v>
      </c>
      <c r="J145" s="3" t="str">
        <f>IF(IF(LEN(B145)=0,"",IFERROR(IF(VLOOKUP(B145,'OPTI Leadboard Last Week'!A:G,7,FALSE)-A145&gt;0,"+"&amp;VLOOKUP(B145,'OPTI Leadboard Last Week'!A:G,7,FALSE)-A145,"-"&amp;abs(VLOOKUP(B145,'OPTI Leadboard Last Week'!A:G,7,FALSE)-A145)),"NEW"))="-0","--",IF(LEN(B145)=0,"",IFERROR(IF(VLOOKUP(B145,'OPTI Leadboard Last Week'!A:G,7,FALSE)-A145&gt;0,"+"&amp;VLOOKUP(B145,'OPTI Leadboard Last Week'!A:G,7,FALSE)-A145,"-"&amp;abs(VLOOKUP(B145,'OPTI Leadboard Last Week'!A:G,7,FALSE)-A145)),"NEW")))</f>
        <v>-2</v>
      </c>
    </row>
    <row r="146">
      <c r="A146" s="5">
        <f t="shared" si="2"/>
        <v>145</v>
      </c>
      <c r="B146" s="3" t="str">
        <f>IFERROR(__xludf.DUMMYFUNCTION("""COMPUTED_VALUE"""),"Rob Pritchard-Jones")</f>
        <v>Rob Pritchard-Jones</v>
      </c>
      <c r="C146" s="3">
        <f>IFERROR(__xludf.DUMMYFUNCTION("""COMPUTED_VALUE"""),2.0)</f>
        <v>2</v>
      </c>
      <c r="D146" s="3"/>
      <c r="E146" s="3">
        <f>IFERROR(__xludf.DUMMYFUNCTION("""COMPUTED_VALUE"""),2.0)</f>
        <v>2</v>
      </c>
      <c r="F146" s="3">
        <f>IFERROR(__xludf.DUMMYFUNCTION("""COMPUTED_VALUE"""),0.0)</f>
        <v>0</v>
      </c>
      <c r="G146" s="3">
        <f>IFERROR(__xludf.DUMMYFUNCTION("""COMPUTED_VALUE"""),9.0)</f>
        <v>9</v>
      </c>
      <c r="H146" s="7">
        <f t="shared" si="1"/>
        <v>4.5</v>
      </c>
      <c r="I146" s="3">
        <f>G146-iferror(VLOOKUP(B146,'OPTI Leadboard Last Week'!A:G,6,FALSE),0)</f>
        <v>0</v>
      </c>
      <c r="J146" s="3" t="str">
        <f>IF(IF(LEN(B146)=0,"",IFERROR(IF(VLOOKUP(B146,'OPTI Leadboard Last Week'!A:G,7,FALSE)-A146&gt;0,"+"&amp;VLOOKUP(B146,'OPTI Leadboard Last Week'!A:G,7,FALSE)-A146,"-"&amp;abs(VLOOKUP(B146,'OPTI Leadboard Last Week'!A:G,7,FALSE)-A146)),"NEW"))="-0","--",IF(LEN(B146)=0,"",IFERROR(IF(VLOOKUP(B146,'OPTI Leadboard Last Week'!A:G,7,FALSE)-A146&gt;0,"+"&amp;VLOOKUP(B146,'OPTI Leadboard Last Week'!A:G,7,FALSE)-A146,"-"&amp;abs(VLOOKUP(B146,'OPTI Leadboard Last Week'!A:G,7,FALSE)-A146)),"NEW")))</f>
        <v>-2</v>
      </c>
    </row>
    <row r="147">
      <c r="A147" s="5">
        <f t="shared" si="2"/>
        <v>146</v>
      </c>
      <c r="B147" s="3" t="str">
        <f>IFERROR(__xludf.DUMMYFUNCTION("""COMPUTED_VALUE"""),"Chris Lang")</f>
        <v>Chris Lang</v>
      </c>
      <c r="C147" s="3">
        <f>IFERROR(__xludf.DUMMYFUNCTION("""COMPUTED_VALUE"""),3.0)</f>
        <v>3</v>
      </c>
      <c r="D147" s="3"/>
      <c r="E147" s="3">
        <f>IFERROR(__xludf.DUMMYFUNCTION("""COMPUTED_VALUE"""),1.0)</f>
        <v>1</v>
      </c>
      <c r="F147" s="3">
        <f>IFERROR(__xludf.DUMMYFUNCTION("""COMPUTED_VALUE"""),0.0)</f>
        <v>0</v>
      </c>
      <c r="G147" s="3">
        <f>IFERROR(__xludf.DUMMYFUNCTION("""COMPUTED_VALUE"""),8.0)</f>
        <v>8</v>
      </c>
      <c r="H147" s="7">
        <f t="shared" si="1"/>
        <v>2.666666667</v>
      </c>
      <c r="I147" s="3">
        <f>G147-iferror(VLOOKUP(B147,'OPTI Leadboard Last Week'!A:G,6,FALSE),0)</f>
        <v>0</v>
      </c>
      <c r="J147" s="3" t="str">
        <f>IF(IF(LEN(B147)=0,"",IFERROR(IF(VLOOKUP(B147,'OPTI Leadboard Last Week'!A:G,7,FALSE)-A147&gt;0,"+"&amp;VLOOKUP(B147,'OPTI Leadboard Last Week'!A:G,7,FALSE)-A147,"-"&amp;abs(VLOOKUP(B147,'OPTI Leadboard Last Week'!A:G,7,FALSE)-A147)),"NEW"))="-0","--",IF(LEN(B147)=0,"",IFERROR(IF(VLOOKUP(B147,'OPTI Leadboard Last Week'!A:G,7,FALSE)-A147&gt;0,"+"&amp;VLOOKUP(B147,'OPTI Leadboard Last Week'!A:G,7,FALSE)-A147,"-"&amp;abs(VLOOKUP(B147,'OPTI Leadboard Last Week'!A:G,7,FALSE)-A147)),"NEW")))</f>
        <v>-2</v>
      </c>
    </row>
    <row r="148">
      <c r="A148" s="5">
        <f t="shared" si="2"/>
        <v>147</v>
      </c>
      <c r="B148" s="3" t="str">
        <f>IFERROR(__xludf.DUMMYFUNCTION("""COMPUTED_VALUE"""),"Dereece Pinder")</f>
        <v>Dereece Pinder</v>
      </c>
      <c r="C148" s="3">
        <f>IFERROR(__xludf.DUMMYFUNCTION("""COMPUTED_VALUE"""),1.0)</f>
        <v>1</v>
      </c>
      <c r="D148" s="3"/>
      <c r="E148" s="3"/>
      <c r="F148" s="3">
        <f>IFERROR(__xludf.DUMMYFUNCTION("""COMPUTED_VALUE"""),0.0)</f>
        <v>0</v>
      </c>
      <c r="G148" s="3">
        <f>IFERROR(__xludf.DUMMYFUNCTION("""COMPUTED_VALUE"""),8.0)</f>
        <v>8</v>
      </c>
      <c r="H148" s="7">
        <f t="shared" si="1"/>
        <v>8</v>
      </c>
      <c r="I148" s="3">
        <f>G148-iferror(VLOOKUP(B148,'OPTI Leadboard Last Week'!A:G,6,FALSE),0)</f>
        <v>0</v>
      </c>
      <c r="J148" s="3" t="str">
        <f>IF(IF(LEN(B148)=0,"",IFERROR(IF(VLOOKUP(B148,'OPTI Leadboard Last Week'!A:G,7,FALSE)-A148&gt;0,"+"&amp;VLOOKUP(B148,'OPTI Leadboard Last Week'!A:G,7,FALSE)-A148,"-"&amp;abs(VLOOKUP(B148,'OPTI Leadboard Last Week'!A:G,7,FALSE)-A148)),"NEW"))="-0","--",IF(LEN(B148)=0,"",IFERROR(IF(VLOOKUP(B148,'OPTI Leadboard Last Week'!A:G,7,FALSE)-A148&gt;0,"+"&amp;VLOOKUP(B148,'OPTI Leadboard Last Week'!A:G,7,FALSE)-A148,"-"&amp;abs(VLOOKUP(B148,'OPTI Leadboard Last Week'!A:G,7,FALSE)-A148)),"NEW")))</f>
        <v>-2</v>
      </c>
    </row>
    <row r="149">
      <c r="A149" s="5">
        <f t="shared" si="2"/>
        <v>148</v>
      </c>
      <c r="B149" s="3" t="str">
        <f>IFERROR(__xludf.DUMMYFUNCTION("""COMPUTED_VALUE"""),"Jack Butcher")</f>
        <v>Jack Butcher</v>
      </c>
      <c r="C149" s="3">
        <f>IFERROR(__xludf.DUMMYFUNCTION("""COMPUTED_VALUE"""),3.0)</f>
        <v>3</v>
      </c>
      <c r="D149" s="3"/>
      <c r="E149" s="3">
        <f>IFERROR(__xludf.DUMMYFUNCTION("""COMPUTED_VALUE"""),1.0)</f>
        <v>1</v>
      </c>
      <c r="F149" s="3">
        <f>IFERROR(__xludf.DUMMYFUNCTION("""COMPUTED_VALUE"""),0.0)</f>
        <v>0</v>
      </c>
      <c r="G149" s="3">
        <f>IFERROR(__xludf.DUMMYFUNCTION("""COMPUTED_VALUE"""),8.0)</f>
        <v>8</v>
      </c>
      <c r="H149" s="7">
        <f t="shared" si="1"/>
        <v>2.666666667</v>
      </c>
      <c r="I149" s="3">
        <f>G149-iferror(VLOOKUP(B149,'OPTI Leadboard Last Week'!A:G,6,FALSE),0)</f>
        <v>0</v>
      </c>
      <c r="J149" s="3" t="str">
        <f>IF(IF(LEN(B149)=0,"",IFERROR(IF(VLOOKUP(B149,'OPTI Leadboard Last Week'!A:G,7,FALSE)-A149&gt;0,"+"&amp;VLOOKUP(B149,'OPTI Leadboard Last Week'!A:G,7,FALSE)-A149,"-"&amp;abs(VLOOKUP(B149,'OPTI Leadboard Last Week'!A:G,7,FALSE)-A149)),"NEW"))="-0","--",IF(LEN(B149)=0,"",IFERROR(IF(VLOOKUP(B149,'OPTI Leadboard Last Week'!A:G,7,FALSE)-A149&gt;0,"+"&amp;VLOOKUP(B149,'OPTI Leadboard Last Week'!A:G,7,FALSE)-A149,"-"&amp;abs(VLOOKUP(B149,'OPTI Leadboard Last Week'!A:G,7,FALSE)-A149)),"NEW")))</f>
        <v>-2</v>
      </c>
    </row>
    <row r="150">
      <c r="A150" s="5">
        <f t="shared" si="2"/>
        <v>149</v>
      </c>
      <c r="B150" s="3" t="str">
        <f>IFERROR(__xludf.DUMMYFUNCTION("""COMPUTED_VALUE"""),"Phil Boden")</f>
        <v>Phil Boden</v>
      </c>
      <c r="C150" s="3">
        <f>IFERROR(__xludf.DUMMYFUNCTION("""COMPUTED_VALUE"""),4.0)</f>
        <v>4</v>
      </c>
      <c r="D150" s="3"/>
      <c r="E150" s="3"/>
      <c r="F150" s="3">
        <f>IFERROR(__xludf.DUMMYFUNCTION("""COMPUTED_VALUE"""),0.0)</f>
        <v>0</v>
      </c>
      <c r="G150" s="3">
        <f>IFERROR(__xludf.DUMMYFUNCTION("""COMPUTED_VALUE"""),8.0)</f>
        <v>8</v>
      </c>
      <c r="H150" s="7">
        <f t="shared" si="1"/>
        <v>2</v>
      </c>
      <c r="I150" s="3">
        <f>G150-iferror(VLOOKUP(B150,'OPTI Leadboard Last Week'!A:G,6,FALSE),0)</f>
        <v>0</v>
      </c>
      <c r="J150" s="3" t="str">
        <f>IF(IF(LEN(B150)=0,"",IFERROR(IF(VLOOKUP(B150,'OPTI Leadboard Last Week'!A:G,7,FALSE)-A150&gt;0,"+"&amp;VLOOKUP(B150,'OPTI Leadboard Last Week'!A:G,7,FALSE)-A150,"-"&amp;abs(VLOOKUP(B150,'OPTI Leadboard Last Week'!A:G,7,FALSE)-A150)),"NEW"))="-0","--",IF(LEN(B150)=0,"",IFERROR(IF(VLOOKUP(B150,'OPTI Leadboard Last Week'!A:G,7,FALSE)-A150&gt;0,"+"&amp;VLOOKUP(B150,'OPTI Leadboard Last Week'!A:G,7,FALSE)-A150,"-"&amp;abs(VLOOKUP(B150,'OPTI Leadboard Last Week'!A:G,7,FALSE)-A150)),"NEW")))</f>
        <v>-2</v>
      </c>
    </row>
    <row r="151">
      <c r="A151" s="5">
        <f t="shared" si="2"/>
        <v>150</v>
      </c>
      <c r="B151" s="3" t="str">
        <f>IFERROR(__xludf.DUMMYFUNCTION("""COMPUTED_VALUE"""),"Cameron Hildebrandt-Brooks")</f>
        <v>Cameron Hildebrandt-Brooks</v>
      </c>
      <c r="C151" s="3">
        <f>IFERROR(__xludf.DUMMYFUNCTION("""COMPUTED_VALUE"""),7.0)</f>
        <v>7</v>
      </c>
      <c r="D151" s="3"/>
      <c r="E151" s="3"/>
      <c r="F151" s="3">
        <f>IFERROR(__xludf.DUMMYFUNCTION("""COMPUTED_VALUE"""),0.0)</f>
        <v>0</v>
      </c>
      <c r="G151" s="3">
        <f>IFERROR(__xludf.DUMMYFUNCTION("""COMPUTED_VALUE"""),7.0)</f>
        <v>7</v>
      </c>
      <c r="H151" s="7">
        <f t="shared" si="1"/>
        <v>1</v>
      </c>
      <c r="I151" s="3">
        <f>G151-iferror(VLOOKUP(B151,'OPTI Leadboard Last Week'!A:G,6,FALSE),0)</f>
        <v>0</v>
      </c>
      <c r="J151" s="3" t="str">
        <f>IF(IF(LEN(B151)=0,"",IFERROR(IF(VLOOKUP(B151,'OPTI Leadboard Last Week'!A:G,7,FALSE)-A151&gt;0,"+"&amp;VLOOKUP(B151,'OPTI Leadboard Last Week'!A:G,7,FALSE)-A151,"-"&amp;abs(VLOOKUP(B151,'OPTI Leadboard Last Week'!A:G,7,FALSE)-A151)),"NEW"))="-0","--",IF(LEN(B151)=0,"",IFERROR(IF(VLOOKUP(B151,'OPTI Leadboard Last Week'!A:G,7,FALSE)-A151&gt;0,"+"&amp;VLOOKUP(B151,'OPTI Leadboard Last Week'!A:G,7,FALSE)-A151,"-"&amp;abs(VLOOKUP(B151,'OPTI Leadboard Last Week'!A:G,7,FALSE)-A151)),"NEW")))</f>
        <v>-2</v>
      </c>
    </row>
    <row r="152">
      <c r="A152" s="5">
        <f t="shared" si="2"/>
        <v>151</v>
      </c>
      <c r="B152" s="3" t="str">
        <f>IFERROR(__xludf.DUMMYFUNCTION("""COMPUTED_VALUE"""),"Dean Wright")</f>
        <v>Dean Wright</v>
      </c>
      <c r="C152" s="3">
        <f>IFERROR(__xludf.DUMMYFUNCTION("""COMPUTED_VALUE"""),5.0)</f>
        <v>5</v>
      </c>
      <c r="D152" s="3"/>
      <c r="E152" s="3">
        <f>IFERROR(__xludf.DUMMYFUNCTION("""COMPUTED_VALUE"""),1.0)</f>
        <v>1</v>
      </c>
      <c r="F152" s="3">
        <f>IFERROR(__xludf.DUMMYFUNCTION("""COMPUTED_VALUE"""),0.0)</f>
        <v>0</v>
      </c>
      <c r="G152" s="3">
        <f>IFERROR(__xludf.DUMMYFUNCTION("""COMPUTED_VALUE"""),7.0)</f>
        <v>7</v>
      </c>
      <c r="H152" s="7">
        <f t="shared" si="1"/>
        <v>1.4</v>
      </c>
      <c r="I152" s="3">
        <f>G152-iferror(VLOOKUP(B152,'OPTI Leadboard Last Week'!A:G,6,FALSE),0)</f>
        <v>0</v>
      </c>
      <c r="J152" s="3" t="str">
        <f>IF(IF(LEN(B152)=0,"",IFERROR(IF(VLOOKUP(B152,'OPTI Leadboard Last Week'!A:G,7,FALSE)-A152&gt;0,"+"&amp;VLOOKUP(B152,'OPTI Leadboard Last Week'!A:G,7,FALSE)-A152,"-"&amp;abs(VLOOKUP(B152,'OPTI Leadboard Last Week'!A:G,7,FALSE)-A152)),"NEW"))="-0","--",IF(LEN(B152)=0,"",IFERROR(IF(VLOOKUP(B152,'OPTI Leadboard Last Week'!A:G,7,FALSE)-A152&gt;0,"+"&amp;VLOOKUP(B152,'OPTI Leadboard Last Week'!A:G,7,FALSE)-A152,"-"&amp;abs(VLOOKUP(B152,'OPTI Leadboard Last Week'!A:G,7,FALSE)-A152)),"NEW")))</f>
        <v>-2</v>
      </c>
    </row>
    <row r="153">
      <c r="A153" s="5">
        <f t="shared" si="2"/>
        <v>152</v>
      </c>
      <c r="B153" s="3" t="str">
        <f>IFERROR(__xludf.DUMMYFUNCTION("""COMPUTED_VALUE"""),"Jordan Davis")</f>
        <v>Jordan Davis</v>
      </c>
      <c r="C153" s="3">
        <f>IFERROR(__xludf.DUMMYFUNCTION("""COMPUTED_VALUE"""),4.0)</f>
        <v>4</v>
      </c>
      <c r="D153" s="3"/>
      <c r="E153" s="3"/>
      <c r="F153" s="3">
        <f>IFERROR(__xludf.DUMMYFUNCTION("""COMPUTED_VALUE"""),0.0)</f>
        <v>0</v>
      </c>
      <c r="G153" s="3">
        <f>IFERROR(__xludf.DUMMYFUNCTION("""COMPUTED_VALUE"""),7.0)</f>
        <v>7</v>
      </c>
      <c r="H153" s="7">
        <f t="shared" si="1"/>
        <v>1.75</v>
      </c>
      <c r="I153" s="3">
        <f>G153-iferror(VLOOKUP(B153,'OPTI Leadboard Last Week'!A:G,6,FALSE),0)</f>
        <v>0</v>
      </c>
      <c r="J153" s="3" t="str">
        <f>IF(IF(LEN(B153)=0,"",IFERROR(IF(VLOOKUP(B153,'OPTI Leadboard Last Week'!A:G,7,FALSE)-A153&gt;0,"+"&amp;VLOOKUP(B153,'OPTI Leadboard Last Week'!A:G,7,FALSE)-A153,"-"&amp;abs(VLOOKUP(B153,'OPTI Leadboard Last Week'!A:G,7,FALSE)-A153)),"NEW"))="-0","--",IF(LEN(B153)=0,"",IFERROR(IF(VLOOKUP(B153,'OPTI Leadboard Last Week'!A:G,7,FALSE)-A153&gt;0,"+"&amp;VLOOKUP(B153,'OPTI Leadboard Last Week'!A:G,7,FALSE)-A153,"-"&amp;abs(VLOOKUP(B153,'OPTI Leadboard Last Week'!A:G,7,FALSE)-A153)),"NEW")))</f>
        <v>-2</v>
      </c>
    </row>
    <row r="154">
      <c r="A154" s="5">
        <f t="shared" si="2"/>
        <v>153</v>
      </c>
      <c r="B154" s="3" t="str">
        <f>IFERROR(__xludf.DUMMYFUNCTION("""COMPUTED_VALUE"""),"Fraser Wylie")</f>
        <v>Fraser Wylie</v>
      </c>
      <c r="C154" s="3">
        <f>IFERROR(__xludf.DUMMYFUNCTION("""COMPUTED_VALUE"""),3.0)</f>
        <v>3</v>
      </c>
      <c r="D154" s="3"/>
      <c r="E154" s="3"/>
      <c r="F154" s="3">
        <f>IFERROR(__xludf.DUMMYFUNCTION("""COMPUTED_VALUE"""),0.0)</f>
        <v>0</v>
      </c>
      <c r="G154" s="3">
        <f>IFERROR(__xludf.DUMMYFUNCTION("""COMPUTED_VALUE"""),6.0)</f>
        <v>6</v>
      </c>
      <c r="H154" s="7">
        <f t="shared" si="1"/>
        <v>2</v>
      </c>
      <c r="I154" s="3">
        <f>G154-iferror(VLOOKUP(B154,'OPTI Leadboard Last Week'!A:G,6,FALSE),0)</f>
        <v>0</v>
      </c>
      <c r="J154" s="3" t="str">
        <f>IF(IF(LEN(B154)=0,"",IFERROR(IF(VLOOKUP(B154,'OPTI Leadboard Last Week'!A:G,7,FALSE)-A154&gt;0,"+"&amp;VLOOKUP(B154,'OPTI Leadboard Last Week'!A:G,7,FALSE)-A154,"-"&amp;abs(VLOOKUP(B154,'OPTI Leadboard Last Week'!A:G,7,FALSE)-A154)),"NEW"))="-0","--",IF(LEN(B154)=0,"",IFERROR(IF(VLOOKUP(B154,'OPTI Leadboard Last Week'!A:G,7,FALSE)-A154&gt;0,"+"&amp;VLOOKUP(B154,'OPTI Leadboard Last Week'!A:G,7,FALSE)-A154,"-"&amp;abs(VLOOKUP(B154,'OPTI Leadboard Last Week'!A:G,7,FALSE)-A154)),"NEW")))</f>
        <v>-2</v>
      </c>
    </row>
    <row r="155">
      <c r="A155" s="5">
        <f t="shared" si="2"/>
        <v>154</v>
      </c>
      <c r="B155" s="3" t="str">
        <f>IFERROR(__xludf.DUMMYFUNCTION("""COMPUTED_VALUE"""),"Leigh Cremin")</f>
        <v>Leigh Cremin</v>
      </c>
      <c r="C155" s="3">
        <f>IFERROR(__xludf.DUMMYFUNCTION("""COMPUTED_VALUE"""),3.0)</f>
        <v>3</v>
      </c>
      <c r="D155" s="3"/>
      <c r="E155" s="3">
        <f>IFERROR(__xludf.DUMMYFUNCTION("""COMPUTED_VALUE"""),1.0)</f>
        <v>1</v>
      </c>
      <c r="F155" s="3">
        <f>IFERROR(__xludf.DUMMYFUNCTION("""COMPUTED_VALUE"""),0.0)</f>
        <v>0</v>
      </c>
      <c r="G155" s="3">
        <f>IFERROR(__xludf.DUMMYFUNCTION("""COMPUTED_VALUE"""),6.0)</f>
        <v>6</v>
      </c>
      <c r="H155" s="7">
        <f t="shared" si="1"/>
        <v>2</v>
      </c>
      <c r="I155" s="3">
        <f>G155-iferror(VLOOKUP(B155,'OPTI Leadboard Last Week'!A:G,6,FALSE),0)</f>
        <v>0</v>
      </c>
      <c r="J155" s="3" t="str">
        <f>IF(IF(LEN(B155)=0,"",IFERROR(IF(VLOOKUP(B155,'OPTI Leadboard Last Week'!A:G,7,FALSE)-A155&gt;0,"+"&amp;VLOOKUP(B155,'OPTI Leadboard Last Week'!A:G,7,FALSE)-A155,"-"&amp;abs(VLOOKUP(B155,'OPTI Leadboard Last Week'!A:G,7,FALSE)-A155)),"NEW"))="-0","--",IF(LEN(B155)=0,"",IFERROR(IF(VLOOKUP(B155,'OPTI Leadboard Last Week'!A:G,7,FALSE)-A155&gt;0,"+"&amp;VLOOKUP(B155,'OPTI Leadboard Last Week'!A:G,7,FALSE)-A155,"-"&amp;abs(VLOOKUP(B155,'OPTI Leadboard Last Week'!A:G,7,FALSE)-A155)),"NEW")))</f>
        <v>-1</v>
      </c>
    </row>
    <row r="156">
      <c r="A156" s="5">
        <f t="shared" si="2"/>
        <v>155</v>
      </c>
      <c r="B156" s="3" t="str">
        <f>IFERROR(__xludf.DUMMYFUNCTION("""COMPUTED_VALUE"""),"Olly Mason")</f>
        <v>Olly Mason</v>
      </c>
      <c r="C156" s="3">
        <f>IFERROR(__xludf.DUMMYFUNCTION("""COMPUTED_VALUE"""),3.0)</f>
        <v>3</v>
      </c>
      <c r="D156" s="3"/>
      <c r="E156" s="3"/>
      <c r="F156" s="3">
        <f>IFERROR(__xludf.DUMMYFUNCTION("""COMPUTED_VALUE"""),0.0)</f>
        <v>0</v>
      </c>
      <c r="G156" s="3">
        <f>IFERROR(__xludf.DUMMYFUNCTION("""COMPUTED_VALUE"""),6.0)</f>
        <v>6</v>
      </c>
      <c r="H156" s="7">
        <f t="shared" si="1"/>
        <v>2</v>
      </c>
      <c r="I156" s="3">
        <f>G156-iferror(VLOOKUP(B156,'OPTI Leadboard Last Week'!A:G,6,FALSE),0)</f>
        <v>0</v>
      </c>
      <c r="J156" s="3" t="str">
        <f>IF(IF(LEN(B156)=0,"",IFERROR(IF(VLOOKUP(B156,'OPTI Leadboard Last Week'!A:G,7,FALSE)-A156&gt;0,"+"&amp;VLOOKUP(B156,'OPTI Leadboard Last Week'!A:G,7,FALSE)-A156,"-"&amp;abs(VLOOKUP(B156,'OPTI Leadboard Last Week'!A:G,7,FALSE)-A156)),"NEW"))="-0","--",IF(LEN(B156)=0,"",IFERROR(IF(VLOOKUP(B156,'OPTI Leadboard Last Week'!A:G,7,FALSE)-A156&gt;0,"+"&amp;VLOOKUP(B156,'OPTI Leadboard Last Week'!A:G,7,FALSE)-A156,"-"&amp;abs(VLOOKUP(B156,'OPTI Leadboard Last Week'!A:G,7,FALSE)-A156)),"NEW")))</f>
        <v>-1</v>
      </c>
    </row>
    <row r="157">
      <c r="A157" s="5">
        <f t="shared" si="2"/>
        <v>156</v>
      </c>
      <c r="B157" s="3" t="str">
        <f>IFERROR(__xludf.DUMMYFUNCTION("""COMPUTED_VALUE"""),"Al Humphrey")</f>
        <v>Al Humphrey</v>
      </c>
      <c r="C157" s="3">
        <f>IFERROR(__xludf.DUMMYFUNCTION("""COMPUTED_VALUE"""),1.0)</f>
        <v>1</v>
      </c>
      <c r="D157" s="3"/>
      <c r="E157" s="3">
        <f>IFERROR(__xludf.DUMMYFUNCTION("""COMPUTED_VALUE"""),1.0)</f>
        <v>1</v>
      </c>
      <c r="F157" s="3">
        <f>IFERROR(__xludf.DUMMYFUNCTION("""COMPUTED_VALUE"""),0.0)</f>
        <v>0</v>
      </c>
      <c r="G157" s="3">
        <f>IFERROR(__xludf.DUMMYFUNCTION("""COMPUTED_VALUE"""),5.0)</f>
        <v>5</v>
      </c>
      <c r="H157" s="7">
        <f t="shared" si="1"/>
        <v>5</v>
      </c>
      <c r="I157" s="3">
        <f>G157-iferror(VLOOKUP(B157,'OPTI Leadboard Last Week'!A:G,6,FALSE),0)</f>
        <v>0</v>
      </c>
      <c r="J157" s="3" t="str">
        <f>IF(IF(LEN(B157)=0,"",IFERROR(IF(VLOOKUP(B157,'OPTI Leadboard Last Week'!A:G,7,FALSE)-A157&gt;0,"+"&amp;VLOOKUP(B157,'OPTI Leadboard Last Week'!A:G,7,FALSE)-A157,"-"&amp;abs(VLOOKUP(B157,'OPTI Leadboard Last Week'!A:G,7,FALSE)-A157)),"NEW"))="-0","--",IF(LEN(B157)=0,"",IFERROR(IF(VLOOKUP(B157,'OPTI Leadboard Last Week'!A:G,7,FALSE)-A157&gt;0,"+"&amp;VLOOKUP(B157,'OPTI Leadboard Last Week'!A:G,7,FALSE)-A157,"-"&amp;abs(VLOOKUP(B157,'OPTI Leadboard Last Week'!A:G,7,FALSE)-A157)),"NEW")))</f>
        <v>-1</v>
      </c>
    </row>
    <row r="158">
      <c r="A158" s="5">
        <f t="shared" si="2"/>
        <v>157</v>
      </c>
      <c r="B158" s="3" t="str">
        <f>IFERROR(__xludf.DUMMYFUNCTION("""COMPUTED_VALUE"""),"Charlie Heptinstall")</f>
        <v>Charlie Heptinstall</v>
      </c>
      <c r="C158" s="3">
        <f>IFERROR(__xludf.DUMMYFUNCTION("""COMPUTED_VALUE"""),4.0)</f>
        <v>4</v>
      </c>
      <c r="D158" s="3"/>
      <c r="E158" s="3"/>
      <c r="F158" s="3">
        <f>IFERROR(__xludf.DUMMYFUNCTION("""COMPUTED_VALUE"""),0.0)</f>
        <v>0</v>
      </c>
      <c r="G158" s="3">
        <f>IFERROR(__xludf.DUMMYFUNCTION("""COMPUTED_VALUE"""),5.0)</f>
        <v>5</v>
      </c>
      <c r="H158" s="7">
        <f t="shared" si="1"/>
        <v>1.25</v>
      </c>
      <c r="I158" s="3">
        <f>G158-iferror(VLOOKUP(B158,'OPTI Leadboard Last Week'!A:G,6,FALSE),0)</f>
        <v>0</v>
      </c>
      <c r="J158" s="3" t="str">
        <f>IF(IF(LEN(B158)=0,"",IFERROR(IF(VLOOKUP(B158,'OPTI Leadboard Last Week'!A:G,7,FALSE)-A158&gt;0,"+"&amp;VLOOKUP(B158,'OPTI Leadboard Last Week'!A:G,7,FALSE)-A158,"-"&amp;abs(VLOOKUP(B158,'OPTI Leadboard Last Week'!A:G,7,FALSE)-A158)),"NEW"))="-0","--",IF(LEN(B158)=0,"",IFERROR(IF(VLOOKUP(B158,'OPTI Leadboard Last Week'!A:G,7,FALSE)-A158&gt;0,"+"&amp;VLOOKUP(B158,'OPTI Leadboard Last Week'!A:G,7,FALSE)-A158,"-"&amp;abs(VLOOKUP(B158,'OPTI Leadboard Last Week'!A:G,7,FALSE)-A158)),"NEW")))</f>
        <v>-1</v>
      </c>
    </row>
    <row r="159">
      <c r="A159" s="5">
        <f t="shared" si="2"/>
        <v>158</v>
      </c>
      <c r="B159" s="3" t="str">
        <f>IFERROR(__xludf.DUMMYFUNCTION("""COMPUTED_VALUE"""),"Chris Weir")</f>
        <v>Chris Weir</v>
      </c>
      <c r="C159" s="3">
        <f>IFERROR(__xludf.DUMMYFUNCTION("""COMPUTED_VALUE"""),3.0)</f>
        <v>3</v>
      </c>
      <c r="D159" s="3"/>
      <c r="E159" s="3"/>
      <c r="F159" s="3">
        <f>IFERROR(__xludf.DUMMYFUNCTION("""COMPUTED_VALUE"""),0.0)</f>
        <v>0</v>
      </c>
      <c r="G159" s="3">
        <f>IFERROR(__xludf.DUMMYFUNCTION("""COMPUTED_VALUE"""),5.0)</f>
        <v>5</v>
      </c>
      <c r="H159" s="7">
        <f t="shared" si="1"/>
        <v>1.666666667</v>
      </c>
      <c r="I159" s="3">
        <f>G159-iferror(VLOOKUP(B159,'OPTI Leadboard Last Week'!A:G,6,FALSE),0)</f>
        <v>0</v>
      </c>
      <c r="J159" s="3" t="str">
        <f>IF(IF(LEN(B159)=0,"",IFERROR(IF(VLOOKUP(B159,'OPTI Leadboard Last Week'!A:G,7,FALSE)-A159&gt;0,"+"&amp;VLOOKUP(B159,'OPTI Leadboard Last Week'!A:G,7,FALSE)-A159,"-"&amp;abs(VLOOKUP(B159,'OPTI Leadboard Last Week'!A:G,7,FALSE)-A159)),"NEW"))="-0","--",IF(LEN(B159)=0,"",IFERROR(IF(VLOOKUP(B159,'OPTI Leadboard Last Week'!A:G,7,FALSE)-A159&gt;0,"+"&amp;VLOOKUP(B159,'OPTI Leadboard Last Week'!A:G,7,FALSE)-A159,"-"&amp;abs(VLOOKUP(B159,'OPTI Leadboard Last Week'!A:G,7,FALSE)-A159)),"NEW")))</f>
        <v>-1</v>
      </c>
    </row>
    <row r="160">
      <c r="A160" s="5">
        <f t="shared" si="2"/>
        <v>159</v>
      </c>
      <c r="B160" s="3" t="str">
        <f>IFERROR(__xludf.DUMMYFUNCTION("""COMPUTED_VALUE"""),"Dave Webster")</f>
        <v>Dave Webster</v>
      </c>
      <c r="C160" s="3">
        <f>IFERROR(__xludf.DUMMYFUNCTION("""COMPUTED_VALUE"""),1.0)</f>
        <v>1</v>
      </c>
      <c r="D160" s="3"/>
      <c r="E160" s="3">
        <f>IFERROR(__xludf.DUMMYFUNCTION("""COMPUTED_VALUE"""),1.0)</f>
        <v>1</v>
      </c>
      <c r="F160" s="3">
        <f>IFERROR(__xludf.DUMMYFUNCTION("""COMPUTED_VALUE"""),0.0)</f>
        <v>0</v>
      </c>
      <c r="G160" s="3">
        <f>IFERROR(__xludf.DUMMYFUNCTION("""COMPUTED_VALUE"""),5.0)</f>
        <v>5</v>
      </c>
      <c r="H160" s="7">
        <f t="shared" si="1"/>
        <v>5</v>
      </c>
      <c r="I160" s="3">
        <f>G160-iferror(VLOOKUP(B160,'OPTI Leadboard Last Week'!A:G,6,FALSE),0)</f>
        <v>0</v>
      </c>
      <c r="J160" s="3" t="str">
        <f>IF(IF(LEN(B160)=0,"",IFERROR(IF(VLOOKUP(B160,'OPTI Leadboard Last Week'!A:G,7,FALSE)-A160&gt;0,"+"&amp;VLOOKUP(B160,'OPTI Leadboard Last Week'!A:G,7,FALSE)-A160,"-"&amp;abs(VLOOKUP(B160,'OPTI Leadboard Last Week'!A:G,7,FALSE)-A160)),"NEW"))="-0","--",IF(LEN(B160)=0,"",IFERROR(IF(VLOOKUP(B160,'OPTI Leadboard Last Week'!A:G,7,FALSE)-A160&gt;0,"+"&amp;VLOOKUP(B160,'OPTI Leadboard Last Week'!A:G,7,FALSE)-A160,"-"&amp;abs(VLOOKUP(B160,'OPTI Leadboard Last Week'!A:G,7,FALSE)-A160)),"NEW")))</f>
        <v>-1</v>
      </c>
    </row>
    <row r="161">
      <c r="A161" s="5">
        <f t="shared" si="2"/>
        <v>160</v>
      </c>
      <c r="B161" s="3" t="str">
        <f>IFERROR(__xludf.DUMMYFUNCTION("""COMPUTED_VALUE"""),"Michael Dill")</f>
        <v>Michael Dill</v>
      </c>
      <c r="C161" s="3">
        <f>IFERROR(__xludf.DUMMYFUNCTION("""COMPUTED_VALUE"""),4.0)</f>
        <v>4</v>
      </c>
      <c r="D161" s="3"/>
      <c r="E161" s="3"/>
      <c r="F161" s="3">
        <f>IFERROR(__xludf.DUMMYFUNCTION("""COMPUTED_VALUE"""),0.0)</f>
        <v>0</v>
      </c>
      <c r="G161" s="3">
        <f>IFERROR(__xludf.DUMMYFUNCTION("""COMPUTED_VALUE"""),5.0)</f>
        <v>5</v>
      </c>
      <c r="H161" s="7">
        <f t="shared" si="1"/>
        <v>1.25</v>
      </c>
      <c r="I161" s="3">
        <f>G161-iferror(VLOOKUP(B161,'OPTI Leadboard Last Week'!A:G,6,FALSE),0)</f>
        <v>0</v>
      </c>
      <c r="J161" s="3" t="str">
        <f>IF(IF(LEN(B161)=0,"",IFERROR(IF(VLOOKUP(B161,'OPTI Leadboard Last Week'!A:G,7,FALSE)-A161&gt;0,"+"&amp;VLOOKUP(B161,'OPTI Leadboard Last Week'!A:G,7,FALSE)-A161,"-"&amp;abs(VLOOKUP(B161,'OPTI Leadboard Last Week'!A:G,7,FALSE)-A161)),"NEW"))="-0","--",IF(LEN(B161)=0,"",IFERROR(IF(VLOOKUP(B161,'OPTI Leadboard Last Week'!A:G,7,FALSE)-A161&gt;0,"+"&amp;VLOOKUP(B161,'OPTI Leadboard Last Week'!A:G,7,FALSE)-A161,"-"&amp;abs(VLOOKUP(B161,'OPTI Leadboard Last Week'!A:G,7,FALSE)-A161)),"NEW")))</f>
        <v>-1</v>
      </c>
    </row>
    <row r="162">
      <c r="A162" s="5">
        <f t="shared" si="2"/>
        <v>161</v>
      </c>
      <c r="B162" s="3" t="str">
        <f>IFERROR(__xludf.DUMMYFUNCTION("""COMPUTED_VALUE"""),"Sam Bowen")</f>
        <v>Sam Bowen</v>
      </c>
      <c r="C162" s="3">
        <f>IFERROR(__xludf.DUMMYFUNCTION("""COMPUTED_VALUE"""),3.0)</f>
        <v>3</v>
      </c>
      <c r="D162" s="3"/>
      <c r="E162" s="3"/>
      <c r="F162" s="3">
        <f>IFERROR(__xludf.DUMMYFUNCTION("""COMPUTED_VALUE"""),0.0)</f>
        <v>0</v>
      </c>
      <c r="G162" s="3">
        <f>IFERROR(__xludf.DUMMYFUNCTION("""COMPUTED_VALUE"""),5.0)</f>
        <v>5</v>
      </c>
      <c r="H162" s="7">
        <f t="shared" si="1"/>
        <v>1.666666667</v>
      </c>
      <c r="I162" s="3">
        <f>G162-iferror(VLOOKUP(B162,'OPTI Leadboard Last Week'!A:G,6,FALSE),0)</f>
        <v>0</v>
      </c>
      <c r="J162" s="3" t="str">
        <f>IF(IF(LEN(B162)=0,"",IFERROR(IF(VLOOKUP(B162,'OPTI Leadboard Last Week'!A:G,7,FALSE)-A162&gt;0,"+"&amp;VLOOKUP(B162,'OPTI Leadboard Last Week'!A:G,7,FALSE)-A162,"-"&amp;abs(VLOOKUP(B162,'OPTI Leadboard Last Week'!A:G,7,FALSE)-A162)),"NEW"))="-0","--",IF(LEN(B162)=0,"",IFERROR(IF(VLOOKUP(B162,'OPTI Leadboard Last Week'!A:G,7,FALSE)-A162&gt;0,"+"&amp;VLOOKUP(B162,'OPTI Leadboard Last Week'!A:G,7,FALSE)-A162,"-"&amp;abs(VLOOKUP(B162,'OPTI Leadboard Last Week'!A:G,7,FALSE)-A162)),"NEW")))</f>
        <v>--</v>
      </c>
    </row>
    <row r="163">
      <c r="A163" s="5">
        <f t="shared" si="2"/>
        <v>162</v>
      </c>
      <c r="B163" s="3" t="str">
        <f>IFERROR(__xludf.DUMMYFUNCTION("""COMPUTED_VALUE"""),"Samuel Osewa")</f>
        <v>Samuel Osewa</v>
      </c>
      <c r="C163" s="3">
        <f>IFERROR(__xludf.DUMMYFUNCTION("""COMPUTED_VALUE"""),4.0)</f>
        <v>4</v>
      </c>
      <c r="D163" s="3"/>
      <c r="E163" s="3"/>
      <c r="F163" s="3">
        <f>IFERROR(__xludf.DUMMYFUNCTION("""COMPUTED_VALUE"""),0.0)</f>
        <v>0</v>
      </c>
      <c r="G163" s="3">
        <f>IFERROR(__xludf.DUMMYFUNCTION("""COMPUTED_VALUE"""),5.0)</f>
        <v>5</v>
      </c>
      <c r="H163" s="7">
        <f t="shared" si="1"/>
        <v>1.25</v>
      </c>
      <c r="I163" s="3">
        <f>G163-iferror(VLOOKUP(B163,'OPTI Leadboard Last Week'!A:G,6,FALSE),0)</f>
        <v>0</v>
      </c>
      <c r="J163" s="3" t="str">
        <f>IF(IF(LEN(B163)=0,"",IFERROR(IF(VLOOKUP(B163,'OPTI Leadboard Last Week'!A:G,7,FALSE)-A163&gt;0,"+"&amp;VLOOKUP(B163,'OPTI Leadboard Last Week'!A:G,7,FALSE)-A163,"-"&amp;abs(VLOOKUP(B163,'OPTI Leadboard Last Week'!A:G,7,FALSE)-A163)),"NEW"))="-0","--",IF(LEN(B163)=0,"",IFERROR(IF(VLOOKUP(B163,'OPTI Leadboard Last Week'!A:G,7,FALSE)-A163&gt;0,"+"&amp;VLOOKUP(B163,'OPTI Leadboard Last Week'!A:G,7,FALSE)-A163,"-"&amp;abs(VLOOKUP(B163,'OPTI Leadboard Last Week'!A:G,7,FALSE)-A163)),"NEW")))</f>
        <v>--</v>
      </c>
    </row>
    <row r="164">
      <c r="A164" s="5">
        <f t="shared" si="2"/>
        <v>163</v>
      </c>
      <c r="B164" s="3" t="str">
        <f>IFERROR(__xludf.DUMMYFUNCTION("""COMPUTED_VALUE"""),"Chris Tong")</f>
        <v>Chris Tong</v>
      </c>
      <c r="C164" s="3">
        <f>IFERROR(__xludf.DUMMYFUNCTION("""COMPUTED_VALUE"""),2.0)</f>
        <v>2</v>
      </c>
      <c r="D164" s="3"/>
      <c r="E164" s="3"/>
      <c r="F164" s="3">
        <f>IFERROR(__xludf.DUMMYFUNCTION("""COMPUTED_VALUE"""),0.0)</f>
        <v>0</v>
      </c>
      <c r="G164" s="3">
        <f>IFERROR(__xludf.DUMMYFUNCTION("""COMPUTED_VALUE"""),4.0)</f>
        <v>4</v>
      </c>
      <c r="H164" s="7">
        <f t="shared" si="1"/>
        <v>2</v>
      </c>
      <c r="I164" s="3">
        <f>G164-iferror(VLOOKUP(B164,'OPTI Leadboard Last Week'!A:G,6,FALSE),0)</f>
        <v>0</v>
      </c>
      <c r="J164" s="3" t="str">
        <f>IF(IF(LEN(B164)=0,"",IFERROR(IF(VLOOKUP(B164,'OPTI Leadboard Last Week'!A:G,7,FALSE)-A164&gt;0,"+"&amp;VLOOKUP(B164,'OPTI Leadboard Last Week'!A:G,7,FALSE)-A164,"-"&amp;abs(VLOOKUP(B164,'OPTI Leadboard Last Week'!A:G,7,FALSE)-A164)),"NEW"))="-0","--",IF(LEN(B164)=0,"",IFERROR(IF(VLOOKUP(B164,'OPTI Leadboard Last Week'!A:G,7,FALSE)-A164&gt;0,"+"&amp;VLOOKUP(B164,'OPTI Leadboard Last Week'!A:G,7,FALSE)-A164,"-"&amp;abs(VLOOKUP(B164,'OPTI Leadboard Last Week'!A:G,7,FALSE)-A164)),"NEW")))</f>
        <v>--</v>
      </c>
    </row>
    <row r="165">
      <c r="A165" s="5">
        <f t="shared" si="2"/>
        <v>164</v>
      </c>
      <c r="B165" s="3" t="str">
        <f>IFERROR(__xludf.DUMMYFUNCTION("""COMPUTED_VALUE"""),"Fabio Teixeira")</f>
        <v>Fabio Teixeira</v>
      </c>
      <c r="C165" s="3">
        <f>IFERROR(__xludf.DUMMYFUNCTION("""COMPUTED_VALUE"""),2.0)</f>
        <v>2</v>
      </c>
      <c r="D165" s="3"/>
      <c r="E165" s="3"/>
      <c r="F165" s="3">
        <f>IFERROR(__xludf.DUMMYFUNCTION("""COMPUTED_VALUE"""),0.0)</f>
        <v>0</v>
      </c>
      <c r="G165" s="3">
        <f>IFERROR(__xludf.DUMMYFUNCTION("""COMPUTED_VALUE"""),4.0)</f>
        <v>4</v>
      </c>
      <c r="H165" s="7">
        <f t="shared" si="1"/>
        <v>2</v>
      </c>
      <c r="I165" s="3">
        <f>G165-iferror(VLOOKUP(B165,'OPTI Leadboard Last Week'!A:G,6,FALSE),0)</f>
        <v>0</v>
      </c>
      <c r="J165" s="3" t="str">
        <f>IF(IF(LEN(B165)=0,"",IFERROR(IF(VLOOKUP(B165,'OPTI Leadboard Last Week'!A:G,7,FALSE)-A165&gt;0,"+"&amp;VLOOKUP(B165,'OPTI Leadboard Last Week'!A:G,7,FALSE)-A165,"-"&amp;abs(VLOOKUP(B165,'OPTI Leadboard Last Week'!A:G,7,FALSE)-A165)),"NEW"))="-0","--",IF(LEN(B165)=0,"",IFERROR(IF(VLOOKUP(B165,'OPTI Leadboard Last Week'!A:G,7,FALSE)-A165&gt;0,"+"&amp;VLOOKUP(B165,'OPTI Leadboard Last Week'!A:G,7,FALSE)-A165,"-"&amp;abs(VLOOKUP(B165,'OPTI Leadboard Last Week'!A:G,7,FALSE)-A165)),"NEW")))</f>
        <v>--</v>
      </c>
    </row>
    <row r="166">
      <c r="A166" s="5">
        <f t="shared" si="2"/>
        <v>165</v>
      </c>
      <c r="B166" s="3" t="str">
        <f>IFERROR(__xludf.DUMMYFUNCTION("""COMPUTED_VALUE"""),"Gus Neill")</f>
        <v>Gus Neill</v>
      </c>
      <c r="C166" s="3">
        <f>IFERROR(__xludf.DUMMYFUNCTION("""COMPUTED_VALUE"""),2.0)</f>
        <v>2</v>
      </c>
      <c r="D166" s="3"/>
      <c r="E166" s="3"/>
      <c r="F166" s="3">
        <f>IFERROR(__xludf.DUMMYFUNCTION("""COMPUTED_VALUE"""),0.0)</f>
        <v>0</v>
      </c>
      <c r="G166" s="3">
        <f>IFERROR(__xludf.DUMMYFUNCTION("""COMPUTED_VALUE"""),4.0)</f>
        <v>4</v>
      </c>
      <c r="H166" s="7">
        <f t="shared" si="1"/>
        <v>2</v>
      </c>
      <c r="I166" s="3">
        <f>G166-iferror(VLOOKUP(B166,'OPTI Leadboard Last Week'!A:G,6,FALSE),0)</f>
        <v>0</v>
      </c>
      <c r="J166" s="3" t="str">
        <f>IF(IF(LEN(B166)=0,"",IFERROR(IF(VLOOKUP(B166,'OPTI Leadboard Last Week'!A:G,7,FALSE)-A166&gt;0,"+"&amp;VLOOKUP(B166,'OPTI Leadboard Last Week'!A:G,7,FALSE)-A166,"-"&amp;abs(VLOOKUP(B166,'OPTI Leadboard Last Week'!A:G,7,FALSE)-A166)),"NEW"))="-0","--",IF(LEN(B166)=0,"",IFERROR(IF(VLOOKUP(B166,'OPTI Leadboard Last Week'!A:G,7,FALSE)-A166&gt;0,"+"&amp;VLOOKUP(B166,'OPTI Leadboard Last Week'!A:G,7,FALSE)-A166,"-"&amp;abs(VLOOKUP(B166,'OPTI Leadboard Last Week'!A:G,7,FALSE)-A166)),"NEW")))</f>
        <v>--</v>
      </c>
    </row>
    <row r="167">
      <c r="A167" s="5">
        <f t="shared" si="2"/>
        <v>166</v>
      </c>
      <c r="B167" s="3" t="str">
        <f>IFERROR(__xludf.DUMMYFUNCTION("""COMPUTED_VALUE"""),"Jayden Wong")</f>
        <v>Jayden Wong</v>
      </c>
      <c r="C167" s="3">
        <f>IFERROR(__xludf.DUMMYFUNCTION("""COMPUTED_VALUE"""),1.0)</f>
        <v>1</v>
      </c>
      <c r="D167" s="3"/>
      <c r="E167" s="3"/>
      <c r="F167" s="3">
        <f>IFERROR(__xludf.DUMMYFUNCTION("""COMPUTED_VALUE"""),0.0)</f>
        <v>0</v>
      </c>
      <c r="G167" s="3">
        <f>IFERROR(__xludf.DUMMYFUNCTION("""COMPUTED_VALUE"""),4.0)</f>
        <v>4</v>
      </c>
      <c r="H167" s="7">
        <f t="shared" si="1"/>
        <v>4</v>
      </c>
      <c r="I167" s="3">
        <f>G167-iferror(VLOOKUP(B167,'OPTI Leadboard Last Week'!A:G,6,FALSE),0)</f>
        <v>0</v>
      </c>
      <c r="J167" s="3" t="str">
        <f>IF(IF(LEN(B167)=0,"",IFERROR(IF(VLOOKUP(B167,'OPTI Leadboard Last Week'!A:G,7,FALSE)-A167&gt;0,"+"&amp;VLOOKUP(B167,'OPTI Leadboard Last Week'!A:G,7,FALSE)-A167,"-"&amp;abs(VLOOKUP(B167,'OPTI Leadboard Last Week'!A:G,7,FALSE)-A167)),"NEW"))="-0","--",IF(LEN(B167)=0,"",IFERROR(IF(VLOOKUP(B167,'OPTI Leadboard Last Week'!A:G,7,FALSE)-A167&gt;0,"+"&amp;VLOOKUP(B167,'OPTI Leadboard Last Week'!A:G,7,FALSE)-A167,"-"&amp;abs(VLOOKUP(B167,'OPTI Leadboard Last Week'!A:G,7,FALSE)-A167)),"NEW")))</f>
        <v>--</v>
      </c>
    </row>
    <row r="168">
      <c r="A168" s="5">
        <f t="shared" si="2"/>
        <v>167</v>
      </c>
      <c r="B168" s="3" t="str">
        <f>IFERROR(__xludf.DUMMYFUNCTION("""COMPUTED_VALUE"""),"Kye Williams")</f>
        <v>Kye Williams</v>
      </c>
      <c r="C168" s="3">
        <f>IFERROR(__xludf.DUMMYFUNCTION("""COMPUTED_VALUE"""),2.0)</f>
        <v>2</v>
      </c>
      <c r="D168" s="3"/>
      <c r="E168" s="3"/>
      <c r="F168" s="3">
        <f>IFERROR(__xludf.DUMMYFUNCTION("""COMPUTED_VALUE"""),0.0)</f>
        <v>0</v>
      </c>
      <c r="G168" s="3">
        <f>IFERROR(__xludf.DUMMYFUNCTION("""COMPUTED_VALUE"""),4.0)</f>
        <v>4</v>
      </c>
      <c r="H168" s="7">
        <f t="shared" si="1"/>
        <v>2</v>
      </c>
      <c r="I168" s="3">
        <f>G168-iferror(VLOOKUP(B168,'OPTI Leadboard Last Week'!A:G,6,FALSE),0)</f>
        <v>0</v>
      </c>
      <c r="J168" s="3" t="str">
        <f>IF(IF(LEN(B168)=0,"",IFERROR(IF(VLOOKUP(B168,'OPTI Leadboard Last Week'!A:G,7,FALSE)-A168&gt;0,"+"&amp;VLOOKUP(B168,'OPTI Leadboard Last Week'!A:G,7,FALSE)-A168,"-"&amp;abs(VLOOKUP(B168,'OPTI Leadboard Last Week'!A:G,7,FALSE)-A168)),"NEW"))="-0","--",IF(LEN(B168)=0,"",IFERROR(IF(VLOOKUP(B168,'OPTI Leadboard Last Week'!A:G,7,FALSE)-A168&gt;0,"+"&amp;VLOOKUP(B168,'OPTI Leadboard Last Week'!A:G,7,FALSE)-A168,"-"&amp;abs(VLOOKUP(B168,'OPTI Leadboard Last Week'!A:G,7,FALSE)-A168)),"NEW")))</f>
        <v>--</v>
      </c>
    </row>
    <row r="169">
      <c r="A169" s="5">
        <f t="shared" si="2"/>
        <v>168</v>
      </c>
      <c r="B169" s="3" t="str">
        <f>IFERROR(__xludf.DUMMYFUNCTION("""COMPUTED_VALUE"""),"Chris Boden")</f>
        <v>Chris Boden</v>
      </c>
      <c r="C169" s="3">
        <f>IFERROR(__xludf.DUMMYFUNCTION("""COMPUTED_VALUE"""),1.0)</f>
        <v>1</v>
      </c>
      <c r="D169" s="3"/>
      <c r="E169" s="3">
        <f>IFERROR(__xludf.DUMMYFUNCTION("""COMPUTED_VALUE"""),1.0)</f>
        <v>1</v>
      </c>
      <c r="F169" s="3">
        <f>IFERROR(__xludf.DUMMYFUNCTION("""COMPUTED_VALUE"""),0.0)</f>
        <v>0</v>
      </c>
      <c r="G169" s="3">
        <f>IFERROR(__xludf.DUMMYFUNCTION("""COMPUTED_VALUE"""),3.0)</f>
        <v>3</v>
      </c>
      <c r="H169" s="7">
        <f t="shared" si="1"/>
        <v>3</v>
      </c>
      <c r="I169" s="3">
        <f>G169-iferror(VLOOKUP(B169,'OPTI Leadboard Last Week'!A:G,6,FALSE),0)</f>
        <v>0</v>
      </c>
      <c r="J169" s="3" t="str">
        <f>IF(IF(LEN(B169)=0,"",IFERROR(IF(VLOOKUP(B169,'OPTI Leadboard Last Week'!A:G,7,FALSE)-A169&gt;0,"+"&amp;VLOOKUP(B169,'OPTI Leadboard Last Week'!A:G,7,FALSE)-A169,"-"&amp;abs(VLOOKUP(B169,'OPTI Leadboard Last Week'!A:G,7,FALSE)-A169)),"NEW"))="-0","--",IF(LEN(B169)=0,"",IFERROR(IF(VLOOKUP(B169,'OPTI Leadboard Last Week'!A:G,7,FALSE)-A169&gt;0,"+"&amp;VLOOKUP(B169,'OPTI Leadboard Last Week'!A:G,7,FALSE)-A169,"-"&amp;abs(VLOOKUP(B169,'OPTI Leadboard Last Week'!A:G,7,FALSE)-A169)),"NEW")))</f>
        <v>--</v>
      </c>
    </row>
    <row r="170">
      <c r="A170" s="5">
        <f t="shared" si="2"/>
        <v>169</v>
      </c>
      <c r="B170" s="3" t="str">
        <f>IFERROR(__xludf.DUMMYFUNCTION("""COMPUTED_VALUE"""),"Rich Robinson")</f>
        <v>Rich Robinson</v>
      </c>
      <c r="C170" s="3">
        <f>IFERROR(__xludf.DUMMYFUNCTION("""COMPUTED_VALUE"""),2.0)</f>
        <v>2</v>
      </c>
      <c r="D170" s="3"/>
      <c r="E170" s="3"/>
      <c r="F170" s="3">
        <f>IFERROR(__xludf.DUMMYFUNCTION("""COMPUTED_VALUE"""),0.0)</f>
        <v>0</v>
      </c>
      <c r="G170" s="3">
        <f>IFERROR(__xludf.DUMMYFUNCTION("""COMPUTED_VALUE"""),3.0)</f>
        <v>3</v>
      </c>
      <c r="H170" s="7">
        <f t="shared" si="1"/>
        <v>1.5</v>
      </c>
      <c r="I170" s="3">
        <f>G170-iferror(VLOOKUP(B170,'OPTI Leadboard Last Week'!A:G,6,FALSE),0)</f>
        <v>0</v>
      </c>
      <c r="J170" s="3" t="str">
        <f>IF(IF(LEN(B170)=0,"",IFERROR(IF(VLOOKUP(B170,'OPTI Leadboard Last Week'!A:G,7,FALSE)-A170&gt;0,"+"&amp;VLOOKUP(B170,'OPTI Leadboard Last Week'!A:G,7,FALSE)-A170,"-"&amp;abs(VLOOKUP(B170,'OPTI Leadboard Last Week'!A:G,7,FALSE)-A170)),"NEW"))="-0","--",IF(LEN(B170)=0,"",IFERROR(IF(VLOOKUP(B170,'OPTI Leadboard Last Week'!A:G,7,FALSE)-A170&gt;0,"+"&amp;VLOOKUP(B170,'OPTI Leadboard Last Week'!A:G,7,FALSE)-A170,"-"&amp;abs(VLOOKUP(B170,'OPTI Leadboard Last Week'!A:G,7,FALSE)-A170)),"NEW")))</f>
        <v>--</v>
      </c>
    </row>
    <row r="171">
      <c r="A171" s="5">
        <f t="shared" si="2"/>
        <v>170</v>
      </c>
      <c r="B171" s="3" t="str">
        <f>IFERROR(__xludf.DUMMYFUNCTION("""COMPUTED_VALUE"""),"Sonny Kombo")</f>
        <v>Sonny Kombo</v>
      </c>
      <c r="C171" s="3">
        <f>IFERROR(__xludf.DUMMYFUNCTION("""COMPUTED_VALUE"""),2.0)</f>
        <v>2</v>
      </c>
      <c r="D171" s="3"/>
      <c r="E171" s="3"/>
      <c r="F171" s="3">
        <f>IFERROR(__xludf.DUMMYFUNCTION("""COMPUTED_VALUE"""),0.0)</f>
        <v>0</v>
      </c>
      <c r="G171" s="3">
        <f>IFERROR(__xludf.DUMMYFUNCTION("""COMPUTED_VALUE"""),3.0)</f>
        <v>3</v>
      </c>
      <c r="H171" s="7">
        <f t="shared" si="1"/>
        <v>1.5</v>
      </c>
      <c r="I171" s="3">
        <f>G171-iferror(VLOOKUP(B171,'OPTI Leadboard Last Week'!A:G,6,FALSE),0)</f>
        <v>0</v>
      </c>
      <c r="J171" s="3" t="str">
        <f>IF(IF(LEN(B171)=0,"",IFERROR(IF(VLOOKUP(B171,'OPTI Leadboard Last Week'!A:G,7,FALSE)-A171&gt;0,"+"&amp;VLOOKUP(B171,'OPTI Leadboard Last Week'!A:G,7,FALSE)-A171,"-"&amp;abs(VLOOKUP(B171,'OPTI Leadboard Last Week'!A:G,7,FALSE)-A171)),"NEW"))="-0","--",IF(LEN(B171)=0,"",IFERROR(IF(VLOOKUP(B171,'OPTI Leadboard Last Week'!A:G,7,FALSE)-A171&gt;0,"+"&amp;VLOOKUP(B171,'OPTI Leadboard Last Week'!A:G,7,FALSE)-A171,"-"&amp;abs(VLOOKUP(B171,'OPTI Leadboard Last Week'!A:G,7,FALSE)-A171)),"NEW")))</f>
        <v>--</v>
      </c>
    </row>
    <row r="172">
      <c r="A172" s="5">
        <f t="shared" si="2"/>
        <v>171</v>
      </c>
      <c r="B172" s="3" t="str">
        <f>IFERROR(__xludf.DUMMYFUNCTION("""COMPUTED_VALUE"""),"Andreas Andreou")</f>
        <v>Andreas Andreou</v>
      </c>
      <c r="C172" s="3">
        <f>IFERROR(__xludf.DUMMYFUNCTION("""COMPUTED_VALUE"""),2.0)</f>
        <v>2</v>
      </c>
      <c r="D172" s="3"/>
      <c r="E172" s="3"/>
      <c r="F172" s="3">
        <f>IFERROR(__xludf.DUMMYFUNCTION("""COMPUTED_VALUE"""),0.0)</f>
        <v>0</v>
      </c>
      <c r="G172" s="3">
        <f>IFERROR(__xludf.DUMMYFUNCTION("""COMPUTED_VALUE"""),2.0)</f>
        <v>2</v>
      </c>
      <c r="H172" s="7">
        <f t="shared" si="1"/>
        <v>1</v>
      </c>
      <c r="I172" s="3">
        <f>G172-iferror(VLOOKUP(B172,'OPTI Leadboard Last Week'!A:G,6,FALSE),0)</f>
        <v>0</v>
      </c>
      <c r="J172" s="3" t="str">
        <f>IF(IF(LEN(B172)=0,"",IFERROR(IF(VLOOKUP(B172,'OPTI Leadboard Last Week'!A:G,7,FALSE)-A172&gt;0,"+"&amp;VLOOKUP(B172,'OPTI Leadboard Last Week'!A:G,7,FALSE)-A172,"-"&amp;abs(VLOOKUP(B172,'OPTI Leadboard Last Week'!A:G,7,FALSE)-A172)),"NEW"))="-0","--",IF(LEN(B172)=0,"",IFERROR(IF(VLOOKUP(B172,'OPTI Leadboard Last Week'!A:G,7,FALSE)-A172&gt;0,"+"&amp;VLOOKUP(B172,'OPTI Leadboard Last Week'!A:G,7,FALSE)-A172,"-"&amp;abs(VLOOKUP(B172,'OPTI Leadboard Last Week'!A:G,7,FALSE)-A172)),"NEW")))</f>
        <v>--</v>
      </c>
    </row>
    <row r="173">
      <c r="A173" s="5">
        <f t="shared" si="2"/>
        <v>172</v>
      </c>
      <c r="B173" s="3" t="str">
        <f>IFERROR(__xludf.DUMMYFUNCTION("""COMPUTED_VALUE"""),"Cameron Divine")</f>
        <v>Cameron Divine</v>
      </c>
      <c r="C173" s="3">
        <f>IFERROR(__xludf.DUMMYFUNCTION("""COMPUTED_VALUE"""),1.0)</f>
        <v>1</v>
      </c>
      <c r="D173" s="3"/>
      <c r="E173" s="3"/>
      <c r="F173" s="3">
        <f>IFERROR(__xludf.DUMMYFUNCTION("""COMPUTED_VALUE"""),0.0)</f>
        <v>0</v>
      </c>
      <c r="G173" s="3">
        <f>IFERROR(__xludf.DUMMYFUNCTION("""COMPUTED_VALUE"""),2.0)</f>
        <v>2</v>
      </c>
      <c r="H173" s="7">
        <f t="shared" si="1"/>
        <v>2</v>
      </c>
      <c r="I173" s="3">
        <f>G173-iferror(VLOOKUP(B173,'OPTI Leadboard Last Week'!A:G,6,FALSE),0)</f>
        <v>0</v>
      </c>
      <c r="J173" s="3" t="str">
        <f>IF(IF(LEN(B173)=0,"",IFERROR(IF(VLOOKUP(B173,'OPTI Leadboard Last Week'!A:G,7,FALSE)-A173&gt;0,"+"&amp;VLOOKUP(B173,'OPTI Leadboard Last Week'!A:G,7,FALSE)-A173,"-"&amp;abs(VLOOKUP(B173,'OPTI Leadboard Last Week'!A:G,7,FALSE)-A173)),"NEW"))="-0","--",IF(LEN(B173)=0,"",IFERROR(IF(VLOOKUP(B173,'OPTI Leadboard Last Week'!A:G,7,FALSE)-A173&gt;0,"+"&amp;VLOOKUP(B173,'OPTI Leadboard Last Week'!A:G,7,FALSE)-A173,"-"&amp;abs(VLOOKUP(B173,'OPTI Leadboard Last Week'!A:G,7,FALSE)-A173)),"NEW")))</f>
        <v>--</v>
      </c>
    </row>
    <row r="174">
      <c r="A174" s="5">
        <f t="shared" si="2"/>
        <v>173</v>
      </c>
      <c r="B174" s="3" t="str">
        <f>IFERROR(__xludf.DUMMYFUNCTION("""COMPUTED_VALUE"""),"Charlie Brooks")</f>
        <v>Charlie Brooks</v>
      </c>
      <c r="C174" s="3">
        <f>IFERROR(__xludf.DUMMYFUNCTION("""COMPUTED_VALUE"""),1.0)</f>
        <v>1</v>
      </c>
      <c r="D174" s="3"/>
      <c r="E174" s="3"/>
      <c r="F174" s="3">
        <f>IFERROR(__xludf.DUMMYFUNCTION("""COMPUTED_VALUE"""),0.0)</f>
        <v>0</v>
      </c>
      <c r="G174" s="3">
        <f>IFERROR(__xludf.DUMMYFUNCTION("""COMPUTED_VALUE"""),2.0)</f>
        <v>2</v>
      </c>
      <c r="H174" s="7">
        <f t="shared" si="1"/>
        <v>2</v>
      </c>
      <c r="I174" s="3">
        <f>G174-iferror(VLOOKUP(B174,'OPTI Leadboard Last Week'!A:G,6,FALSE),0)</f>
        <v>0</v>
      </c>
      <c r="J174" s="3" t="str">
        <f>IF(IF(LEN(B174)=0,"",IFERROR(IF(VLOOKUP(B174,'OPTI Leadboard Last Week'!A:G,7,FALSE)-A174&gt;0,"+"&amp;VLOOKUP(B174,'OPTI Leadboard Last Week'!A:G,7,FALSE)-A174,"-"&amp;abs(VLOOKUP(B174,'OPTI Leadboard Last Week'!A:G,7,FALSE)-A174)),"NEW"))="-0","--",IF(LEN(B174)=0,"",IFERROR(IF(VLOOKUP(B174,'OPTI Leadboard Last Week'!A:G,7,FALSE)-A174&gt;0,"+"&amp;VLOOKUP(B174,'OPTI Leadboard Last Week'!A:G,7,FALSE)-A174,"-"&amp;abs(VLOOKUP(B174,'OPTI Leadboard Last Week'!A:G,7,FALSE)-A174)),"NEW")))</f>
        <v>--</v>
      </c>
    </row>
    <row r="175">
      <c r="A175" s="5">
        <f t="shared" si="2"/>
        <v>174</v>
      </c>
      <c r="B175" s="3" t="str">
        <f>IFERROR(__xludf.DUMMYFUNCTION("""COMPUTED_VALUE"""),"Chris Marx")</f>
        <v>Chris Marx</v>
      </c>
      <c r="C175" s="3">
        <f>IFERROR(__xludf.DUMMYFUNCTION("""COMPUTED_VALUE"""),1.0)</f>
        <v>1</v>
      </c>
      <c r="D175" s="3"/>
      <c r="E175" s="3"/>
      <c r="F175" s="3">
        <f>IFERROR(__xludf.DUMMYFUNCTION("""COMPUTED_VALUE"""),0.0)</f>
        <v>0</v>
      </c>
      <c r="G175" s="3">
        <f>IFERROR(__xludf.DUMMYFUNCTION("""COMPUTED_VALUE"""),2.0)</f>
        <v>2</v>
      </c>
      <c r="H175" s="7">
        <f t="shared" si="1"/>
        <v>2</v>
      </c>
      <c r="I175" s="3">
        <f>G175-iferror(VLOOKUP(B175,'OPTI Leadboard Last Week'!A:G,6,FALSE),0)</f>
        <v>0</v>
      </c>
      <c r="J175" s="3" t="str">
        <f>IF(IF(LEN(B175)=0,"",IFERROR(IF(VLOOKUP(B175,'OPTI Leadboard Last Week'!A:G,7,FALSE)-A175&gt;0,"+"&amp;VLOOKUP(B175,'OPTI Leadboard Last Week'!A:G,7,FALSE)-A175,"-"&amp;abs(VLOOKUP(B175,'OPTI Leadboard Last Week'!A:G,7,FALSE)-A175)),"NEW"))="-0","--",IF(LEN(B175)=0,"",IFERROR(IF(VLOOKUP(B175,'OPTI Leadboard Last Week'!A:G,7,FALSE)-A175&gt;0,"+"&amp;VLOOKUP(B175,'OPTI Leadboard Last Week'!A:G,7,FALSE)-A175,"-"&amp;abs(VLOOKUP(B175,'OPTI Leadboard Last Week'!A:G,7,FALSE)-A175)),"NEW")))</f>
        <v>--</v>
      </c>
    </row>
    <row r="176">
      <c r="A176" s="5">
        <f t="shared" si="2"/>
        <v>175</v>
      </c>
      <c r="B176" s="3" t="str">
        <f>IFERROR(__xludf.DUMMYFUNCTION("""COMPUTED_VALUE"""),"Harrison Woolley")</f>
        <v>Harrison Woolley</v>
      </c>
      <c r="C176" s="3">
        <f>IFERROR(__xludf.DUMMYFUNCTION("""COMPUTED_VALUE"""),1.0)</f>
        <v>1</v>
      </c>
      <c r="D176" s="3"/>
      <c r="E176" s="3"/>
      <c r="F176" s="3">
        <f>IFERROR(__xludf.DUMMYFUNCTION("""COMPUTED_VALUE"""),0.0)</f>
        <v>0</v>
      </c>
      <c r="G176" s="3">
        <f>IFERROR(__xludf.DUMMYFUNCTION("""COMPUTED_VALUE"""),2.0)</f>
        <v>2</v>
      </c>
      <c r="H176" s="7">
        <f t="shared" si="1"/>
        <v>2</v>
      </c>
      <c r="I176" s="3">
        <f>G176-iferror(VLOOKUP(B176,'OPTI Leadboard Last Week'!A:G,6,FALSE),0)</f>
        <v>0</v>
      </c>
      <c r="J176" s="3" t="str">
        <f>IF(IF(LEN(B176)=0,"",IFERROR(IF(VLOOKUP(B176,'OPTI Leadboard Last Week'!A:G,7,FALSE)-A176&gt;0,"+"&amp;VLOOKUP(B176,'OPTI Leadboard Last Week'!A:G,7,FALSE)-A176,"-"&amp;abs(VLOOKUP(B176,'OPTI Leadboard Last Week'!A:G,7,FALSE)-A176)),"NEW"))="-0","--",IF(LEN(B176)=0,"",IFERROR(IF(VLOOKUP(B176,'OPTI Leadboard Last Week'!A:G,7,FALSE)-A176&gt;0,"+"&amp;VLOOKUP(B176,'OPTI Leadboard Last Week'!A:G,7,FALSE)-A176,"-"&amp;abs(VLOOKUP(B176,'OPTI Leadboard Last Week'!A:G,7,FALSE)-A176)),"NEW")))</f>
        <v>--</v>
      </c>
    </row>
    <row r="177">
      <c r="A177" s="5">
        <f t="shared" si="2"/>
        <v>176</v>
      </c>
      <c r="B177" s="3" t="str">
        <f>IFERROR(__xludf.DUMMYFUNCTION("""COMPUTED_VALUE"""),"James Black")</f>
        <v>James Black</v>
      </c>
      <c r="C177" s="3">
        <f>IFERROR(__xludf.DUMMYFUNCTION("""COMPUTED_VALUE"""),1.0)</f>
        <v>1</v>
      </c>
      <c r="D177" s="3"/>
      <c r="E177" s="3"/>
      <c r="F177" s="3">
        <f>IFERROR(__xludf.DUMMYFUNCTION("""COMPUTED_VALUE"""),0.0)</f>
        <v>0</v>
      </c>
      <c r="G177" s="3">
        <f>IFERROR(__xludf.DUMMYFUNCTION("""COMPUTED_VALUE"""),2.0)</f>
        <v>2</v>
      </c>
      <c r="H177" s="7">
        <f t="shared" si="1"/>
        <v>2</v>
      </c>
      <c r="I177" s="3">
        <f>G177-iferror(VLOOKUP(B177,'OPTI Leadboard Last Week'!A:G,6,FALSE),0)</f>
        <v>0</v>
      </c>
      <c r="J177" s="3" t="str">
        <f>IF(IF(LEN(B177)=0,"",IFERROR(IF(VLOOKUP(B177,'OPTI Leadboard Last Week'!A:G,7,FALSE)-A177&gt;0,"+"&amp;VLOOKUP(B177,'OPTI Leadboard Last Week'!A:G,7,FALSE)-A177,"-"&amp;abs(VLOOKUP(B177,'OPTI Leadboard Last Week'!A:G,7,FALSE)-A177)),"NEW"))="-0","--",IF(LEN(B177)=0,"",IFERROR(IF(VLOOKUP(B177,'OPTI Leadboard Last Week'!A:G,7,FALSE)-A177&gt;0,"+"&amp;VLOOKUP(B177,'OPTI Leadboard Last Week'!A:G,7,FALSE)-A177,"-"&amp;abs(VLOOKUP(B177,'OPTI Leadboard Last Week'!A:G,7,FALSE)-A177)),"NEW")))</f>
        <v>--</v>
      </c>
    </row>
    <row r="178">
      <c r="A178" s="5">
        <f t="shared" si="2"/>
        <v>177</v>
      </c>
      <c r="B178" s="3" t="str">
        <f>IFERROR(__xludf.DUMMYFUNCTION("""COMPUTED_VALUE"""),"Jamie Dedman")</f>
        <v>Jamie Dedman</v>
      </c>
      <c r="C178" s="3">
        <f>IFERROR(__xludf.DUMMYFUNCTION("""COMPUTED_VALUE"""),2.0)</f>
        <v>2</v>
      </c>
      <c r="D178" s="3"/>
      <c r="E178" s="3"/>
      <c r="F178" s="3">
        <f>IFERROR(__xludf.DUMMYFUNCTION("""COMPUTED_VALUE"""),0.0)</f>
        <v>0</v>
      </c>
      <c r="G178" s="3">
        <f>IFERROR(__xludf.DUMMYFUNCTION("""COMPUTED_VALUE"""),2.0)</f>
        <v>2</v>
      </c>
      <c r="H178" s="7">
        <f t="shared" si="1"/>
        <v>1</v>
      </c>
      <c r="I178" s="3">
        <f>G178-iferror(VLOOKUP(B178,'OPTI Leadboard Last Week'!A:G,6,FALSE),0)</f>
        <v>1</v>
      </c>
      <c r="J178" s="3" t="str">
        <f>IF(IF(LEN(B178)=0,"",IFERROR(IF(VLOOKUP(B178,'OPTI Leadboard Last Week'!A:G,7,FALSE)-A178&gt;0,"+"&amp;VLOOKUP(B178,'OPTI Leadboard Last Week'!A:G,7,FALSE)-A178,"-"&amp;abs(VLOOKUP(B178,'OPTI Leadboard Last Week'!A:G,7,FALSE)-A178)),"NEW"))="-0","--",IF(LEN(B178)=0,"",IFERROR(IF(VLOOKUP(B178,'OPTI Leadboard Last Week'!A:G,7,FALSE)-A178&gt;0,"+"&amp;VLOOKUP(B178,'OPTI Leadboard Last Week'!A:G,7,FALSE)-A178,"-"&amp;abs(VLOOKUP(B178,'OPTI Leadboard Last Week'!A:G,7,FALSE)-A178)),"NEW")))</f>
        <v>+10</v>
      </c>
    </row>
    <row r="179">
      <c r="A179" s="5">
        <f t="shared" si="2"/>
        <v>178</v>
      </c>
      <c r="B179" s="3" t="str">
        <f>IFERROR(__xludf.DUMMYFUNCTION("""COMPUTED_VALUE"""),"Jason Raife")</f>
        <v>Jason Raife</v>
      </c>
      <c r="C179" s="3">
        <f>IFERROR(__xludf.DUMMYFUNCTION("""COMPUTED_VALUE"""),1.0)</f>
        <v>1</v>
      </c>
      <c r="D179" s="3"/>
      <c r="E179" s="3"/>
      <c r="F179" s="3">
        <f>IFERROR(__xludf.DUMMYFUNCTION("""COMPUTED_VALUE"""),0.0)</f>
        <v>0</v>
      </c>
      <c r="G179" s="3">
        <f>IFERROR(__xludf.DUMMYFUNCTION("""COMPUTED_VALUE"""),2.0)</f>
        <v>2</v>
      </c>
      <c r="H179" s="7">
        <f t="shared" si="1"/>
        <v>2</v>
      </c>
      <c r="I179" s="3">
        <f>G179-iferror(VLOOKUP(B179,'OPTI Leadboard Last Week'!A:G,6,FALSE),0)</f>
        <v>0</v>
      </c>
      <c r="J179" s="3" t="str">
        <f>IF(IF(LEN(B179)=0,"",IFERROR(IF(VLOOKUP(B179,'OPTI Leadboard Last Week'!A:G,7,FALSE)-A179&gt;0,"+"&amp;VLOOKUP(B179,'OPTI Leadboard Last Week'!A:G,7,FALSE)-A179,"-"&amp;abs(VLOOKUP(B179,'OPTI Leadboard Last Week'!A:G,7,FALSE)-A179)),"NEW"))="-0","--",IF(LEN(B179)=0,"",IFERROR(IF(VLOOKUP(B179,'OPTI Leadboard Last Week'!A:G,7,FALSE)-A179&gt;0,"+"&amp;VLOOKUP(B179,'OPTI Leadboard Last Week'!A:G,7,FALSE)-A179,"-"&amp;abs(VLOOKUP(B179,'OPTI Leadboard Last Week'!A:G,7,FALSE)-A179)),"NEW")))</f>
        <v>-1</v>
      </c>
    </row>
    <row r="180">
      <c r="A180" s="5">
        <f t="shared" si="2"/>
        <v>179</v>
      </c>
      <c r="B180" s="3" t="str">
        <f>IFERROR(__xludf.DUMMYFUNCTION("""COMPUTED_VALUE"""),"Joe Tanner")</f>
        <v>Joe Tanner</v>
      </c>
      <c r="C180" s="3">
        <f>IFERROR(__xludf.DUMMYFUNCTION("""COMPUTED_VALUE"""),2.0)</f>
        <v>2</v>
      </c>
      <c r="D180" s="3"/>
      <c r="E180" s="3"/>
      <c r="F180" s="3">
        <f>IFERROR(__xludf.DUMMYFUNCTION("""COMPUTED_VALUE"""),0.0)</f>
        <v>0</v>
      </c>
      <c r="G180" s="3">
        <f>IFERROR(__xludf.DUMMYFUNCTION("""COMPUTED_VALUE"""),2.0)</f>
        <v>2</v>
      </c>
      <c r="H180" s="7">
        <f t="shared" si="1"/>
        <v>1</v>
      </c>
      <c r="I180" s="3">
        <f>G180-iferror(VLOOKUP(B180,'OPTI Leadboard Last Week'!A:G,6,FALSE),0)</f>
        <v>0</v>
      </c>
      <c r="J180" s="3" t="str">
        <f>IF(IF(LEN(B180)=0,"",IFERROR(IF(VLOOKUP(B180,'OPTI Leadboard Last Week'!A:G,7,FALSE)-A180&gt;0,"+"&amp;VLOOKUP(B180,'OPTI Leadboard Last Week'!A:G,7,FALSE)-A180,"-"&amp;abs(VLOOKUP(B180,'OPTI Leadboard Last Week'!A:G,7,FALSE)-A180)),"NEW"))="-0","--",IF(LEN(B180)=0,"",IFERROR(IF(VLOOKUP(B180,'OPTI Leadboard Last Week'!A:G,7,FALSE)-A180&gt;0,"+"&amp;VLOOKUP(B180,'OPTI Leadboard Last Week'!A:G,7,FALSE)-A180,"-"&amp;abs(VLOOKUP(B180,'OPTI Leadboard Last Week'!A:G,7,FALSE)-A180)),"NEW")))</f>
        <v>-1</v>
      </c>
    </row>
    <row r="181">
      <c r="A181" s="5">
        <f t="shared" si="2"/>
        <v>180</v>
      </c>
      <c r="B181" s="3" t="str">
        <f>IFERROR(__xludf.DUMMYFUNCTION("""COMPUTED_VALUE"""),"Joey Wackrill")</f>
        <v>Joey Wackrill</v>
      </c>
      <c r="C181" s="3">
        <f>IFERROR(__xludf.DUMMYFUNCTION("""COMPUTED_VALUE"""),2.0)</f>
        <v>2</v>
      </c>
      <c r="D181" s="3"/>
      <c r="E181" s="3"/>
      <c r="F181" s="3">
        <f>IFERROR(__xludf.DUMMYFUNCTION("""COMPUTED_VALUE"""),0.0)</f>
        <v>0</v>
      </c>
      <c r="G181" s="3">
        <f>IFERROR(__xludf.DUMMYFUNCTION("""COMPUTED_VALUE"""),2.0)</f>
        <v>2</v>
      </c>
      <c r="H181" s="7">
        <f t="shared" si="1"/>
        <v>1</v>
      </c>
      <c r="I181" s="3">
        <f>G181-iferror(VLOOKUP(B181,'OPTI Leadboard Last Week'!A:G,6,FALSE),0)</f>
        <v>0</v>
      </c>
      <c r="J181" s="3" t="str">
        <f>IF(IF(LEN(B181)=0,"",IFERROR(IF(VLOOKUP(B181,'OPTI Leadboard Last Week'!A:G,7,FALSE)-A181&gt;0,"+"&amp;VLOOKUP(B181,'OPTI Leadboard Last Week'!A:G,7,FALSE)-A181,"-"&amp;abs(VLOOKUP(B181,'OPTI Leadboard Last Week'!A:G,7,FALSE)-A181)),"NEW"))="-0","--",IF(LEN(B181)=0,"",IFERROR(IF(VLOOKUP(B181,'OPTI Leadboard Last Week'!A:G,7,FALSE)-A181&gt;0,"+"&amp;VLOOKUP(B181,'OPTI Leadboard Last Week'!A:G,7,FALSE)-A181,"-"&amp;abs(VLOOKUP(B181,'OPTI Leadboard Last Week'!A:G,7,FALSE)-A181)),"NEW")))</f>
        <v>-1</v>
      </c>
    </row>
    <row r="182">
      <c r="A182" s="5">
        <f t="shared" si="2"/>
        <v>181</v>
      </c>
      <c r="B182" s="3" t="str">
        <f>IFERROR(__xludf.DUMMYFUNCTION("""COMPUTED_VALUE"""),"Kolawole Kehinde")</f>
        <v>Kolawole Kehinde</v>
      </c>
      <c r="C182" s="3">
        <f>IFERROR(__xludf.DUMMYFUNCTION("""COMPUTED_VALUE"""),1.0)</f>
        <v>1</v>
      </c>
      <c r="D182" s="3"/>
      <c r="E182" s="3"/>
      <c r="F182" s="3">
        <f>IFERROR(__xludf.DUMMYFUNCTION("""COMPUTED_VALUE"""),0.0)</f>
        <v>0</v>
      </c>
      <c r="G182" s="3">
        <f>IFERROR(__xludf.DUMMYFUNCTION("""COMPUTED_VALUE"""),2.0)</f>
        <v>2</v>
      </c>
      <c r="H182" s="7">
        <f t="shared" si="1"/>
        <v>2</v>
      </c>
      <c r="I182" s="3">
        <f>G182-iferror(VLOOKUP(B182,'OPTI Leadboard Last Week'!A:G,6,FALSE),0)</f>
        <v>0</v>
      </c>
      <c r="J182" s="3" t="str">
        <f>IF(IF(LEN(B182)=0,"",IFERROR(IF(VLOOKUP(B182,'OPTI Leadboard Last Week'!A:G,7,FALSE)-A182&gt;0,"+"&amp;VLOOKUP(B182,'OPTI Leadboard Last Week'!A:G,7,FALSE)-A182,"-"&amp;abs(VLOOKUP(B182,'OPTI Leadboard Last Week'!A:G,7,FALSE)-A182)),"NEW"))="-0","--",IF(LEN(B182)=0,"",IFERROR(IF(VLOOKUP(B182,'OPTI Leadboard Last Week'!A:G,7,FALSE)-A182&gt;0,"+"&amp;VLOOKUP(B182,'OPTI Leadboard Last Week'!A:G,7,FALSE)-A182,"-"&amp;abs(VLOOKUP(B182,'OPTI Leadboard Last Week'!A:G,7,FALSE)-A182)),"NEW")))</f>
        <v>-1</v>
      </c>
    </row>
    <row r="183">
      <c r="A183" s="5">
        <f t="shared" si="2"/>
        <v>182</v>
      </c>
      <c r="B183" s="3" t="str">
        <f>IFERROR(__xludf.DUMMYFUNCTION("""COMPUTED_VALUE"""),"Liam Gunn")</f>
        <v>Liam Gunn</v>
      </c>
      <c r="C183" s="3">
        <f>IFERROR(__xludf.DUMMYFUNCTION("""COMPUTED_VALUE"""),1.0)</f>
        <v>1</v>
      </c>
      <c r="D183" s="3"/>
      <c r="E183" s="3"/>
      <c r="F183" s="3">
        <f>IFERROR(__xludf.DUMMYFUNCTION("""COMPUTED_VALUE"""),0.0)</f>
        <v>0</v>
      </c>
      <c r="G183" s="3">
        <f>IFERROR(__xludf.DUMMYFUNCTION("""COMPUTED_VALUE"""),2.0)</f>
        <v>2</v>
      </c>
      <c r="H183" s="7">
        <f t="shared" si="1"/>
        <v>2</v>
      </c>
      <c r="I183" s="3">
        <f>G183-iferror(VLOOKUP(B183,'OPTI Leadboard Last Week'!A:G,6,FALSE),0)</f>
        <v>0</v>
      </c>
      <c r="J183" s="3" t="str">
        <f>IF(IF(LEN(B183)=0,"",IFERROR(IF(VLOOKUP(B183,'OPTI Leadboard Last Week'!A:G,7,FALSE)-A183&gt;0,"+"&amp;VLOOKUP(B183,'OPTI Leadboard Last Week'!A:G,7,FALSE)-A183,"-"&amp;abs(VLOOKUP(B183,'OPTI Leadboard Last Week'!A:G,7,FALSE)-A183)),"NEW"))="-0","--",IF(LEN(B183)=0,"",IFERROR(IF(VLOOKUP(B183,'OPTI Leadboard Last Week'!A:G,7,FALSE)-A183&gt;0,"+"&amp;VLOOKUP(B183,'OPTI Leadboard Last Week'!A:G,7,FALSE)-A183,"-"&amp;abs(VLOOKUP(B183,'OPTI Leadboard Last Week'!A:G,7,FALSE)-A183)),"NEW")))</f>
        <v>-1</v>
      </c>
    </row>
    <row r="184">
      <c r="A184" s="5">
        <f t="shared" si="2"/>
        <v>183</v>
      </c>
      <c r="B184" s="3" t="str">
        <f>IFERROR(__xludf.DUMMYFUNCTION("""COMPUTED_VALUE"""),"Mark Rowntree")</f>
        <v>Mark Rowntree</v>
      </c>
      <c r="C184" s="3">
        <f>IFERROR(__xludf.DUMMYFUNCTION("""COMPUTED_VALUE"""),1.0)</f>
        <v>1</v>
      </c>
      <c r="D184" s="3"/>
      <c r="E184" s="3"/>
      <c r="F184" s="3">
        <f>IFERROR(__xludf.DUMMYFUNCTION("""COMPUTED_VALUE"""),0.0)</f>
        <v>0</v>
      </c>
      <c r="G184" s="3">
        <f>IFERROR(__xludf.DUMMYFUNCTION("""COMPUTED_VALUE"""),2.0)</f>
        <v>2</v>
      </c>
      <c r="H184" s="7">
        <f t="shared" si="1"/>
        <v>2</v>
      </c>
      <c r="I184" s="3">
        <f>G184-iferror(VLOOKUP(B184,'OPTI Leadboard Last Week'!A:G,6,FALSE),0)</f>
        <v>0</v>
      </c>
      <c r="J184" s="3" t="str">
        <f>IF(IF(LEN(B184)=0,"",IFERROR(IF(VLOOKUP(B184,'OPTI Leadboard Last Week'!A:G,7,FALSE)-A184&gt;0,"+"&amp;VLOOKUP(B184,'OPTI Leadboard Last Week'!A:G,7,FALSE)-A184,"-"&amp;abs(VLOOKUP(B184,'OPTI Leadboard Last Week'!A:G,7,FALSE)-A184)),"NEW"))="-0","--",IF(LEN(B184)=0,"",IFERROR(IF(VLOOKUP(B184,'OPTI Leadboard Last Week'!A:G,7,FALSE)-A184&gt;0,"+"&amp;VLOOKUP(B184,'OPTI Leadboard Last Week'!A:G,7,FALSE)-A184,"-"&amp;abs(VLOOKUP(B184,'OPTI Leadboard Last Week'!A:G,7,FALSE)-A184)),"NEW")))</f>
        <v>-1</v>
      </c>
    </row>
    <row r="185">
      <c r="A185" s="5">
        <f t="shared" si="2"/>
        <v>184</v>
      </c>
      <c r="B185" s="3" t="str">
        <f>IFERROR(__xludf.DUMMYFUNCTION("""COMPUTED_VALUE"""),"Miles Shirtcliffe")</f>
        <v>Miles Shirtcliffe</v>
      </c>
      <c r="C185" s="3">
        <f>IFERROR(__xludf.DUMMYFUNCTION("""COMPUTED_VALUE"""),1.0)</f>
        <v>1</v>
      </c>
      <c r="D185" s="3"/>
      <c r="E185" s="3"/>
      <c r="F185" s="3">
        <f>IFERROR(__xludf.DUMMYFUNCTION("""COMPUTED_VALUE"""),0.0)</f>
        <v>0</v>
      </c>
      <c r="G185" s="3">
        <f>IFERROR(__xludf.DUMMYFUNCTION("""COMPUTED_VALUE"""),2.0)</f>
        <v>2</v>
      </c>
      <c r="H185" s="7">
        <f t="shared" si="1"/>
        <v>2</v>
      </c>
      <c r="I185" s="3">
        <f>G185-iferror(VLOOKUP(B185,'OPTI Leadboard Last Week'!A:G,6,FALSE),0)</f>
        <v>0</v>
      </c>
      <c r="J185" s="3" t="str">
        <f>IF(IF(LEN(B185)=0,"",IFERROR(IF(VLOOKUP(B185,'OPTI Leadboard Last Week'!A:G,7,FALSE)-A185&gt;0,"+"&amp;VLOOKUP(B185,'OPTI Leadboard Last Week'!A:G,7,FALSE)-A185,"-"&amp;abs(VLOOKUP(B185,'OPTI Leadboard Last Week'!A:G,7,FALSE)-A185)),"NEW"))="-0","--",IF(LEN(B185)=0,"",IFERROR(IF(VLOOKUP(B185,'OPTI Leadboard Last Week'!A:G,7,FALSE)-A185&gt;0,"+"&amp;VLOOKUP(B185,'OPTI Leadboard Last Week'!A:G,7,FALSE)-A185,"-"&amp;abs(VLOOKUP(B185,'OPTI Leadboard Last Week'!A:G,7,FALSE)-A185)),"NEW")))</f>
        <v>-1</v>
      </c>
    </row>
    <row r="186">
      <c r="A186" s="5">
        <f t="shared" si="2"/>
        <v>185</v>
      </c>
      <c r="B186" s="3" t="str">
        <f>IFERROR(__xludf.DUMMYFUNCTION("""COMPUTED_VALUE"""),"Sean Woodhouse")</f>
        <v>Sean Woodhouse</v>
      </c>
      <c r="C186" s="3">
        <f>IFERROR(__xludf.DUMMYFUNCTION("""COMPUTED_VALUE"""),1.0)</f>
        <v>1</v>
      </c>
      <c r="D186" s="3"/>
      <c r="E186" s="3"/>
      <c r="F186" s="3">
        <f>IFERROR(__xludf.DUMMYFUNCTION("""COMPUTED_VALUE"""),0.0)</f>
        <v>0</v>
      </c>
      <c r="G186" s="3">
        <f>IFERROR(__xludf.DUMMYFUNCTION("""COMPUTED_VALUE"""),2.0)</f>
        <v>2</v>
      </c>
      <c r="H186" s="7">
        <f t="shared" si="1"/>
        <v>2</v>
      </c>
      <c r="I186" s="3">
        <f>G186-iferror(VLOOKUP(B186,'OPTI Leadboard Last Week'!A:G,6,FALSE),0)</f>
        <v>0</v>
      </c>
      <c r="J186" s="3" t="str">
        <f>IF(IF(LEN(B186)=0,"",IFERROR(IF(VLOOKUP(B186,'OPTI Leadboard Last Week'!A:G,7,FALSE)-A186&gt;0,"+"&amp;VLOOKUP(B186,'OPTI Leadboard Last Week'!A:G,7,FALSE)-A186,"-"&amp;abs(VLOOKUP(B186,'OPTI Leadboard Last Week'!A:G,7,FALSE)-A186)),"NEW"))="-0","--",IF(LEN(B186)=0,"",IFERROR(IF(VLOOKUP(B186,'OPTI Leadboard Last Week'!A:G,7,FALSE)-A186&gt;0,"+"&amp;VLOOKUP(B186,'OPTI Leadboard Last Week'!A:G,7,FALSE)-A186,"-"&amp;abs(VLOOKUP(B186,'OPTI Leadboard Last Week'!A:G,7,FALSE)-A186)),"NEW")))</f>
        <v>-1</v>
      </c>
    </row>
    <row r="187">
      <c r="A187" s="5">
        <f t="shared" si="2"/>
        <v>186</v>
      </c>
      <c r="B187" s="3" t="str">
        <f>IFERROR(__xludf.DUMMYFUNCTION("""COMPUTED_VALUE"""),"Stevie Wood")</f>
        <v>Stevie Wood</v>
      </c>
      <c r="C187" s="3">
        <f>IFERROR(__xludf.DUMMYFUNCTION("""COMPUTED_VALUE"""),1.0)</f>
        <v>1</v>
      </c>
      <c r="D187" s="3"/>
      <c r="E187" s="3"/>
      <c r="F187" s="3">
        <f>IFERROR(__xludf.DUMMYFUNCTION("""COMPUTED_VALUE"""),0.0)</f>
        <v>0</v>
      </c>
      <c r="G187" s="3">
        <f>IFERROR(__xludf.DUMMYFUNCTION("""COMPUTED_VALUE"""),2.0)</f>
        <v>2</v>
      </c>
      <c r="H187" s="7">
        <f t="shared" si="1"/>
        <v>2</v>
      </c>
      <c r="I187" s="3">
        <f>G187-iferror(VLOOKUP(B187,'OPTI Leadboard Last Week'!A:G,6,FALSE),0)</f>
        <v>0</v>
      </c>
      <c r="J187" s="3" t="str">
        <f>IF(IF(LEN(B187)=0,"",IFERROR(IF(VLOOKUP(B187,'OPTI Leadboard Last Week'!A:G,7,FALSE)-A187&gt;0,"+"&amp;VLOOKUP(B187,'OPTI Leadboard Last Week'!A:G,7,FALSE)-A187,"-"&amp;abs(VLOOKUP(B187,'OPTI Leadboard Last Week'!A:G,7,FALSE)-A187)),"NEW"))="-0","--",IF(LEN(B187)=0,"",IFERROR(IF(VLOOKUP(B187,'OPTI Leadboard Last Week'!A:G,7,FALSE)-A187&gt;0,"+"&amp;VLOOKUP(B187,'OPTI Leadboard Last Week'!A:G,7,FALSE)-A187,"-"&amp;abs(VLOOKUP(B187,'OPTI Leadboard Last Week'!A:G,7,FALSE)-A187)),"NEW")))</f>
        <v>-1</v>
      </c>
    </row>
    <row r="188">
      <c r="A188" s="5">
        <f t="shared" si="2"/>
        <v>187</v>
      </c>
      <c r="B188" s="3" t="str">
        <f>IFERROR(__xludf.DUMMYFUNCTION("""COMPUTED_VALUE"""),"Ali Koc")</f>
        <v>Ali Koc</v>
      </c>
      <c r="C188" s="3">
        <f>IFERROR(__xludf.DUMMYFUNCTION("""COMPUTED_VALUE"""),1.0)</f>
        <v>1</v>
      </c>
      <c r="D188" s="3"/>
      <c r="E188" s="3"/>
      <c r="F188" s="3">
        <f>IFERROR(__xludf.DUMMYFUNCTION("""COMPUTED_VALUE"""),0.0)</f>
        <v>0</v>
      </c>
      <c r="G188" s="3">
        <f>IFERROR(__xludf.DUMMYFUNCTION("""COMPUTED_VALUE"""),1.0)</f>
        <v>1</v>
      </c>
      <c r="H188" s="7">
        <f t="shared" si="1"/>
        <v>1</v>
      </c>
      <c r="I188" s="3">
        <f>G188-iferror(VLOOKUP(B188,'OPTI Leadboard Last Week'!A:G,6,FALSE),0)</f>
        <v>0</v>
      </c>
      <c r="J188" s="3" t="str">
        <f>IF(IF(LEN(B188)=0,"",IFERROR(IF(VLOOKUP(B188,'OPTI Leadboard Last Week'!A:G,7,FALSE)-A188&gt;0,"+"&amp;VLOOKUP(B188,'OPTI Leadboard Last Week'!A:G,7,FALSE)-A188,"-"&amp;abs(VLOOKUP(B188,'OPTI Leadboard Last Week'!A:G,7,FALSE)-A188)),"NEW"))="-0","--",IF(LEN(B188)=0,"",IFERROR(IF(VLOOKUP(B188,'OPTI Leadboard Last Week'!A:G,7,FALSE)-A188&gt;0,"+"&amp;VLOOKUP(B188,'OPTI Leadboard Last Week'!A:G,7,FALSE)-A188,"-"&amp;abs(VLOOKUP(B188,'OPTI Leadboard Last Week'!A:G,7,FALSE)-A188)),"NEW")))</f>
        <v>-1</v>
      </c>
    </row>
    <row r="189">
      <c r="A189" s="5" t="str">
        <f t="shared" si="2"/>
        <v/>
      </c>
      <c r="H189" s="7" t="str">
        <f t="shared" si="1"/>
        <v>#DIV/0!</v>
      </c>
      <c r="I189" s="3">
        <f>G189-iferror(VLOOKUP(B189,'OPTI Leadboard Last Week'!A:G,6,FALSE),0)</f>
        <v>0</v>
      </c>
      <c r="J189" s="3" t="str">
        <f>IF(IF(LEN(B189)=0,"",IFERROR(IF(VLOOKUP(B189,'OPTI Leadboard Last Week'!A:G,7,FALSE)-A189&gt;0,"+"&amp;VLOOKUP(B189,'OPTI Leadboard Last Week'!A:G,7,FALSE)-A189,"-"&amp;abs(VLOOKUP(B189,'OPTI Leadboard Last Week'!A:G,7,FALSE)-A189)),"NEW"))="-0","--",IF(LEN(B189)=0,"",IFERROR(IF(VLOOKUP(B189,'OPTI Leadboard Last Week'!A:G,7,FALSE)-A189&gt;0,"+"&amp;VLOOKUP(B189,'OPTI Leadboard Last Week'!A:G,7,FALSE)-A189,"-"&amp;abs(VLOOKUP(B189,'OPTI Leadboard Last Week'!A:G,7,FALSE)-A189)),"NEW")))</f>
        <v/>
      </c>
    </row>
    <row r="190">
      <c r="A190" s="5" t="str">
        <f t="shared" si="2"/>
        <v/>
      </c>
      <c r="H190" s="7" t="str">
        <f t="shared" si="1"/>
        <v>#DIV/0!</v>
      </c>
      <c r="I190" s="3">
        <f>G190-iferror(VLOOKUP(B190,'OPTI Leadboard Last Week'!A:G,6,FALSE),0)</f>
        <v>0</v>
      </c>
      <c r="J190" s="3" t="str">
        <f>IF(IF(LEN(B190)=0,"",IFERROR(IF(VLOOKUP(B190,'OPTI Leadboard Last Week'!A:G,7,FALSE)-A190&gt;0,"+"&amp;VLOOKUP(B190,'OPTI Leadboard Last Week'!A:G,7,FALSE)-A190,"-"&amp;abs(VLOOKUP(B190,'OPTI Leadboard Last Week'!A:G,7,FALSE)-A190)),"NEW"))="-0","--",IF(LEN(B190)=0,"",IFERROR(IF(VLOOKUP(B190,'OPTI Leadboard Last Week'!A:G,7,FALSE)-A190&gt;0,"+"&amp;VLOOKUP(B190,'OPTI Leadboard Last Week'!A:G,7,FALSE)-A190,"-"&amp;abs(VLOOKUP(B190,'OPTI Leadboard Last Week'!A:G,7,FALSE)-A190)),"NEW")))</f>
        <v/>
      </c>
    </row>
    <row r="191">
      <c r="A191" s="5" t="str">
        <f t="shared" si="2"/>
        <v/>
      </c>
      <c r="H191" s="7" t="str">
        <f t="shared" si="1"/>
        <v>#DIV/0!</v>
      </c>
      <c r="I191" s="3">
        <f>G191-iferror(VLOOKUP(B191,'OPTI Leadboard Last Week'!A:G,6,FALSE),0)</f>
        <v>0</v>
      </c>
      <c r="J191" s="3" t="str">
        <f>IF(IF(LEN(B191)=0,"",IFERROR(IF(VLOOKUP(B191,'OPTI Leadboard Last Week'!A:G,7,FALSE)-A191&gt;0,"+"&amp;VLOOKUP(B191,'OPTI Leadboard Last Week'!A:G,7,FALSE)-A191,"-"&amp;abs(VLOOKUP(B191,'OPTI Leadboard Last Week'!A:G,7,FALSE)-A191)),"NEW"))="-0","--",IF(LEN(B191)=0,"",IFERROR(IF(VLOOKUP(B191,'OPTI Leadboard Last Week'!A:G,7,FALSE)-A191&gt;0,"+"&amp;VLOOKUP(B191,'OPTI Leadboard Last Week'!A:G,7,FALSE)-A191,"-"&amp;abs(VLOOKUP(B191,'OPTI Leadboard Last Week'!A:G,7,FALSE)-A191)),"NEW")))</f>
        <v/>
      </c>
    </row>
    <row r="192">
      <c r="A192" s="5" t="str">
        <f t="shared" si="2"/>
        <v/>
      </c>
      <c r="H192" s="7" t="str">
        <f t="shared" si="1"/>
        <v>#DIV/0!</v>
      </c>
      <c r="I192" s="3">
        <f>G192-iferror(VLOOKUP(B192,'OPTI Leadboard Last Week'!A:G,6,FALSE),0)</f>
        <v>0</v>
      </c>
      <c r="J192" s="3" t="str">
        <f>IF(IF(LEN(B192)=0,"",IFERROR(IF(VLOOKUP(B192,'OPTI Leadboard Last Week'!A:G,7,FALSE)-A192&gt;0,"+"&amp;VLOOKUP(B192,'OPTI Leadboard Last Week'!A:G,7,FALSE)-A192,"-"&amp;abs(VLOOKUP(B192,'OPTI Leadboard Last Week'!A:G,7,FALSE)-A192)),"NEW"))="-0","--",IF(LEN(B192)=0,"",IFERROR(IF(VLOOKUP(B192,'OPTI Leadboard Last Week'!A:G,7,FALSE)-A192&gt;0,"+"&amp;VLOOKUP(B192,'OPTI Leadboard Last Week'!A:G,7,FALSE)-A192,"-"&amp;abs(VLOOKUP(B192,'OPTI Leadboard Last Week'!A:G,7,FALSE)-A192)),"NEW")))</f>
        <v/>
      </c>
    </row>
    <row r="193">
      <c r="A193" s="5" t="str">
        <f t="shared" si="2"/>
        <v/>
      </c>
      <c r="H193" s="7" t="str">
        <f t="shared" si="1"/>
        <v>#DIV/0!</v>
      </c>
      <c r="I193" s="3">
        <f>G193-iferror(VLOOKUP(B193,'OPTI Leadboard Last Week'!A:G,6,FALSE),0)</f>
        <v>0</v>
      </c>
      <c r="J193" s="3" t="str">
        <f>IF(IF(LEN(B193)=0,"",IFERROR(IF(VLOOKUP(B193,'OPTI Leadboard Last Week'!A:G,7,FALSE)-A193&gt;0,"+"&amp;VLOOKUP(B193,'OPTI Leadboard Last Week'!A:G,7,FALSE)-A193,"-"&amp;abs(VLOOKUP(B193,'OPTI Leadboard Last Week'!A:G,7,FALSE)-A193)),"NEW"))="-0","--",IF(LEN(B193)=0,"",IFERROR(IF(VLOOKUP(B193,'OPTI Leadboard Last Week'!A:G,7,FALSE)-A193&gt;0,"+"&amp;VLOOKUP(B193,'OPTI Leadboard Last Week'!A:G,7,FALSE)-A193,"-"&amp;abs(VLOOKUP(B193,'OPTI Leadboard Last Week'!A:G,7,FALSE)-A193)),"NEW")))</f>
        <v/>
      </c>
    </row>
    <row r="194">
      <c r="A194" s="5" t="str">
        <f t="shared" si="2"/>
        <v/>
      </c>
      <c r="H194" s="7" t="str">
        <f t="shared" si="1"/>
        <v>#DIV/0!</v>
      </c>
      <c r="I194" s="3">
        <f>G194-iferror(VLOOKUP(B194,'OPTI Leadboard Last Week'!A:G,6,FALSE),0)</f>
        <v>0</v>
      </c>
      <c r="J194" s="3" t="str">
        <f>IF(IF(LEN(B194)=0,"",IFERROR(IF(VLOOKUP(B194,'OPTI Leadboard Last Week'!A:G,7,FALSE)-A194&gt;0,"+"&amp;VLOOKUP(B194,'OPTI Leadboard Last Week'!A:G,7,FALSE)-A194,"-"&amp;abs(VLOOKUP(B194,'OPTI Leadboard Last Week'!A:G,7,FALSE)-A194)),"NEW"))="-0","--",IF(LEN(B194)=0,"",IFERROR(IF(VLOOKUP(B194,'OPTI Leadboard Last Week'!A:G,7,FALSE)-A194&gt;0,"+"&amp;VLOOKUP(B194,'OPTI Leadboard Last Week'!A:G,7,FALSE)-A194,"-"&amp;abs(VLOOKUP(B194,'OPTI Leadboard Last Week'!A:G,7,FALSE)-A194)),"NEW")))</f>
        <v/>
      </c>
    </row>
    <row r="195">
      <c r="A195" s="5" t="str">
        <f t="shared" si="2"/>
        <v/>
      </c>
      <c r="H195" s="7" t="str">
        <f t="shared" si="1"/>
        <v>#DIV/0!</v>
      </c>
      <c r="I195" s="3">
        <f>G195-iferror(VLOOKUP(B195,'OPTI Leadboard Last Week'!A:G,6,FALSE),0)</f>
        <v>0</v>
      </c>
      <c r="J195" s="3" t="str">
        <f>IF(IF(LEN(B195)=0,"",IFERROR(IF(VLOOKUP(B195,'OPTI Leadboard Last Week'!A:G,7,FALSE)-A195&gt;0,"+"&amp;VLOOKUP(B195,'OPTI Leadboard Last Week'!A:G,7,FALSE)-A195,"-"&amp;abs(VLOOKUP(B195,'OPTI Leadboard Last Week'!A:G,7,FALSE)-A195)),"NEW"))="-0","--",IF(LEN(B195)=0,"",IFERROR(IF(VLOOKUP(B195,'OPTI Leadboard Last Week'!A:G,7,FALSE)-A195&gt;0,"+"&amp;VLOOKUP(B195,'OPTI Leadboard Last Week'!A:G,7,FALSE)-A195,"-"&amp;abs(VLOOKUP(B195,'OPTI Leadboard Last Week'!A:G,7,FALSE)-A195)),"NEW")))</f>
        <v/>
      </c>
    </row>
    <row r="196">
      <c r="A196" s="5" t="str">
        <f t="shared" si="2"/>
        <v/>
      </c>
      <c r="H196" s="7" t="str">
        <f t="shared" si="1"/>
        <v>#DIV/0!</v>
      </c>
      <c r="I196" s="3">
        <f>G196-iferror(VLOOKUP(B196,'OPTI Leadboard Last Week'!A:G,6,FALSE),0)</f>
        <v>0</v>
      </c>
      <c r="J196" s="3" t="str">
        <f>IF(IF(LEN(B196)=0,"",IFERROR(IF(VLOOKUP(B196,'OPTI Leadboard Last Week'!A:G,7,FALSE)-A196&gt;0,"+"&amp;VLOOKUP(B196,'OPTI Leadboard Last Week'!A:G,7,FALSE)-A196,"-"&amp;abs(VLOOKUP(B196,'OPTI Leadboard Last Week'!A:G,7,FALSE)-A196)),"NEW"))="-0","--",IF(LEN(B196)=0,"",IFERROR(IF(VLOOKUP(B196,'OPTI Leadboard Last Week'!A:G,7,FALSE)-A196&gt;0,"+"&amp;VLOOKUP(B196,'OPTI Leadboard Last Week'!A:G,7,FALSE)-A196,"-"&amp;abs(VLOOKUP(B196,'OPTI Leadboard Last Week'!A:G,7,FALSE)-A196)),"NEW")))</f>
        <v/>
      </c>
    </row>
    <row r="197">
      <c r="A197" s="5" t="str">
        <f t="shared" si="2"/>
        <v/>
      </c>
      <c r="H197" s="7" t="str">
        <f t="shared" si="1"/>
        <v>#DIV/0!</v>
      </c>
      <c r="I197" s="3">
        <f>G197-iferror(VLOOKUP(B197,'OPTI Leadboard Last Week'!A:G,6,FALSE),0)</f>
        <v>0</v>
      </c>
      <c r="J197" s="3" t="str">
        <f>IF(IF(LEN(B197)=0,"",IFERROR(IF(VLOOKUP(B197,'OPTI Leadboard Last Week'!A:G,7,FALSE)-A197&gt;0,"+"&amp;VLOOKUP(B197,'OPTI Leadboard Last Week'!A:G,7,FALSE)-A197,"-"&amp;abs(VLOOKUP(B197,'OPTI Leadboard Last Week'!A:G,7,FALSE)-A197)),"NEW"))="-0","--",IF(LEN(B197)=0,"",IFERROR(IF(VLOOKUP(B197,'OPTI Leadboard Last Week'!A:G,7,FALSE)-A197&gt;0,"+"&amp;VLOOKUP(B197,'OPTI Leadboard Last Week'!A:G,7,FALSE)-A197,"-"&amp;abs(VLOOKUP(B197,'OPTI Leadboard Last Week'!A:G,7,FALSE)-A197)),"NEW")))</f>
        <v/>
      </c>
    </row>
    <row r="198">
      <c r="A198" s="5" t="str">
        <f t="shared" si="2"/>
        <v/>
      </c>
      <c r="H198" s="7" t="str">
        <f t="shared" si="1"/>
        <v>#DIV/0!</v>
      </c>
      <c r="I198" s="3">
        <f>G198-iferror(VLOOKUP(B198,'OPTI Leadboard Last Week'!A:G,6,FALSE),0)</f>
        <v>0</v>
      </c>
      <c r="J198" s="3" t="str">
        <f>IF(IF(LEN(B198)=0,"",IFERROR(IF(VLOOKUP(B198,'OPTI Leadboard Last Week'!A:G,7,FALSE)-A198&gt;0,"+"&amp;VLOOKUP(B198,'OPTI Leadboard Last Week'!A:G,7,FALSE)-A198,"-"&amp;abs(VLOOKUP(B198,'OPTI Leadboard Last Week'!A:G,7,FALSE)-A198)),"NEW"))="-0","--",IF(LEN(B198)=0,"",IFERROR(IF(VLOOKUP(B198,'OPTI Leadboard Last Week'!A:G,7,FALSE)-A198&gt;0,"+"&amp;VLOOKUP(B198,'OPTI Leadboard Last Week'!A:G,7,FALSE)-A198,"-"&amp;abs(VLOOKUP(B198,'OPTI Leadboard Last Week'!A:G,7,FALSE)-A198)),"NEW")))</f>
        <v/>
      </c>
    </row>
    <row r="199">
      <c r="A199" s="5" t="str">
        <f t="shared" si="2"/>
        <v/>
      </c>
      <c r="H199" s="7" t="str">
        <f t="shared" si="1"/>
        <v>#DIV/0!</v>
      </c>
      <c r="I199" s="3">
        <f>G199-iferror(VLOOKUP(B199,'OPTI Leadboard Last Week'!A:G,6,FALSE),0)</f>
        <v>0</v>
      </c>
      <c r="J199" s="3" t="str">
        <f>IF(IF(LEN(B199)=0,"",IFERROR(IF(VLOOKUP(B199,'OPTI Leadboard Last Week'!A:G,7,FALSE)-A199&gt;0,"+"&amp;VLOOKUP(B199,'OPTI Leadboard Last Week'!A:G,7,FALSE)-A199,"-"&amp;abs(VLOOKUP(B199,'OPTI Leadboard Last Week'!A:G,7,FALSE)-A199)),"NEW"))="-0","--",IF(LEN(B199)=0,"",IFERROR(IF(VLOOKUP(B199,'OPTI Leadboard Last Week'!A:G,7,FALSE)-A199&gt;0,"+"&amp;VLOOKUP(B199,'OPTI Leadboard Last Week'!A:G,7,FALSE)-A199,"-"&amp;abs(VLOOKUP(B199,'OPTI Leadboard Last Week'!A:G,7,FALSE)-A199)),"NEW")))</f>
        <v/>
      </c>
    </row>
    <row r="200">
      <c r="A200" s="5" t="str">
        <f t="shared" si="2"/>
        <v/>
      </c>
      <c r="H200" s="7" t="str">
        <f t="shared" si="1"/>
        <v>#DIV/0!</v>
      </c>
      <c r="I200" s="3">
        <f>G200-iferror(VLOOKUP(B200,'OPTI Leadboard Last Week'!A:G,6,FALSE),0)</f>
        <v>0</v>
      </c>
      <c r="J200" s="3" t="str">
        <f>IF(IF(LEN(B200)=0,"",IFERROR(IF(VLOOKUP(B200,'OPTI Leadboard Last Week'!A:G,7,FALSE)-A200&gt;0,"+"&amp;VLOOKUP(B200,'OPTI Leadboard Last Week'!A:G,7,FALSE)-A200,"-"&amp;abs(VLOOKUP(B200,'OPTI Leadboard Last Week'!A:G,7,FALSE)-A200)),"NEW"))="-0","--",IF(LEN(B200)=0,"",IFERROR(IF(VLOOKUP(B200,'OPTI Leadboard Last Week'!A:G,7,FALSE)-A200&gt;0,"+"&amp;VLOOKUP(B200,'OPTI Leadboard Last Week'!A:G,7,FALSE)-A200,"-"&amp;abs(VLOOKUP(B200,'OPTI Leadboard Last Week'!A:G,7,FALSE)-A200)),"NEW")))</f>
        <v/>
      </c>
    </row>
    <row r="201">
      <c r="A201" s="5" t="str">
        <f t="shared" si="2"/>
        <v/>
      </c>
      <c r="H201" s="7" t="str">
        <f t="shared" si="1"/>
        <v>#DIV/0!</v>
      </c>
      <c r="I201" s="3">
        <f>G201-iferror(VLOOKUP(B201,'OPTI Leadboard Last Week'!A:G,6,FALSE),0)</f>
        <v>0</v>
      </c>
      <c r="J201" s="3" t="str">
        <f>IF(IF(LEN(B201)=0,"",IFERROR(IF(VLOOKUP(B201,'OPTI Leadboard Last Week'!A:G,7,FALSE)-A201&gt;0,"+"&amp;VLOOKUP(B201,'OPTI Leadboard Last Week'!A:G,7,FALSE)-A201,"-"&amp;abs(VLOOKUP(B201,'OPTI Leadboard Last Week'!A:G,7,FALSE)-A201)),"NEW"))="-0","--",IF(LEN(B201)=0,"",IFERROR(IF(VLOOKUP(B201,'OPTI Leadboard Last Week'!A:G,7,FALSE)-A201&gt;0,"+"&amp;VLOOKUP(B201,'OPTI Leadboard Last Week'!A:G,7,FALSE)-A201,"-"&amp;abs(VLOOKUP(B201,'OPTI Leadboard Last Week'!A:G,7,FALSE)-A201)),"NEW")))</f>
        <v/>
      </c>
    </row>
    <row r="202">
      <c r="A202" s="5" t="str">
        <f t="shared" si="2"/>
        <v/>
      </c>
      <c r="H202" s="7" t="str">
        <f t="shared" si="1"/>
        <v>#DIV/0!</v>
      </c>
      <c r="I202" s="3">
        <f>G202-iferror(VLOOKUP(B202,'OPTI Leadboard Last Week'!A:G,6,FALSE),0)</f>
        <v>0</v>
      </c>
      <c r="J202" s="3" t="str">
        <f>IF(IF(LEN(B202)=0,"",IFERROR(IF(VLOOKUP(B202,'OPTI Leadboard Last Week'!A:G,7,FALSE)-A202&gt;0,"+"&amp;VLOOKUP(B202,'OPTI Leadboard Last Week'!A:G,7,FALSE)-A202,"-"&amp;abs(VLOOKUP(B202,'OPTI Leadboard Last Week'!A:G,7,FALSE)-A202)),"NEW"))="-0","--",IF(LEN(B202)=0,"",IFERROR(IF(VLOOKUP(B202,'OPTI Leadboard Last Week'!A:G,7,FALSE)-A202&gt;0,"+"&amp;VLOOKUP(B202,'OPTI Leadboard Last Week'!A:G,7,FALSE)-A202,"-"&amp;abs(VLOOKUP(B202,'OPTI Leadboard Last Week'!A:G,7,FALSE)-A202)),"NEW")))</f>
        <v/>
      </c>
    </row>
    <row r="203">
      <c r="A203" s="5" t="str">
        <f t="shared" si="2"/>
        <v/>
      </c>
      <c r="H203" s="7" t="str">
        <f t="shared" si="1"/>
        <v>#DIV/0!</v>
      </c>
      <c r="I203" s="3">
        <f>G203-iferror(VLOOKUP(B203,'OPTI Leadboard Last Week'!A:G,6,FALSE),0)</f>
        <v>0</v>
      </c>
      <c r="J203" s="3" t="str">
        <f>IF(IF(LEN(B203)=0,"",IFERROR(IF(VLOOKUP(B203,'OPTI Leadboard Last Week'!A:G,7,FALSE)-A203&gt;0,"+"&amp;VLOOKUP(B203,'OPTI Leadboard Last Week'!A:G,7,FALSE)-A203,"-"&amp;abs(VLOOKUP(B203,'OPTI Leadboard Last Week'!A:G,7,FALSE)-A203)),"NEW"))="-0","--",IF(LEN(B203)=0,"",IFERROR(IF(VLOOKUP(B203,'OPTI Leadboard Last Week'!A:G,7,FALSE)-A203&gt;0,"+"&amp;VLOOKUP(B203,'OPTI Leadboard Last Week'!A:G,7,FALSE)-A203,"-"&amp;abs(VLOOKUP(B203,'OPTI Leadboard Last Week'!A:G,7,FALSE)-A203)),"NEW")))</f>
        <v/>
      </c>
    </row>
    <row r="204">
      <c r="A204" s="5" t="str">
        <f t="shared" si="2"/>
        <v/>
      </c>
      <c r="H204" s="7" t="str">
        <f t="shared" si="1"/>
        <v>#DIV/0!</v>
      </c>
      <c r="I204" s="3">
        <f>G204-iferror(VLOOKUP(B204,'OPTI Leadboard Last Week'!A:G,6,FALSE),0)</f>
        <v>0</v>
      </c>
      <c r="J204" s="3" t="str">
        <f>IF(IF(LEN(B204)=0,"",IFERROR(IF(VLOOKUP(B204,'OPTI Leadboard Last Week'!A:G,7,FALSE)-A204&gt;0,"+"&amp;VLOOKUP(B204,'OPTI Leadboard Last Week'!A:G,7,FALSE)-A204,"-"&amp;abs(VLOOKUP(B204,'OPTI Leadboard Last Week'!A:G,7,FALSE)-A204)),"NEW"))="-0","--",IF(LEN(B204)=0,"",IFERROR(IF(VLOOKUP(B204,'OPTI Leadboard Last Week'!A:G,7,FALSE)-A204&gt;0,"+"&amp;VLOOKUP(B204,'OPTI Leadboard Last Week'!A:G,7,FALSE)-A204,"-"&amp;abs(VLOOKUP(B204,'OPTI Leadboard Last Week'!A:G,7,FALSE)-A204)),"NEW")))</f>
        <v/>
      </c>
    </row>
    <row r="205">
      <c r="A205" s="5" t="str">
        <f t="shared" si="2"/>
        <v/>
      </c>
      <c r="H205" s="7" t="str">
        <f t="shared" si="1"/>
        <v>#DIV/0!</v>
      </c>
      <c r="I205" s="3">
        <f>G205-iferror(VLOOKUP(B205,'OPTI Leadboard Last Week'!A:G,6,FALSE),0)</f>
        <v>0</v>
      </c>
      <c r="J205" s="3" t="str">
        <f>IF(IF(LEN(B205)=0,"",IFERROR(IF(VLOOKUP(B205,'OPTI Leadboard Last Week'!A:G,7,FALSE)-A205&gt;0,"+"&amp;VLOOKUP(B205,'OPTI Leadboard Last Week'!A:G,7,FALSE)-A205,"-"&amp;abs(VLOOKUP(B205,'OPTI Leadboard Last Week'!A:G,7,FALSE)-A205)),"NEW"))="-0","--",IF(LEN(B205)=0,"",IFERROR(IF(VLOOKUP(B205,'OPTI Leadboard Last Week'!A:G,7,FALSE)-A205&gt;0,"+"&amp;VLOOKUP(B205,'OPTI Leadboard Last Week'!A:G,7,FALSE)-A205,"-"&amp;abs(VLOOKUP(B205,'OPTI Leadboard Last Week'!A:G,7,FALSE)-A205)),"NEW")))</f>
        <v/>
      </c>
    </row>
    <row r="206">
      <c r="A206" s="5" t="str">
        <f t="shared" si="2"/>
        <v/>
      </c>
      <c r="H206" s="7" t="str">
        <f t="shared" si="1"/>
        <v>#DIV/0!</v>
      </c>
      <c r="I206" s="3">
        <f>G206-iferror(VLOOKUP(B206,'OPTI Leadboard Last Week'!A:G,6,FALSE),0)</f>
        <v>0</v>
      </c>
      <c r="J206" s="3" t="str">
        <f>IF(IF(LEN(B206)=0,"",IFERROR(IF(VLOOKUP(B206,'OPTI Leadboard Last Week'!A:G,7,FALSE)-A206&gt;0,"+"&amp;VLOOKUP(B206,'OPTI Leadboard Last Week'!A:G,7,FALSE)-A206,"-"&amp;abs(VLOOKUP(B206,'OPTI Leadboard Last Week'!A:G,7,FALSE)-A206)),"NEW"))="-0","--",IF(LEN(B206)=0,"",IFERROR(IF(VLOOKUP(B206,'OPTI Leadboard Last Week'!A:G,7,FALSE)-A206&gt;0,"+"&amp;VLOOKUP(B206,'OPTI Leadboard Last Week'!A:G,7,FALSE)-A206,"-"&amp;abs(VLOOKUP(B206,'OPTI Leadboard Last Week'!A:G,7,FALSE)-A206)),"NEW")))</f>
        <v/>
      </c>
    </row>
    <row r="207">
      <c r="A207" s="5" t="str">
        <f t="shared" si="2"/>
        <v/>
      </c>
      <c r="H207" s="7" t="str">
        <f t="shared" si="1"/>
        <v>#DIV/0!</v>
      </c>
      <c r="I207" s="3">
        <f>G207-iferror(VLOOKUP(B207,'OPTI Leadboard Last Week'!A:G,6,FALSE),0)</f>
        <v>0</v>
      </c>
      <c r="J207" s="3" t="str">
        <f>IF(IF(LEN(B207)=0,"",IFERROR(IF(VLOOKUP(B207,'OPTI Leadboard Last Week'!A:G,7,FALSE)-A207&gt;0,"+"&amp;VLOOKUP(B207,'OPTI Leadboard Last Week'!A:G,7,FALSE)-A207,"-"&amp;abs(VLOOKUP(B207,'OPTI Leadboard Last Week'!A:G,7,FALSE)-A207)),"NEW"))="-0","--",IF(LEN(B207)=0,"",IFERROR(IF(VLOOKUP(B207,'OPTI Leadboard Last Week'!A:G,7,FALSE)-A207&gt;0,"+"&amp;VLOOKUP(B207,'OPTI Leadboard Last Week'!A:G,7,FALSE)-A207,"-"&amp;abs(VLOOKUP(B207,'OPTI Leadboard Last Week'!A:G,7,FALSE)-A207)),"NEW")))</f>
        <v/>
      </c>
    </row>
    <row r="208">
      <c r="A208" s="5" t="str">
        <f t="shared" si="2"/>
        <v/>
      </c>
      <c r="H208" s="7" t="str">
        <f t="shared" si="1"/>
        <v>#DIV/0!</v>
      </c>
      <c r="I208" s="3">
        <f>G208-iferror(VLOOKUP(B208,'OPTI Leadboard Last Week'!A:G,6,FALSE),0)</f>
        <v>0</v>
      </c>
      <c r="J208" s="3" t="str">
        <f>IF(IF(LEN(B208)=0,"",IFERROR(IF(VLOOKUP(B208,'OPTI Leadboard Last Week'!A:G,7,FALSE)-A208&gt;0,"+"&amp;VLOOKUP(B208,'OPTI Leadboard Last Week'!A:G,7,FALSE)-A208,"-"&amp;abs(VLOOKUP(B208,'OPTI Leadboard Last Week'!A:G,7,FALSE)-A208)),"NEW"))="-0","--",IF(LEN(B208)=0,"",IFERROR(IF(VLOOKUP(B208,'OPTI Leadboard Last Week'!A:G,7,FALSE)-A208&gt;0,"+"&amp;VLOOKUP(B208,'OPTI Leadboard Last Week'!A:G,7,FALSE)-A208,"-"&amp;abs(VLOOKUP(B208,'OPTI Leadboard Last Week'!A:G,7,FALSE)-A208)),"NEW")))</f>
        <v/>
      </c>
    </row>
    <row r="209">
      <c r="A209" s="5" t="str">
        <f t="shared" si="2"/>
        <v/>
      </c>
      <c r="H209" s="7" t="str">
        <f t="shared" si="1"/>
        <v>#DIV/0!</v>
      </c>
      <c r="I209" s="3">
        <f>G209-iferror(VLOOKUP(B209,'OPTI Leadboard Last Week'!A:G,6,FALSE),0)</f>
        <v>0</v>
      </c>
      <c r="J209" s="3" t="str">
        <f>IF(IF(LEN(B209)=0,"",IFERROR(IF(VLOOKUP(B209,'OPTI Leadboard Last Week'!A:G,7,FALSE)-A209&gt;0,"+"&amp;VLOOKUP(B209,'OPTI Leadboard Last Week'!A:G,7,FALSE)-A209,"-"&amp;abs(VLOOKUP(B209,'OPTI Leadboard Last Week'!A:G,7,FALSE)-A209)),"NEW"))="-0","--",IF(LEN(B209)=0,"",IFERROR(IF(VLOOKUP(B209,'OPTI Leadboard Last Week'!A:G,7,FALSE)-A209&gt;0,"+"&amp;VLOOKUP(B209,'OPTI Leadboard Last Week'!A:G,7,FALSE)-A209,"-"&amp;abs(VLOOKUP(B209,'OPTI Leadboard Last Week'!A:G,7,FALSE)-A209)),"NEW")))</f>
        <v/>
      </c>
    </row>
    <row r="210">
      <c r="A210" s="5" t="str">
        <f t="shared" si="2"/>
        <v/>
      </c>
      <c r="H210" s="7" t="str">
        <f t="shared" si="1"/>
        <v>#DIV/0!</v>
      </c>
      <c r="I210" s="3">
        <f>G210-iferror(VLOOKUP(B210,'OPTI Leadboard Last Week'!A:G,6,FALSE),0)</f>
        <v>0</v>
      </c>
      <c r="J210" s="3" t="str">
        <f>IF(IF(LEN(B210)=0,"",IFERROR(IF(VLOOKUP(B210,'OPTI Leadboard Last Week'!A:G,7,FALSE)-A210&gt;0,"+"&amp;VLOOKUP(B210,'OPTI Leadboard Last Week'!A:G,7,FALSE)-A210,"-"&amp;abs(VLOOKUP(B210,'OPTI Leadboard Last Week'!A:G,7,FALSE)-A210)),"NEW"))="-0","--",IF(LEN(B210)=0,"",IFERROR(IF(VLOOKUP(B210,'OPTI Leadboard Last Week'!A:G,7,FALSE)-A210&gt;0,"+"&amp;VLOOKUP(B210,'OPTI Leadboard Last Week'!A:G,7,FALSE)-A210,"-"&amp;abs(VLOOKUP(B210,'OPTI Leadboard Last Week'!A:G,7,FALSE)-A210)),"NEW")))</f>
        <v/>
      </c>
    </row>
    <row r="211">
      <c r="A211" s="5" t="str">
        <f t="shared" si="2"/>
        <v/>
      </c>
      <c r="H211" s="7" t="str">
        <f t="shared" si="1"/>
        <v>#DIV/0!</v>
      </c>
      <c r="I211" s="3">
        <f>G211-iferror(VLOOKUP(B211,'OPTI Leadboard Last Week'!A:G,6,FALSE),0)</f>
        <v>0</v>
      </c>
      <c r="J211" s="3" t="str">
        <f>IF(IF(LEN(B211)=0,"",IFERROR(IF(VLOOKUP(B211,'OPTI Leadboard Last Week'!A:G,7,FALSE)-A211&gt;0,"+"&amp;VLOOKUP(B211,'OPTI Leadboard Last Week'!A:G,7,FALSE)-A211,"-"&amp;abs(VLOOKUP(B211,'OPTI Leadboard Last Week'!A:G,7,FALSE)-A211)),"NEW"))="-0","--",IF(LEN(B211)=0,"",IFERROR(IF(VLOOKUP(B211,'OPTI Leadboard Last Week'!A:G,7,FALSE)-A211&gt;0,"+"&amp;VLOOKUP(B211,'OPTI Leadboard Last Week'!A:G,7,FALSE)-A211,"-"&amp;abs(VLOOKUP(B211,'OPTI Leadboard Last Week'!A:G,7,FALSE)-A211)),"NEW")))</f>
        <v/>
      </c>
    </row>
    <row r="212">
      <c r="A212" s="5" t="str">
        <f t="shared" si="2"/>
        <v/>
      </c>
      <c r="H212" s="7" t="str">
        <f t="shared" si="1"/>
        <v>#DIV/0!</v>
      </c>
      <c r="I212" s="3">
        <f>G212-iferror(VLOOKUP(B212,'OPTI Leadboard Last Week'!A:G,6,FALSE),0)</f>
        <v>0</v>
      </c>
      <c r="J212" s="3" t="str">
        <f>IF(IF(LEN(B212)=0,"",IFERROR(IF(VLOOKUP(B212,'OPTI Leadboard Last Week'!A:G,7,FALSE)-A212&gt;0,"+"&amp;VLOOKUP(B212,'OPTI Leadboard Last Week'!A:G,7,FALSE)-A212,"-"&amp;abs(VLOOKUP(B212,'OPTI Leadboard Last Week'!A:G,7,FALSE)-A212)),"NEW"))="-0","--",IF(LEN(B212)=0,"",IFERROR(IF(VLOOKUP(B212,'OPTI Leadboard Last Week'!A:G,7,FALSE)-A212&gt;0,"+"&amp;VLOOKUP(B212,'OPTI Leadboard Last Week'!A:G,7,FALSE)-A212,"-"&amp;abs(VLOOKUP(B212,'OPTI Leadboard Last Week'!A:G,7,FALSE)-A212)),"NEW")))</f>
        <v/>
      </c>
    </row>
    <row r="213">
      <c r="A213" s="5" t="str">
        <f t="shared" si="2"/>
        <v/>
      </c>
      <c r="H213" s="7" t="str">
        <f t="shared" si="1"/>
        <v>#DIV/0!</v>
      </c>
      <c r="I213" s="3">
        <f>G213-iferror(VLOOKUP(B213,'OPTI Leadboard Last Week'!A:G,6,FALSE),0)</f>
        <v>0</v>
      </c>
      <c r="J213" s="3" t="str">
        <f>IF(IF(LEN(B213)=0,"",IFERROR(IF(VLOOKUP(B213,'OPTI Leadboard Last Week'!A:G,7,FALSE)-A213&gt;0,"+"&amp;VLOOKUP(B213,'OPTI Leadboard Last Week'!A:G,7,FALSE)-A213,"-"&amp;abs(VLOOKUP(B213,'OPTI Leadboard Last Week'!A:G,7,FALSE)-A213)),"NEW"))="-0","--",IF(LEN(B213)=0,"",IFERROR(IF(VLOOKUP(B213,'OPTI Leadboard Last Week'!A:G,7,FALSE)-A213&gt;0,"+"&amp;VLOOKUP(B213,'OPTI Leadboard Last Week'!A:G,7,FALSE)-A213,"-"&amp;abs(VLOOKUP(B213,'OPTI Leadboard Last Week'!A:G,7,FALSE)-A213)),"NEW")))</f>
        <v/>
      </c>
    </row>
    <row r="214">
      <c r="A214" s="5" t="str">
        <f t="shared" si="2"/>
        <v/>
      </c>
      <c r="H214" s="7" t="str">
        <f t="shared" si="1"/>
        <v>#DIV/0!</v>
      </c>
      <c r="I214" s="3">
        <f>G214-iferror(VLOOKUP(B214,'OPTI Leadboard Last Week'!A:G,6,FALSE),0)</f>
        <v>0</v>
      </c>
      <c r="J214" s="3" t="str">
        <f>IF(IF(LEN(B214)=0,"",IFERROR(IF(VLOOKUP(B214,'OPTI Leadboard Last Week'!A:G,7,FALSE)-A214&gt;0,"+"&amp;VLOOKUP(B214,'OPTI Leadboard Last Week'!A:G,7,FALSE)-A214,"-"&amp;abs(VLOOKUP(B214,'OPTI Leadboard Last Week'!A:G,7,FALSE)-A214)),"NEW"))="-0","--",IF(LEN(B214)=0,"",IFERROR(IF(VLOOKUP(B214,'OPTI Leadboard Last Week'!A:G,7,FALSE)-A214&gt;0,"+"&amp;VLOOKUP(B214,'OPTI Leadboard Last Week'!A:G,7,FALSE)-A214,"-"&amp;abs(VLOOKUP(B214,'OPTI Leadboard Last Week'!A:G,7,FALSE)-A214)),"NEW")))</f>
        <v/>
      </c>
    </row>
    <row r="215">
      <c r="A215" s="5" t="str">
        <f t="shared" si="2"/>
        <v/>
      </c>
      <c r="H215" s="7" t="str">
        <f t="shared" si="1"/>
        <v>#DIV/0!</v>
      </c>
      <c r="I215" s="3">
        <f>G215-iferror(VLOOKUP(B215,'OPTI Leadboard Last Week'!A:G,6,FALSE),0)</f>
        <v>0</v>
      </c>
      <c r="J215" s="3" t="str">
        <f>IF(IF(LEN(B215)=0,"",IFERROR(IF(VLOOKUP(B215,'OPTI Leadboard Last Week'!A:G,7,FALSE)-A215&gt;0,"+"&amp;VLOOKUP(B215,'OPTI Leadboard Last Week'!A:G,7,FALSE)-A215,"-"&amp;abs(VLOOKUP(B215,'OPTI Leadboard Last Week'!A:G,7,FALSE)-A215)),"NEW"))="-0","--",IF(LEN(B215)=0,"",IFERROR(IF(VLOOKUP(B215,'OPTI Leadboard Last Week'!A:G,7,FALSE)-A215&gt;0,"+"&amp;VLOOKUP(B215,'OPTI Leadboard Last Week'!A:G,7,FALSE)-A215,"-"&amp;abs(VLOOKUP(B215,'OPTI Leadboard Last Week'!A:G,7,FALSE)-A215)),"NEW")))</f>
        <v/>
      </c>
    </row>
    <row r="216">
      <c r="A216" s="5" t="str">
        <f t="shared" si="2"/>
        <v/>
      </c>
      <c r="H216" s="7" t="str">
        <f t="shared" si="1"/>
        <v>#DIV/0!</v>
      </c>
      <c r="I216" s="3">
        <f>G216-iferror(VLOOKUP(B216,'OPTI Leadboard Last Week'!A:G,6,FALSE),0)</f>
        <v>0</v>
      </c>
      <c r="J216" s="3" t="str">
        <f>IF(IF(LEN(B216)=0,"",IFERROR(IF(VLOOKUP(B216,'OPTI Leadboard Last Week'!A:G,7,FALSE)-A216&gt;0,"+"&amp;VLOOKUP(B216,'OPTI Leadboard Last Week'!A:G,7,FALSE)-A216,"-"&amp;abs(VLOOKUP(B216,'OPTI Leadboard Last Week'!A:G,7,FALSE)-A216)),"NEW"))="-0","--",IF(LEN(B216)=0,"",IFERROR(IF(VLOOKUP(B216,'OPTI Leadboard Last Week'!A:G,7,FALSE)-A216&gt;0,"+"&amp;VLOOKUP(B216,'OPTI Leadboard Last Week'!A:G,7,FALSE)-A216,"-"&amp;abs(VLOOKUP(B216,'OPTI Leadboard Last Week'!A:G,7,FALSE)-A216)),"NEW")))</f>
        <v/>
      </c>
    </row>
    <row r="217">
      <c r="A217" s="5" t="str">
        <f t="shared" si="2"/>
        <v/>
      </c>
      <c r="H217" s="7" t="str">
        <f t="shared" si="1"/>
        <v>#DIV/0!</v>
      </c>
      <c r="I217" s="3">
        <f>G217-iferror(VLOOKUP(B217,'OPTI Leadboard Last Week'!A:G,6,FALSE),0)</f>
        <v>0</v>
      </c>
      <c r="J217" s="3" t="str">
        <f>IF(IF(LEN(B217)=0,"",IFERROR(IF(VLOOKUP(B217,'OPTI Leadboard Last Week'!A:G,7,FALSE)-A217&gt;0,"+"&amp;VLOOKUP(B217,'OPTI Leadboard Last Week'!A:G,7,FALSE)-A217,"-"&amp;abs(VLOOKUP(B217,'OPTI Leadboard Last Week'!A:G,7,FALSE)-A217)),"NEW"))="-0","--",IF(LEN(B217)=0,"",IFERROR(IF(VLOOKUP(B217,'OPTI Leadboard Last Week'!A:G,7,FALSE)-A217&gt;0,"+"&amp;VLOOKUP(B217,'OPTI Leadboard Last Week'!A:G,7,FALSE)-A217,"-"&amp;abs(VLOOKUP(B217,'OPTI Leadboard Last Week'!A:G,7,FALSE)-A217)),"NEW")))</f>
        <v/>
      </c>
    </row>
    <row r="218">
      <c r="A218" s="5" t="str">
        <f t="shared" si="2"/>
        <v/>
      </c>
      <c r="H218" s="7" t="str">
        <f t="shared" si="1"/>
        <v>#DIV/0!</v>
      </c>
      <c r="I218" s="3">
        <f>G218-iferror(VLOOKUP(B218,'OPTI Leadboard Last Week'!A:G,6,FALSE),0)</f>
        <v>0</v>
      </c>
      <c r="J218" s="3" t="str">
        <f>IF(IF(LEN(B218)=0,"",IFERROR(IF(VLOOKUP(B218,'OPTI Leadboard Last Week'!A:G,7,FALSE)-A218&gt;0,"+"&amp;VLOOKUP(B218,'OPTI Leadboard Last Week'!A:G,7,FALSE)-A218,"-"&amp;abs(VLOOKUP(B218,'OPTI Leadboard Last Week'!A:G,7,FALSE)-A218)),"NEW"))="-0","--",IF(LEN(B218)=0,"",IFERROR(IF(VLOOKUP(B218,'OPTI Leadboard Last Week'!A:G,7,FALSE)-A218&gt;0,"+"&amp;VLOOKUP(B218,'OPTI Leadboard Last Week'!A:G,7,FALSE)-A218,"-"&amp;abs(VLOOKUP(B218,'OPTI Leadboard Last Week'!A:G,7,FALSE)-A218)),"NEW")))</f>
        <v/>
      </c>
    </row>
    <row r="219">
      <c r="A219" s="5" t="str">
        <f t="shared" si="2"/>
        <v/>
      </c>
      <c r="H219" s="7" t="str">
        <f t="shared" si="1"/>
        <v>#DIV/0!</v>
      </c>
      <c r="I219" s="3">
        <f>G219-iferror(VLOOKUP(B219,'OPTI Leadboard Last Week'!A:G,6,FALSE),0)</f>
        <v>0</v>
      </c>
      <c r="J219" s="3" t="str">
        <f>IF(IF(LEN(B219)=0,"",IFERROR(IF(VLOOKUP(B219,'OPTI Leadboard Last Week'!A:G,7,FALSE)-A219&gt;0,"+"&amp;VLOOKUP(B219,'OPTI Leadboard Last Week'!A:G,7,FALSE)-A219,"-"&amp;abs(VLOOKUP(B219,'OPTI Leadboard Last Week'!A:G,7,FALSE)-A219)),"NEW"))="-0","--",IF(LEN(B219)=0,"",IFERROR(IF(VLOOKUP(B219,'OPTI Leadboard Last Week'!A:G,7,FALSE)-A219&gt;0,"+"&amp;VLOOKUP(B219,'OPTI Leadboard Last Week'!A:G,7,FALSE)-A219,"-"&amp;abs(VLOOKUP(B219,'OPTI Leadboard Last Week'!A:G,7,FALSE)-A219)),"NEW")))</f>
        <v/>
      </c>
    </row>
    <row r="220">
      <c r="A220" s="5" t="str">
        <f t="shared" si="2"/>
        <v/>
      </c>
      <c r="H220" s="7" t="str">
        <f t="shared" si="1"/>
        <v>#DIV/0!</v>
      </c>
      <c r="I220" s="3">
        <f>G220-iferror(VLOOKUP(B220,'OPTI Leadboard Last Week'!A:G,6,FALSE),0)</f>
        <v>0</v>
      </c>
      <c r="J220" s="3" t="str">
        <f>IF(IF(LEN(B220)=0,"",IFERROR(IF(VLOOKUP(B220,'OPTI Leadboard Last Week'!A:G,7,FALSE)-A220&gt;0,"+"&amp;VLOOKUP(B220,'OPTI Leadboard Last Week'!A:G,7,FALSE)-A220,"-"&amp;abs(VLOOKUP(B220,'OPTI Leadboard Last Week'!A:G,7,FALSE)-A220)),"NEW"))="-0","--",IF(LEN(B220)=0,"",IFERROR(IF(VLOOKUP(B220,'OPTI Leadboard Last Week'!A:G,7,FALSE)-A220&gt;0,"+"&amp;VLOOKUP(B220,'OPTI Leadboard Last Week'!A:G,7,FALSE)-A220,"-"&amp;abs(VLOOKUP(B220,'OPTI Leadboard Last Week'!A:G,7,FALSE)-A220)),"NEW")))</f>
        <v/>
      </c>
    </row>
    <row r="221">
      <c r="A221" s="5" t="str">
        <f t="shared" si="2"/>
        <v/>
      </c>
      <c r="H221" s="7" t="str">
        <f t="shared" si="1"/>
        <v>#DIV/0!</v>
      </c>
      <c r="I221" s="3">
        <f>G221-iferror(VLOOKUP(B221,'OPTI Leadboard Last Week'!A:G,6,FALSE),0)</f>
        <v>0</v>
      </c>
      <c r="J221" s="3" t="str">
        <f>IF(IF(LEN(B221)=0,"",IFERROR(IF(VLOOKUP(B221,'OPTI Leadboard Last Week'!A:G,7,FALSE)-A221&gt;0,"+"&amp;VLOOKUP(B221,'OPTI Leadboard Last Week'!A:G,7,FALSE)-A221,"-"&amp;abs(VLOOKUP(B221,'OPTI Leadboard Last Week'!A:G,7,FALSE)-A221)),"NEW"))="-0","--",IF(LEN(B221)=0,"",IFERROR(IF(VLOOKUP(B221,'OPTI Leadboard Last Week'!A:G,7,FALSE)-A221&gt;0,"+"&amp;VLOOKUP(B221,'OPTI Leadboard Last Week'!A:G,7,FALSE)-A221,"-"&amp;abs(VLOOKUP(B221,'OPTI Leadboard Last Week'!A:G,7,FALSE)-A221)),"NEW")))</f>
        <v/>
      </c>
    </row>
    <row r="222">
      <c r="A222" s="5" t="str">
        <f t="shared" si="2"/>
        <v/>
      </c>
      <c r="H222" s="7" t="str">
        <f t="shared" si="1"/>
        <v>#DIV/0!</v>
      </c>
      <c r="I222" s="3">
        <f>G222-iferror(VLOOKUP(B222,'OPTI Leadboard Last Week'!A:G,6,FALSE),0)</f>
        <v>0</v>
      </c>
      <c r="J222" s="3" t="str">
        <f>IF(IF(LEN(B222)=0,"",IFERROR(IF(VLOOKUP(B222,'OPTI Leadboard Last Week'!A:G,7,FALSE)-A222&gt;0,"+"&amp;VLOOKUP(B222,'OPTI Leadboard Last Week'!A:G,7,FALSE)-A222,"-"&amp;abs(VLOOKUP(B222,'OPTI Leadboard Last Week'!A:G,7,FALSE)-A222)),"NEW"))="-0","--",IF(LEN(B222)=0,"",IFERROR(IF(VLOOKUP(B222,'OPTI Leadboard Last Week'!A:G,7,FALSE)-A222&gt;0,"+"&amp;VLOOKUP(B222,'OPTI Leadboard Last Week'!A:G,7,FALSE)-A222,"-"&amp;abs(VLOOKUP(B222,'OPTI Leadboard Last Week'!A:G,7,FALSE)-A222)),"NEW")))</f>
        <v/>
      </c>
    </row>
    <row r="223">
      <c r="A223" s="5" t="str">
        <f t="shared" si="2"/>
        <v/>
      </c>
      <c r="H223" s="7" t="str">
        <f t="shared" si="1"/>
        <v>#DIV/0!</v>
      </c>
      <c r="I223" s="3">
        <f>G223-iferror(VLOOKUP(B223,'OPTI Leadboard Last Week'!A:G,6,FALSE),0)</f>
        <v>0</v>
      </c>
      <c r="J223" s="3" t="str">
        <f>IF(IF(LEN(B223)=0,"",IFERROR(IF(VLOOKUP(B223,'OPTI Leadboard Last Week'!A:G,7,FALSE)-A223&gt;0,"+"&amp;VLOOKUP(B223,'OPTI Leadboard Last Week'!A:G,7,FALSE)-A223,"-"&amp;abs(VLOOKUP(B223,'OPTI Leadboard Last Week'!A:G,7,FALSE)-A223)),"NEW"))="-0","--",IF(LEN(B223)=0,"",IFERROR(IF(VLOOKUP(B223,'OPTI Leadboard Last Week'!A:G,7,FALSE)-A223&gt;0,"+"&amp;VLOOKUP(B223,'OPTI Leadboard Last Week'!A:G,7,FALSE)-A223,"-"&amp;abs(VLOOKUP(B223,'OPTI Leadboard Last Week'!A:G,7,FALSE)-A223)),"NEW")))</f>
        <v/>
      </c>
    </row>
    <row r="224">
      <c r="A224" s="5" t="str">
        <f t="shared" si="2"/>
        <v/>
      </c>
      <c r="H224" s="7" t="str">
        <f t="shared" si="1"/>
        <v>#DIV/0!</v>
      </c>
      <c r="I224" s="3">
        <f>G224-iferror(VLOOKUP(B224,'OPTI Leadboard Last Week'!A:G,6,FALSE),0)</f>
        <v>0</v>
      </c>
      <c r="J224" s="3" t="str">
        <f>IF(IF(LEN(B224)=0,"",IFERROR(IF(VLOOKUP(B224,'OPTI Leadboard Last Week'!A:G,7,FALSE)-A224&gt;0,"+"&amp;VLOOKUP(B224,'OPTI Leadboard Last Week'!A:G,7,FALSE)-A224,"-"&amp;abs(VLOOKUP(B224,'OPTI Leadboard Last Week'!A:G,7,FALSE)-A224)),"NEW"))="-0","--",IF(LEN(B224)=0,"",IFERROR(IF(VLOOKUP(B224,'OPTI Leadboard Last Week'!A:G,7,FALSE)-A224&gt;0,"+"&amp;VLOOKUP(B224,'OPTI Leadboard Last Week'!A:G,7,FALSE)-A224,"-"&amp;abs(VLOOKUP(B224,'OPTI Leadboard Last Week'!A:G,7,FALSE)-A224)),"NEW")))</f>
        <v/>
      </c>
    </row>
    <row r="225">
      <c r="A225" s="5" t="str">
        <f t="shared" si="2"/>
        <v/>
      </c>
      <c r="H225" s="7" t="str">
        <f t="shared" si="1"/>
        <v>#DIV/0!</v>
      </c>
      <c r="I225" s="3">
        <f>G225-iferror(VLOOKUP(B225,'OPTI Leadboard Last Week'!A:G,6,FALSE),0)</f>
        <v>0</v>
      </c>
      <c r="J225" s="3" t="str">
        <f>IF(IF(LEN(B225)=0,"",IFERROR(IF(VLOOKUP(B225,'OPTI Leadboard Last Week'!A:G,7,FALSE)-A225&gt;0,"+"&amp;VLOOKUP(B225,'OPTI Leadboard Last Week'!A:G,7,FALSE)-A225,"-"&amp;abs(VLOOKUP(B225,'OPTI Leadboard Last Week'!A:G,7,FALSE)-A225)),"NEW"))="-0","--",IF(LEN(B225)=0,"",IFERROR(IF(VLOOKUP(B225,'OPTI Leadboard Last Week'!A:G,7,FALSE)-A225&gt;0,"+"&amp;VLOOKUP(B225,'OPTI Leadboard Last Week'!A:G,7,FALSE)-A225,"-"&amp;abs(VLOOKUP(B225,'OPTI Leadboard Last Week'!A:G,7,FALSE)-A225)),"NEW")))</f>
        <v/>
      </c>
    </row>
    <row r="226">
      <c r="A226" s="5" t="str">
        <f t="shared" si="2"/>
        <v/>
      </c>
      <c r="H226" s="7" t="str">
        <f t="shared" si="1"/>
        <v>#DIV/0!</v>
      </c>
      <c r="I226" s="3">
        <f>G226-iferror(VLOOKUP(B226,'OPTI Leadboard Last Week'!A:G,6,FALSE),0)</f>
        <v>0</v>
      </c>
      <c r="J226" s="3" t="str">
        <f>IF(IF(LEN(B226)=0,"",IFERROR(IF(VLOOKUP(B226,'OPTI Leadboard Last Week'!A:G,7,FALSE)-A226&gt;0,"+"&amp;VLOOKUP(B226,'OPTI Leadboard Last Week'!A:G,7,FALSE)-A226,"-"&amp;abs(VLOOKUP(B226,'OPTI Leadboard Last Week'!A:G,7,FALSE)-A226)),"NEW"))="-0","--",IF(LEN(B226)=0,"",IFERROR(IF(VLOOKUP(B226,'OPTI Leadboard Last Week'!A:G,7,FALSE)-A226&gt;0,"+"&amp;VLOOKUP(B226,'OPTI Leadboard Last Week'!A:G,7,FALSE)-A226,"-"&amp;abs(VLOOKUP(B226,'OPTI Leadboard Last Week'!A:G,7,FALSE)-A226)),"NEW")))</f>
        <v/>
      </c>
    </row>
    <row r="227">
      <c r="A227" s="5" t="str">
        <f t="shared" si="2"/>
        <v/>
      </c>
      <c r="H227" s="7" t="str">
        <f t="shared" si="1"/>
        <v>#DIV/0!</v>
      </c>
      <c r="I227" s="3">
        <f>G227-iferror(VLOOKUP(B227,'OPTI Leadboard Last Week'!A:G,6,FALSE),0)</f>
        <v>0</v>
      </c>
      <c r="J227" s="3" t="str">
        <f>IF(IF(LEN(B227)=0,"",IFERROR(IF(VLOOKUP(B227,'OPTI Leadboard Last Week'!A:G,7,FALSE)-A227&gt;0,"+"&amp;VLOOKUP(B227,'OPTI Leadboard Last Week'!A:G,7,FALSE)-A227,"-"&amp;abs(VLOOKUP(B227,'OPTI Leadboard Last Week'!A:G,7,FALSE)-A227)),"NEW"))="-0","--",IF(LEN(B227)=0,"",IFERROR(IF(VLOOKUP(B227,'OPTI Leadboard Last Week'!A:G,7,FALSE)-A227&gt;0,"+"&amp;VLOOKUP(B227,'OPTI Leadboard Last Week'!A:G,7,FALSE)-A227,"-"&amp;abs(VLOOKUP(B227,'OPTI Leadboard Last Week'!A:G,7,FALSE)-A227)),"NEW")))</f>
        <v/>
      </c>
    </row>
    <row r="228">
      <c r="A228" s="5" t="str">
        <f t="shared" si="2"/>
        <v/>
      </c>
      <c r="H228" s="7" t="str">
        <f t="shared" si="1"/>
        <v>#DIV/0!</v>
      </c>
      <c r="I228" s="3">
        <f>G228-iferror(VLOOKUP(B228,'OPTI Leadboard Last Week'!A:G,6,FALSE),0)</f>
        <v>0</v>
      </c>
      <c r="J228" s="3" t="str">
        <f>IF(IF(LEN(B228)=0,"",IFERROR(IF(VLOOKUP(B228,'OPTI Leadboard Last Week'!A:G,7,FALSE)-A228&gt;0,"+"&amp;VLOOKUP(B228,'OPTI Leadboard Last Week'!A:G,7,FALSE)-A228,"-"&amp;abs(VLOOKUP(B228,'OPTI Leadboard Last Week'!A:G,7,FALSE)-A228)),"NEW"))="-0","--",IF(LEN(B228)=0,"",IFERROR(IF(VLOOKUP(B228,'OPTI Leadboard Last Week'!A:G,7,FALSE)-A228&gt;0,"+"&amp;VLOOKUP(B228,'OPTI Leadboard Last Week'!A:G,7,FALSE)-A228,"-"&amp;abs(VLOOKUP(B228,'OPTI Leadboard Last Week'!A:G,7,FALSE)-A228)),"NEW")))</f>
        <v/>
      </c>
    </row>
    <row r="229">
      <c r="A229" s="5" t="str">
        <f t="shared" si="2"/>
        <v/>
      </c>
      <c r="H229" s="7" t="str">
        <f t="shared" si="1"/>
        <v>#DIV/0!</v>
      </c>
      <c r="I229" s="3">
        <f>G229-iferror(VLOOKUP(B229,'OPTI Leadboard Last Week'!A:G,6,FALSE),0)</f>
        <v>0</v>
      </c>
      <c r="J229" s="3" t="str">
        <f>IF(IF(LEN(B229)=0,"",IFERROR(IF(VLOOKUP(B229,'OPTI Leadboard Last Week'!A:G,7,FALSE)-A229&gt;0,"+"&amp;VLOOKUP(B229,'OPTI Leadboard Last Week'!A:G,7,FALSE)-A229,"-"&amp;abs(VLOOKUP(B229,'OPTI Leadboard Last Week'!A:G,7,FALSE)-A229)),"NEW"))="-0","--",IF(LEN(B229)=0,"",IFERROR(IF(VLOOKUP(B229,'OPTI Leadboard Last Week'!A:G,7,FALSE)-A229&gt;0,"+"&amp;VLOOKUP(B229,'OPTI Leadboard Last Week'!A:G,7,FALSE)-A229,"-"&amp;abs(VLOOKUP(B229,'OPTI Leadboard Last Week'!A:G,7,FALSE)-A229)),"NEW")))</f>
        <v/>
      </c>
    </row>
    <row r="230">
      <c r="A230" s="5" t="str">
        <f t="shared" si="2"/>
        <v/>
      </c>
      <c r="H230" s="7" t="str">
        <f t="shared" si="1"/>
        <v>#DIV/0!</v>
      </c>
      <c r="I230" s="3">
        <f>G230-iferror(VLOOKUP(B230,'OPTI Leadboard Last Week'!A:G,6,FALSE),0)</f>
        <v>0</v>
      </c>
      <c r="J230" s="3" t="str">
        <f>IF(IF(LEN(B230)=0,"",IFERROR(IF(VLOOKUP(B230,'OPTI Leadboard Last Week'!A:G,7,FALSE)-A230&gt;0,"+"&amp;VLOOKUP(B230,'OPTI Leadboard Last Week'!A:G,7,FALSE)-A230,"-"&amp;abs(VLOOKUP(B230,'OPTI Leadboard Last Week'!A:G,7,FALSE)-A230)),"NEW"))="-0","--",IF(LEN(B230)=0,"",IFERROR(IF(VLOOKUP(B230,'OPTI Leadboard Last Week'!A:G,7,FALSE)-A230&gt;0,"+"&amp;VLOOKUP(B230,'OPTI Leadboard Last Week'!A:G,7,FALSE)-A230,"-"&amp;abs(VLOOKUP(B230,'OPTI Leadboard Last Week'!A:G,7,FALSE)-A230)),"NEW")))</f>
        <v/>
      </c>
    </row>
    <row r="231">
      <c r="A231" s="5" t="str">
        <f t="shared" si="2"/>
        <v/>
      </c>
      <c r="H231" s="7" t="str">
        <f t="shared" si="1"/>
        <v>#DIV/0!</v>
      </c>
      <c r="I231" s="3">
        <f>G231-iferror(VLOOKUP(B231,'OPTI Leadboard Last Week'!A:G,6,FALSE),0)</f>
        <v>0</v>
      </c>
      <c r="J231" s="3" t="str">
        <f>IF(IF(LEN(B231)=0,"",IFERROR(IF(VLOOKUP(B231,'OPTI Leadboard Last Week'!A:G,7,FALSE)-A231&gt;0,"+"&amp;VLOOKUP(B231,'OPTI Leadboard Last Week'!A:G,7,FALSE)-A231,"-"&amp;abs(VLOOKUP(B231,'OPTI Leadboard Last Week'!A:G,7,FALSE)-A231)),"NEW"))="-0","--",IF(LEN(B231)=0,"",IFERROR(IF(VLOOKUP(B231,'OPTI Leadboard Last Week'!A:G,7,FALSE)-A231&gt;0,"+"&amp;VLOOKUP(B231,'OPTI Leadboard Last Week'!A:G,7,FALSE)-A231,"-"&amp;abs(VLOOKUP(B231,'OPTI Leadboard Last Week'!A:G,7,FALSE)-A231)),"NEW")))</f>
        <v/>
      </c>
    </row>
    <row r="232">
      <c r="A232" s="5" t="str">
        <f t="shared" si="2"/>
        <v/>
      </c>
      <c r="H232" s="7" t="str">
        <f t="shared" si="1"/>
        <v>#DIV/0!</v>
      </c>
      <c r="I232" s="3">
        <f>G232-iferror(VLOOKUP(B232,'OPTI Leadboard Last Week'!A:G,6,FALSE),0)</f>
        <v>0</v>
      </c>
      <c r="J232" s="3" t="str">
        <f>IF(IF(LEN(B232)=0,"",IFERROR(IF(VLOOKUP(B232,'OPTI Leadboard Last Week'!A:G,7,FALSE)-A232&gt;0,"+"&amp;VLOOKUP(B232,'OPTI Leadboard Last Week'!A:G,7,FALSE)-A232,"-"&amp;abs(VLOOKUP(B232,'OPTI Leadboard Last Week'!A:G,7,FALSE)-A232)),"NEW"))="-0","--",IF(LEN(B232)=0,"",IFERROR(IF(VLOOKUP(B232,'OPTI Leadboard Last Week'!A:G,7,FALSE)-A232&gt;0,"+"&amp;VLOOKUP(B232,'OPTI Leadboard Last Week'!A:G,7,FALSE)-A232,"-"&amp;abs(VLOOKUP(B232,'OPTI Leadboard Last Week'!A:G,7,FALSE)-A232)),"NEW")))</f>
        <v/>
      </c>
    </row>
    <row r="233">
      <c r="A233" s="5" t="str">
        <f t="shared" si="2"/>
        <v/>
      </c>
      <c r="H233" s="7" t="str">
        <f t="shared" si="1"/>
        <v>#DIV/0!</v>
      </c>
      <c r="I233" s="3">
        <f>G233-iferror(VLOOKUP(B233,'OPTI Leadboard Last Week'!A:G,6,FALSE),0)</f>
        <v>0</v>
      </c>
      <c r="J233" s="3" t="str">
        <f>IF(IF(LEN(B233)=0,"",IFERROR(IF(VLOOKUP(B233,'OPTI Leadboard Last Week'!A:G,7,FALSE)-A233&gt;0,"+"&amp;VLOOKUP(B233,'OPTI Leadboard Last Week'!A:G,7,FALSE)-A233,"-"&amp;abs(VLOOKUP(B233,'OPTI Leadboard Last Week'!A:G,7,FALSE)-A233)),"NEW"))="-0","--",IF(LEN(B233)=0,"",IFERROR(IF(VLOOKUP(B233,'OPTI Leadboard Last Week'!A:G,7,FALSE)-A233&gt;0,"+"&amp;VLOOKUP(B233,'OPTI Leadboard Last Week'!A:G,7,FALSE)-A233,"-"&amp;abs(VLOOKUP(B233,'OPTI Leadboard Last Week'!A:G,7,FALSE)-A233)),"NEW")))</f>
        <v/>
      </c>
    </row>
    <row r="234">
      <c r="A234" s="5" t="str">
        <f t="shared" si="2"/>
        <v/>
      </c>
      <c r="H234" s="7" t="str">
        <f t="shared" si="1"/>
        <v>#DIV/0!</v>
      </c>
      <c r="I234" s="3">
        <f>G234-iferror(VLOOKUP(B234,'OPTI Leadboard Last Week'!A:G,6,FALSE),0)</f>
        <v>0</v>
      </c>
      <c r="J234" s="3" t="str">
        <f>IF(IF(LEN(B234)=0,"",IFERROR(IF(VLOOKUP(B234,'OPTI Leadboard Last Week'!A:G,7,FALSE)-A234&gt;0,"+"&amp;VLOOKUP(B234,'OPTI Leadboard Last Week'!A:G,7,FALSE)-A234,"-"&amp;abs(VLOOKUP(B234,'OPTI Leadboard Last Week'!A:G,7,FALSE)-A234)),"NEW"))="-0","--",IF(LEN(B234)=0,"",IFERROR(IF(VLOOKUP(B234,'OPTI Leadboard Last Week'!A:G,7,FALSE)-A234&gt;0,"+"&amp;VLOOKUP(B234,'OPTI Leadboard Last Week'!A:G,7,FALSE)-A234,"-"&amp;abs(VLOOKUP(B234,'OPTI Leadboard Last Week'!A:G,7,FALSE)-A234)),"NEW")))</f>
        <v/>
      </c>
    </row>
    <row r="235">
      <c r="A235" s="5" t="str">
        <f t="shared" si="2"/>
        <v/>
      </c>
      <c r="H235" s="7" t="str">
        <f t="shared" si="1"/>
        <v>#DIV/0!</v>
      </c>
      <c r="I235" s="3">
        <f>G235-iferror(VLOOKUP(B235,'OPTI Leadboard Last Week'!A:G,6,FALSE),0)</f>
        <v>0</v>
      </c>
      <c r="J235" s="3" t="str">
        <f>IF(IF(LEN(B235)=0,"",IFERROR(IF(VLOOKUP(B235,'OPTI Leadboard Last Week'!A:G,7,FALSE)-A235&gt;0,"+"&amp;VLOOKUP(B235,'OPTI Leadboard Last Week'!A:G,7,FALSE)-A235,"-"&amp;abs(VLOOKUP(B235,'OPTI Leadboard Last Week'!A:G,7,FALSE)-A235)),"NEW"))="-0","--",IF(LEN(B235)=0,"",IFERROR(IF(VLOOKUP(B235,'OPTI Leadboard Last Week'!A:G,7,FALSE)-A235&gt;0,"+"&amp;VLOOKUP(B235,'OPTI Leadboard Last Week'!A:G,7,FALSE)-A235,"-"&amp;abs(VLOOKUP(B235,'OPTI Leadboard Last Week'!A:G,7,FALSE)-A235)),"NEW")))</f>
        <v/>
      </c>
    </row>
    <row r="236">
      <c r="A236" s="5" t="str">
        <f t="shared" si="2"/>
        <v/>
      </c>
      <c r="H236" s="7" t="str">
        <f t="shared" si="1"/>
        <v>#DIV/0!</v>
      </c>
      <c r="I236" s="3">
        <f>G236-iferror(VLOOKUP(B236,'OPTI Leadboard Last Week'!A:G,6,FALSE),0)</f>
        <v>0</v>
      </c>
      <c r="J236" s="3" t="str">
        <f>IF(IF(LEN(B236)=0,"",IFERROR(IF(VLOOKUP(B236,'OPTI Leadboard Last Week'!A:G,7,FALSE)-A236&gt;0,"+"&amp;VLOOKUP(B236,'OPTI Leadboard Last Week'!A:G,7,FALSE)-A236,"-"&amp;abs(VLOOKUP(B236,'OPTI Leadboard Last Week'!A:G,7,FALSE)-A236)),"NEW"))="-0","--",IF(LEN(B236)=0,"",IFERROR(IF(VLOOKUP(B236,'OPTI Leadboard Last Week'!A:G,7,FALSE)-A236&gt;0,"+"&amp;VLOOKUP(B236,'OPTI Leadboard Last Week'!A:G,7,FALSE)-A236,"-"&amp;abs(VLOOKUP(B236,'OPTI Leadboard Last Week'!A:G,7,FALSE)-A236)),"NEW")))</f>
        <v/>
      </c>
    </row>
    <row r="237">
      <c r="A237" s="5" t="str">
        <f t="shared" si="2"/>
        <v/>
      </c>
      <c r="H237" s="7" t="str">
        <f t="shared" si="1"/>
        <v>#DIV/0!</v>
      </c>
      <c r="I237" s="3">
        <f>G237-iferror(VLOOKUP(B237,'OPTI Leadboard Last Week'!A:G,6,FALSE),0)</f>
        <v>0</v>
      </c>
      <c r="J237" s="3" t="str">
        <f>IF(IF(LEN(B237)=0,"",IFERROR(IF(VLOOKUP(B237,'OPTI Leadboard Last Week'!A:G,7,FALSE)-A237&gt;0,"+"&amp;VLOOKUP(B237,'OPTI Leadboard Last Week'!A:G,7,FALSE)-A237,"-"&amp;abs(VLOOKUP(B237,'OPTI Leadboard Last Week'!A:G,7,FALSE)-A237)),"NEW"))="-0","--",IF(LEN(B237)=0,"",IFERROR(IF(VLOOKUP(B237,'OPTI Leadboard Last Week'!A:G,7,FALSE)-A237&gt;0,"+"&amp;VLOOKUP(B237,'OPTI Leadboard Last Week'!A:G,7,FALSE)-A237,"-"&amp;abs(VLOOKUP(B237,'OPTI Leadboard Last Week'!A:G,7,FALSE)-A237)),"NEW")))</f>
        <v/>
      </c>
    </row>
    <row r="238">
      <c r="A238" s="5" t="str">
        <f t="shared" si="2"/>
        <v/>
      </c>
      <c r="H238" s="7" t="str">
        <f t="shared" si="1"/>
        <v>#DIV/0!</v>
      </c>
      <c r="I238" s="3">
        <f>G238-iferror(VLOOKUP(B238,'OPTI Leadboard Last Week'!A:G,6,FALSE),0)</f>
        <v>0</v>
      </c>
      <c r="J238" s="3" t="str">
        <f>IF(IF(LEN(B238)=0,"",IFERROR(IF(VLOOKUP(B238,'OPTI Leadboard Last Week'!A:G,7,FALSE)-A238&gt;0,"+"&amp;VLOOKUP(B238,'OPTI Leadboard Last Week'!A:G,7,FALSE)-A238,"-"&amp;abs(VLOOKUP(B238,'OPTI Leadboard Last Week'!A:G,7,FALSE)-A238)),"NEW"))="-0","--",IF(LEN(B238)=0,"",IFERROR(IF(VLOOKUP(B238,'OPTI Leadboard Last Week'!A:G,7,FALSE)-A238&gt;0,"+"&amp;VLOOKUP(B238,'OPTI Leadboard Last Week'!A:G,7,FALSE)-A238,"-"&amp;abs(VLOOKUP(B238,'OPTI Leadboard Last Week'!A:G,7,FALSE)-A238)),"NEW")))</f>
        <v/>
      </c>
    </row>
    <row r="239">
      <c r="A239" s="5" t="str">
        <f t="shared" si="2"/>
        <v/>
      </c>
      <c r="H239" s="7" t="str">
        <f t="shared" si="1"/>
        <v>#DIV/0!</v>
      </c>
      <c r="I239" s="3">
        <f>G239-iferror(VLOOKUP(B239,'OPTI Leadboard Last Week'!A:G,6,FALSE),0)</f>
        <v>0</v>
      </c>
      <c r="J239" s="3" t="str">
        <f>IF(IF(LEN(B239)=0,"",IFERROR(IF(VLOOKUP(B239,'OPTI Leadboard Last Week'!A:G,7,FALSE)-A239&gt;0,"+"&amp;VLOOKUP(B239,'OPTI Leadboard Last Week'!A:G,7,FALSE)-A239,"-"&amp;abs(VLOOKUP(B239,'OPTI Leadboard Last Week'!A:G,7,FALSE)-A239)),"NEW"))="-0","--",IF(LEN(B239)=0,"",IFERROR(IF(VLOOKUP(B239,'OPTI Leadboard Last Week'!A:G,7,FALSE)-A239&gt;0,"+"&amp;VLOOKUP(B239,'OPTI Leadboard Last Week'!A:G,7,FALSE)-A239,"-"&amp;abs(VLOOKUP(B239,'OPTI Leadboard Last Week'!A:G,7,FALSE)-A239)),"NEW")))</f>
        <v/>
      </c>
    </row>
    <row r="240">
      <c r="A240" s="5" t="str">
        <f t="shared" si="2"/>
        <v/>
      </c>
      <c r="H240" s="7" t="str">
        <f t="shared" si="1"/>
        <v>#DIV/0!</v>
      </c>
      <c r="I240" s="3">
        <f>G240-iferror(VLOOKUP(B240,'OPTI Leadboard Last Week'!A:G,6,FALSE),0)</f>
        <v>0</v>
      </c>
      <c r="J240" s="3" t="str">
        <f>IF(IF(LEN(B240)=0,"",IFERROR(IF(VLOOKUP(B240,'OPTI Leadboard Last Week'!A:G,7,FALSE)-A240&gt;0,"+"&amp;VLOOKUP(B240,'OPTI Leadboard Last Week'!A:G,7,FALSE)-A240,"-"&amp;abs(VLOOKUP(B240,'OPTI Leadboard Last Week'!A:G,7,FALSE)-A240)),"NEW"))="-0","--",IF(LEN(B240)=0,"",IFERROR(IF(VLOOKUP(B240,'OPTI Leadboard Last Week'!A:G,7,FALSE)-A240&gt;0,"+"&amp;VLOOKUP(B240,'OPTI Leadboard Last Week'!A:G,7,FALSE)-A240,"-"&amp;abs(VLOOKUP(B240,'OPTI Leadboard Last Week'!A:G,7,FALSE)-A240)),"NEW")))</f>
        <v/>
      </c>
    </row>
    <row r="241">
      <c r="A241" s="5" t="str">
        <f t="shared" si="2"/>
        <v/>
      </c>
      <c r="H241" s="7" t="str">
        <f t="shared" si="1"/>
        <v>#DIV/0!</v>
      </c>
      <c r="I241" s="3">
        <f>G241-iferror(VLOOKUP(B241,'OPTI Leadboard Last Week'!A:G,6,FALSE),0)</f>
        <v>0</v>
      </c>
    </row>
    <row r="242">
      <c r="A242" s="5" t="str">
        <f t="shared" si="2"/>
        <v/>
      </c>
      <c r="H242" s="7" t="str">
        <f t="shared" si="1"/>
        <v>#DIV/0!</v>
      </c>
      <c r="I242" s="3">
        <f>G242-iferror(VLOOKUP(B242,'OPTI Leadboard Last Week'!A:G,6,FALSE),0)</f>
        <v>0</v>
      </c>
    </row>
    <row r="243">
      <c r="A243" s="5" t="str">
        <f t="shared" si="2"/>
        <v/>
      </c>
      <c r="H243" s="7" t="str">
        <f t="shared" si="1"/>
        <v>#DIV/0!</v>
      </c>
      <c r="I243" s="3">
        <f>G243-iferror(VLOOKUP(B243,'OPTI Leadboard Last Week'!A:G,6,FALSE),0)</f>
        <v>0</v>
      </c>
    </row>
    <row r="244">
      <c r="A244" s="5" t="str">
        <f t="shared" si="2"/>
        <v/>
      </c>
      <c r="H244" s="7" t="str">
        <f t="shared" si="1"/>
        <v>#DIV/0!</v>
      </c>
      <c r="I244" s="3">
        <f>G244-iferror(VLOOKUP(B244,'OPTI Leadboard Last Week'!A:G,6,FALSE),0)</f>
        <v>0</v>
      </c>
    </row>
    <row r="245">
      <c r="A245" s="5" t="str">
        <f t="shared" si="2"/>
        <v/>
      </c>
      <c r="H245" s="7" t="str">
        <f t="shared" si="1"/>
        <v>#DIV/0!</v>
      </c>
      <c r="I245" s="3">
        <f>G245-iferror(VLOOKUP(B245,'OPTI Leadboard Last Week'!A:G,6,FALSE),0)</f>
        <v>0</v>
      </c>
    </row>
    <row r="246">
      <c r="A246" s="5" t="str">
        <f t="shared" si="2"/>
        <v/>
      </c>
      <c r="H246" s="7" t="str">
        <f t="shared" si="1"/>
        <v>#DIV/0!</v>
      </c>
      <c r="I246" s="3">
        <f>G246-iferror(VLOOKUP(B246,'OPTI Leadboard Last Week'!A:G,6,FALSE),0)</f>
        <v>0</v>
      </c>
    </row>
    <row r="247">
      <c r="A247" s="5" t="str">
        <f t="shared" si="2"/>
        <v/>
      </c>
      <c r="H247" s="7" t="str">
        <f t="shared" si="1"/>
        <v>#DIV/0!</v>
      </c>
      <c r="I247" s="3">
        <f>G247-iferror(VLOOKUP(B247,'OPTI Leadboard Last Week'!A:G,6,FALSE),0)</f>
        <v>0</v>
      </c>
    </row>
    <row r="248">
      <c r="A248" s="5" t="str">
        <f t="shared" si="2"/>
        <v/>
      </c>
      <c r="H248" s="7" t="str">
        <f t="shared" si="1"/>
        <v>#DIV/0!</v>
      </c>
      <c r="I248" s="3">
        <f>G248-iferror(VLOOKUP(B248,'OPTI Leadboard Last Week'!A:G,6,FALSE),0)</f>
        <v>0</v>
      </c>
    </row>
    <row r="249">
      <c r="A249" s="5" t="str">
        <f t="shared" si="2"/>
        <v/>
      </c>
      <c r="H249" s="7" t="str">
        <f t="shared" si="1"/>
        <v>#DIV/0!</v>
      </c>
      <c r="I249" s="3">
        <f>G249-iferror(VLOOKUP(B249,'OPTI Leadboard Last Week'!A:G,6,FALSE),0)</f>
        <v>0</v>
      </c>
    </row>
    <row r="250">
      <c r="A250" s="5" t="str">
        <f t="shared" si="2"/>
        <v/>
      </c>
      <c r="H250" s="7" t="str">
        <f t="shared" si="1"/>
        <v>#DIV/0!</v>
      </c>
      <c r="I250" s="3">
        <f>G250-iferror(VLOOKUP(B250,'OPTI Leadboard Last Week'!A:G,6,FALSE),0)</f>
        <v>0</v>
      </c>
    </row>
    <row r="251">
      <c r="A251" s="5" t="str">
        <f t="shared" si="2"/>
        <v/>
      </c>
      <c r="H251" s="7" t="str">
        <f t="shared" si="1"/>
        <v>#DIV/0!</v>
      </c>
      <c r="I251" s="3">
        <f>G251-iferror(VLOOKUP(B251,'OPTI Leadboard Last Week'!A:G,6,FALSE),0)</f>
        <v>0</v>
      </c>
    </row>
    <row r="252">
      <c r="A252" s="5" t="str">
        <f t="shared" si="2"/>
        <v/>
      </c>
      <c r="H252" s="7" t="str">
        <f t="shared" si="1"/>
        <v>#DIV/0!</v>
      </c>
      <c r="I252" s="3">
        <f>G252-iferror(VLOOKUP(B252,'OPTI Leadboard Last Week'!A:G,6,FALSE),0)</f>
        <v>0</v>
      </c>
    </row>
    <row r="253">
      <c r="A253" s="5" t="str">
        <f t="shared" si="2"/>
        <v/>
      </c>
      <c r="H253" s="7" t="str">
        <f t="shared" si="1"/>
        <v>#DIV/0!</v>
      </c>
      <c r="I253" s="3">
        <f>G253-iferror(VLOOKUP(B253,'OPTI Leadboard Last Week'!A:G,6,FALSE),0)</f>
        <v>0</v>
      </c>
    </row>
    <row r="254">
      <c r="A254" s="5" t="str">
        <f t="shared" si="2"/>
        <v/>
      </c>
      <c r="H254" s="7" t="str">
        <f t="shared" si="1"/>
        <v>#DIV/0!</v>
      </c>
      <c r="I254" s="3">
        <f>G254-iferror(VLOOKUP(B254,'OPTI Leadboard Last Week'!A:G,6,FALSE),0)</f>
        <v>0</v>
      </c>
    </row>
    <row r="255">
      <c r="A255" s="5" t="str">
        <f t="shared" si="2"/>
        <v/>
      </c>
      <c r="H255" s="7" t="str">
        <f t="shared" si="1"/>
        <v>#DIV/0!</v>
      </c>
      <c r="I255" s="3">
        <f>G255-iferror(VLOOKUP(B255,'OPTI Leadboard Last Week'!A:G,6,FALSE),0)</f>
        <v>0</v>
      </c>
    </row>
    <row r="256">
      <c r="A256" s="5" t="str">
        <f t="shared" si="2"/>
        <v/>
      </c>
      <c r="H256" s="7" t="str">
        <f t="shared" si="1"/>
        <v>#DIV/0!</v>
      </c>
      <c r="I256" s="3">
        <f>G256-iferror(VLOOKUP(B256,'OPTI Leadboard Last Week'!A:G,6,FALSE),0)</f>
        <v>0</v>
      </c>
    </row>
    <row r="257">
      <c r="A257" s="5" t="str">
        <f t="shared" si="2"/>
        <v/>
      </c>
      <c r="H257" s="7" t="str">
        <f t="shared" si="1"/>
        <v>#DIV/0!</v>
      </c>
      <c r="I257" s="3">
        <f>G257-iferror(VLOOKUP(B257,'OPTI Leadboard Last Week'!A:G,6,FALSE),0)</f>
        <v>0</v>
      </c>
    </row>
    <row r="258">
      <c r="A258" s="5" t="str">
        <f t="shared" si="2"/>
        <v/>
      </c>
      <c r="H258" s="7" t="str">
        <f t="shared" si="1"/>
        <v>#DIV/0!</v>
      </c>
      <c r="I258" s="3">
        <f>G258-iferror(VLOOKUP(B258,'OPTI Leadboard Last Week'!A:G,6,FALSE),0)</f>
        <v>0</v>
      </c>
    </row>
    <row r="259">
      <c r="A259" s="5" t="str">
        <f t="shared" si="2"/>
        <v/>
      </c>
      <c r="H259" s="7"/>
    </row>
    <row r="260">
      <c r="H260" s="7"/>
    </row>
    <row r="261">
      <c r="H261" s="7"/>
    </row>
    <row r="262">
      <c r="H262" s="7"/>
    </row>
    <row r="263">
      <c r="H263" s="7"/>
    </row>
    <row r="264">
      <c r="H264" s="7"/>
    </row>
    <row r="265">
      <c r="H265" s="7"/>
    </row>
    <row r="266">
      <c r="H266" s="7"/>
    </row>
    <row r="267">
      <c r="H267" s="7"/>
    </row>
    <row r="268">
      <c r="H268" s="7"/>
    </row>
    <row r="269">
      <c r="H269" s="7"/>
    </row>
    <row r="270">
      <c r="H270" s="7"/>
    </row>
    <row r="271">
      <c r="H271" s="7"/>
    </row>
    <row r="272">
      <c r="H272" s="7"/>
    </row>
    <row r="273">
      <c r="H273" s="7"/>
    </row>
    <row r="274">
      <c r="H274" s="7"/>
    </row>
    <row r="275">
      <c r="H275" s="7"/>
    </row>
    <row r="276">
      <c r="H276" s="7"/>
    </row>
    <row r="277">
      <c r="H277" s="7"/>
    </row>
    <row r="278">
      <c r="H278" s="7"/>
    </row>
    <row r="279">
      <c r="H279" s="7"/>
    </row>
    <row r="280">
      <c r="H280" s="7"/>
    </row>
    <row r="281">
      <c r="H281" s="7"/>
    </row>
    <row r="282">
      <c r="H282" s="7"/>
    </row>
    <row r="283">
      <c r="H283" s="7"/>
    </row>
    <row r="284">
      <c r="H284" s="7"/>
    </row>
    <row r="285">
      <c r="H285" s="7"/>
    </row>
    <row r="286">
      <c r="H286" s="7"/>
    </row>
    <row r="287">
      <c r="H287" s="7"/>
    </row>
    <row r="288">
      <c r="H288" s="7"/>
    </row>
    <row r="289">
      <c r="H289" s="7"/>
    </row>
    <row r="290">
      <c r="H290" s="7"/>
    </row>
    <row r="291">
      <c r="H291" s="7"/>
    </row>
    <row r="292">
      <c r="H292" s="7"/>
    </row>
    <row r="293">
      <c r="H293" s="7"/>
    </row>
    <row r="294">
      <c r="H294" s="7"/>
    </row>
    <row r="295">
      <c r="H295" s="7"/>
    </row>
    <row r="296">
      <c r="H296" s="7"/>
    </row>
    <row r="297">
      <c r="H297" s="7"/>
    </row>
    <row r="298">
      <c r="H298" s="7"/>
    </row>
    <row r="299">
      <c r="H299" s="7"/>
    </row>
    <row r="300">
      <c r="H300" s="7"/>
    </row>
    <row r="301">
      <c r="H301" s="7"/>
    </row>
    <row r="302">
      <c r="H302" s="7"/>
    </row>
    <row r="303">
      <c r="H303" s="7"/>
    </row>
    <row r="304">
      <c r="H304" s="7"/>
    </row>
    <row r="305">
      <c r="H305" s="7"/>
    </row>
    <row r="306">
      <c r="H306" s="7"/>
    </row>
    <row r="307">
      <c r="H307" s="7"/>
    </row>
    <row r="308">
      <c r="H308" s="7"/>
    </row>
    <row r="309">
      <c r="H309" s="7"/>
    </row>
    <row r="310">
      <c r="H310" s="7"/>
    </row>
    <row r="311">
      <c r="H311" s="7"/>
    </row>
    <row r="312">
      <c r="H312" s="7"/>
    </row>
    <row r="313">
      <c r="H313" s="7"/>
    </row>
    <row r="314">
      <c r="H314" s="7"/>
    </row>
    <row r="315">
      <c r="H315" s="7"/>
    </row>
    <row r="316">
      <c r="H316" s="7"/>
    </row>
    <row r="317">
      <c r="H317" s="7"/>
    </row>
    <row r="318">
      <c r="H318" s="7"/>
    </row>
    <row r="319">
      <c r="H319" s="7"/>
    </row>
    <row r="320">
      <c r="H320" s="7"/>
    </row>
    <row r="321">
      <c r="H321" s="7"/>
    </row>
    <row r="322">
      <c r="H322" s="7"/>
    </row>
    <row r="323">
      <c r="H323" s="7"/>
    </row>
    <row r="324">
      <c r="H324" s="7"/>
    </row>
    <row r="325">
      <c r="H325" s="7"/>
    </row>
    <row r="326">
      <c r="H326" s="7"/>
    </row>
    <row r="327">
      <c r="H327" s="7"/>
    </row>
    <row r="328">
      <c r="H328" s="7"/>
    </row>
    <row r="329">
      <c r="H329" s="7"/>
    </row>
    <row r="330">
      <c r="H330" s="7"/>
    </row>
    <row r="331">
      <c r="H331" s="7"/>
    </row>
    <row r="332">
      <c r="H332" s="7"/>
    </row>
    <row r="333">
      <c r="H333" s="7"/>
    </row>
    <row r="334">
      <c r="H334" s="7"/>
    </row>
    <row r="335">
      <c r="H335" s="7"/>
    </row>
    <row r="336">
      <c r="H336" s="7"/>
    </row>
    <row r="337">
      <c r="H337" s="7"/>
    </row>
    <row r="338">
      <c r="H338" s="7"/>
    </row>
    <row r="339">
      <c r="H339" s="7"/>
    </row>
    <row r="340">
      <c r="H340" s="7"/>
    </row>
    <row r="341">
      <c r="H341" s="7"/>
    </row>
    <row r="342">
      <c r="H342" s="7"/>
    </row>
    <row r="343">
      <c r="H343" s="7"/>
    </row>
    <row r="344">
      <c r="H344" s="7"/>
    </row>
    <row r="345">
      <c r="H345" s="7"/>
    </row>
    <row r="346">
      <c r="H346" s="7"/>
    </row>
    <row r="347">
      <c r="H347" s="7"/>
    </row>
    <row r="348">
      <c r="H348" s="7"/>
    </row>
    <row r="349">
      <c r="H349" s="7"/>
    </row>
    <row r="350">
      <c r="H350" s="7"/>
    </row>
    <row r="351">
      <c r="H351" s="7"/>
    </row>
    <row r="352">
      <c r="H352" s="7"/>
    </row>
    <row r="353">
      <c r="H353" s="7"/>
    </row>
    <row r="354">
      <c r="H354" s="7"/>
    </row>
    <row r="355">
      <c r="H355" s="7"/>
    </row>
    <row r="356">
      <c r="H356" s="7"/>
    </row>
    <row r="357">
      <c r="H357" s="7"/>
    </row>
    <row r="358">
      <c r="H358" s="7"/>
    </row>
    <row r="359">
      <c r="H359" s="7"/>
    </row>
    <row r="360">
      <c r="H360" s="7"/>
    </row>
    <row r="361">
      <c r="H361" s="7"/>
    </row>
    <row r="362">
      <c r="H362" s="7"/>
    </row>
    <row r="363">
      <c r="H363" s="7"/>
    </row>
    <row r="364">
      <c r="H364" s="7"/>
    </row>
    <row r="365">
      <c r="H365" s="7"/>
    </row>
    <row r="366">
      <c r="H366" s="7"/>
    </row>
    <row r="367">
      <c r="H367" s="7"/>
    </row>
    <row r="368">
      <c r="H368" s="7"/>
    </row>
    <row r="369">
      <c r="H369" s="7"/>
    </row>
    <row r="370">
      <c r="H370" s="7"/>
    </row>
    <row r="371">
      <c r="H371" s="7"/>
    </row>
    <row r="372">
      <c r="H372" s="7"/>
    </row>
    <row r="373">
      <c r="H373" s="7"/>
    </row>
    <row r="374">
      <c r="H374" s="7"/>
    </row>
    <row r="375">
      <c r="H375" s="7"/>
    </row>
    <row r="376">
      <c r="H376" s="7"/>
    </row>
    <row r="377">
      <c r="H377" s="7"/>
    </row>
    <row r="378">
      <c r="H378" s="7"/>
    </row>
    <row r="379">
      <c r="H379" s="7"/>
    </row>
    <row r="380">
      <c r="H380" s="7"/>
    </row>
    <row r="381">
      <c r="H381" s="7"/>
    </row>
    <row r="382">
      <c r="H382" s="7"/>
    </row>
    <row r="383">
      <c r="H383" s="7"/>
    </row>
    <row r="384">
      <c r="H384" s="7"/>
    </row>
    <row r="385">
      <c r="H385" s="7"/>
    </row>
    <row r="386">
      <c r="H386" s="7"/>
    </row>
    <row r="387">
      <c r="H387" s="7"/>
    </row>
    <row r="388">
      <c r="H388" s="7"/>
    </row>
    <row r="389">
      <c r="H389" s="7"/>
    </row>
    <row r="390">
      <c r="H390" s="7"/>
    </row>
    <row r="391">
      <c r="H391" s="7"/>
    </row>
    <row r="392">
      <c r="H392" s="7"/>
    </row>
    <row r="393">
      <c r="H393" s="7"/>
    </row>
    <row r="394">
      <c r="H394" s="7"/>
    </row>
    <row r="395">
      <c r="H395" s="7"/>
    </row>
    <row r="396">
      <c r="H396" s="7"/>
    </row>
    <row r="397">
      <c r="H397" s="7"/>
    </row>
    <row r="398">
      <c r="H398" s="7"/>
    </row>
    <row r="399">
      <c r="H399" s="7"/>
    </row>
    <row r="400">
      <c r="H400" s="7"/>
    </row>
    <row r="401">
      <c r="H401" s="7"/>
    </row>
    <row r="402">
      <c r="H402" s="7"/>
    </row>
    <row r="403">
      <c r="H403" s="7"/>
    </row>
    <row r="404">
      <c r="H404" s="7"/>
    </row>
    <row r="405">
      <c r="H405" s="7"/>
    </row>
    <row r="406">
      <c r="H406" s="7"/>
    </row>
    <row r="407">
      <c r="H407" s="7"/>
    </row>
    <row r="408">
      <c r="H408" s="7"/>
    </row>
    <row r="409">
      <c r="H409" s="7"/>
    </row>
    <row r="410">
      <c r="H410" s="7"/>
    </row>
    <row r="411">
      <c r="H411" s="7"/>
    </row>
    <row r="412">
      <c r="H412" s="7"/>
    </row>
    <row r="413">
      <c r="H413" s="7"/>
    </row>
    <row r="414">
      <c r="H414" s="7"/>
    </row>
    <row r="415">
      <c r="H415" s="7"/>
    </row>
    <row r="416">
      <c r="H416" s="7"/>
    </row>
    <row r="417">
      <c r="H417" s="7"/>
    </row>
    <row r="418">
      <c r="H418" s="7"/>
    </row>
    <row r="419">
      <c r="H419" s="7"/>
    </row>
    <row r="420">
      <c r="H420" s="7"/>
    </row>
    <row r="421">
      <c r="H421" s="7"/>
    </row>
    <row r="422">
      <c r="H422" s="7"/>
    </row>
    <row r="423">
      <c r="H423" s="7"/>
    </row>
    <row r="424">
      <c r="H424" s="7"/>
    </row>
    <row r="425">
      <c r="H425" s="7"/>
    </row>
    <row r="426">
      <c r="H426" s="7"/>
    </row>
    <row r="427">
      <c r="H427" s="7"/>
    </row>
    <row r="428">
      <c r="H428" s="7"/>
    </row>
    <row r="429">
      <c r="H429" s="7"/>
    </row>
    <row r="430">
      <c r="H430" s="7"/>
    </row>
    <row r="431">
      <c r="H431" s="7"/>
    </row>
    <row r="432">
      <c r="H432" s="7"/>
    </row>
    <row r="433">
      <c r="H433" s="7"/>
    </row>
    <row r="434">
      <c r="H434" s="7"/>
    </row>
    <row r="435">
      <c r="H435" s="7"/>
    </row>
    <row r="436">
      <c r="H436" s="7"/>
    </row>
    <row r="437">
      <c r="H437" s="7"/>
    </row>
    <row r="438">
      <c r="H438" s="7"/>
    </row>
    <row r="439">
      <c r="H439" s="7"/>
    </row>
    <row r="440">
      <c r="H440" s="7"/>
    </row>
    <row r="441">
      <c r="H441" s="7"/>
    </row>
    <row r="442">
      <c r="H442" s="7"/>
    </row>
    <row r="443">
      <c r="H443" s="7"/>
    </row>
    <row r="444">
      <c r="H444" s="7"/>
    </row>
    <row r="445">
      <c r="H445" s="7"/>
    </row>
    <row r="446">
      <c r="H446" s="7"/>
    </row>
    <row r="447">
      <c r="H447" s="7"/>
    </row>
    <row r="448">
      <c r="H448" s="7"/>
    </row>
    <row r="449">
      <c r="H449" s="7"/>
    </row>
    <row r="450">
      <c r="H450" s="7"/>
    </row>
    <row r="451">
      <c r="H451" s="7"/>
    </row>
    <row r="452">
      <c r="H452" s="7"/>
    </row>
    <row r="453">
      <c r="H453" s="7"/>
    </row>
    <row r="454">
      <c r="H454" s="7"/>
    </row>
    <row r="455">
      <c r="H455" s="7"/>
    </row>
    <row r="456">
      <c r="H456" s="7"/>
    </row>
    <row r="457">
      <c r="H457" s="7"/>
    </row>
    <row r="458">
      <c r="H458" s="7"/>
    </row>
    <row r="459">
      <c r="H459" s="7"/>
    </row>
    <row r="460">
      <c r="H460" s="7"/>
    </row>
    <row r="461">
      <c r="H461" s="7"/>
    </row>
    <row r="462">
      <c r="H462" s="7"/>
    </row>
    <row r="463">
      <c r="H463" s="7"/>
    </row>
    <row r="464">
      <c r="H464" s="7"/>
    </row>
    <row r="465">
      <c r="H465" s="7"/>
    </row>
    <row r="466">
      <c r="H466" s="7"/>
    </row>
    <row r="467">
      <c r="H467" s="7"/>
    </row>
    <row r="468">
      <c r="H468" s="7"/>
    </row>
    <row r="469">
      <c r="H469" s="7"/>
    </row>
    <row r="470">
      <c r="H470" s="7"/>
    </row>
    <row r="471">
      <c r="H471" s="7"/>
    </row>
    <row r="472">
      <c r="H472" s="7"/>
    </row>
    <row r="473">
      <c r="H473" s="7"/>
    </row>
    <row r="474">
      <c r="H474" s="7"/>
    </row>
    <row r="475">
      <c r="H475" s="7"/>
    </row>
    <row r="476">
      <c r="H476" s="7"/>
    </row>
    <row r="477">
      <c r="H477" s="7"/>
    </row>
    <row r="478">
      <c r="H478" s="7"/>
    </row>
    <row r="479">
      <c r="H479" s="7"/>
    </row>
    <row r="480">
      <c r="H480" s="7"/>
    </row>
    <row r="481">
      <c r="H481" s="7"/>
    </row>
    <row r="482">
      <c r="H482" s="7"/>
    </row>
    <row r="483">
      <c r="H483" s="7"/>
    </row>
    <row r="484">
      <c r="H484" s="7"/>
    </row>
    <row r="485">
      <c r="H485" s="7"/>
    </row>
    <row r="486">
      <c r="H486" s="7"/>
    </row>
    <row r="487">
      <c r="H487" s="7"/>
    </row>
    <row r="488">
      <c r="H488" s="7"/>
    </row>
    <row r="489">
      <c r="H489" s="7"/>
    </row>
    <row r="490">
      <c r="H490" s="7"/>
    </row>
    <row r="491">
      <c r="H491" s="7"/>
    </row>
    <row r="492">
      <c r="H492" s="7"/>
    </row>
    <row r="493">
      <c r="H493" s="7"/>
    </row>
    <row r="494">
      <c r="H494" s="7"/>
    </row>
    <row r="495">
      <c r="H495" s="7"/>
    </row>
    <row r="496">
      <c r="H496" s="7"/>
    </row>
    <row r="497">
      <c r="H497" s="7"/>
    </row>
    <row r="498">
      <c r="H498" s="7"/>
    </row>
    <row r="499">
      <c r="H499" s="7"/>
    </row>
    <row r="500">
      <c r="H500" s="7"/>
    </row>
    <row r="501">
      <c r="H501" s="7"/>
    </row>
    <row r="502">
      <c r="H502" s="7"/>
    </row>
    <row r="503">
      <c r="H503" s="7"/>
    </row>
    <row r="504">
      <c r="H504" s="7"/>
    </row>
    <row r="505">
      <c r="H505" s="7"/>
    </row>
    <row r="506">
      <c r="H506" s="7"/>
    </row>
    <row r="507">
      <c r="H507" s="7"/>
    </row>
    <row r="508">
      <c r="H508" s="7"/>
    </row>
    <row r="509">
      <c r="H509" s="7"/>
    </row>
    <row r="510">
      <c r="H510" s="7"/>
    </row>
    <row r="511">
      <c r="H511" s="7"/>
    </row>
    <row r="512">
      <c r="H512" s="7"/>
    </row>
    <row r="513">
      <c r="H513" s="7"/>
    </row>
    <row r="514">
      <c r="H514" s="7"/>
    </row>
    <row r="515">
      <c r="H515" s="7"/>
    </row>
    <row r="516">
      <c r="H516" s="7"/>
    </row>
    <row r="517">
      <c r="H517" s="7"/>
    </row>
    <row r="518">
      <c r="H518" s="7"/>
    </row>
    <row r="519">
      <c r="H519" s="7"/>
    </row>
    <row r="520">
      <c r="H520" s="7"/>
    </row>
    <row r="521">
      <c r="H521" s="7"/>
    </row>
    <row r="522">
      <c r="H522" s="7"/>
    </row>
    <row r="523">
      <c r="H523" s="7"/>
    </row>
    <row r="524">
      <c r="H524" s="7"/>
    </row>
    <row r="525">
      <c r="H525" s="7"/>
    </row>
    <row r="526">
      <c r="H526" s="7"/>
    </row>
    <row r="527">
      <c r="H527" s="7"/>
    </row>
    <row r="528">
      <c r="H528" s="7"/>
    </row>
    <row r="529">
      <c r="H529" s="7"/>
    </row>
    <row r="530">
      <c r="H530" s="7"/>
    </row>
    <row r="531">
      <c r="H531" s="7"/>
    </row>
    <row r="532">
      <c r="H532" s="7"/>
    </row>
    <row r="533">
      <c r="H533" s="7"/>
    </row>
    <row r="534">
      <c r="H534" s="7"/>
    </row>
    <row r="535">
      <c r="H535" s="7"/>
    </row>
    <row r="536">
      <c r="H536" s="7"/>
    </row>
    <row r="537">
      <c r="H537" s="7"/>
    </row>
    <row r="538">
      <c r="H538" s="7"/>
    </row>
    <row r="539">
      <c r="H539" s="7"/>
    </row>
    <row r="540">
      <c r="H540" s="7"/>
    </row>
    <row r="541">
      <c r="H541" s="7"/>
    </row>
    <row r="542">
      <c r="H542" s="7"/>
    </row>
    <row r="543">
      <c r="H543" s="7"/>
    </row>
    <row r="544">
      <c r="H544" s="7"/>
    </row>
    <row r="545">
      <c r="H545" s="7"/>
    </row>
    <row r="546">
      <c r="H546" s="7"/>
    </row>
    <row r="547">
      <c r="H547" s="7"/>
    </row>
    <row r="548">
      <c r="H548" s="7"/>
    </row>
    <row r="549">
      <c r="H549" s="7"/>
    </row>
    <row r="550">
      <c r="H550" s="7"/>
    </row>
    <row r="551">
      <c r="H551" s="7"/>
    </row>
    <row r="552">
      <c r="H552" s="7"/>
    </row>
    <row r="553">
      <c r="H553" s="7"/>
    </row>
    <row r="554">
      <c r="H554" s="7"/>
    </row>
    <row r="555">
      <c r="H555" s="7"/>
    </row>
    <row r="556">
      <c r="H556" s="7"/>
    </row>
    <row r="557">
      <c r="H557" s="7"/>
    </row>
    <row r="558">
      <c r="H558" s="7"/>
    </row>
    <row r="559">
      <c r="H559" s="7"/>
    </row>
    <row r="560">
      <c r="H560" s="7"/>
    </row>
    <row r="561">
      <c r="H561" s="7"/>
    </row>
    <row r="562">
      <c r="H562" s="7"/>
    </row>
    <row r="563">
      <c r="H563" s="7"/>
    </row>
    <row r="564">
      <c r="H564" s="7"/>
    </row>
    <row r="565">
      <c r="H565" s="7"/>
    </row>
    <row r="566">
      <c r="H566" s="7"/>
    </row>
    <row r="567">
      <c r="H567" s="7"/>
    </row>
    <row r="568">
      <c r="H568" s="7"/>
    </row>
    <row r="569">
      <c r="H569" s="7"/>
    </row>
    <row r="570">
      <c r="H570" s="7"/>
    </row>
    <row r="571">
      <c r="H571" s="7"/>
    </row>
    <row r="572">
      <c r="H572" s="7"/>
    </row>
    <row r="573">
      <c r="H573" s="7"/>
    </row>
    <row r="574">
      <c r="H574" s="7"/>
    </row>
    <row r="575">
      <c r="H575" s="7"/>
    </row>
    <row r="576">
      <c r="H576" s="7"/>
    </row>
    <row r="577">
      <c r="H577" s="7"/>
    </row>
    <row r="578">
      <c r="H578" s="7"/>
    </row>
    <row r="579">
      <c r="H579" s="7"/>
    </row>
    <row r="580">
      <c r="H580" s="7"/>
    </row>
    <row r="581">
      <c r="H581" s="7"/>
    </row>
    <row r="582">
      <c r="H582" s="7"/>
    </row>
    <row r="583">
      <c r="H583" s="7"/>
    </row>
    <row r="584">
      <c r="H584" s="7"/>
    </row>
    <row r="585">
      <c r="H585" s="7"/>
    </row>
    <row r="586">
      <c r="H586" s="7"/>
    </row>
    <row r="587">
      <c r="H587" s="7"/>
    </row>
    <row r="588">
      <c r="H588" s="7"/>
    </row>
    <row r="589">
      <c r="H589" s="7"/>
    </row>
    <row r="590">
      <c r="H590" s="7"/>
    </row>
    <row r="591">
      <c r="H591" s="7"/>
    </row>
    <row r="592">
      <c r="H592" s="7"/>
    </row>
    <row r="593">
      <c r="H593" s="7"/>
    </row>
    <row r="594">
      <c r="H594" s="7"/>
    </row>
    <row r="595">
      <c r="H595" s="7"/>
    </row>
    <row r="596">
      <c r="H596" s="7"/>
    </row>
    <row r="597">
      <c r="H597" s="7"/>
    </row>
    <row r="598">
      <c r="H598" s="7"/>
    </row>
    <row r="599">
      <c r="H599" s="7"/>
    </row>
    <row r="600">
      <c r="H600" s="7"/>
    </row>
    <row r="601">
      <c r="H601" s="7"/>
    </row>
    <row r="602">
      <c r="H602" s="7"/>
    </row>
    <row r="603">
      <c r="H603" s="7"/>
    </row>
    <row r="604">
      <c r="H604" s="7"/>
    </row>
    <row r="605">
      <c r="H605" s="7"/>
    </row>
    <row r="606">
      <c r="H606" s="7"/>
    </row>
    <row r="607">
      <c r="H607" s="7"/>
    </row>
    <row r="608">
      <c r="H608" s="7"/>
    </row>
    <row r="609">
      <c r="H609" s="7"/>
    </row>
    <row r="610">
      <c r="H610" s="7"/>
    </row>
    <row r="611">
      <c r="H611" s="7"/>
    </row>
    <row r="612">
      <c r="H612" s="7"/>
    </row>
    <row r="613">
      <c r="H613" s="7"/>
    </row>
    <row r="614">
      <c r="H614" s="7"/>
    </row>
    <row r="615">
      <c r="H615" s="7"/>
    </row>
    <row r="616">
      <c r="H616" s="7"/>
    </row>
    <row r="617">
      <c r="H617" s="7"/>
    </row>
    <row r="618">
      <c r="H618" s="7"/>
    </row>
    <row r="619">
      <c r="H619" s="7"/>
    </row>
    <row r="620">
      <c r="H620" s="7"/>
    </row>
    <row r="621">
      <c r="H621" s="7"/>
    </row>
    <row r="622">
      <c r="H622" s="7"/>
    </row>
    <row r="623">
      <c r="H623" s="7"/>
    </row>
    <row r="624">
      <c r="H624" s="7"/>
    </row>
    <row r="625">
      <c r="H625" s="7"/>
    </row>
    <row r="626">
      <c r="H626" s="7"/>
    </row>
    <row r="627">
      <c r="H627" s="7"/>
    </row>
    <row r="628">
      <c r="H628" s="7"/>
    </row>
    <row r="629">
      <c r="H629" s="7"/>
    </row>
    <row r="630">
      <c r="H630" s="7"/>
    </row>
    <row r="631">
      <c r="H631" s="7"/>
    </row>
    <row r="632">
      <c r="H632" s="7"/>
    </row>
    <row r="633">
      <c r="H633" s="7"/>
    </row>
    <row r="634">
      <c r="H634" s="7"/>
    </row>
    <row r="635">
      <c r="H635" s="7"/>
    </row>
    <row r="636">
      <c r="H636" s="7"/>
    </row>
    <row r="637">
      <c r="H637" s="7"/>
    </row>
    <row r="638">
      <c r="H638" s="7"/>
    </row>
    <row r="639">
      <c r="H639" s="7"/>
    </row>
    <row r="640">
      <c r="H640" s="7"/>
    </row>
    <row r="641">
      <c r="H641" s="7"/>
    </row>
    <row r="642">
      <c r="H642" s="7"/>
    </row>
    <row r="643">
      <c r="H643" s="7"/>
    </row>
    <row r="644">
      <c r="H644" s="7"/>
    </row>
    <row r="645">
      <c r="H645" s="7"/>
    </row>
    <row r="646">
      <c r="H646" s="7"/>
    </row>
    <row r="647">
      <c r="H647" s="7"/>
    </row>
    <row r="648">
      <c r="H648" s="7"/>
    </row>
    <row r="649">
      <c r="H649" s="7"/>
    </row>
    <row r="650">
      <c r="H650" s="7"/>
    </row>
    <row r="651">
      <c r="H651" s="7"/>
    </row>
    <row r="652">
      <c r="H652" s="7"/>
    </row>
    <row r="653">
      <c r="H653" s="7"/>
    </row>
    <row r="654">
      <c r="H654" s="7"/>
    </row>
    <row r="655">
      <c r="H655" s="7"/>
    </row>
    <row r="656">
      <c r="H656" s="7"/>
    </row>
    <row r="657">
      <c r="H657" s="7"/>
    </row>
    <row r="658">
      <c r="H658" s="7"/>
    </row>
    <row r="659">
      <c r="H659" s="7"/>
    </row>
    <row r="660">
      <c r="H660" s="7"/>
    </row>
    <row r="661">
      <c r="H661" s="7"/>
    </row>
    <row r="662">
      <c r="H662" s="7"/>
    </row>
    <row r="663">
      <c r="H663" s="7"/>
    </row>
    <row r="664">
      <c r="H664" s="7"/>
    </row>
    <row r="665">
      <c r="H665" s="7"/>
    </row>
    <row r="666">
      <c r="H666" s="7"/>
    </row>
    <row r="667">
      <c r="H667" s="7"/>
    </row>
    <row r="668">
      <c r="H668" s="7"/>
    </row>
    <row r="669">
      <c r="H669" s="7"/>
    </row>
    <row r="670">
      <c r="H670" s="7"/>
    </row>
    <row r="671">
      <c r="H671" s="7"/>
    </row>
    <row r="672">
      <c r="H672" s="7"/>
    </row>
    <row r="673">
      <c r="H673" s="7"/>
    </row>
    <row r="674">
      <c r="H674" s="7"/>
    </row>
    <row r="675">
      <c r="H675" s="7"/>
    </row>
    <row r="676">
      <c r="H676" s="7"/>
    </row>
    <row r="677">
      <c r="H677" s="7"/>
    </row>
    <row r="678">
      <c r="H678" s="7"/>
    </row>
    <row r="679">
      <c r="H679" s="7"/>
    </row>
    <row r="680">
      <c r="H680" s="7"/>
    </row>
    <row r="681">
      <c r="H681" s="7"/>
    </row>
    <row r="682">
      <c r="H682" s="7"/>
    </row>
    <row r="683">
      <c r="H683" s="7"/>
    </row>
    <row r="684">
      <c r="H684" s="7"/>
    </row>
    <row r="685">
      <c r="H685" s="7"/>
    </row>
    <row r="686">
      <c r="H686" s="7"/>
    </row>
    <row r="687">
      <c r="H687" s="7"/>
    </row>
    <row r="688">
      <c r="H688" s="7"/>
    </row>
    <row r="689">
      <c r="H689" s="7"/>
    </row>
    <row r="690">
      <c r="H690" s="7"/>
    </row>
    <row r="691">
      <c r="H691" s="7"/>
    </row>
    <row r="692">
      <c r="H692" s="7"/>
    </row>
    <row r="693">
      <c r="H693" s="7"/>
    </row>
    <row r="694">
      <c r="H694" s="7"/>
    </row>
    <row r="695">
      <c r="H695" s="7"/>
    </row>
    <row r="696">
      <c r="H696" s="7"/>
    </row>
    <row r="697">
      <c r="H697" s="7"/>
    </row>
    <row r="698">
      <c r="H698" s="7"/>
    </row>
    <row r="699">
      <c r="H699" s="7"/>
    </row>
    <row r="700">
      <c r="H700" s="7"/>
    </row>
    <row r="701">
      <c r="H701" s="7"/>
    </row>
    <row r="702">
      <c r="H702" s="7"/>
    </row>
    <row r="703">
      <c r="H703" s="7"/>
    </row>
    <row r="704">
      <c r="H704" s="7"/>
    </row>
    <row r="705">
      <c r="H705" s="7"/>
    </row>
    <row r="706">
      <c r="H706" s="7"/>
    </row>
    <row r="707">
      <c r="H707" s="7"/>
    </row>
    <row r="708">
      <c r="H708" s="7"/>
    </row>
    <row r="709">
      <c r="H709" s="7"/>
    </row>
    <row r="710">
      <c r="H710" s="7"/>
    </row>
    <row r="711">
      <c r="H711" s="7"/>
    </row>
    <row r="712">
      <c r="H712" s="7"/>
    </row>
    <row r="713">
      <c r="H713" s="7"/>
    </row>
    <row r="714">
      <c r="H714" s="7"/>
    </row>
    <row r="715">
      <c r="H715" s="7"/>
    </row>
    <row r="716">
      <c r="H716" s="7"/>
    </row>
    <row r="717">
      <c r="H717" s="7"/>
    </row>
    <row r="718">
      <c r="H718" s="7"/>
    </row>
    <row r="719">
      <c r="H719" s="7"/>
    </row>
    <row r="720">
      <c r="H720" s="7"/>
    </row>
    <row r="721">
      <c r="H721" s="7"/>
    </row>
    <row r="722">
      <c r="H722" s="7"/>
    </row>
    <row r="723">
      <c r="H723" s="7"/>
    </row>
    <row r="724">
      <c r="H724" s="7"/>
    </row>
    <row r="725">
      <c r="H725" s="7"/>
    </row>
    <row r="726">
      <c r="H726" s="7"/>
    </row>
    <row r="727">
      <c r="H727" s="7"/>
    </row>
    <row r="728">
      <c r="H728" s="7"/>
    </row>
    <row r="729">
      <c r="H729" s="7"/>
    </row>
    <row r="730">
      <c r="H730" s="7"/>
    </row>
    <row r="731">
      <c r="H731" s="7"/>
    </row>
    <row r="732">
      <c r="H732" s="7"/>
    </row>
    <row r="733">
      <c r="H733" s="7"/>
    </row>
    <row r="734">
      <c r="H734" s="7"/>
    </row>
    <row r="735">
      <c r="H735" s="7"/>
    </row>
    <row r="736">
      <c r="H736" s="7"/>
    </row>
    <row r="737">
      <c r="H737" s="7"/>
    </row>
    <row r="738">
      <c r="H738" s="7"/>
    </row>
    <row r="739">
      <c r="H739" s="7"/>
    </row>
    <row r="740">
      <c r="H740" s="7"/>
    </row>
    <row r="741">
      <c r="H741" s="7"/>
    </row>
    <row r="742">
      <c r="H742" s="7"/>
    </row>
    <row r="743">
      <c r="H743" s="7"/>
    </row>
    <row r="744">
      <c r="H744" s="7"/>
    </row>
    <row r="745">
      <c r="H745" s="7"/>
    </row>
    <row r="746">
      <c r="H746" s="7"/>
    </row>
    <row r="747">
      <c r="H747" s="7"/>
    </row>
    <row r="748">
      <c r="H748" s="7"/>
    </row>
    <row r="749">
      <c r="H749" s="7"/>
    </row>
    <row r="750">
      <c r="H750" s="7"/>
    </row>
    <row r="751">
      <c r="H751" s="7"/>
    </row>
    <row r="752">
      <c r="H752" s="7"/>
    </row>
    <row r="753">
      <c r="H753" s="7"/>
    </row>
    <row r="754">
      <c r="H754" s="7"/>
    </row>
    <row r="755">
      <c r="H755" s="7"/>
    </row>
    <row r="756">
      <c r="H756" s="7"/>
    </row>
    <row r="757">
      <c r="H757" s="7"/>
    </row>
    <row r="758">
      <c r="H758" s="7"/>
    </row>
    <row r="759">
      <c r="H759" s="7"/>
    </row>
    <row r="760">
      <c r="H760" s="7"/>
    </row>
    <row r="761">
      <c r="H761" s="7"/>
    </row>
    <row r="762">
      <c r="H762" s="7"/>
    </row>
    <row r="763">
      <c r="H763" s="7"/>
    </row>
    <row r="764">
      <c r="H764" s="7"/>
    </row>
    <row r="765">
      <c r="H765" s="7"/>
    </row>
    <row r="766">
      <c r="H766" s="7"/>
    </row>
    <row r="767">
      <c r="H767" s="7"/>
    </row>
    <row r="768">
      <c r="H768" s="7"/>
    </row>
    <row r="769">
      <c r="H769" s="7"/>
    </row>
    <row r="770">
      <c r="H770" s="7"/>
    </row>
    <row r="771">
      <c r="H771" s="7"/>
    </row>
    <row r="772">
      <c r="H772" s="7"/>
    </row>
    <row r="773">
      <c r="H773" s="7"/>
    </row>
    <row r="774">
      <c r="H774" s="7"/>
    </row>
    <row r="775">
      <c r="H775" s="7"/>
    </row>
    <row r="776">
      <c r="H776" s="7"/>
    </row>
    <row r="777">
      <c r="H777" s="7"/>
    </row>
    <row r="778">
      <c r="H778" s="7"/>
    </row>
    <row r="779">
      <c r="H779" s="7"/>
    </row>
    <row r="780">
      <c r="H780" s="7"/>
    </row>
    <row r="781">
      <c r="H781" s="7"/>
    </row>
    <row r="782">
      <c r="H782" s="7"/>
    </row>
    <row r="783">
      <c r="H783" s="7"/>
    </row>
    <row r="784">
      <c r="H784" s="7"/>
    </row>
    <row r="785">
      <c r="H785" s="7"/>
    </row>
    <row r="786">
      <c r="H786" s="7"/>
    </row>
    <row r="787">
      <c r="H787" s="7"/>
    </row>
    <row r="788">
      <c r="H788" s="7"/>
    </row>
    <row r="789">
      <c r="H789" s="7"/>
    </row>
    <row r="790">
      <c r="H790" s="7"/>
    </row>
    <row r="791">
      <c r="H791" s="7"/>
    </row>
    <row r="792">
      <c r="H792" s="7"/>
    </row>
    <row r="793">
      <c r="H793" s="7"/>
    </row>
    <row r="794">
      <c r="H794" s="7"/>
    </row>
    <row r="795">
      <c r="H795" s="7"/>
    </row>
    <row r="796">
      <c r="H796" s="7"/>
    </row>
    <row r="797">
      <c r="H797" s="7"/>
    </row>
    <row r="798">
      <c r="H798" s="7"/>
    </row>
    <row r="799">
      <c r="H799" s="7"/>
    </row>
    <row r="800">
      <c r="H800" s="7"/>
    </row>
    <row r="801">
      <c r="H801" s="7"/>
    </row>
    <row r="802">
      <c r="H802" s="7"/>
    </row>
    <row r="803">
      <c r="H803" s="7"/>
    </row>
    <row r="804">
      <c r="H804" s="7"/>
    </row>
    <row r="805">
      <c r="H805" s="7"/>
    </row>
    <row r="806">
      <c r="H806" s="7"/>
    </row>
    <row r="807">
      <c r="H807" s="7"/>
    </row>
    <row r="808">
      <c r="H808" s="7"/>
    </row>
    <row r="809">
      <c r="H809" s="7"/>
    </row>
    <row r="810">
      <c r="H810" s="7"/>
    </row>
    <row r="811">
      <c r="H811" s="7"/>
    </row>
    <row r="812">
      <c r="H812" s="7"/>
    </row>
    <row r="813">
      <c r="H813" s="7"/>
    </row>
    <row r="814">
      <c r="H814" s="7"/>
    </row>
    <row r="815">
      <c r="H815" s="7"/>
    </row>
    <row r="816">
      <c r="H816" s="7"/>
    </row>
    <row r="817">
      <c r="H817" s="7"/>
    </row>
    <row r="818">
      <c r="H818" s="7"/>
    </row>
    <row r="819">
      <c r="H819" s="7"/>
    </row>
    <row r="820">
      <c r="H820" s="7"/>
    </row>
    <row r="821">
      <c r="H821" s="7"/>
    </row>
    <row r="822">
      <c r="H822" s="7"/>
    </row>
    <row r="823">
      <c r="H823" s="7"/>
    </row>
    <row r="824">
      <c r="H824" s="7"/>
    </row>
    <row r="825">
      <c r="H825" s="7"/>
    </row>
    <row r="826">
      <c r="H826" s="7"/>
    </row>
    <row r="827">
      <c r="H827" s="7"/>
    </row>
    <row r="828">
      <c r="H828" s="7"/>
    </row>
    <row r="829">
      <c r="H829" s="7"/>
    </row>
    <row r="830">
      <c r="H830" s="7"/>
    </row>
    <row r="831">
      <c r="H831" s="7"/>
    </row>
    <row r="832">
      <c r="H832" s="7"/>
    </row>
    <row r="833">
      <c r="H833" s="7"/>
    </row>
    <row r="834">
      <c r="H834" s="7"/>
    </row>
    <row r="835">
      <c r="H835" s="7"/>
    </row>
    <row r="836">
      <c r="H836" s="7"/>
    </row>
    <row r="837">
      <c r="H837" s="7"/>
    </row>
    <row r="838">
      <c r="H838" s="7"/>
    </row>
    <row r="839">
      <c r="H839" s="7"/>
    </row>
    <row r="840">
      <c r="H840" s="7"/>
    </row>
    <row r="841">
      <c r="H841" s="7"/>
    </row>
    <row r="842">
      <c r="H842" s="7"/>
    </row>
    <row r="843">
      <c r="H843" s="7"/>
    </row>
    <row r="844">
      <c r="H844" s="7"/>
    </row>
    <row r="845">
      <c r="H845" s="7"/>
    </row>
    <row r="846">
      <c r="H846" s="7"/>
    </row>
    <row r="847">
      <c r="H847" s="7"/>
    </row>
    <row r="848">
      <c r="H848" s="7"/>
    </row>
    <row r="849">
      <c r="H849" s="7"/>
    </row>
    <row r="850">
      <c r="H850" s="7"/>
    </row>
    <row r="851">
      <c r="H851" s="7"/>
    </row>
    <row r="852">
      <c r="H852" s="7"/>
    </row>
    <row r="853">
      <c r="H853" s="7"/>
    </row>
    <row r="854">
      <c r="H854" s="7"/>
    </row>
    <row r="855">
      <c r="H855" s="7"/>
    </row>
    <row r="856">
      <c r="H856" s="7"/>
    </row>
    <row r="857">
      <c r="H857" s="7"/>
    </row>
    <row r="858">
      <c r="H858" s="7"/>
    </row>
    <row r="859">
      <c r="H859" s="7"/>
    </row>
    <row r="860">
      <c r="H860" s="7"/>
    </row>
    <row r="861">
      <c r="H861" s="7"/>
    </row>
    <row r="862">
      <c r="H862" s="7"/>
    </row>
    <row r="863">
      <c r="H863" s="7"/>
    </row>
    <row r="864">
      <c r="H864" s="7"/>
    </row>
    <row r="865">
      <c r="H865" s="7"/>
    </row>
    <row r="866">
      <c r="H866" s="7"/>
    </row>
    <row r="867">
      <c r="H867" s="7"/>
    </row>
    <row r="868">
      <c r="H868" s="7"/>
    </row>
    <row r="869">
      <c r="H869" s="7"/>
    </row>
    <row r="870">
      <c r="H870" s="7"/>
    </row>
    <row r="871">
      <c r="H871" s="7"/>
    </row>
    <row r="872">
      <c r="H872" s="7"/>
    </row>
    <row r="873">
      <c r="H873" s="7"/>
    </row>
    <row r="874">
      <c r="H874" s="7"/>
    </row>
    <row r="875">
      <c r="H875" s="7"/>
    </row>
    <row r="876">
      <c r="H876" s="7"/>
    </row>
    <row r="877">
      <c r="H877" s="7"/>
    </row>
    <row r="878">
      <c r="H878" s="7"/>
    </row>
    <row r="879">
      <c r="H879" s="7"/>
    </row>
    <row r="880">
      <c r="H880" s="7"/>
    </row>
    <row r="881">
      <c r="H881" s="7"/>
    </row>
    <row r="882">
      <c r="H882" s="7"/>
    </row>
    <row r="883">
      <c r="H883" s="7"/>
    </row>
    <row r="884">
      <c r="H884" s="7"/>
    </row>
    <row r="885">
      <c r="H885" s="7"/>
    </row>
    <row r="886">
      <c r="H886" s="7"/>
    </row>
    <row r="887">
      <c r="H887" s="7"/>
    </row>
    <row r="888">
      <c r="H888" s="7"/>
    </row>
    <row r="889">
      <c r="H889" s="7"/>
    </row>
    <row r="890">
      <c r="H890" s="7"/>
    </row>
    <row r="891">
      <c r="H891" s="7"/>
    </row>
    <row r="892">
      <c r="H892" s="7"/>
    </row>
    <row r="893">
      <c r="H893" s="7"/>
    </row>
    <row r="894">
      <c r="H894" s="7"/>
    </row>
    <row r="895">
      <c r="H895" s="7"/>
    </row>
    <row r="896">
      <c r="H896" s="7"/>
    </row>
    <row r="897">
      <c r="H897" s="7"/>
    </row>
    <row r="898">
      <c r="H898" s="7"/>
    </row>
    <row r="899">
      <c r="H899" s="7"/>
    </row>
    <row r="900">
      <c r="H900" s="7"/>
    </row>
    <row r="901">
      <c r="H901" s="7"/>
    </row>
    <row r="902">
      <c r="H902" s="7"/>
    </row>
    <row r="903">
      <c r="H903" s="7"/>
    </row>
    <row r="904">
      <c r="H904" s="7"/>
    </row>
    <row r="905">
      <c r="H905" s="7"/>
    </row>
    <row r="906">
      <c r="H906" s="7"/>
    </row>
    <row r="907">
      <c r="H907" s="7"/>
    </row>
    <row r="908">
      <c r="H908" s="7"/>
    </row>
    <row r="909">
      <c r="H909" s="7"/>
    </row>
    <row r="910">
      <c r="H910" s="7"/>
    </row>
    <row r="911">
      <c r="H911" s="7"/>
    </row>
    <row r="912">
      <c r="H912" s="7"/>
    </row>
    <row r="913">
      <c r="H913" s="7"/>
    </row>
    <row r="914">
      <c r="H914" s="7"/>
    </row>
    <row r="915">
      <c r="H915" s="7"/>
    </row>
    <row r="916">
      <c r="H916" s="7"/>
    </row>
    <row r="917">
      <c r="H917" s="7"/>
    </row>
    <row r="918">
      <c r="H918" s="7"/>
    </row>
    <row r="919">
      <c r="H919" s="7"/>
    </row>
    <row r="920">
      <c r="H920" s="7"/>
    </row>
    <row r="921">
      <c r="H921" s="7"/>
    </row>
    <row r="922">
      <c r="H922" s="7"/>
    </row>
    <row r="923">
      <c r="H923" s="7"/>
    </row>
    <row r="924">
      <c r="H924" s="7"/>
    </row>
    <row r="925">
      <c r="H925" s="7"/>
    </row>
    <row r="926">
      <c r="H926" s="7"/>
    </row>
    <row r="927">
      <c r="H927" s="7"/>
    </row>
    <row r="928">
      <c r="H928" s="7"/>
    </row>
    <row r="929">
      <c r="H929" s="7"/>
    </row>
    <row r="930">
      <c r="H930" s="7"/>
    </row>
    <row r="931">
      <c r="H931" s="7"/>
    </row>
    <row r="932">
      <c r="H932" s="7"/>
    </row>
    <row r="933">
      <c r="H933" s="7"/>
    </row>
    <row r="934">
      <c r="H934" s="7"/>
    </row>
    <row r="935">
      <c r="H935" s="7"/>
    </row>
    <row r="936">
      <c r="H936" s="7"/>
    </row>
    <row r="937">
      <c r="H937" s="7"/>
    </row>
    <row r="938">
      <c r="H938" s="7"/>
    </row>
    <row r="939">
      <c r="H939" s="7"/>
    </row>
    <row r="940">
      <c r="H940" s="7"/>
    </row>
    <row r="941">
      <c r="H941" s="7"/>
    </row>
    <row r="942">
      <c r="H942" s="7"/>
    </row>
    <row r="943">
      <c r="H943" s="7"/>
    </row>
    <row r="944">
      <c r="H944" s="7"/>
    </row>
    <row r="945">
      <c r="H945" s="7"/>
    </row>
    <row r="946">
      <c r="H946" s="7"/>
    </row>
    <row r="947">
      <c r="H947" s="7"/>
    </row>
    <row r="948">
      <c r="H948" s="7"/>
    </row>
    <row r="949">
      <c r="H949" s="7"/>
    </row>
    <row r="950">
      <c r="H950" s="7"/>
    </row>
    <row r="951">
      <c r="H951" s="7"/>
    </row>
    <row r="952">
      <c r="H952" s="7"/>
    </row>
    <row r="953">
      <c r="H953" s="7"/>
    </row>
    <row r="954">
      <c r="H954" s="7"/>
    </row>
    <row r="955">
      <c r="H955" s="7"/>
    </row>
    <row r="956">
      <c r="H956" s="7"/>
    </row>
    <row r="957">
      <c r="H957" s="7"/>
    </row>
    <row r="958">
      <c r="H958" s="7"/>
    </row>
    <row r="959">
      <c r="H959" s="7"/>
    </row>
    <row r="960">
      <c r="H960" s="7"/>
    </row>
    <row r="961">
      <c r="H961" s="7"/>
    </row>
    <row r="962">
      <c r="H962" s="7"/>
    </row>
    <row r="963">
      <c r="H963" s="7"/>
    </row>
    <row r="964">
      <c r="H964" s="7"/>
    </row>
    <row r="965">
      <c r="H965" s="7"/>
    </row>
    <row r="966">
      <c r="H966" s="7"/>
    </row>
    <row r="967">
      <c r="H967" s="7"/>
    </row>
    <row r="968">
      <c r="H968" s="7"/>
    </row>
    <row r="969">
      <c r="H969" s="7"/>
    </row>
    <row r="970">
      <c r="H970" s="7"/>
    </row>
    <row r="971">
      <c r="H971" s="7"/>
    </row>
    <row r="972">
      <c r="H972" s="7"/>
    </row>
    <row r="973">
      <c r="H973" s="7"/>
    </row>
    <row r="974">
      <c r="H974" s="7"/>
    </row>
    <row r="975">
      <c r="H975" s="7"/>
    </row>
    <row r="976">
      <c r="H976" s="7"/>
    </row>
    <row r="977">
      <c r="H977" s="7"/>
    </row>
    <row r="978">
      <c r="H978" s="7"/>
    </row>
    <row r="979">
      <c r="H979" s="7"/>
    </row>
    <row r="980">
      <c r="H980" s="7"/>
    </row>
    <row r="981">
      <c r="H981" s="7"/>
    </row>
    <row r="982">
      <c r="H982" s="7"/>
    </row>
    <row r="983">
      <c r="H983" s="7"/>
    </row>
    <row r="984">
      <c r="H984" s="7"/>
    </row>
    <row r="985">
      <c r="H985" s="7"/>
    </row>
    <row r="986">
      <c r="H986" s="7"/>
    </row>
    <row r="987">
      <c r="H987" s="7"/>
    </row>
    <row r="988">
      <c r="H988" s="7"/>
    </row>
    <row r="989">
      <c r="H989" s="7"/>
    </row>
    <row r="990">
      <c r="H990" s="7"/>
    </row>
    <row r="991">
      <c r="H991" s="7"/>
    </row>
    <row r="992">
      <c r="H992" s="7"/>
    </row>
    <row r="993">
      <c r="H993" s="7"/>
    </row>
    <row r="994">
      <c r="H994" s="7"/>
    </row>
    <row r="995">
      <c r="H995" s="7"/>
    </row>
    <row r="996">
      <c r="H996" s="7"/>
    </row>
    <row r="997">
      <c r="H997" s="7"/>
    </row>
    <row r="998">
      <c r="H998" s="7"/>
    </row>
    <row r="999">
      <c r="H999" s="7"/>
    </row>
    <row r="1000">
      <c r="H1000"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1" width="15.88"/>
    <col hidden="1" min="2" max="7" width="12.63"/>
    <col customWidth="1" hidden="1" min="8" max="8" width="16.0"/>
    <col customWidth="1" hidden="1" min="9" max="9" width="24.75"/>
    <col customWidth="1" hidden="1" min="10" max="10" width="14.38"/>
    <col customWidth="1" hidden="1" min="11" max="11" width="12.75"/>
    <col customWidth="1" min="12" max="12" width="24.88"/>
    <col customWidth="1" min="13" max="13" width="7.0"/>
    <col customWidth="1" min="16" max="16" width="22.63"/>
    <col customWidth="1" min="17" max="17" width="16.88"/>
    <col customWidth="1" min="20" max="20" width="22.63"/>
  </cols>
  <sheetData>
    <row r="1">
      <c r="J1" s="5" t="s">
        <v>4</v>
      </c>
      <c r="K1" s="5" t="str">
        <f>"Last "&amp;M1&amp;" Weeks"</f>
        <v>Last 12 Weeks</v>
      </c>
      <c r="L1" s="5" t="s">
        <v>5</v>
      </c>
      <c r="M1" s="5">
        <v>12.0</v>
      </c>
      <c r="P1" s="5" t="s">
        <v>6</v>
      </c>
      <c r="Q1" s="5" t="s">
        <v>7</v>
      </c>
      <c r="R1" s="5" t="str">
        <f>"In Last "&amp;M1</f>
        <v>In Last 12</v>
      </c>
      <c r="T1" s="5" t="str">
        <f>"Not Played Last "&amp;M1</f>
        <v>Not Played Last 12</v>
      </c>
    </row>
    <row r="2">
      <c r="A2" s="3" t="str">
        <f>IFERROR(__xludf.DUMMYFUNCTION("IMPORTRANGE(""https://docs.google.com/spreadsheets/d/1YBxCpGbHjgP7tRS2zhng_heK3Et87faON7umA43wTzc/edit#gid=1506249390"",""Automated Template!D6:D64"")"),"John Harrison")</f>
        <v>John Harrison</v>
      </c>
      <c r="B2" s="3" t="str">
        <f>IFERROR(__xludf.DUMMYFUNCTION("IMPORTRANGE(""https://docs.google.com/spreadsheets/d/1YBxCpGbHjgP7tRS2zhng_heK3Et87faON7umA43wTzc/edit#gid=1506249390"",""Automated Template!g6:g64"")"),"Nick Chimonides")</f>
        <v>Nick Chimonides</v>
      </c>
      <c r="C2" s="3" t="str">
        <f>IFERROR(__xludf.DUMMYFUNCTION("IMPORTRANGE(""https://docs.google.com/spreadsheets/d/1YBxCpGbHjgP7tRS2zhng_heK3Et87faON7umA43wTzc/edit#gid=1506249390"",""Automated Template!j6:j64"")"),"Sid Nayaar")</f>
        <v>Sid Nayaar</v>
      </c>
      <c r="D2" s="3" t="str">
        <f>IFERROR(__xludf.DUMMYFUNCTION("IMPORTRANGE(""https://docs.google.com/spreadsheets/d/1YBxCpGbHjgP7tRS2zhng_heK3Et87faON7umA43wTzc/edit#gid=1506249390"",""Automated Template!m6:m64"")"),"")</f>
        <v/>
      </c>
      <c r="E2" s="3" t="str">
        <f>IFERROR(__xludf.DUMMYFUNCTION("IMPORTRANGE(""https://docs.google.com/spreadsheets/d/1YBxCpGbHjgP7tRS2zhng_heK3Et87faON7umA43wTzc/edit#gid=1506249390"",""Automated Template!p6:p64"")"),"Alex Scott-Ruddock")</f>
        <v>Alex Scott-Ruddock</v>
      </c>
      <c r="F2" s="3" t="str">
        <f>IFERROR(__xludf.DUMMYFUNCTION("IMPORTRANGE(""https://docs.google.com/spreadsheets/d/1YBxCpGbHjgP7tRS2zhng_heK3Et87faON7umA43wTzc/edit#gid=1506249390"",""Automated Template!s6:s64"")"),"Martin Goodson")</f>
        <v>Martin Goodson</v>
      </c>
      <c r="H2" s="3">
        <f>IFERROR(__xludf.DUMMYFUNCTION("sort(UNIQUE(FLATTEN(A2:F50)))"),0.0)</f>
        <v>0</v>
      </c>
      <c r="I2" s="3" t="str">
        <f t="shared" ref="I2:I263" si="1">if(ISTEXT(H2),H2,"")</f>
        <v/>
      </c>
      <c r="J2" s="10">
        <f>IFERROR(__xludf.DUMMYFUNCTION("sort(unique('OTPI Scores'!A2:A50500),1,0)"),45388.0)</f>
        <v>45388</v>
      </c>
      <c r="K2" s="10">
        <f>IFERROR(__xludf.DUMMYFUNCTION("query(J2:J50500,""select * limit ""&amp;M1)"),45388.0)</f>
        <v>45388</v>
      </c>
      <c r="L2" s="5" t="str">
        <f>M1&amp;" Weeks Ago"</f>
        <v>12 Weeks Ago</v>
      </c>
      <c r="M2" s="10">
        <f>min(K2:K50500)</f>
        <v>45276</v>
      </c>
      <c r="P2" s="2" t="str">
        <f>IFERROR(__xludf.DUMMYFUNCTION("sort(UNIQUE(filter(I2:I1000,LEN(I2:I1000)&gt;0)),0,1)"),"Aaron Snelling")</f>
        <v>Aaron Snelling</v>
      </c>
      <c r="Q2" s="11">
        <f>maxifs('OTPI Scores'!A:A,'OTPI Scores'!C:C,P2)</f>
        <v>45388</v>
      </c>
      <c r="R2" s="3">
        <f t="shared" ref="R2:R140" si="2">if(Q2&gt;=$M$2,1,0)</f>
        <v>1</v>
      </c>
      <c r="T2" s="3" t="str">
        <f>IFERROR(__xludf.DUMMYFUNCTION("query(P2:R50500,""select P where R=0"")"),"Jack Butcher")</f>
        <v>Jack Butcher</v>
      </c>
    </row>
    <row r="3">
      <c r="A3" s="3"/>
      <c r="B3" s="3"/>
      <c r="C3" s="3"/>
      <c r="D3" s="3"/>
      <c r="E3" s="3"/>
      <c r="F3" s="3"/>
      <c r="H3" s="3">
        <f>IFERROR(__xludf.DUMMYFUNCTION("""COMPUTED_VALUE"""),1.0)</f>
        <v>1</v>
      </c>
      <c r="I3" s="3" t="str">
        <f t="shared" si="1"/>
        <v/>
      </c>
      <c r="J3" s="10">
        <f>IFERROR(__xludf.DUMMYFUNCTION("""COMPUTED_VALUE"""),45374.0)</f>
        <v>45374</v>
      </c>
      <c r="K3" s="10">
        <f>IFERROR(__xludf.DUMMYFUNCTION("""COMPUTED_VALUE"""),45374.0)</f>
        <v>45374</v>
      </c>
      <c r="P3" s="3" t="str">
        <f>IFERROR(__xludf.DUMMYFUNCTION("""COMPUTED_VALUE"""),"Abz Marfa")</f>
        <v>Abz Marfa</v>
      </c>
      <c r="Q3" s="11">
        <f>maxifs('OTPI Scores'!A:A,'OTPI Scores'!C:C,P3)</f>
        <v>45311</v>
      </c>
      <c r="R3" s="3">
        <f t="shared" si="2"/>
        <v>1</v>
      </c>
      <c r="T3" s="3" t="str">
        <f>IFERROR(__xludf.DUMMYFUNCTION("""COMPUTED_VALUE"""),"Lawrence Asante")</f>
        <v>Lawrence Asante</v>
      </c>
    </row>
    <row r="4">
      <c r="A4" s="3"/>
      <c r="B4" s="3"/>
      <c r="C4" s="3"/>
      <c r="D4" s="3"/>
      <c r="E4" s="3"/>
      <c r="F4" s="3"/>
      <c r="H4" s="3">
        <f>IFERROR(__xludf.DUMMYFUNCTION("""COMPUTED_VALUE"""),5.0)</f>
        <v>5</v>
      </c>
      <c r="I4" s="3" t="str">
        <f t="shared" si="1"/>
        <v/>
      </c>
      <c r="J4" s="10">
        <f>IFERROR(__xludf.DUMMYFUNCTION("""COMPUTED_VALUE"""),45367.0)</f>
        <v>45367</v>
      </c>
      <c r="K4" s="10">
        <f>IFERROR(__xludf.DUMMYFUNCTION("""COMPUTED_VALUE"""),45367.0)</f>
        <v>45367</v>
      </c>
      <c r="P4" s="3" t="str">
        <f>IFERROR(__xludf.DUMMYFUNCTION("""COMPUTED_VALUE"""),"Adam Platten")</f>
        <v>Adam Platten</v>
      </c>
      <c r="Q4" s="11">
        <f>maxifs('OTPI Scores'!A:A,'OTPI Scores'!C:C,P4)</f>
        <v>45388</v>
      </c>
      <c r="R4" s="3">
        <f t="shared" si="2"/>
        <v>1</v>
      </c>
      <c r="T4" s="3" t="str">
        <f>IFERROR(__xludf.DUMMYFUNCTION("""COMPUTED_VALUE"""),"Oliver Golzari")</f>
        <v>Oliver Golzari</v>
      </c>
    </row>
    <row r="5">
      <c r="A5" s="3"/>
      <c r="B5" s="3"/>
      <c r="C5" s="3"/>
      <c r="D5" s="3"/>
      <c r="E5" s="3"/>
      <c r="F5" s="3"/>
      <c r="H5" s="3">
        <f>IFERROR(__xludf.DUMMYFUNCTION("""COMPUTED_VALUE"""),6.0)</f>
        <v>6</v>
      </c>
      <c r="I5" s="3" t="str">
        <f t="shared" si="1"/>
        <v/>
      </c>
      <c r="J5" s="10">
        <f>IFERROR(__xludf.DUMMYFUNCTION("""COMPUTED_VALUE"""),45360.0)</f>
        <v>45360</v>
      </c>
      <c r="K5" s="10">
        <f>IFERROR(__xludf.DUMMYFUNCTION("""COMPUTED_VALUE"""),45360.0)</f>
        <v>45360</v>
      </c>
      <c r="P5" s="3" t="str">
        <f>IFERROR(__xludf.DUMMYFUNCTION("""COMPUTED_VALUE"""),"Ade Lawal")</f>
        <v>Ade Lawal</v>
      </c>
      <c r="Q5" s="11">
        <f>maxifs('OTPI Scores'!A:A,'OTPI Scores'!C:C,P5)</f>
        <v>45374</v>
      </c>
      <c r="R5" s="3">
        <f t="shared" si="2"/>
        <v>1</v>
      </c>
      <c r="T5" s="3" t="str">
        <f>IFERROR(__xludf.DUMMYFUNCTION("""COMPUTED_VALUE"""),"Sam Taylor")</f>
        <v>Sam Taylor</v>
      </c>
    </row>
    <row r="6">
      <c r="A6" s="3"/>
      <c r="B6" s="3"/>
      <c r="C6" s="3"/>
      <c r="D6" s="3"/>
      <c r="E6" s="3"/>
      <c r="F6" s="3"/>
      <c r="H6" s="3">
        <f>IFERROR(__xludf.DUMMYFUNCTION("""COMPUTED_VALUE"""),7.0)</f>
        <v>7</v>
      </c>
      <c r="I6" s="3" t="str">
        <f t="shared" si="1"/>
        <v/>
      </c>
      <c r="J6" s="10">
        <f>IFERROR(__xludf.DUMMYFUNCTION("""COMPUTED_VALUE"""),45339.0)</f>
        <v>45339</v>
      </c>
      <c r="K6" s="10">
        <f>IFERROR(__xludf.DUMMYFUNCTION("""COMPUTED_VALUE"""),45339.0)</f>
        <v>45339</v>
      </c>
      <c r="P6" s="3" t="str">
        <f>IFERROR(__xludf.DUMMYFUNCTION("""COMPUTED_VALUE"""),"Afnan Khan")</f>
        <v>Afnan Khan</v>
      </c>
      <c r="Q6" s="11">
        <f>maxifs('OTPI Scores'!A:A,'OTPI Scores'!C:C,P6)</f>
        <v>45360</v>
      </c>
      <c r="R6" s="3">
        <f t="shared" si="2"/>
        <v>1</v>
      </c>
      <c r="T6" s="3" t="str">
        <f>IFERROR(__xludf.DUMMYFUNCTION("""COMPUTED_VALUE"""),"Shavon Muir")</f>
        <v>Shavon Muir</v>
      </c>
    </row>
    <row r="7">
      <c r="A7" s="3">
        <f>IFERROR(__xludf.DUMMYFUNCTION("""COMPUTED_VALUE"""),1.0)</f>
        <v>1</v>
      </c>
      <c r="B7" s="3">
        <f>IFERROR(__xludf.DUMMYFUNCTION("""COMPUTED_VALUE"""),1.0)</f>
        <v>1</v>
      </c>
      <c r="C7" s="3">
        <f>IFERROR(__xludf.DUMMYFUNCTION("""COMPUTED_VALUE"""),1.0)</f>
        <v>1</v>
      </c>
      <c r="D7" s="3">
        <f>IFERROR(__xludf.DUMMYFUNCTION("""COMPUTED_VALUE"""),0.0)</f>
        <v>0</v>
      </c>
      <c r="E7" s="3">
        <f>IFERROR(__xludf.DUMMYFUNCTION("""COMPUTED_VALUE"""),1.0)</f>
        <v>1</v>
      </c>
      <c r="F7" s="3">
        <f>IFERROR(__xludf.DUMMYFUNCTION("""COMPUTED_VALUE"""),1.0)</f>
        <v>1</v>
      </c>
      <c r="H7" s="3">
        <f>IFERROR(__xludf.DUMMYFUNCTION("""COMPUTED_VALUE"""),8.0)</f>
        <v>8</v>
      </c>
      <c r="I7" s="3" t="str">
        <f t="shared" si="1"/>
        <v/>
      </c>
      <c r="J7" s="10">
        <f>IFERROR(__xludf.DUMMYFUNCTION("""COMPUTED_VALUE"""),45332.0)</f>
        <v>45332</v>
      </c>
      <c r="K7" s="10">
        <f>IFERROR(__xludf.DUMMYFUNCTION("""COMPUTED_VALUE"""),45332.0)</f>
        <v>45332</v>
      </c>
      <c r="P7" s="3" t="str">
        <f>IFERROR(__xludf.DUMMYFUNCTION("""COMPUTED_VALUE"""),"Aidan Byrne")</f>
        <v>Aidan Byrne</v>
      </c>
      <c r="Q7" s="11">
        <f>maxifs('OTPI Scores'!A:A,'OTPI Scores'!C:C,P7)</f>
        <v>45311</v>
      </c>
      <c r="R7" s="3">
        <f t="shared" si="2"/>
        <v>1</v>
      </c>
      <c r="T7" s="3"/>
    </row>
    <row r="8">
      <c r="A8" s="3"/>
      <c r="B8" s="3"/>
      <c r="C8" s="3"/>
      <c r="D8" s="3"/>
      <c r="E8" s="3"/>
      <c r="F8" s="3"/>
      <c r="H8" s="3">
        <f>IFERROR(__xludf.DUMMYFUNCTION("""COMPUTED_VALUE"""),9.0)</f>
        <v>9</v>
      </c>
      <c r="I8" s="3" t="str">
        <f t="shared" si="1"/>
        <v/>
      </c>
      <c r="J8" s="10">
        <f>IFERROR(__xludf.DUMMYFUNCTION("""COMPUTED_VALUE"""),45325.0)</f>
        <v>45325</v>
      </c>
      <c r="K8" s="10">
        <f>IFERROR(__xludf.DUMMYFUNCTION("""COMPUTED_VALUE"""),45325.0)</f>
        <v>45325</v>
      </c>
      <c r="P8" s="3" t="str">
        <f>IFERROR(__xludf.DUMMYFUNCTION("""COMPUTED_VALUE"""),"Alex Dockerill")</f>
        <v>Alex Dockerill</v>
      </c>
      <c r="Q8" s="11">
        <f>maxifs('OTPI Scores'!A:A,'OTPI Scores'!C:C,P8)</f>
        <v>45388</v>
      </c>
      <c r="R8" s="3">
        <f t="shared" si="2"/>
        <v>1</v>
      </c>
      <c r="T8" s="3"/>
    </row>
    <row r="9">
      <c r="A9" s="3" t="str">
        <f>IFERROR(__xludf.DUMMYFUNCTION("""COMPUTED_VALUE"""),"Aaron Snelling")</f>
        <v>Aaron Snelling</v>
      </c>
      <c r="B9" s="3" t="str">
        <f>IFERROR(__xludf.DUMMYFUNCTION("""COMPUTED_VALUE"""),"Max Watson")</f>
        <v>Max Watson</v>
      </c>
      <c r="C9" s="3" t="str">
        <f>IFERROR(__xludf.DUMMYFUNCTION("""COMPUTED_VALUE"""),"Joe Vincent")</f>
        <v>Joe Vincent</v>
      </c>
      <c r="D9" s="3" t="str">
        <f>IFERROR(__xludf.DUMMYFUNCTION("""COMPUTED_VALUE"""),"Samuel Osewa")</f>
        <v>Samuel Osewa</v>
      </c>
      <c r="E9" s="3" t="str">
        <f>IFERROR(__xludf.DUMMYFUNCTION("""COMPUTED_VALUE"""),"Lawrence Asante")</f>
        <v>Lawrence Asante</v>
      </c>
      <c r="F9" s="3" t="str">
        <f>IFERROR(__xludf.DUMMYFUNCTION("""COMPUTED_VALUE"""),"Tom Davidson")</f>
        <v>Tom Davidson</v>
      </c>
      <c r="H9" s="3">
        <f>IFERROR(__xludf.DUMMYFUNCTION("""COMPUTED_VALUE"""),11.0)</f>
        <v>11</v>
      </c>
      <c r="I9" s="3" t="str">
        <f t="shared" si="1"/>
        <v/>
      </c>
      <c r="J9" s="10">
        <f>IFERROR(__xludf.DUMMYFUNCTION("""COMPUTED_VALUE"""),45318.0)</f>
        <v>45318</v>
      </c>
      <c r="K9" s="10">
        <f>IFERROR(__xludf.DUMMYFUNCTION("""COMPUTED_VALUE"""),45318.0)</f>
        <v>45318</v>
      </c>
      <c r="P9" s="3" t="str">
        <f>IFERROR(__xludf.DUMMYFUNCTION("""COMPUTED_VALUE"""),"Alex Mansfield")</f>
        <v>Alex Mansfield</v>
      </c>
      <c r="Q9" s="11">
        <f>maxifs('OTPI Scores'!A:A,'OTPI Scores'!C:C,P9)</f>
        <v>45388</v>
      </c>
      <c r="R9" s="3">
        <f t="shared" si="2"/>
        <v>1</v>
      </c>
      <c r="T9" s="3"/>
    </row>
    <row r="10">
      <c r="A10" s="3" t="str">
        <f>IFERROR(__xludf.DUMMYFUNCTION("""COMPUTED_VALUE"""),"Theo Horton")</f>
        <v>Theo Horton</v>
      </c>
      <c r="B10" s="3" t="str">
        <f>IFERROR(__xludf.DUMMYFUNCTION("""COMPUTED_VALUE"""),"Jonny Simmons")</f>
        <v>Jonny Simmons</v>
      </c>
      <c r="C10" s="3" t="str">
        <f>IFERROR(__xludf.DUMMYFUNCTION("""COMPUTED_VALUE"""),"Will Sollory")</f>
        <v>Will Sollory</v>
      </c>
      <c r="D10" s="3" t="str">
        <f>IFERROR(__xludf.DUMMYFUNCTION("""COMPUTED_VALUE"""),"Kevin Gonzalez")</f>
        <v>Kevin Gonzalez</v>
      </c>
      <c r="E10" s="3" t="str">
        <f>IFERROR(__xludf.DUMMYFUNCTION("""COMPUTED_VALUE"""),"Ade Lawal")</f>
        <v>Ade Lawal</v>
      </c>
      <c r="F10" s="3" t="str">
        <f>IFERROR(__xludf.DUMMYFUNCTION("""COMPUTED_VALUE"""),"Jabari Dixon")</f>
        <v>Jabari Dixon</v>
      </c>
      <c r="H10" s="3">
        <f>IFERROR(__xludf.DUMMYFUNCTION("""COMPUTED_VALUE"""),12.0)</f>
        <v>12</v>
      </c>
      <c r="I10" s="3" t="str">
        <f t="shared" si="1"/>
        <v/>
      </c>
      <c r="J10" s="10">
        <f>IFERROR(__xludf.DUMMYFUNCTION("""COMPUTED_VALUE"""),45311.0)</f>
        <v>45311</v>
      </c>
      <c r="K10" s="10">
        <f>IFERROR(__xludf.DUMMYFUNCTION("""COMPUTED_VALUE"""),45311.0)</f>
        <v>45311</v>
      </c>
      <c r="P10" s="3" t="str">
        <f>IFERROR(__xludf.DUMMYFUNCTION("""COMPUTED_VALUE"""),"Alex Scott-Ruddock")</f>
        <v>Alex Scott-Ruddock</v>
      </c>
      <c r="Q10" s="11">
        <f>maxifs('OTPI Scores'!A:A,'OTPI Scores'!C:C,P10)</f>
        <v>45388</v>
      </c>
      <c r="R10" s="3">
        <f t="shared" si="2"/>
        <v>1</v>
      </c>
      <c r="T10" s="3"/>
    </row>
    <row r="11">
      <c r="A11" s="3" t="str">
        <f>IFERROR(__xludf.DUMMYFUNCTION("""COMPUTED_VALUE"""),"Matt Crowe")</f>
        <v>Matt Crowe</v>
      </c>
      <c r="B11" s="3" t="str">
        <f>IFERROR(__xludf.DUMMYFUNCTION("""COMPUTED_VALUE"""),"Chris Douthwaite")</f>
        <v>Chris Douthwaite</v>
      </c>
      <c r="C11" s="3" t="str">
        <f>IFERROR(__xludf.DUMMYFUNCTION("""COMPUTED_VALUE"""),"Ismail Wall")</f>
        <v>Ismail Wall</v>
      </c>
      <c r="D11" s="3" t="str">
        <f>IFERROR(__xludf.DUMMYFUNCTION("""COMPUTED_VALUE"""),"Sidney Hopper-Kelly")</f>
        <v>Sidney Hopper-Kelly</v>
      </c>
      <c r="E11" s="3" t="str">
        <f>IFERROR(__xludf.DUMMYFUNCTION("""COMPUTED_VALUE"""),"Anthony Ball")</f>
        <v>Anthony Ball</v>
      </c>
      <c r="F11" s="3" t="str">
        <f>IFERROR(__xludf.DUMMYFUNCTION("""COMPUTED_VALUE"""),"Peter Green")</f>
        <v>Peter Green</v>
      </c>
      <c r="H11" s="3" t="str">
        <f>IFERROR(__xludf.DUMMYFUNCTION("""COMPUTED_VALUE"""),"Aaron Snelling")</f>
        <v>Aaron Snelling</v>
      </c>
      <c r="I11" s="3" t="str">
        <f t="shared" si="1"/>
        <v>Aaron Snelling</v>
      </c>
      <c r="J11" s="10">
        <f>IFERROR(__xludf.DUMMYFUNCTION("""COMPUTED_VALUE"""),45304.0)</f>
        <v>45304</v>
      </c>
      <c r="K11" s="10">
        <f>IFERROR(__xludf.DUMMYFUNCTION("""COMPUTED_VALUE"""),45304.0)</f>
        <v>45304</v>
      </c>
      <c r="P11" s="3" t="str">
        <f>IFERROR(__xludf.DUMMYFUNCTION("""COMPUTED_VALUE"""),"Alex Stevens")</f>
        <v>Alex Stevens</v>
      </c>
      <c r="Q11" s="11">
        <f>maxifs('OTPI Scores'!A:A,'OTPI Scores'!C:C,P11)</f>
        <v>45388</v>
      </c>
      <c r="R11" s="3">
        <f t="shared" si="2"/>
        <v>1</v>
      </c>
      <c r="T11" s="3"/>
    </row>
    <row r="12">
      <c r="A12" s="3"/>
      <c r="B12" s="3" t="str">
        <f>IFERROR(__xludf.DUMMYFUNCTION("""COMPUTED_VALUE"""),"Henry Pepperell")</f>
        <v>Henry Pepperell</v>
      </c>
      <c r="C12" s="3"/>
      <c r="D12" s="3"/>
      <c r="E12" s="3" t="str">
        <f>IFERROR(__xludf.DUMMYFUNCTION("""COMPUTED_VALUE"""),"Kai Clack")</f>
        <v>Kai Clack</v>
      </c>
      <c r="F12" s="3"/>
      <c r="H12" s="3" t="str">
        <f>IFERROR(__xludf.DUMMYFUNCTION("""COMPUTED_VALUE"""),"Abz Marfa")</f>
        <v>Abz Marfa</v>
      </c>
      <c r="I12" s="3" t="str">
        <f t="shared" si="1"/>
        <v>Abz Marfa</v>
      </c>
      <c r="J12" s="10">
        <f>IFERROR(__xludf.DUMMYFUNCTION("""COMPUTED_VALUE"""),45297.0)</f>
        <v>45297</v>
      </c>
      <c r="K12" s="10">
        <f>IFERROR(__xludf.DUMMYFUNCTION("""COMPUTED_VALUE"""),45297.0)</f>
        <v>45297</v>
      </c>
      <c r="P12" s="3" t="str">
        <f>IFERROR(__xludf.DUMMYFUNCTION("""COMPUTED_VALUE"""),"Andres Ahlgren")</f>
        <v>Andres Ahlgren</v>
      </c>
      <c r="Q12" s="11">
        <f>maxifs('OTPI Scores'!A:A,'OTPI Scores'!C:C,P12)</f>
        <v>45318</v>
      </c>
      <c r="R12" s="3">
        <f t="shared" si="2"/>
        <v>1</v>
      </c>
      <c r="T12" s="3"/>
    </row>
    <row r="13">
      <c r="A13" s="3"/>
      <c r="B13" s="3"/>
      <c r="C13" s="3"/>
      <c r="D13" s="3"/>
      <c r="E13" s="3"/>
      <c r="F13" s="3"/>
      <c r="H13" s="3" t="str">
        <f>IFERROR(__xludf.DUMMYFUNCTION("""COMPUTED_VALUE"""),"Adam Platten")</f>
        <v>Adam Platten</v>
      </c>
      <c r="I13" s="3" t="str">
        <f t="shared" si="1"/>
        <v>Adam Platten</v>
      </c>
      <c r="J13" s="10">
        <f>IFERROR(__xludf.DUMMYFUNCTION("""COMPUTED_VALUE"""),45276.0)</f>
        <v>45276</v>
      </c>
      <c r="K13" s="10">
        <f>IFERROR(__xludf.DUMMYFUNCTION("""COMPUTED_VALUE"""),45276.0)</f>
        <v>45276</v>
      </c>
      <c r="P13" s="3" t="str">
        <f>IFERROR(__xludf.DUMMYFUNCTION("""COMPUTED_VALUE"""),"Anish Philips")</f>
        <v>Anish Philips</v>
      </c>
      <c r="Q13" s="11">
        <f>maxifs('OTPI Scores'!A:A,'OTPI Scores'!C:C,P13)</f>
        <v>45339</v>
      </c>
      <c r="R13" s="3">
        <f t="shared" si="2"/>
        <v>1</v>
      </c>
    </row>
    <row r="14">
      <c r="A14" s="3" t="str">
        <f>IFERROR(__xludf.DUMMYFUNCTION("""COMPUTED_VALUE"""),"Ben Dockerill")</f>
        <v>Ben Dockerill</v>
      </c>
      <c r="B14" s="3" t="str">
        <f>IFERROR(__xludf.DUMMYFUNCTION("""COMPUTED_VALUE"""),"Cameron Ward")</f>
        <v>Cameron Ward</v>
      </c>
      <c r="C14" s="3"/>
      <c r="D14" s="3"/>
      <c r="E14" s="3"/>
      <c r="F14" s="3"/>
      <c r="H14" s="3" t="str">
        <f>IFERROR(__xludf.DUMMYFUNCTION("""COMPUTED_VALUE"""),"Ade Lawal")</f>
        <v>Ade Lawal</v>
      </c>
      <c r="I14" s="3" t="str">
        <f t="shared" si="1"/>
        <v>Ade Lawal</v>
      </c>
      <c r="J14" s="12">
        <f>IFERROR(__xludf.DUMMYFUNCTION("""COMPUTED_VALUE"""),45262.0)</f>
        <v>45262</v>
      </c>
      <c r="P14" s="3" t="str">
        <f>IFERROR(__xludf.DUMMYFUNCTION("""COMPUTED_VALUE"""),"Anthony Ball")</f>
        <v>Anthony Ball</v>
      </c>
      <c r="Q14" s="11">
        <f>maxifs('OTPI Scores'!A:A,'OTPI Scores'!C:C,P14)</f>
        <v>45388</v>
      </c>
      <c r="R14" s="3">
        <f t="shared" si="2"/>
        <v>1</v>
      </c>
    </row>
    <row r="15">
      <c r="A15" s="3"/>
      <c r="B15" s="3" t="str">
        <f>IFERROR(__xludf.DUMMYFUNCTION("""COMPUTED_VALUE"""),"Seb Curle")</f>
        <v>Seb Curle</v>
      </c>
      <c r="C15" s="3" t="str">
        <f>IFERROR(__xludf.DUMMYFUNCTION("""COMPUTED_VALUE"""),"Lewis Anderson")</f>
        <v>Lewis Anderson</v>
      </c>
      <c r="D15" s="3" t="str">
        <f>IFERROR(__xludf.DUMMYFUNCTION("""COMPUTED_VALUE"""),"Joel Wright")</f>
        <v>Joel Wright</v>
      </c>
      <c r="E15" s="3" t="str">
        <f>IFERROR(__xludf.DUMMYFUNCTION("""COMPUTED_VALUE"""),"Jack Harris")</f>
        <v>Jack Harris</v>
      </c>
      <c r="F15" s="3" t="str">
        <f>IFERROR(__xludf.DUMMYFUNCTION("""COMPUTED_VALUE"""),"Ellis Forrester")</f>
        <v>Ellis Forrester</v>
      </c>
      <c r="H15" s="3" t="str">
        <f>IFERROR(__xludf.DUMMYFUNCTION("""COMPUTED_VALUE"""),"Afnan Khan")</f>
        <v>Afnan Khan</v>
      </c>
      <c r="I15" s="3" t="str">
        <f t="shared" si="1"/>
        <v>Afnan Khan</v>
      </c>
      <c r="J15" s="10">
        <f>IFERROR(__xludf.DUMMYFUNCTION("""COMPUTED_VALUE"""),45255.0)</f>
        <v>45255</v>
      </c>
      <c r="P15" s="3" t="str">
        <f>IFERROR(__xludf.DUMMYFUNCTION("""COMPUTED_VALUE"""),"Ben Dockerill")</f>
        <v>Ben Dockerill</v>
      </c>
      <c r="Q15" s="11">
        <f>maxifs('OTPI Scores'!A:A,'OTPI Scores'!C:C,P15)</f>
        <v>45388</v>
      </c>
      <c r="R15" s="3">
        <f t="shared" si="2"/>
        <v>1</v>
      </c>
    </row>
    <row r="16">
      <c r="A16" s="3"/>
      <c r="B16" s="3" t="str">
        <f>IFERROR(__xludf.DUMMYFUNCTION("""COMPUTED_VALUE"""),"Connor White")</f>
        <v>Connor White</v>
      </c>
      <c r="C16" s="3" t="str">
        <f>IFERROR(__xludf.DUMMYFUNCTION("""COMPUTED_VALUE"""),"Gaz Wheldale")</f>
        <v>Gaz Wheldale</v>
      </c>
      <c r="D16" s="3" t="str">
        <f>IFERROR(__xludf.DUMMYFUNCTION("""COMPUTED_VALUE"""),"Sam Taylor")</f>
        <v>Sam Taylor</v>
      </c>
      <c r="E16" s="3" t="str">
        <f>IFERROR(__xludf.DUMMYFUNCTION("""COMPUTED_VALUE"""),"Stu Jordan")</f>
        <v>Stu Jordan</v>
      </c>
      <c r="F16" s="3" t="str">
        <f>IFERROR(__xludf.DUMMYFUNCTION("""COMPUTED_VALUE"""),"Raj Ramful")</f>
        <v>Raj Ramful</v>
      </c>
      <c r="H16" s="3" t="str">
        <f>IFERROR(__xludf.DUMMYFUNCTION("""COMPUTED_VALUE"""),"Aidan Byrne")</f>
        <v>Aidan Byrne</v>
      </c>
      <c r="I16" s="3" t="str">
        <f t="shared" si="1"/>
        <v>Aidan Byrne</v>
      </c>
      <c r="J16" s="10">
        <f>IFERROR(__xludf.DUMMYFUNCTION("""COMPUTED_VALUE"""),45248.0)</f>
        <v>45248</v>
      </c>
      <c r="P16" s="3" t="str">
        <f>IFERROR(__xludf.DUMMYFUNCTION("""COMPUTED_VALUE"""),"Billy King")</f>
        <v>Billy King</v>
      </c>
      <c r="Q16" s="11">
        <f>maxifs('OTPI Scores'!A:A,'OTPI Scores'!C:C,P16)</f>
        <v>45388</v>
      </c>
      <c r="R16" s="3">
        <f t="shared" si="2"/>
        <v>1</v>
      </c>
    </row>
    <row r="17">
      <c r="A17" s="3"/>
      <c r="B17" s="3"/>
      <c r="C17" s="3"/>
      <c r="D17" s="3"/>
      <c r="E17" s="3"/>
      <c r="F17" s="3" t="str">
        <f>IFERROR(__xludf.DUMMYFUNCTION("""COMPUTED_VALUE"""),"Mark Roberts")</f>
        <v>Mark Roberts</v>
      </c>
      <c r="H17" s="3" t="str">
        <f>IFERROR(__xludf.DUMMYFUNCTION("""COMPUTED_VALUE"""),"Alex Dockerill")</f>
        <v>Alex Dockerill</v>
      </c>
      <c r="I17" s="3" t="str">
        <f t="shared" si="1"/>
        <v>Alex Dockerill</v>
      </c>
      <c r="J17" s="10">
        <f>IFERROR(__xludf.DUMMYFUNCTION("""COMPUTED_VALUE"""),45241.0)</f>
        <v>45241</v>
      </c>
      <c r="P17" s="3" t="str">
        <f>IFERROR(__xludf.DUMMYFUNCTION("""COMPUTED_VALUE"""),"Billy Mclean")</f>
        <v>Billy Mclean</v>
      </c>
      <c r="Q17" s="11">
        <f>maxifs('OTPI Scores'!A:A,'OTPI Scores'!C:C,P17)</f>
        <v>45374</v>
      </c>
      <c r="R17" s="3">
        <f t="shared" si="2"/>
        <v>1</v>
      </c>
    </row>
    <row r="18">
      <c r="A18" s="3"/>
      <c r="B18" s="3"/>
      <c r="C18" s="3"/>
      <c r="D18" s="3"/>
      <c r="E18" s="3"/>
      <c r="F18" s="3" t="str">
        <f>IFERROR(__xludf.DUMMYFUNCTION("""COMPUTED_VALUE"""),"Jack Butcher")</f>
        <v>Jack Butcher</v>
      </c>
      <c r="H18" s="3" t="str">
        <f>IFERROR(__xludf.DUMMYFUNCTION("""COMPUTED_VALUE"""),"Alex Mansfield")</f>
        <v>Alex Mansfield</v>
      </c>
      <c r="I18" s="3" t="str">
        <f t="shared" si="1"/>
        <v>Alex Mansfield</v>
      </c>
      <c r="J18" s="10">
        <f>IFERROR(__xludf.DUMMYFUNCTION("""COMPUTED_VALUE"""),45227.0)</f>
        <v>45227</v>
      </c>
      <c r="P18" s="3" t="str">
        <f>IFERROR(__xludf.DUMMYFUNCTION("""COMPUTED_VALUE"""),"Calum Bennett")</f>
        <v>Calum Bennett</v>
      </c>
      <c r="Q18" s="11">
        <f>maxifs('OTPI Scores'!A:A,'OTPI Scores'!C:C,P18)</f>
        <v>45388</v>
      </c>
      <c r="R18" s="3">
        <f t="shared" si="2"/>
        <v>1</v>
      </c>
    </row>
    <row r="19">
      <c r="A19" s="3" t="str">
        <f>IFERROR(__xludf.DUMMYFUNCTION("""COMPUTED_VALUE"""),"Jamie Wood")</f>
        <v>Jamie Wood</v>
      </c>
      <c r="B19" s="3" t="str">
        <f>IFERROR(__xludf.DUMMYFUNCTION("""COMPUTED_VALUE"""),"Tam de Lacey")</f>
        <v>Tam de Lacey</v>
      </c>
      <c r="C19" s="3" t="str">
        <f>IFERROR(__xludf.DUMMYFUNCTION("""COMPUTED_VALUE"""),"Dom Robbins")</f>
        <v>Dom Robbins</v>
      </c>
      <c r="D19" s="3" t="str">
        <f>IFERROR(__xludf.DUMMYFUNCTION("""COMPUTED_VALUE"""),"Charlie Doe")</f>
        <v>Charlie Doe</v>
      </c>
      <c r="E19" s="3" t="str">
        <f>IFERROR(__xludf.DUMMYFUNCTION("""COMPUTED_VALUE"""),"Lee Clark")</f>
        <v>Lee Clark</v>
      </c>
      <c r="F19" s="3" t="str">
        <f>IFERROR(__xludf.DUMMYFUNCTION("""COMPUTED_VALUE"""),"Jason Heath")</f>
        <v>Jason Heath</v>
      </c>
      <c r="H19" s="3" t="str">
        <f>IFERROR(__xludf.DUMMYFUNCTION("""COMPUTED_VALUE"""),"Alex Scott-Ruddock")</f>
        <v>Alex Scott-Ruddock</v>
      </c>
      <c r="I19" s="3" t="str">
        <f t="shared" si="1"/>
        <v>Alex Scott-Ruddock</v>
      </c>
      <c r="J19" s="10">
        <f>IFERROR(__xludf.DUMMYFUNCTION("""COMPUTED_VALUE"""),45220.0)</f>
        <v>45220</v>
      </c>
      <c r="P19" s="3" t="str">
        <f>IFERROR(__xludf.DUMMYFUNCTION("""COMPUTED_VALUE"""),"Calum Edwards")</f>
        <v>Calum Edwards</v>
      </c>
      <c r="Q19" s="11">
        <f>maxifs('OTPI Scores'!A:A,'OTPI Scores'!C:C,P19)</f>
        <v>45388</v>
      </c>
      <c r="R19" s="3">
        <f t="shared" si="2"/>
        <v>1</v>
      </c>
    </row>
    <row r="20">
      <c r="A20" s="3"/>
      <c r="B20" s="3" t="str">
        <f>IFERROR(__xludf.DUMMYFUNCTION("""COMPUTED_VALUE"""),"Jordan Davis")</f>
        <v>Jordan Davis</v>
      </c>
      <c r="C20" s="3" t="str">
        <f>IFERROR(__xludf.DUMMYFUNCTION("""COMPUTED_VALUE"""),"Oli Barton")</f>
        <v>Oli Barton</v>
      </c>
      <c r="D20" s="3"/>
      <c r="E20" s="3"/>
      <c r="F20" s="3" t="str">
        <f>IFERROR(__xludf.DUMMYFUNCTION("""COMPUTED_VALUE"""),"Aidan Byrne")</f>
        <v>Aidan Byrne</v>
      </c>
      <c r="H20" s="3" t="str">
        <f>IFERROR(__xludf.DUMMYFUNCTION("""COMPUTED_VALUE"""),"Alex Stevens")</f>
        <v>Alex Stevens</v>
      </c>
      <c r="I20" s="3" t="str">
        <f t="shared" si="1"/>
        <v>Alex Stevens</v>
      </c>
      <c r="J20" s="10">
        <f>IFERROR(__xludf.DUMMYFUNCTION("""COMPUTED_VALUE"""),45213.0)</f>
        <v>45213</v>
      </c>
      <c r="P20" s="3" t="str">
        <f>IFERROR(__xludf.DUMMYFUNCTION("""COMPUTED_VALUE"""),"Cameron Pashley")</f>
        <v>Cameron Pashley</v>
      </c>
      <c r="Q20" s="11">
        <f>maxifs('OTPI Scores'!A:A,'OTPI Scores'!C:C,P20)</f>
        <v>45374</v>
      </c>
      <c r="R20" s="3">
        <f t="shared" si="2"/>
        <v>1</v>
      </c>
    </row>
    <row r="21">
      <c r="A21" s="3"/>
      <c r="B21" s="3"/>
      <c r="C21" s="3" t="str">
        <f>IFERROR(__xludf.DUMMYFUNCTION("""COMPUTED_VALUE"""),"Chris Lang")</f>
        <v>Chris Lang</v>
      </c>
      <c r="D21" s="3"/>
      <c r="E21" s="3"/>
      <c r="F21" s="3"/>
      <c r="H21" s="3" t="str">
        <f>IFERROR(__xludf.DUMMYFUNCTION("""COMPUTED_VALUE"""),"Andres Ahlgren")</f>
        <v>Andres Ahlgren</v>
      </c>
      <c r="I21" s="3" t="str">
        <f t="shared" si="1"/>
        <v>Andres Ahlgren</v>
      </c>
      <c r="J21" s="12">
        <f>IFERROR(__xludf.DUMMYFUNCTION("""COMPUTED_VALUE"""),45206.0)</f>
        <v>45206</v>
      </c>
      <c r="P21" s="3" t="str">
        <f>IFERROR(__xludf.DUMMYFUNCTION("""COMPUTED_VALUE"""),"Cameron Ward")</f>
        <v>Cameron Ward</v>
      </c>
      <c r="Q21" s="11">
        <f>maxifs('OTPI Scores'!A:A,'OTPI Scores'!C:C,P21)</f>
        <v>45311</v>
      </c>
      <c r="R21" s="3">
        <f t="shared" si="2"/>
        <v>1</v>
      </c>
    </row>
    <row r="22">
      <c r="A22" s="3"/>
      <c r="B22" s="3"/>
      <c r="C22" s="3"/>
      <c r="D22" s="3"/>
      <c r="E22" s="3"/>
      <c r="F22" s="3"/>
      <c r="H22" s="3" t="str">
        <f>IFERROR(__xludf.DUMMYFUNCTION("""COMPUTED_VALUE"""),"Anish Philips")</f>
        <v>Anish Philips</v>
      </c>
      <c r="I22" s="3" t="str">
        <f t="shared" si="1"/>
        <v>Anish Philips</v>
      </c>
      <c r="J22" s="10">
        <f>IFERROR(__xludf.DUMMYFUNCTION("""COMPUTED_VALUE"""),45199.0)</f>
        <v>45199</v>
      </c>
      <c r="P22" s="3" t="str">
        <f>IFERROR(__xludf.DUMMYFUNCTION("""COMPUTED_VALUE"""),"Charlie Doe")</f>
        <v>Charlie Doe</v>
      </c>
      <c r="Q22" s="11">
        <f>maxifs('OTPI Scores'!A:A,'OTPI Scores'!C:C,P22)</f>
        <v>45388</v>
      </c>
      <c r="R22" s="3">
        <f t="shared" si="2"/>
        <v>1</v>
      </c>
    </row>
    <row r="23">
      <c r="A23" s="3"/>
      <c r="B23" s="3"/>
      <c r="C23" s="3"/>
      <c r="D23" s="3"/>
      <c r="E23" s="3"/>
      <c r="F23" s="3"/>
      <c r="H23" s="3" t="str">
        <f>IFERROR(__xludf.DUMMYFUNCTION("""COMPUTED_VALUE"""),"Anthony Ball")</f>
        <v>Anthony Ball</v>
      </c>
      <c r="I23" s="3" t="str">
        <f t="shared" si="1"/>
        <v>Anthony Ball</v>
      </c>
      <c r="J23" s="10">
        <f>IFERROR(__xludf.DUMMYFUNCTION("""COMPUTED_VALUE"""),45192.0)</f>
        <v>45192</v>
      </c>
      <c r="P23" s="3" t="str">
        <f>IFERROR(__xludf.DUMMYFUNCTION("""COMPUTED_VALUE"""),"Chris Claeys")</f>
        <v>Chris Claeys</v>
      </c>
      <c r="Q23" s="11">
        <f>maxifs('OTPI Scores'!A:A,'OTPI Scores'!C:C,P23)</f>
        <v>45388</v>
      </c>
      <c r="R23" s="3">
        <f t="shared" si="2"/>
        <v>1</v>
      </c>
    </row>
    <row r="24">
      <c r="A24" s="3">
        <f>IFERROR(__xludf.DUMMYFUNCTION("""COMPUTED_VALUE"""),5.0)</f>
        <v>5</v>
      </c>
      <c r="B24" s="3">
        <f>IFERROR(__xludf.DUMMYFUNCTION("""COMPUTED_VALUE"""),9.0)</f>
        <v>9</v>
      </c>
      <c r="C24" s="3">
        <f>IFERROR(__xludf.DUMMYFUNCTION("""COMPUTED_VALUE"""),8.0)</f>
        <v>8</v>
      </c>
      <c r="D24" s="3">
        <f>IFERROR(__xludf.DUMMYFUNCTION("""COMPUTED_VALUE"""),6.0)</f>
        <v>6</v>
      </c>
      <c r="E24" s="3">
        <f>IFERROR(__xludf.DUMMYFUNCTION("""COMPUTED_VALUE"""),7.0)</f>
        <v>7</v>
      </c>
      <c r="F24" s="3">
        <f>IFERROR(__xludf.DUMMYFUNCTION("""COMPUTED_VALUE"""),9.0)</f>
        <v>9</v>
      </c>
      <c r="H24" s="3" t="str">
        <f>IFERROR(__xludf.DUMMYFUNCTION("""COMPUTED_VALUE"""),"Ben Dockerill")</f>
        <v>Ben Dockerill</v>
      </c>
      <c r="I24" s="3" t="str">
        <f t="shared" si="1"/>
        <v>Ben Dockerill</v>
      </c>
      <c r="J24" s="12">
        <f>IFERROR(__xludf.DUMMYFUNCTION("""COMPUTED_VALUE"""),45185.0)</f>
        <v>45185</v>
      </c>
      <c r="P24" s="3" t="str">
        <f>IFERROR(__xludf.DUMMYFUNCTION("""COMPUTED_VALUE"""),"Chris Douthwaite")</f>
        <v>Chris Douthwaite</v>
      </c>
      <c r="Q24" s="11">
        <f>maxifs('OTPI Scores'!A:A,'OTPI Scores'!C:C,P24)</f>
        <v>45388</v>
      </c>
      <c r="R24" s="3">
        <f t="shared" si="2"/>
        <v>1</v>
      </c>
    </row>
    <row r="25">
      <c r="A25" s="3"/>
      <c r="B25" s="3"/>
      <c r="C25" s="3"/>
      <c r="D25" s="3"/>
      <c r="E25" s="3"/>
      <c r="F25" s="3"/>
      <c r="H25" s="3" t="str">
        <f>IFERROR(__xludf.DUMMYFUNCTION("""COMPUTED_VALUE"""),"Billy King")</f>
        <v>Billy King</v>
      </c>
      <c r="I25" s="3" t="str">
        <f t="shared" si="1"/>
        <v>Billy King</v>
      </c>
      <c r="J25" s="12">
        <f>IFERROR(__xludf.DUMMYFUNCTION("""COMPUTED_VALUE"""),45178.0)</f>
        <v>45178</v>
      </c>
      <c r="P25" s="3" t="str">
        <f>IFERROR(__xludf.DUMMYFUNCTION("""COMPUTED_VALUE"""),"Chris Lang")</f>
        <v>Chris Lang</v>
      </c>
      <c r="Q25" s="11">
        <f>maxifs('OTPI Scores'!A:A,'OTPI Scores'!C:C,P25)</f>
        <v>45360</v>
      </c>
      <c r="R25" s="3">
        <f t="shared" si="2"/>
        <v>1</v>
      </c>
    </row>
    <row r="26">
      <c r="A26" s="3" t="str">
        <f>IFERROR(__xludf.DUMMYFUNCTION("""COMPUTED_VALUE"""),"Matthew Thomas")</f>
        <v>Matthew Thomas</v>
      </c>
      <c r="B26" s="3" t="str">
        <f>IFERROR(__xludf.DUMMYFUNCTION("""COMPUTED_VALUE"""),"Harry Calvesbert")</f>
        <v>Harry Calvesbert</v>
      </c>
      <c r="C26" s="3" t="str">
        <f>IFERROR(__xludf.DUMMYFUNCTION("""COMPUTED_VALUE"""),"Cameron Pashley")</f>
        <v>Cameron Pashley</v>
      </c>
      <c r="D26" s="3" t="str">
        <f>IFERROR(__xludf.DUMMYFUNCTION("""COMPUTED_VALUE"""),"Nima Naghdi")</f>
        <v>Nima Naghdi</v>
      </c>
      <c r="E26" s="3" t="str">
        <f>IFERROR(__xludf.DUMMYFUNCTION("""COMPUTED_VALUE"""),"Calum Edwards")</f>
        <v>Calum Edwards</v>
      </c>
      <c r="F26" s="3" t="str">
        <f>IFERROR(__xludf.DUMMYFUNCTION("""COMPUTED_VALUE"""),"Leuman Coronado")</f>
        <v>Leuman Coronado</v>
      </c>
      <c r="H26" s="3" t="str">
        <f>IFERROR(__xludf.DUMMYFUNCTION("""COMPUTED_VALUE"""),"Billy Mclean")</f>
        <v>Billy Mclean</v>
      </c>
      <c r="I26" s="3" t="str">
        <f t="shared" si="1"/>
        <v>Billy Mclean</v>
      </c>
      <c r="J26" s="12">
        <f>IFERROR(__xludf.DUMMYFUNCTION("""COMPUTED_VALUE"""),45171.0)</f>
        <v>45171</v>
      </c>
      <c r="P26" s="3" t="str">
        <f>IFERROR(__xludf.DUMMYFUNCTION("""COMPUTED_VALUE"""),"Christian King")</f>
        <v>Christian King</v>
      </c>
      <c r="Q26" s="11">
        <f>maxifs('OTPI Scores'!A:A,'OTPI Scores'!C:C,P26)</f>
        <v>45388</v>
      </c>
      <c r="R26" s="3">
        <f t="shared" si="2"/>
        <v>1</v>
      </c>
    </row>
    <row r="27">
      <c r="A27" s="3" t="str">
        <f>IFERROR(__xludf.DUMMYFUNCTION("""COMPUTED_VALUE"""),"Yemi Oviosu")</f>
        <v>Yemi Oviosu</v>
      </c>
      <c r="B27" s="3" t="str">
        <f>IFERROR(__xludf.DUMMYFUNCTION("""COMPUTED_VALUE"""),"Finn Coolen")</f>
        <v>Finn Coolen</v>
      </c>
      <c r="C27" s="3" t="str">
        <f>IFERROR(__xludf.DUMMYFUNCTION("""COMPUTED_VALUE"""),"Nathan Nzau")</f>
        <v>Nathan Nzau</v>
      </c>
      <c r="D27" s="3" t="str">
        <f>IFERROR(__xludf.DUMMYFUNCTION("""COMPUTED_VALUE"""),"Pierce Bennett")</f>
        <v>Pierce Bennett</v>
      </c>
      <c r="E27" s="3" t="str">
        <f>IFERROR(__xludf.DUMMYFUNCTION("""COMPUTED_VALUE"""),"Calum Bennett")</f>
        <v>Calum Bennett</v>
      </c>
      <c r="F27" s="3" t="str">
        <f>IFERROR(__xludf.DUMMYFUNCTION("""COMPUTED_VALUE"""),"James Timmins")</f>
        <v>James Timmins</v>
      </c>
      <c r="H27" s="3" t="str">
        <f>IFERROR(__xludf.DUMMYFUNCTION("""COMPUTED_VALUE"""),"Calum Bennett")</f>
        <v>Calum Bennett</v>
      </c>
      <c r="I27" s="3" t="str">
        <f t="shared" si="1"/>
        <v>Calum Bennett</v>
      </c>
      <c r="J27" s="10">
        <f>IFERROR(__xludf.DUMMYFUNCTION("""COMPUTED_VALUE"""),45164.0)</f>
        <v>45164</v>
      </c>
      <c r="P27" s="3" t="str">
        <f>IFERROR(__xludf.DUMMYFUNCTION("""COMPUTED_VALUE"""),"Ciaran Curran")</f>
        <v>Ciaran Curran</v>
      </c>
      <c r="Q27" s="11">
        <f>maxifs('OTPI Scores'!A:A,'OTPI Scores'!C:C,P27)</f>
        <v>45388</v>
      </c>
      <c r="R27" s="3">
        <f t="shared" si="2"/>
        <v>1</v>
      </c>
    </row>
    <row r="28">
      <c r="A28" s="3" t="str">
        <f>IFERROR(__xludf.DUMMYFUNCTION("""COMPUTED_VALUE"""),"Josh Sherriff-Jolly")</f>
        <v>Josh Sherriff-Jolly</v>
      </c>
      <c r="B28" s="3" t="str">
        <f>IFERROR(__xludf.DUMMYFUNCTION("""COMPUTED_VALUE"""),"Keaton Cohen")</f>
        <v>Keaton Cohen</v>
      </c>
      <c r="C28" s="3" t="str">
        <f>IFERROR(__xludf.DUMMYFUNCTION("""COMPUTED_VALUE"""),"Alex Mansfield")</f>
        <v>Alex Mansfield</v>
      </c>
      <c r="D28" s="3" t="str">
        <f>IFERROR(__xludf.DUMMYFUNCTION("""COMPUTED_VALUE"""),"Tom Taylor")</f>
        <v>Tom Taylor</v>
      </c>
      <c r="E28" s="3" t="str">
        <f>IFERROR(__xludf.DUMMYFUNCTION("""COMPUTED_VALUE"""),"Andres Ahlgren")</f>
        <v>Andres Ahlgren</v>
      </c>
      <c r="F28" s="3" t="str">
        <f>IFERROR(__xludf.DUMMYFUNCTION("""COMPUTED_VALUE"""),"Janam Satra")</f>
        <v>Janam Satra</v>
      </c>
      <c r="H28" s="3" t="str">
        <f>IFERROR(__xludf.DUMMYFUNCTION("""COMPUTED_VALUE"""),"Calum Edwards")</f>
        <v>Calum Edwards</v>
      </c>
      <c r="I28" s="3" t="str">
        <f t="shared" si="1"/>
        <v>Calum Edwards</v>
      </c>
      <c r="J28" s="10">
        <f>IFERROR(__xludf.DUMMYFUNCTION("""COMPUTED_VALUE"""),45157.0)</f>
        <v>45157</v>
      </c>
      <c r="P28" s="3" t="str">
        <f>IFERROR(__xludf.DUMMYFUNCTION("""COMPUTED_VALUE"""),"Claudien Mwalimu")</f>
        <v>Claudien Mwalimu</v>
      </c>
      <c r="Q28" s="11">
        <f>maxifs('OTPI Scores'!A:A,'OTPI Scores'!C:C,P28)</f>
        <v>45388</v>
      </c>
      <c r="R28" s="3">
        <f t="shared" si="2"/>
        <v>1</v>
      </c>
    </row>
    <row r="29">
      <c r="A29" s="3" t="str">
        <f>IFERROR(__xludf.DUMMYFUNCTION("""COMPUTED_VALUE"""),"Billy Mclean")</f>
        <v>Billy Mclean</v>
      </c>
      <c r="B29" s="3" t="str">
        <f>IFERROR(__xludf.DUMMYFUNCTION("""COMPUTED_VALUE"""),"Ewan Harris")</f>
        <v>Ewan Harris</v>
      </c>
      <c r="C29" s="3" t="str">
        <f>IFERROR(__xludf.DUMMYFUNCTION("""COMPUTED_VALUE"""),"Dan Russell")</f>
        <v>Dan Russell</v>
      </c>
      <c r="D29" s="3" t="str">
        <f>IFERROR(__xludf.DUMMYFUNCTION("""COMPUTED_VALUE"""),"Christian King")</f>
        <v>Christian King</v>
      </c>
      <c r="E29" s="3" t="str">
        <f>IFERROR(__xludf.DUMMYFUNCTION("""COMPUTED_VALUE"""),"Anish Philips")</f>
        <v>Anish Philips</v>
      </c>
      <c r="F29" s="3" t="str">
        <f>IFERROR(__xludf.DUMMYFUNCTION("""COMPUTED_VALUE"""),"Harry Fripp")</f>
        <v>Harry Fripp</v>
      </c>
      <c r="H29" s="3" t="str">
        <f>IFERROR(__xludf.DUMMYFUNCTION("""COMPUTED_VALUE"""),"Cameron Pashley")</f>
        <v>Cameron Pashley</v>
      </c>
      <c r="I29" s="3" t="str">
        <f t="shared" si="1"/>
        <v>Cameron Pashley</v>
      </c>
      <c r="J29" s="10">
        <f>IFERROR(__xludf.DUMMYFUNCTION("""COMPUTED_VALUE"""),45150.0)</f>
        <v>45150</v>
      </c>
      <c r="P29" s="3" t="str">
        <f>IFERROR(__xludf.DUMMYFUNCTION("""COMPUTED_VALUE"""),"Connor White")</f>
        <v>Connor White</v>
      </c>
      <c r="Q29" s="11">
        <f>maxifs('OTPI Scores'!A:A,'OTPI Scores'!C:C,P29)</f>
        <v>45339</v>
      </c>
      <c r="R29" s="3">
        <f t="shared" si="2"/>
        <v>1</v>
      </c>
    </row>
    <row r="30">
      <c r="A30" s="3" t="str">
        <f>IFERROR(__xludf.DUMMYFUNCTION("""COMPUTED_VALUE"""),"Stanley Timms")</f>
        <v>Stanley Timms</v>
      </c>
      <c r="B30" s="3"/>
      <c r="C30" s="3" t="str">
        <f>IFERROR(__xludf.DUMMYFUNCTION("""COMPUTED_VALUE"""),"Nathan Baverstock")</f>
        <v>Nathan Baverstock</v>
      </c>
      <c r="D30" s="3" t="str">
        <f>IFERROR(__xludf.DUMMYFUNCTION("""COMPUTED_VALUE"""),"Fabio Teixeira")</f>
        <v>Fabio Teixeira</v>
      </c>
      <c r="E30" s="3" t="str">
        <f>IFERROR(__xludf.DUMMYFUNCTION("""COMPUTED_VALUE"""),"Ciaran Curran")</f>
        <v>Ciaran Curran</v>
      </c>
      <c r="F30" s="3" t="str">
        <f>IFERROR(__xludf.DUMMYFUNCTION("""COMPUTED_VALUE"""),"Afnan Khan")</f>
        <v>Afnan Khan</v>
      </c>
      <c r="H30" s="3" t="str">
        <f>IFERROR(__xludf.DUMMYFUNCTION("""COMPUTED_VALUE"""),"Cameron Ward")</f>
        <v>Cameron Ward</v>
      </c>
      <c r="I30" s="3" t="str">
        <f t="shared" si="1"/>
        <v>Cameron Ward</v>
      </c>
      <c r="J30" s="10">
        <f>IFERROR(__xludf.DUMMYFUNCTION("""COMPUTED_VALUE"""),45143.0)</f>
        <v>45143</v>
      </c>
      <c r="P30" s="3" t="str">
        <f>IFERROR(__xludf.DUMMYFUNCTION("""COMPUTED_VALUE"""),"Corey Cleave")</f>
        <v>Corey Cleave</v>
      </c>
      <c r="Q30" s="11">
        <f>maxifs('OTPI Scores'!A:A,'OTPI Scores'!C:C,P30)</f>
        <v>45388</v>
      </c>
      <c r="R30" s="3">
        <f t="shared" si="2"/>
        <v>1</v>
      </c>
    </row>
    <row r="31">
      <c r="A31" s="3"/>
      <c r="B31" s="3"/>
      <c r="C31" s="3" t="str">
        <f>IFERROR(__xludf.DUMMYFUNCTION("""COMPUTED_VALUE"""),"Will French")</f>
        <v>Will French</v>
      </c>
      <c r="D31" s="3" t="str">
        <f>IFERROR(__xludf.DUMMYFUNCTION("""COMPUTED_VALUE"""),"Sean Rowlett")</f>
        <v>Sean Rowlett</v>
      </c>
      <c r="E31" s="3" t="str">
        <f>IFERROR(__xludf.DUMMYFUNCTION("""COMPUTED_VALUE"""),"Sam A'Court")</f>
        <v>Sam A'Court</v>
      </c>
      <c r="F31" s="3" t="str">
        <f>IFERROR(__xludf.DUMMYFUNCTION("""COMPUTED_VALUE"""),"Fraser Wylie")</f>
        <v>Fraser Wylie</v>
      </c>
      <c r="H31" s="3" t="str">
        <f>IFERROR(__xludf.DUMMYFUNCTION("""COMPUTED_VALUE"""),"Charlie Doe")</f>
        <v>Charlie Doe</v>
      </c>
      <c r="I31" s="3" t="str">
        <f t="shared" si="1"/>
        <v>Charlie Doe</v>
      </c>
      <c r="J31" s="10"/>
      <c r="P31" s="3" t="str">
        <f>IFERROR(__xludf.DUMMYFUNCTION("""COMPUTED_VALUE"""),"Dan Klin")</f>
        <v>Dan Klin</v>
      </c>
      <c r="Q31" s="11">
        <f>maxifs('OTPI Scores'!A:A,'OTPI Scores'!C:C,P31)</f>
        <v>45388</v>
      </c>
      <c r="R31" s="3">
        <f t="shared" si="2"/>
        <v>1</v>
      </c>
    </row>
    <row r="32">
      <c r="A32" s="3"/>
      <c r="B32" s="3"/>
      <c r="C32" s="3" t="str">
        <f>IFERROR(__xludf.DUMMYFUNCTION("""COMPUTED_VALUE"""),"Tom Love")</f>
        <v>Tom Love</v>
      </c>
      <c r="D32" s="3" t="str">
        <f>IFERROR(__xludf.DUMMYFUNCTION("""COMPUTED_VALUE"""),"Deji Ogunyemi")</f>
        <v>Deji Ogunyemi</v>
      </c>
      <c r="E32" s="3" t="str">
        <f>IFERROR(__xludf.DUMMYFUNCTION("""COMPUTED_VALUE"""),"George Havord")</f>
        <v>George Havord</v>
      </c>
      <c r="F32" s="3" t="str">
        <f>IFERROR(__xludf.DUMMYFUNCTION("""COMPUTED_VALUE"""),"Niall Wootten")</f>
        <v>Niall Wootten</v>
      </c>
      <c r="H32" s="3" t="str">
        <f>IFERROR(__xludf.DUMMYFUNCTION("""COMPUTED_VALUE"""),"Chris Claeys")</f>
        <v>Chris Claeys</v>
      </c>
      <c r="I32" s="3" t="str">
        <f t="shared" si="1"/>
        <v>Chris Claeys</v>
      </c>
      <c r="P32" s="3" t="str">
        <f>IFERROR(__xludf.DUMMYFUNCTION("""COMPUTED_VALUE"""),"Dan Russell")</f>
        <v>Dan Russell</v>
      </c>
      <c r="Q32" s="11">
        <f>maxifs('OTPI Scores'!A:A,'OTPI Scores'!C:C,P32)</f>
        <v>45388</v>
      </c>
      <c r="R32" s="3">
        <f t="shared" si="2"/>
        <v>1</v>
      </c>
    </row>
    <row r="33">
      <c r="A33" s="3"/>
      <c r="B33" s="3"/>
      <c r="C33" s="3"/>
      <c r="D33" s="3" t="str">
        <f>IFERROR(__xludf.DUMMYFUNCTION("""COMPUTED_VALUE"""),"Hallam Wye")</f>
        <v>Hallam Wye</v>
      </c>
      <c r="E33" s="3" t="str">
        <f>IFERROR(__xludf.DUMMYFUNCTION("""COMPUTED_VALUE"""),"David Holmes-White")</f>
        <v>David Holmes-White</v>
      </c>
      <c r="F33" s="3" t="str">
        <f>IFERROR(__xludf.DUMMYFUNCTION("""COMPUTED_VALUE"""),"Ryan Cochrane")</f>
        <v>Ryan Cochrane</v>
      </c>
      <c r="H33" s="3" t="str">
        <f>IFERROR(__xludf.DUMMYFUNCTION("""COMPUTED_VALUE"""),"Chris Douthwaite")</f>
        <v>Chris Douthwaite</v>
      </c>
      <c r="I33" s="3" t="str">
        <f t="shared" si="1"/>
        <v>Chris Douthwaite</v>
      </c>
      <c r="P33" s="3" t="str">
        <f>IFERROR(__xludf.DUMMYFUNCTION("""COMPUTED_VALUE"""),"Daniel Sheehan")</f>
        <v>Daniel Sheehan</v>
      </c>
      <c r="Q33" s="11">
        <f>maxifs('OTPI Scores'!A:A,'OTPI Scores'!C:C,P33)</f>
        <v>45388</v>
      </c>
      <c r="R33" s="3">
        <f t="shared" si="2"/>
        <v>1</v>
      </c>
    </row>
    <row r="34">
      <c r="A34" s="3"/>
      <c r="B34" s="3"/>
      <c r="C34" s="3"/>
      <c r="D34" s="3"/>
      <c r="E34" s="3"/>
      <c r="F34" s="3"/>
      <c r="H34" s="3" t="str">
        <f>IFERROR(__xludf.DUMMYFUNCTION("""COMPUTED_VALUE"""),"Chris Lang")</f>
        <v>Chris Lang</v>
      </c>
      <c r="I34" s="3" t="str">
        <f t="shared" si="1"/>
        <v>Chris Lang</v>
      </c>
      <c r="P34" s="3" t="str">
        <f>IFERROR(__xludf.DUMMYFUNCTION("""COMPUTED_VALUE"""),"David Holmes-White")</f>
        <v>David Holmes-White</v>
      </c>
      <c r="Q34" s="11">
        <f>maxifs('OTPI Scores'!A:A,'OTPI Scores'!C:C,P34)</f>
        <v>45388</v>
      </c>
      <c r="R34" s="3">
        <f t="shared" si="2"/>
        <v>1</v>
      </c>
    </row>
    <row r="35">
      <c r="A35" s="3"/>
      <c r="B35" s="3"/>
      <c r="C35" s="3"/>
      <c r="D35" s="3"/>
      <c r="E35" s="3"/>
      <c r="F35" s="3"/>
      <c r="H35" s="3" t="str">
        <f>IFERROR(__xludf.DUMMYFUNCTION("""COMPUTED_VALUE"""),"Christian King")</f>
        <v>Christian King</v>
      </c>
      <c r="I35" s="3" t="str">
        <f t="shared" si="1"/>
        <v>Christian King</v>
      </c>
      <c r="P35" s="3" t="str">
        <f>IFERROR(__xludf.DUMMYFUNCTION("""COMPUTED_VALUE"""),"Deji Ogunyemi")</f>
        <v>Deji Ogunyemi</v>
      </c>
      <c r="Q35" s="11">
        <f>maxifs('OTPI Scores'!A:A,'OTPI Scores'!C:C,P35)</f>
        <v>45388</v>
      </c>
      <c r="R35" s="3">
        <f t="shared" si="2"/>
        <v>1</v>
      </c>
    </row>
    <row r="36">
      <c r="A36" s="3" t="str">
        <f>IFERROR(__xludf.DUMMYFUNCTION("""COMPUTED_VALUE"""),"Parimal Patel")</f>
        <v>Parimal Patel</v>
      </c>
      <c r="B36" s="3" t="str">
        <f>IFERROR(__xludf.DUMMYFUNCTION("""COMPUTED_VALUE"""),"Kim Jaeyoon")</f>
        <v>Kim Jaeyoon</v>
      </c>
      <c r="C36" s="3"/>
      <c r="D36" s="3" t="str">
        <f>IFERROR(__xludf.DUMMYFUNCTION("""COMPUTED_VALUE"""),"Ed Wightman")</f>
        <v>Ed Wightman</v>
      </c>
      <c r="E36" s="3" t="str">
        <f>IFERROR(__xludf.DUMMYFUNCTION("""COMPUTED_VALUE"""),"Isaac Adepegba")</f>
        <v>Isaac Adepegba</v>
      </c>
      <c r="F36" s="3" t="str">
        <f>IFERROR(__xludf.DUMMYFUNCTION("""COMPUTED_VALUE"""),"Leigh Cremin")</f>
        <v>Leigh Cremin</v>
      </c>
      <c r="H36" s="3" t="str">
        <f>IFERROR(__xludf.DUMMYFUNCTION("""COMPUTED_VALUE"""),"Ciaran Curran")</f>
        <v>Ciaran Curran</v>
      </c>
      <c r="I36" s="3" t="str">
        <f t="shared" si="1"/>
        <v>Ciaran Curran</v>
      </c>
      <c r="P36" s="3" t="str">
        <f>IFERROR(__xludf.DUMMYFUNCTION("""COMPUTED_VALUE"""),"Denver Lalonde")</f>
        <v>Denver Lalonde</v>
      </c>
      <c r="Q36" s="11">
        <f>maxifs('OTPI Scores'!A:A,'OTPI Scores'!C:C,P36)</f>
        <v>45388</v>
      </c>
      <c r="R36" s="3">
        <f t="shared" si="2"/>
        <v>1</v>
      </c>
    </row>
    <row r="37">
      <c r="A37" s="3" t="str">
        <f>IFERROR(__xludf.DUMMYFUNCTION("""COMPUTED_VALUE"""),"Adam Platten")</f>
        <v>Adam Platten</v>
      </c>
      <c r="B37" s="3" t="str">
        <f>IFERROR(__xludf.DUMMYFUNCTION("""COMPUTED_VALUE"""),"Harold Kiyingi")</f>
        <v>Harold Kiyingi</v>
      </c>
      <c r="C37" s="3" t="str">
        <f>IFERROR(__xludf.DUMMYFUNCTION("""COMPUTED_VALUE"""),"Denver Lalonde")</f>
        <v>Denver Lalonde</v>
      </c>
      <c r="D37" s="3" t="str">
        <f>IFERROR(__xludf.DUMMYFUNCTION("""COMPUTED_VALUE"""),"Masood Hamidi")</f>
        <v>Masood Hamidi</v>
      </c>
      <c r="E37" s="3" t="str">
        <f>IFERROR(__xludf.DUMMYFUNCTION("""COMPUTED_VALUE"""),"Emi Muhadri")</f>
        <v>Emi Muhadri</v>
      </c>
      <c r="F37" s="3" t="str">
        <f>IFERROR(__xludf.DUMMYFUNCTION("""COMPUTED_VALUE"""),"Jerome Goncalves")</f>
        <v>Jerome Goncalves</v>
      </c>
      <c r="H37" s="3" t="str">
        <f>IFERROR(__xludf.DUMMYFUNCTION("""COMPUTED_VALUE"""),"Claudien Mwalimu")</f>
        <v>Claudien Mwalimu</v>
      </c>
      <c r="I37" s="3" t="str">
        <f t="shared" si="1"/>
        <v>Claudien Mwalimu</v>
      </c>
      <c r="P37" s="3" t="str">
        <f>IFERROR(__xludf.DUMMYFUNCTION("""COMPUTED_VALUE"""),"Dom Robbins")</f>
        <v>Dom Robbins</v>
      </c>
      <c r="Q37" s="11">
        <f>maxifs('OTPI Scores'!A:A,'OTPI Scores'!C:C,P37)</f>
        <v>45388</v>
      </c>
      <c r="R37" s="3">
        <f t="shared" si="2"/>
        <v>1</v>
      </c>
    </row>
    <row r="38">
      <c r="A38" s="3" t="str">
        <f>IFERROR(__xludf.DUMMYFUNCTION("""COMPUTED_VALUE"""),"Ollie Sewell")</f>
        <v>Ollie Sewell</v>
      </c>
      <c r="B38" s="3" t="str">
        <f>IFERROR(__xludf.DUMMYFUNCTION("""COMPUTED_VALUE"""),"Paul Ball")</f>
        <v>Paul Ball</v>
      </c>
      <c r="C38" s="3" t="str">
        <f>IFERROR(__xludf.DUMMYFUNCTION("""COMPUTED_VALUE"""),"Dan Klin")</f>
        <v>Dan Klin</v>
      </c>
      <c r="D38" s="3" t="str">
        <f>IFERROR(__xludf.DUMMYFUNCTION("""COMPUTED_VALUE"""),"Joe France")</f>
        <v>Joe France</v>
      </c>
      <c r="E38" s="3" t="str">
        <f>IFERROR(__xludf.DUMMYFUNCTION("""COMPUTED_VALUE"""),"Jay Mair")</f>
        <v>Jay Mair</v>
      </c>
      <c r="F38" s="3" t="str">
        <f>IFERROR(__xludf.DUMMYFUNCTION("""COMPUTED_VALUE"""),"Abz Marfa")</f>
        <v>Abz Marfa</v>
      </c>
      <c r="H38" s="3" t="str">
        <f>IFERROR(__xludf.DUMMYFUNCTION("""COMPUTED_VALUE"""),"Connor White")</f>
        <v>Connor White</v>
      </c>
      <c r="I38" s="3" t="str">
        <f t="shared" si="1"/>
        <v>Connor White</v>
      </c>
      <c r="P38" s="3" t="str">
        <f>IFERROR(__xludf.DUMMYFUNCTION("""COMPUTED_VALUE"""),"Ed Wightman")</f>
        <v>Ed Wightman</v>
      </c>
      <c r="Q38" s="11">
        <f>maxifs('OTPI Scores'!A:A,'OTPI Scores'!C:C,P38)</f>
        <v>45388</v>
      </c>
      <c r="R38" s="3">
        <f t="shared" si="2"/>
        <v>1</v>
      </c>
    </row>
    <row r="39">
      <c r="A39" s="3"/>
      <c r="B39" s="3" t="str">
        <f>IFERROR(__xludf.DUMMYFUNCTION("""COMPUTED_VALUE"""),"Tom Riley")</f>
        <v>Tom Riley</v>
      </c>
      <c r="C39" s="3"/>
      <c r="D39" s="3" t="str">
        <f>IFERROR(__xludf.DUMMYFUNCTION("""COMPUTED_VALUE"""),"Shavon Muir")</f>
        <v>Shavon Muir</v>
      </c>
      <c r="E39" s="3"/>
      <c r="F39" s="3"/>
      <c r="H39" s="3" t="str">
        <f>IFERROR(__xludf.DUMMYFUNCTION("""COMPUTED_VALUE"""),"Corey Cleave")</f>
        <v>Corey Cleave</v>
      </c>
      <c r="I39" s="3" t="str">
        <f t="shared" si="1"/>
        <v>Corey Cleave</v>
      </c>
      <c r="P39" s="3" t="str">
        <f>IFERROR(__xludf.DUMMYFUNCTION("""COMPUTED_VALUE"""),"Ellis Forrester")</f>
        <v>Ellis Forrester</v>
      </c>
      <c r="Q39" s="11">
        <f>maxifs('OTPI Scores'!A:A,'OTPI Scores'!C:C,P39)</f>
        <v>45388</v>
      </c>
      <c r="R39" s="3">
        <f t="shared" si="2"/>
        <v>1</v>
      </c>
    </row>
    <row r="40">
      <c r="A40" s="3"/>
      <c r="B40" s="3" t="str">
        <f>IFERROR(__xludf.DUMMYFUNCTION("""COMPUTED_VALUE"""),"Paddy Troy")</f>
        <v>Paddy Troy</v>
      </c>
      <c r="C40" s="3"/>
      <c r="D40" s="3"/>
      <c r="E40" s="3"/>
      <c r="F40" s="3"/>
      <c r="H40" s="3" t="str">
        <f>IFERROR(__xludf.DUMMYFUNCTION("""COMPUTED_VALUE"""),"Dan Klin")</f>
        <v>Dan Klin</v>
      </c>
      <c r="I40" s="3" t="str">
        <f t="shared" si="1"/>
        <v>Dan Klin</v>
      </c>
      <c r="P40" s="3" t="str">
        <f>IFERROR(__xludf.DUMMYFUNCTION("""COMPUTED_VALUE"""),"Emi Muhadri")</f>
        <v>Emi Muhadri</v>
      </c>
      <c r="Q40" s="11">
        <f>maxifs('OTPI Scores'!A:A,'OTPI Scores'!C:C,P40)</f>
        <v>45388</v>
      </c>
      <c r="R40" s="3">
        <f t="shared" si="2"/>
        <v>1</v>
      </c>
    </row>
    <row r="41">
      <c r="A41" s="3"/>
      <c r="B41" s="3"/>
      <c r="C41" s="3"/>
      <c r="D41" s="3"/>
      <c r="E41" s="3"/>
      <c r="F41" s="3"/>
      <c r="H41" s="3" t="str">
        <f>IFERROR(__xludf.DUMMYFUNCTION("""COMPUTED_VALUE"""),"Dan Russell")</f>
        <v>Dan Russell</v>
      </c>
      <c r="I41" s="3" t="str">
        <f t="shared" si="1"/>
        <v>Dan Russell</v>
      </c>
      <c r="P41" s="3" t="str">
        <f>IFERROR(__xludf.DUMMYFUNCTION("""COMPUTED_VALUE"""),"Ewan Harris")</f>
        <v>Ewan Harris</v>
      </c>
      <c r="Q41" s="11">
        <f>maxifs('OTPI Scores'!A:A,'OTPI Scores'!C:C,P41)</f>
        <v>45388</v>
      </c>
      <c r="R41" s="3">
        <f t="shared" si="2"/>
        <v>1</v>
      </c>
    </row>
    <row r="42">
      <c r="A42" s="3">
        <f>IFERROR(__xludf.DUMMYFUNCTION("""COMPUTED_VALUE"""),8.0)</f>
        <v>8</v>
      </c>
      <c r="B42" s="3">
        <f>IFERROR(__xludf.DUMMYFUNCTION("""COMPUTED_VALUE"""),9.0)</f>
        <v>9</v>
      </c>
      <c r="C42" s="3">
        <f>IFERROR(__xludf.DUMMYFUNCTION("""COMPUTED_VALUE"""),9.0)</f>
        <v>9</v>
      </c>
      <c r="D42" s="3">
        <f>IFERROR(__xludf.DUMMYFUNCTION("""COMPUTED_VALUE"""),12.0)</f>
        <v>12</v>
      </c>
      <c r="E42" s="3">
        <f>IFERROR(__xludf.DUMMYFUNCTION("""COMPUTED_VALUE"""),11.0)</f>
        <v>11</v>
      </c>
      <c r="F42" s="3">
        <f>IFERROR(__xludf.DUMMYFUNCTION("""COMPUTED_VALUE"""),11.0)</f>
        <v>11</v>
      </c>
      <c r="H42" s="3" t="str">
        <f>IFERROR(__xludf.DUMMYFUNCTION("""COMPUTED_VALUE"""),"Daniel Sheehan")</f>
        <v>Daniel Sheehan</v>
      </c>
      <c r="I42" s="3" t="str">
        <f t="shared" si="1"/>
        <v>Daniel Sheehan</v>
      </c>
      <c r="P42" s="3" t="str">
        <f>IFERROR(__xludf.DUMMYFUNCTION("""COMPUTED_VALUE"""),"Fabio Teixeira")</f>
        <v>Fabio Teixeira</v>
      </c>
      <c r="Q42" s="11">
        <f>maxifs('OTPI Scores'!A:A,'OTPI Scores'!C:C,P42)</f>
        <v>45374</v>
      </c>
      <c r="R42" s="3">
        <f t="shared" si="2"/>
        <v>1</v>
      </c>
    </row>
    <row r="43">
      <c r="A43" s="3"/>
      <c r="B43" s="3"/>
      <c r="C43" s="3"/>
      <c r="D43" s="3"/>
      <c r="E43" s="3"/>
      <c r="F43" s="3"/>
      <c r="H43" s="3" t="str">
        <f>IFERROR(__xludf.DUMMYFUNCTION("""COMPUTED_VALUE"""),"David Holmes-White")</f>
        <v>David Holmes-White</v>
      </c>
      <c r="I43" s="3" t="str">
        <f t="shared" si="1"/>
        <v>David Holmes-White</v>
      </c>
      <c r="P43" s="3" t="str">
        <f>IFERROR(__xludf.DUMMYFUNCTION("""COMPUTED_VALUE"""),"Finn Coolen")</f>
        <v>Finn Coolen</v>
      </c>
      <c r="Q43" s="11">
        <f>maxifs('OTPI Scores'!A:A,'OTPI Scores'!C:C,P43)</f>
        <v>45360</v>
      </c>
      <c r="R43" s="3">
        <f t="shared" si="2"/>
        <v>1</v>
      </c>
    </row>
    <row r="44">
      <c r="A44" s="3" t="str">
        <f>IFERROR(__xludf.DUMMYFUNCTION("""COMPUTED_VALUE"""),"Jarvis Cheek")</f>
        <v>Jarvis Cheek</v>
      </c>
      <c r="B44" s="3" t="str">
        <f>IFERROR(__xludf.DUMMYFUNCTION("""COMPUTED_VALUE"""),"Corey Cleave")</f>
        <v>Corey Cleave</v>
      </c>
      <c r="C44" s="3" t="str">
        <f>IFERROR(__xludf.DUMMYFUNCTION("""COMPUTED_VALUE"""),"Rich Lundie")</f>
        <v>Rich Lundie</v>
      </c>
      <c r="D44" s="3" t="str">
        <f>IFERROR(__xludf.DUMMYFUNCTION("""COMPUTED_VALUE"""),"Billy King")</f>
        <v>Billy King</v>
      </c>
      <c r="E44" s="3" t="str">
        <f>IFERROR(__xludf.DUMMYFUNCTION("""COMPUTED_VALUE"""),"Max Miles")</f>
        <v>Max Miles</v>
      </c>
      <c r="F44" s="3" t="str">
        <f>IFERROR(__xludf.DUMMYFUNCTION("""COMPUTED_VALUE"""),"Harrison Woolley")</f>
        <v>Harrison Woolley</v>
      </c>
      <c r="H44" s="3" t="str">
        <f>IFERROR(__xludf.DUMMYFUNCTION("""COMPUTED_VALUE"""),"Deji Ogunyemi")</f>
        <v>Deji Ogunyemi</v>
      </c>
      <c r="I44" s="3" t="str">
        <f t="shared" si="1"/>
        <v>Deji Ogunyemi</v>
      </c>
      <c r="P44" s="3" t="str">
        <f>IFERROR(__xludf.DUMMYFUNCTION("""COMPUTED_VALUE"""),"Fraser Wylie")</f>
        <v>Fraser Wylie</v>
      </c>
      <c r="Q44" s="11">
        <f>maxifs('OTPI Scores'!A:A,'OTPI Scores'!C:C,P44)</f>
        <v>45325</v>
      </c>
      <c r="R44" s="3">
        <f t="shared" si="2"/>
        <v>1</v>
      </c>
    </row>
    <row r="45">
      <c r="A45" s="3" t="str">
        <f>IFERROR(__xludf.DUMMYFUNCTION("""COMPUTED_VALUE"""),"James Rodriguez")</f>
        <v>James Rodriguez</v>
      </c>
      <c r="B45" s="3" t="str">
        <f>IFERROR(__xludf.DUMMYFUNCTION("""COMPUTED_VALUE"""),"Alex Dockerill")</f>
        <v>Alex Dockerill</v>
      </c>
      <c r="C45" s="3" t="str">
        <f>IFERROR(__xludf.DUMMYFUNCTION("""COMPUTED_VALUE"""),"Alex Stevens")</f>
        <v>Alex Stevens</v>
      </c>
      <c r="D45" s="3" t="str">
        <f>IFERROR(__xludf.DUMMYFUNCTION("""COMPUTED_VALUE"""),"George Connolly")</f>
        <v>George Connolly</v>
      </c>
      <c r="E45" s="3" t="str">
        <f>IFERROR(__xludf.DUMMYFUNCTION("""COMPUTED_VALUE"""),"Chris Claeys")</f>
        <v>Chris Claeys</v>
      </c>
      <c r="F45" s="3" t="str">
        <f>IFERROR(__xludf.DUMMYFUNCTION("""COMPUTED_VALUE"""),"Jack Hind")</f>
        <v>Jack Hind</v>
      </c>
      <c r="H45" s="3" t="str">
        <f>IFERROR(__xludf.DUMMYFUNCTION("""COMPUTED_VALUE"""),"Denver Lalonde")</f>
        <v>Denver Lalonde</v>
      </c>
      <c r="I45" s="3" t="str">
        <f t="shared" si="1"/>
        <v>Denver Lalonde</v>
      </c>
      <c r="P45" s="3" t="str">
        <f>IFERROR(__xludf.DUMMYFUNCTION("""COMPUTED_VALUE"""),"Gaz Wheldale")</f>
        <v>Gaz Wheldale</v>
      </c>
      <c r="Q45" s="11">
        <f>maxifs('OTPI Scores'!A:A,'OTPI Scores'!C:C,P45)</f>
        <v>45367</v>
      </c>
      <c r="R45" s="3">
        <f t="shared" si="2"/>
        <v>1</v>
      </c>
    </row>
    <row r="46">
      <c r="A46" s="3" t="str">
        <f>IFERROR(__xludf.DUMMYFUNCTION("""COMPUTED_VALUE"""),"Luke Dyges")</f>
        <v>Luke Dyges</v>
      </c>
      <c r="B46" s="3" t="str">
        <f>IFERROR(__xludf.DUMMYFUNCTION("""COMPUTED_VALUE"""),"Claudien Mwalimu")</f>
        <v>Claudien Mwalimu</v>
      </c>
      <c r="C46" s="3" t="str">
        <f>IFERROR(__xludf.DUMMYFUNCTION("""COMPUTED_VALUE"""),"Rob Edmonds")</f>
        <v>Rob Edmonds</v>
      </c>
      <c r="D46" s="3" t="str">
        <f>IFERROR(__xludf.DUMMYFUNCTION("""COMPUTED_VALUE"""),"Tali Kiwanuka")</f>
        <v>Tali Kiwanuka</v>
      </c>
      <c r="E46" s="3" t="str">
        <f>IFERROR(__xludf.DUMMYFUNCTION("""COMPUTED_VALUE"""),"Richard Scott")</f>
        <v>Richard Scott</v>
      </c>
      <c r="F46" s="3" t="str">
        <f>IFERROR(__xludf.DUMMYFUNCTION("""COMPUTED_VALUE"""),"Matt Hope")</f>
        <v>Matt Hope</v>
      </c>
      <c r="H46" s="3" t="str">
        <f>IFERROR(__xludf.DUMMYFUNCTION("""COMPUTED_VALUE"""),"Dom Robbins")</f>
        <v>Dom Robbins</v>
      </c>
      <c r="I46" s="3" t="str">
        <f t="shared" si="1"/>
        <v>Dom Robbins</v>
      </c>
      <c r="P46" s="3" t="str">
        <f>IFERROR(__xludf.DUMMYFUNCTION("""COMPUTED_VALUE"""),"George Connolly")</f>
        <v>George Connolly</v>
      </c>
      <c r="Q46" s="11">
        <f>maxifs('OTPI Scores'!A:A,'OTPI Scores'!C:C,P46)</f>
        <v>45388</v>
      </c>
      <c r="R46" s="3">
        <f t="shared" si="2"/>
        <v>1</v>
      </c>
    </row>
    <row r="47">
      <c r="A47" s="3"/>
      <c r="B47" s="3" t="str">
        <f>IFERROR(__xludf.DUMMYFUNCTION("""COMPUTED_VALUE"""),"Micah Pinnock")</f>
        <v>Micah Pinnock</v>
      </c>
      <c r="C47" s="3" t="str">
        <f>IFERROR(__xludf.DUMMYFUNCTION("""COMPUTED_VALUE"""),"Richard Jones")</f>
        <v>Richard Jones</v>
      </c>
      <c r="D47" s="3" t="str">
        <f>IFERROR(__xludf.DUMMYFUNCTION("""COMPUTED_VALUE"""),"Pearl Bakengela")</f>
        <v>Pearl Bakengela</v>
      </c>
      <c r="E47" s="3" t="str">
        <f>IFERROR(__xludf.DUMMYFUNCTION("""COMPUTED_VALUE"""),"Daniel Sheehan")</f>
        <v>Daniel Sheehan</v>
      </c>
      <c r="F47" s="3"/>
      <c r="H47" s="3" t="str">
        <f>IFERROR(__xludf.DUMMYFUNCTION("""COMPUTED_VALUE"""),"Ed Wightman")</f>
        <v>Ed Wightman</v>
      </c>
      <c r="I47" s="3" t="str">
        <f t="shared" si="1"/>
        <v>Ed Wightman</v>
      </c>
      <c r="P47" s="3" t="str">
        <f>IFERROR(__xludf.DUMMYFUNCTION("""COMPUTED_VALUE"""),"George Havord")</f>
        <v>George Havord</v>
      </c>
      <c r="Q47" s="11">
        <f>maxifs('OTPI Scores'!A:A,'OTPI Scores'!C:C,P47)</f>
        <v>45388</v>
      </c>
      <c r="R47" s="3">
        <f t="shared" si="2"/>
        <v>1</v>
      </c>
    </row>
    <row r="48">
      <c r="A48" s="3"/>
      <c r="B48" s="3" t="str">
        <f>IFERROR(__xludf.DUMMYFUNCTION("""COMPUTED_VALUE"""),"Oliver Golzari")</f>
        <v>Oliver Golzari</v>
      </c>
      <c r="C48" s="3"/>
      <c r="D48" s="3"/>
      <c r="E48" s="3" t="str">
        <f>IFERROR(__xludf.DUMMYFUNCTION("""COMPUTED_VALUE"""),"Josh Billings")</f>
        <v>Josh Billings</v>
      </c>
      <c r="F48" s="3"/>
      <c r="H48" s="3" t="str">
        <f>IFERROR(__xludf.DUMMYFUNCTION("""COMPUTED_VALUE"""),"Ellis Forrester")</f>
        <v>Ellis Forrester</v>
      </c>
      <c r="I48" s="3" t="str">
        <f t="shared" si="1"/>
        <v>Ellis Forrester</v>
      </c>
      <c r="P48" s="3" t="str">
        <f>IFERROR(__xludf.DUMMYFUNCTION("""COMPUTED_VALUE"""),"Hallam Wye")</f>
        <v>Hallam Wye</v>
      </c>
      <c r="Q48" s="11">
        <f>maxifs('OTPI Scores'!A:A,'OTPI Scores'!C:C,P48)</f>
        <v>45388</v>
      </c>
      <c r="R48" s="3">
        <f t="shared" si="2"/>
        <v>1</v>
      </c>
    </row>
    <row r="49">
      <c r="A49" s="3"/>
      <c r="B49" s="3"/>
      <c r="C49" s="3"/>
      <c r="D49" s="3"/>
      <c r="E49" s="3"/>
      <c r="F49" s="3"/>
      <c r="H49" s="3" t="str">
        <f>IFERROR(__xludf.DUMMYFUNCTION("""COMPUTED_VALUE"""),"Emi Muhadri")</f>
        <v>Emi Muhadri</v>
      </c>
      <c r="I49" s="3" t="str">
        <f t="shared" si="1"/>
        <v>Emi Muhadri</v>
      </c>
      <c r="P49" s="3" t="str">
        <f>IFERROR(__xludf.DUMMYFUNCTION("""COMPUTED_VALUE"""),"Harold Kiyingi")</f>
        <v>Harold Kiyingi</v>
      </c>
      <c r="Q49" s="11">
        <f>maxifs('OTPI Scores'!A:A,'OTPI Scores'!C:C,P49)</f>
        <v>45388</v>
      </c>
      <c r="R49" s="3">
        <f t="shared" si="2"/>
        <v>1</v>
      </c>
    </row>
    <row r="50">
      <c r="A50" s="3"/>
      <c r="B50" s="3"/>
      <c r="C50" s="3"/>
      <c r="D50" s="3"/>
      <c r="E50" s="3"/>
      <c r="F50" s="3"/>
      <c r="H50" s="3" t="str">
        <f>IFERROR(__xludf.DUMMYFUNCTION("""COMPUTED_VALUE"""),"Ewan Harris")</f>
        <v>Ewan Harris</v>
      </c>
      <c r="I50" s="3" t="str">
        <f t="shared" si="1"/>
        <v>Ewan Harris</v>
      </c>
      <c r="P50" s="3" t="str">
        <f>IFERROR(__xludf.DUMMYFUNCTION("""COMPUTED_VALUE"""),"Harrison Woolley")</f>
        <v>Harrison Woolley</v>
      </c>
      <c r="Q50" s="11">
        <f>maxifs('OTPI Scores'!A:A,'OTPI Scores'!C:C,P50)</f>
        <v>45339</v>
      </c>
      <c r="R50" s="3">
        <f t="shared" si="2"/>
        <v>1</v>
      </c>
    </row>
    <row r="51">
      <c r="A51" s="3"/>
      <c r="B51" s="3"/>
      <c r="C51" s="3"/>
      <c r="D51" s="3"/>
      <c r="E51" s="3"/>
      <c r="F51" s="3"/>
      <c r="H51" s="3" t="str">
        <f>IFERROR(__xludf.DUMMYFUNCTION("""COMPUTED_VALUE"""),"Fabio Teixeira")</f>
        <v>Fabio Teixeira</v>
      </c>
      <c r="I51" s="3" t="str">
        <f t="shared" si="1"/>
        <v>Fabio Teixeira</v>
      </c>
      <c r="P51" s="3" t="str">
        <f>IFERROR(__xludf.DUMMYFUNCTION("""COMPUTED_VALUE"""),"Harry Calvesbert")</f>
        <v>Harry Calvesbert</v>
      </c>
      <c r="Q51" s="11">
        <f>maxifs('OTPI Scores'!A:A,'OTPI Scores'!C:C,P51)</f>
        <v>45339</v>
      </c>
      <c r="R51" s="3">
        <f t="shared" si="2"/>
        <v>1</v>
      </c>
    </row>
    <row r="52">
      <c r="A52" s="3">
        <f>IFERROR(__xludf.DUMMYFUNCTION("""COMPUTED_VALUE"""),3.0)</f>
        <v>3</v>
      </c>
      <c r="B52" s="3">
        <f>IFERROR(__xludf.DUMMYFUNCTION("""COMPUTED_VALUE"""),5.0)</f>
        <v>5</v>
      </c>
      <c r="C52" s="3">
        <f>IFERROR(__xludf.DUMMYFUNCTION("""COMPUTED_VALUE"""),4.0)</f>
        <v>4</v>
      </c>
      <c r="D52" s="3">
        <f>IFERROR(__xludf.DUMMYFUNCTION("""COMPUTED_VALUE"""),4.0)</f>
        <v>4</v>
      </c>
      <c r="E52" s="3">
        <f>IFERROR(__xludf.DUMMYFUNCTION("""COMPUTED_VALUE"""),5.0)</f>
        <v>5</v>
      </c>
      <c r="F52" s="3">
        <f>IFERROR(__xludf.DUMMYFUNCTION("""COMPUTED_VALUE"""),3.0)</f>
        <v>3</v>
      </c>
      <c r="H52" s="3" t="str">
        <f>IFERROR(__xludf.DUMMYFUNCTION("""COMPUTED_VALUE"""),"Finn Coolen")</f>
        <v>Finn Coolen</v>
      </c>
      <c r="I52" s="3" t="str">
        <f t="shared" si="1"/>
        <v>Finn Coolen</v>
      </c>
      <c r="P52" s="3" t="str">
        <f>IFERROR(__xludf.DUMMYFUNCTION("""COMPUTED_VALUE"""),"Harry Fripp")</f>
        <v>Harry Fripp</v>
      </c>
      <c r="Q52" s="11">
        <f>maxifs('OTPI Scores'!A:A,'OTPI Scores'!C:C,P52)</f>
        <v>45388</v>
      </c>
      <c r="R52" s="3">
        <f t="shared" si="2"/>
        <v>1</v>
      </c>
    </row>
    <row r="53">
      <c r="A53" s="3" t="str">
        <f>IFERROR(__xludf.DUMMYFUNCTION("""COMPUTED_VALUE"""),"Available")</f>
        <v>Available</v>
      </c>
      <c r="B53" s="3" t="str">
        <f>IFERROR(__xludf.DUMMYFUNCTION("""COMPUTED_VALUE"""),"Available")</f>
        <v>Available</v>
      </c>
      <c r="C53" s="3" t="str">
        <f>IFERROR(__xludf.DUMMYFUNCTION("""COMPUTED_VALUE"""),"Available")</f>
        <v>Available</v>
      </c>
      <c r="D53" s="3" t="str">
        <f>IFERROR(__xludf.DUMMYFUNCTION("""COMPUTED_VALUE"""),"Available")</f>
        <v>Available</v>
      </c>
      <c r="E53" s="3" t="str">
        <f>IFERROR(__xludf.DUMMYFUNCTION("""COMPUTED_VALUE"""),"Available")</f>
        <v>Available</v>
      </c>
      <c r="F53" s="3" t="str">
        <f>IFERROR(__xludf.DUMMYFUNCTION("""COMPUTED_VALUE"""),"Available")</f>
        <v>Available</v>
      </c>
      <c r="H53" s="3" t="str">
        <f>IFERROR(__xludf.DUMMYFUNCTION("""COMPUTED_VALUE"""),"Fraser Wylie")</f>
        <v>Fraser Wylie</v>
      </c>
      <c r="I53" s="3" t="str">
        <f t="shared" si="1"/>
        <v>Fraser Wylie</v>
      </c>
      <c r="P53" s="3" t="str">
        <f>IFERROR(__xludf.DUMMYFUNCTION("""COMPUTED_VALUE"""),"Henry Pepperell")</f>
        <v>Henry Pepperell</v>
      </c>
      <c r="Q53" s="11">
        <f>maxifs('OTPI Scores'!A:A,'OTPI Scores'!C:C,P53)</f>
        <v>45360</v>
      </c>
      <c r="R53" s="3">
        <f t="shared" si="2"/>
        <v>1</v>
      </c>
    </row>
    <row r="54">
      <c r="A54" s="3" t="str">
        <f>IFERROR(__xludf.DUMMYFUNCTION("""COMPUTED_VALUE"""),"Not Availble")</f>
        <v>Not Availble</v>
      </c>
      <c r="B54" s="3" t="str">
        <f>IFERROR(__xludf.DUMMYFUNCTION("""COMPUTED_VALUE"""),"Not Availble")</f>
        <v>Not Availble</v>
      </c>
      <c r="C54" s="3" t="str">
        <f>IFERROR(__xludf.DUMMYFUNCTION("""COMPUTED_VALUE"""),"Not Availble")</f>
        <v>Not Availble</v>
      </c>
      <c r="D54" s="3" t="str">
        <f>IFERROR(__xludf.DUMMYFUNCTION("""COMPUTED_VALUE"""),"Not Availble")</f>
        <v>Not Availble</v>
      </c>
      <c r="E54" s="3" t="str">
        <f>IFERROR(__xludf.DUMMYFUNCTION("""COMPUTED_VALUE"""),"Not Availble")</f>
        <v>Not Availble</v>
      </c>
      <c r="F54" s="3" t="str">
        <f>IFERROR(__xludf.DUMMYFUNCTION("""COMPUTED_VALUE"""),"Not Availble")</f>
        <v>Not Availble</v>
      </c>
      <c r="H54" s="3" t="str">
        <f>IFERROR(__xludf.DUMMYFUNCTION("""COMPUTED_VALUE"""),"Gaz Wheldale")</f>
        <v>Gaz Wheldale</v>
      </c>
      <c r="I54" s="3" t="str">
        <f t="shared" si="1"/>
        <v>Gaz Wheldale</v>
      </c>
      <c r="P54" s="3" t="str">
        <f>IFERROR(__xludf.DUMMYFUNCTION("""COMPUTED_VALUE"""),"Isaac Adepegba")</f>
        <v>Isaac Adepegba</v>
      </c>
      <c r="Q54" s="11">
        <f>maxifs('OTPI Scores'!A:A,'OTPI Scores'!C:C,P54)</f>
        <v>45311</v>
      </c>
      <c r="R54" s="3">
        <f t="shared" si="2"/>
        <v>1</v>
      </c>
    </row>
    <row r="55">
      <c r="A55" s="3" t="str">
        <f>IFERROR(__xludf.DUMMYFUNCTION("""COMPUTED_VALUE"""),"Late Doodle")</f>
        <v>Late Doodle</v>
      </c>
      <c r="B55" s="3" t="str">
        <f>IFERROR(__xludf.DUMMYFUNCTION("""COMPUTED_VALUE"""),"Late Doodle")</f>
        <v>Late Doodle</v>
      </c>
      <c r="C55" s="3" t="str">
        <f>IFERROR(__xludf.DUMMYFUNCTION("""COMPUTED_VALUE"""),"Late Doodle")</f>
        <v>Late Doodle</v>
      </c>
      <c r="D55" s="3" t="str">
        <f>IFERROR(__xludf.DUMMYFUNCTION("""COMPUTED_VALUE"""),"Late Doodle")</f>
        <v>Late Doodle</v>
      </c>
      <c r="E55" s="3" t="str">
        <f>IFERROR(__xludf.DUMMYFUNCTION("""COMPUTED_VALUE"""),"Late Doodle")</f>
        <v>Late Doodle</v>
      </c>
      <c r="F55" s="3" t="str">
        <f>IFERROR(__xludf.DUMMYFUNCTION("""COMPUTED_VALUE"""),"Late Doodle")</f>
        <v>Late Doodle</v>
      </c>
      <c r="H55" s="3" t="str">
        <f>IFERROR(__xludf.DUMMYFUNCTION("""COMPUTED_VALUE"""),"George Connolly")</f>
        <v>George Connolly</v>
      </c>
      <c r="I55" s="3" t="str">
        <f t="shared" si="1"/>
        <v>George Connolly</v>
      </c>
      <c r="P55" s="3" t="str">
        <f>IFERROR(__xludf.DUMMYFUNCTION("""COMPUTED_VALUE"""),"Ismail Wall")</f>
        <v>Ismail Wall</v>
      </c>
      <c r="Q55" s="11">
        <f>maxifs('OTPI Scores'!A:A,'OTPI Scores'!C:C,P55)</f>
        <v>45388</v>
      </c>
      <c r="R55" s="3">
        <f t="shared" si="2"/>
        <v>1</v>
      </c>
    </row>
    <row r="56">
      <c r="A56" s="3"/>
      <c r="B56" s="3"/>
      <c r="C56" s="3"/>
      <c r="D56" s="3"/>
      <c r="E56" s="3"/>
      <c r="F56" s="3"/>
      <c r="H56" s="3" t="str">
        <f>IFERROR(__xludf.DUMMYFUNCTION("""COMPUTED_VALUE"""),"George Havord")</f>
        <v>George Havord</v>
      </c>
      <c r="I56" s="3" t="str">
        <f t="shared" si="1"/>
        <v>George Havord</v>
      </c>
      <c r="P56" s="3" t="str">
        <f>IFERROR(__xludf.DUMMYFUNCTION("""COMPUTED_VALUE"""),"Jabari Dixon")</f>
        <v>Jabari Dixon</v>
      </c>
      <c r="Q56" s="11">
        <f>maxifs('OTPI Scores'!A:A,'OTPI Scores'!C:C,P56)</f>
        <v>45339</v>
      </c>
      <c r="R56" s="3">
        <f t="shared" si="2"/>
        <v>1</v>
      </c>
    </row>
    <row r="57">
      <c r="A57" s="3"/>
      <c r="B57" s="3"/>
      <c r="C57" s="3"/>
      <c r="D57" s="3"/>
      <c r="E57" s="3"/>
      <c r="F57" s="3"/>
      <c r="H57" s="3" t="str">
        <f>IFERROR(__xludf.DUMMYFUNCTION("""COMPUTED_VALUE"""),"Hallam Wye")</f>
        <v>Hallam Wye</v>
      </c>
      <c r="I57" s="3" t="str">
        <f t="shared" si="1"/>
        <v>Hallam Wye</v>
      </c>
      <c r="P57" s="3" t="str">
        <f>IFERROR(__xludf.DUMMYFUNCTION("""COMPUTED_VALUE"""),"Jack Butcher")</f>
        <v>Jack Butcher</v>
      </c>
      <c r="Q57" s="11">
        <f>maxifs('OTPI Scores'!A:A,'OTPI Scores'!C:C,P57)</f>
        <v>45262</v>
      </c>
      <c r="R57" s="3">
        <f t="shared" si="2"/>
        <v>0</v>
      </c>
    </row>
    <row r="58">
      <c r="A58" s="3" t="str">
        <f>IFERROR(__xludf.DUMMYFUNCTION("""COMPUTED_VALUE"""),"1s")</f>
        <v>1s</v>
      </c>
      <c r="B58" s="3" t="str">
        <f>IFERROR(__xludf.DUMMYFUNCTION("""COMPUTED_VALUE"""),"2s")</f>
        <v>2s</v>
      </c>
      <c r="C58" s="3" t="str">
        <f>IFERROR(__xludf.DUMMYFUNCTION("""COMPUTED_VALUE"""),"3s")</f>
        <v>3s</v>
      </c>
      <c r="D58" s="3" t="str">
        <f>IFERROR(__xludf.DUMMYFUNCTION("""COMPUTED_VALUE"""),"4s")</f>
        <v>4s</v>
      </c>
      <c r="E58" s="3" t="str">
        <f>IFERROR(__xludf.DUMMYFUNCTION("""COMPUTED_VALUE"""),"5s")</f>
        <v>5s</v>
      </c>
      <c r="F58" s="3" t="str">
        <f>IFERROR(__xludf.DUMMYFUNCTION("""COMPUTED_VALUE"""),"6s")</f>
        <v>6s</v>
      </c>
      <c r="H58" s="3" t="str">
        <f>IFERROR(__xludf.DUMMYFUNCTION("""COMPUTED_VALUE"""),"Harold Kiyingi")</f>
        <v>Harold Kiyingi</v>
      </c>
      <c r="I58" s="3" t="str">
        <f t="shared" si="1"/>
        <v>Harold Kiyingi</v>
      </c>
      <c r="P58" s="3" t="str">
        <f>IFERROR(__xludf.DUMMYFUNCTION("""COMPUTED_VALUE"""),"Jack Harris")</f>
        <v>Jack Harris</v>
      </c>
      <c r="Q58" s="11">
        <f>maxifs('OTPI Scores'!A:A,'OTPI Scores'!C:C,P58)</f>
        <v>45339</v>
      </c>
      <c r="R58" s="3">
        <f t="shared" si="2"/>
        <v>1</v>
      </c>
    </row>
    <row r="59">
      <c r="A59" s="3" t="str">
        <f>IFERROR(__xludf.DUMMYFUNCTION("""COMPUTED_VALUE"""),"Payment Issue")</f>
        <v>Payment Issue</v>
      </c>
      <c r="B59" s="3" t="str">
        <f>IFERROR(__xludf.DUMMYFUNCTION("""COMPUTED_VALUE"""),"Payment Issue")</f>
        <v>Payment Issue</v>
      </c>
      <c r="C59" s="3" t="str">
        <f>IFERROR(__xludf.DUMMYFUNCTION("""COMPUTED_VALUE"""),"Payment Issue")</f>
        <v>Payment Issue</v>
      </c>
      <c r="D59" s="3" t="str">
        <f>IFERROR(__xludf.DUMMYFUNCTION("""COMPUTED_VALUE"""),"Payment Issue")</f>
        <v>Payment Issue</v>
      </c>
      <c r="E59" s="3" t="str">
        <f>IFERROR(__xludf.DUMMYFUNCTION("""COMPUTED_VALUE"""),"Payment Issue")</f>
        <v>Payment Issue</v>
      </c>
      <c r="F59" s="3" t="str">
        <f>IFERROR(__xludf.DUMMYFUNCTION("""COMPUTED_VALUE"""),"Payment Issue")</f>
        <v>Payment Issue</v>
      </c>
      <c r="H59" s="3" t="str">
        <f>IFERROR(__xludf.DUMMYFUNCTION("""COMPUTED_VALUE"""),"Harrison Woolley")</f>
        <v>Harrison Woolley</v>
      </c>
      <c r="I59" s="3" t="str">
        <f t="shared" si="1"/>
        <v>Harrison Woolley</v>
      </c>
      <c r="P59" s="3" t="str">
        <f>IFERROR(__xludf.DUMMYFUNCTION("""COMPUTED_VALUE"""),"Jack Hind")</f>
        <v>Jack Hind</v>
      </c>
      <c r="Q59" s="11">
        <f>maxifs('OTPI Scores'!A:A,'OTPI Scores'!C:C,P59)</f>
        <v>45374</v>
      </c>
      <c r="R59" s="3">
        <f t="shared" si="2"/>
        <v>1</v>
      </c>
    </row>
    <row r="60">
      <c r="A60" s="3" t="str">
        <f>IFERROR(__xludf.DUMMYFUNCTION("""COMPUTED_VALUE"""),"Opponents")</f>
        <v>Opponents</v>
      </c>
      <c r="B60" s="3" t="str">
        <f>IFERROR(__xludf.DUMMYFUNCTION("""COMPUTED_VALUE"""),"Opponents")</f>
        <v>Opponents</v>
      </c>
      <c r="C60" s="3" t="str">
        <f>IFERROR(__xludf.DUMMYFUNCTION("""COMPUTED_VALUE"""),"Opponents")</f>
        <v>Opponents</v>
      </c>
      <c r="D60" s="3" t="str">
        <f>IFERROR(__xludf.DUMMYFUNCTION("""COMPUTED_VALUE"""),"Opponents")</f>
        <v>Opponents</v>
      </c>
      <c r="E60" s="3" t="str">
        <f>IFERROR(__xludf.DUMMYFUNCTION("""COMPUTED_VALUE"""),"Opponents")</f>
        <v>Opponents</v>
      </c>
      <c r="F60" s="3" t="str">
        <f>IFERROR(__xludf.DUMMYFUNCTION("""COMPUTED_VALUE"""),"Opponents")</f>
        <v>Opponents</v>
      </c>
      <c r="H60" s="3" t="str">
        <f>IFERROR(__xludf.DUMMYFUNCTION("""COMPUTED_VALUE"""),"Harry Calvesbert")</f>
        <v>Harry Calvesbert</v>
      </c>
      <c r="I60" s="3" t="str">
        <f t="shared" si="1"/>
        <v>Harry Calvesbert</v>
      </c>
      <c r="P60" s="3" t="str">
        <f>IFERROR(__xludf.DUMMYFUNCTION("""COMPUTED_VALUE"""),"James Rodriguez")</f>
        <v>James Rodriguez</v>
      </c>
      <c r="Q60" s="11">
        <f>maxifs('OTPI Scores'!A:A,'OTPI Scores'!C:C,P60)</f>
        <v>45388</v>
      </c>
      <c r="R60" s="3">
        <f t="shared" si="2"/>
        <v>1</v>
      </c>
    </row>
    <row r="61">
      <c r="H61" s="3" t="str">
        <f>IFERROR(__xludf.DUMMYFUNCTION("""COMPUTED_VALUE"""),"Harry Fripp")</f>
        <v>Harry Fripp</v>
      </c>
      <c r="I61" s="3" t="str">
        <f t="shared" si="1"/>
        <v>Harry Fripp</v>
      </c>
      <c r="P61" s="3" t="str">
        <f>IFERROR(__xludf.DUMMYFUNCTION("""COMPUTED_VALUE"""),"James Timmins")</f>
        <v>James Timmins</v>
      </c>
      <c r="Q61" s="11">
        <f>maxifs('OTPI Scores'!A:A,'OTPI Scores'!C:C,P61)</f>
        <v>45388</v>
      </c>
      <c r="R61" s="3">
        <f t="shared" si="2"/>
        <v>1</v>
      </c>
    </row>
    <row r="62">
      <c r="H62" s="3" t="str">
        <f>IFERROR(__xludf.DUMMYFUNCTION("""COMPUTED_VALUE"""),"Henry Pepperell")</f>
        <v>Henry Pepperell</v>
      </c>
      <c r="I62" s="3" t="str">
        <f t="shared" si="1"/>
        <v>Henry Pepperell</v>
      </c>
      <c r="P62" s="3" t="str">
        <f>IFERROR(__xludf.DUMMYFUNCTION("""COMPUTED_VALUE"""),"Jamie Wood")</f>
        <v>Jamie Wood</v>
      </c>
      <c r="Q62" s="11">
        <f>maxifs('OTPI Scores'!A:A,'OTPI Scores'!C:C,P62)</f>
        <v>45388</v>
      </c>
      <c r="R62" s="3">
        <f t="shared" si="2"/>
        <v>1</v>
      </c>
    </row>
    <row r="63">
      <c r="H63" s="3" t="str">
        <f>IFERROR(__xludf.DUMMYFUNCTION("""COMPUTED_VALUE"""),"Isaac Adepegba")</f>
        <v>Isaac Adepegba</v>
      </c>
      <c r="I63" s="3" t="str">
        <f t="shared" si="1"/>
        <v>Isaac Adepegba</v>
      </c>
      <c r="P63" s="3" t="str">
        <f>IFERROR(__xludf.DUMMYFUNCTION("""COMPUTED_VALUE"""),"Janam Satra")</f>
        <v>Janam Satra</v>
      </c>
      <c r="Q63" s="11">
        <f>maxifs('OTPI Scores'!A:A,'OTPI Scores'!C:C,P63)</f>
        <v>45388</v>
      </c>
      <c r="R63" s="3">
        <f t="shared" si="2"/>
        <v>1</v>
      </c>
    </row>
    <row r="64">
      <c r="H64" s="3" t="str">
        <f>IFERROR(__xludf.DUMMYFUNCTION("""COMPUTED_VALUE"""),"Ismail Wall")</f>
        <v>Ismail Wall</v>
      </c>
      <c r="I64" s="3" t="str">
        <f t="shared" si="1"/>
        <v>Ismail Wall</v>
      </c>
      <c r="P64" s="3" t="str">
        <f>IFERROR(__xludf.DUMMYFUNCTION("""COMPUTED_VALUE"""),"Jarvis Cheek")</f>
        <v>Jarvis Cheek</v>
      </c>
      <c r="Q64" s="11">
        <f>maxifs('OTPI Scores'!A:A,'OTPI Scores'!C:C,P64)</f>
        <v>45388</v>
      </c>
      <c r="R64" s="3">
        <f t="shared" si="2"/>
        <v>1</v>
      </c>
    </row>
    <row r="65">
      <c r="H65" s="3" t="str">
        <f>IFERROR(__xludf.DUMMYFUNCTION("""COMPUTED_VALUE"""),"Jabari Dixon")</f>
        <v>Jabari Dixon</v>
      </c>
      <c r="I65" s="3" t="str">
        <f t="shared" si="1"/>
        <v>Jabari Dixon</v>
      </c>
      <c r="P65" s="3" t="str">
        <f>IFERROR(__xludf.DUMMYFUNCTION("""COMPUTED_VALUE"""),"Jason Heath")</f>
        <v>Jason Heath</v>
      </c>
      <c r="Q65" s="11">
        <f>maxifs('OTPI Scores'!A:A,'OTPI Scores'!C:C,P65)</f>
        <v>45388</v>
      </c>
      <c r="R65" s="3">
        <f t="shared" si="2"/>
        <v>1</v>
      </c>
    </row>
    <row r="66">
      <c r="H66" s="3" t="str">
        <f>IFERROR(__xludf.DUMMYFUNCTION("""COMPUTED_VALUE"""),"Jack Butcher")</f>
        <v>Jack Butcher</v>
      </c>
      <c r="I66" s="3" t="str">
        <f t="shared" si="1"/>
        <v>Jack Butcher</v>
      </c>
      <c r="P66" s="3" t="str">
        <f>IFERROR(__xludf.DUMMYFUNCTION("""COMPUTED_VALUE"""),"Jay Mair")</f>
        <v>Jay Mair</v>
      </c>
      <c r="Q66" s="11">
        <f>maxifs('OTPI Scores'!A:A,'OTPI Scores'!C:C,P66)</f>
        <v>45374</v>
      </c>
      <c r="R66" s="3">
        <f t="shared" si="2"/>
        <v>1</v>
      </c>
    </row>
    <row r="67">
      <c r="H67" s="3" t="str">
        <f>IFERROR(__xludf.DUMMYFUNCTION("""COMPUTED_VALUE"""),"Jack Harris")</f>
        <v>Jack Harris</v>
      </c>
      <c r="I67" s="3" t="str">
        <f t="shared" si="1"/>
        <v>Jack Harris</v>
      </c>
      <c r="P67" s="3" t="str">
        <f>IFERROR(__xludf.DUMMYFUNCTION("""COMPUTED_VALUE"""),"Jerome Goncalves")</f>
        <v>Jerome Goncalves</v>
      </c>
      <c r="Q67" s="11">
        <f>maxifs('OTPI Scores'!A:A,'OTPI Scores'!C:C,P67)</f>
        <v>45388</v>
      </c>
      <c r="R67" s="3">
        <f t="shared" si="2"/>
        <v>1</v>
      </c>
    </row>
    <row r="68">
      <c r="H68" s="3" t="str">
        <f>IFERROR(__xludf.DUMMYFUNCTION("""COMPUTED_VALUE"""),"Jack Hind")</f>
        <v>Jack Hind</v>
      </c>
      <c r="I68" s="3" t="str">
        <f t="shared" si="1"/>
        <v>Jack Hind</v>
      </c>
      <c r="P68" s="3" t="str">
        <f>IFERROR(__xludf.DUMMYFUNCTION("""COMPUTED_VALUE"""),"Joe France")</f>
        <v>Joe France</v>
      </c>
      <c r="Q68" s="11">
        <f>maxifs('OTPI Scores'!A:A,'OTPI Scores'!C:C,P68)</f>
        <v>45276</v>
      </c>
      <c r="R68" s="3">
        <f t="shared" si="2"/>
        <v>1</v>
      </c>
    </row>
    <row r="69">
      <c r="H69" s="3" t="str">
        <f>IFERROR(__xludf.DUMMYFUNCTION("""COMPUTED_VALUE"""),"James Rodriguez")</f>
        <v>James Rodriguez</v>
      </c>
      <c r="I69" s="3" t="str">
        <f t="shared" si="1"/>
        <v>James Rodriguez</v>
      </c>
      <c r="P69" s="3" t="str">
        <f>IFERROR(__xludf.DUMMYFUNCTION("""COMPUTED_VALUE"""),"Joe Vincent")</f>
        <v>Joe Vincent</v>
      </c>
      <c r="Q69" s="11">
        <f>maxifs('OTPI Scores'!A:A,'OTPI Scores'!C:C,P69)</f>
        <v>45388</v>
      </c>
      <c r="R69" s="3">
        <f t="shared" si="2"/>
        <v>1</v>
      </c>
    </row>
    <row r="70">
      <c r="H70" s="3" t="str">
        <f>IFERROR(__xludf.DUMMYFUNCTION("""COMPUTED_VALUE"""),"James Timmins")</f>
        <v>James Timmins</v>
      </c>
      <c r="I70" s="3" t="str">
        <f t="shared" si="1"/>
        <v>James Timmins</v>
      </c>
      <c r="P70" s="3" t="str">
        <f>IFERROR(__xludf.DUMMYFUNCTION("""COMPUTED_VALUE"""),"Joel Wright")</f>
        <v>Joel Wright</v>
      </c>
      <c r="Q70" s="11">
        <f>maxifs('OTPI Scores'!A:A,'OTPI Scores'!C:C,P70)</f>
        <v>45388</v>
      </c>
      <c r="R70" s="3">
        <f t="shared" si="2"/>
        <v>1</v>
      </c>
    </row>
    <row r="71">
      <c r="H71" s="3" t="str">
        <f>IFERROR(__xludf.DUMMYFUNCTION("""COMPUTED_VALUE"""),"Jamie Wood")</f>
        <v>Jamie Wood</v>
      </c>
      <c r="I71" s="3" t="str">
        <f t="shared" si="1"/>
        <v>Jamie Wood</v>
      </c>
      <c r="P71" s="3" t="str">
        <f>IFERROR(__xludf.DUMMYFUNCTION("""COMPUTED_VALUE"""),"John Harrison")</f>
        <v>John Harrison</v>
      </c>
      <c r="Q71" s="11">
        <f>maxifs('OTPI Scores'!A:A,'OTPI Scores'!C:C,P71)</f>
        <v>45388</v>
      </c>
      <c r="R71" s="3">
        <f t="shared" si="2"/>
        <v>1</v>
      </c>
    </row>
    <row r="72">
      <c r="H72" s="3" t="str">
        <f>IFERROR(__xludf.DUMMYFUNCTION("""COMPUTED_VALUE"""),"Janam Satra")</f>
        <v>Janam Satra</v>
      </c>
      <c r="I72" s="3" t="str">
        <f t="shared" si="1"/>
        <v>Janam Satra</v>
      </c>
      <c r="P72" s="3" t="str">
        <f>IFERROR(__xludf.DUMMYFUNCTION("""COMPUTED_VALUE"""),"Jonny Simmons")</f>
        <v>Jonny Simmons</v>
      </c>
      <c r="Q72" s="11">
        <f>maxifs('OTPI Scores'!A:A,'OTPI Scores'!C:C,P72)</f>
        <v>45374</v>
      </c>
      <c r="R72" s="3">
        <f t="shared" si="2"/>
        <v>1</v>
      </c>
    </row>
    <row r="73">
      <c r="H73" s="3" t="str">
        <f>IFERROR(__xludf.DUMMYFUNCTION("""COMPUTED_VALUE"""),"Jarvis Cheek")</f>
        <v>Jarvis Cheek</v>
      </c>
      <c r="I73" s="3" t="str">
        <f t="shared" si="1"/>
        <v>Jarvis Cheek</v>
      </c>
      <c r="P73" s="3" t="str">
        <f>IFERROR(__xludf.DUMMYFUNCTION("""COMPUTED_VALUE"""),"Jordan Davis")</f>
        <v>Jordan Davis</v>
      </c>
      <c r="Q73" s="11">
        <f>maxifs('OTPI Scores'!A:A,'OTPI Scores'!C:C,P73)</f>
        <v>45276</v>
      </c>
      <c r="R73" s="3">
        <f t="shared" si="2"/>
        <v>1</v>
      </c>
    </row>
    <row r="74">
      <c r="H74" s="3" t="str">
        <f>IFERROR(__xludf.DUMMYFUNCTION("""COMPUTED_VALUE"""),"Jason Heath")</f>
        <v>Jason Heath</v>
      </c>
      <c r="I74" s="3" t="str">
        <f t="shared" si="1"/>
        <v>Jason Heath</v>
      </c>
      <c r="P74" s="3" t="str">
        <f>IFERROR(__xludf.DUMMYFUNCTION("""COMPUTED_VALUE"""),"Josh Billings")</f>
        <v>Josh Billings</v>
      </c>
      <c r="Q74" s="11">
        <f>maxifs('OTPI Scores'!A:A,'OTPI Scores'!C:C,P74)</f>
        <v>45388</v>
      </c>
      <c r="R74" s="3">
        <f t="shared" si="2"/>
        <v>1</v>
      </c>
    </row>
    <row r="75">
      <c r="H75" s="3" t="str">
        <f>IFERROR(__xludf.DUMMYFUNCTION("""COMPUTED_VALUE"""),"Jay Mair")</f>
        <v>Jay Mair</v>
      </c>
      <c r="I75" s="3" t="str">
        <f t="shared" si="1"/>
        <v>Jay Mair</v>
      </c>
      <c r="P75" s="3" t="str">
        <f>IFERROR(__xludf.DUMMYFUNCTION("""COMPUTED_VALUE"""),"Josh Sherriff-Jolly")</f>
        <v>Josh Sherriff-Jolly</v>
      </c>
      <c r="Q75" s="11">
        <f>maxifs('OTPI Scores'!A:A,'OTPI Scores'!C:C,P75)</f>
        <v>45388</v>
      </c>
      <c r="R75" s="3">
        <f t="shared" si="2"/>
        <v>1</v>
      </c>
    </row>
    <row r="76">
      <c r="H76" s="3" t="str">
        <f>IFERROR(__xludf.DUMMYFUNCTION("""COMPUTED_VALUE"""),"Jerome Goncalves")</f>
        <v>Jerome Goncalves</v>
      </c>
      <c r="I76" s="3" t="str">
        <f t="shared" si="1"/>
        <v>Jerome Goncalves</v>
      </c>
      <c r="P76" s="3" t="str">
        <f>IFERROR(__xludf.DUMMYFUNCTION("""COMPUTED_VALUE"""),"Kai Clack")</f>
        <v>Kai Clack</v>
      </c>
      <c r="Q76" s="11">
        <f>maxifs('OTPI Scores'!A:A,'OTPI Scores'!C:C,P76)</f>
        <v>45388</v>
      </c>
      <c r="R76" s="3">
        <f t="shared" si="2"/>
        <v>1</v>
      </c>
    </row>
    <row r="77">
      <c r="H77" s="3" t="str">
        <f>IFERROR(__xludf.DUMMYFUNCTION("""COMPUTED_VALUE"""),"Joe France")</f>
        <v>Joe France</v>
      </c>
      <c r="I77" s="3" t="str">
        <f t="shared" si="1"/>
        <v>Joe France</v>
      </c>
      <c r="P77" s="3" t="str">
        <f>IFERROR(__xludf.DUMMYFUNCTION("""COMPUTED_VALUE"""),"Keaton Cohen")</f>
        <v>Keaton Cohen</v>
      </c>
      <c r="Q77" s="11">
        <f>maxifs('OTPI Scores'!A:A,'OTPI Scores'!C:C,P77)</f>
        <v>45367</v>
      </c>
      <c r="R77" s="3">
        <f t="shared" si="2"/>
        <v>1</v>
      </c>
    </row>
    <row r="78">
      <c r="H78" s="3" t="str">
        <f>IFERROR(__xludf.DUMMYFUNCTION("""COMPUTED_VALUE"""),"Joe Vincent")</f>
        <v>Joe Vincent</v>
      </c>
      <c r="I78" s="3" t="str">
        <f t="shared" si="1"/>
        <v>Joe Vincent</v>
      </c>
      <c r="P78" s="3" t="str">
        <f>IFERROR(__xludf.DUMMYFUNCTION("""COMPUTED_VALUE"""),"Kevin Gonzalez")</f>
        <v>Kevin Gonzalez</v>
      </c>
      <c r="Q78" s="11">
        <f>maxifs('OTPI Scores'!A:A,'OTPI Scores'!C:C,P78)</f>
        <v>45388</v>
      </c>
      <c r="R78" s="3">
        <f t="shared" si="2"/>
        <v>1</v>
      </c>
    </row>
    <row r="79">
      <c r="H79" s="3" t="str">
        <f>IFERROR(__xludf.DUMMYFUNCTION("""COMPUTED_VALUE"""),"Joel Wright")</f>
        <v>Joel Wright</v>
      </c>
      <c r="I79" s="3" t="str">
        <f t="shared" si="1"/>
        <v>Joel Wright</v>
      </c>
      <c r="P79" s="3" t="str">
        <f>IFERROR(__xludf.DUMMYFUNCTION("""COMPUTED_VALUE"""),"Kim Jaeyoon")</f>
        <v>Kim Jaeyoon</v>
      </c>
      <c r="Q79" s="11">
        <f>maxifs('OTPI Scores'!A:A,'OTPI Scores'!C:C,P79)</f>
        <v>45388</v>
      </c>
      <c r="R79" s="3">
        <f t="shared" si="2"/>
        <v>1</v>
      </c>
    </row>
    <row r="80">
      <c r="H80" s="3" t="str">
        <f>IFERROR(__xludf.DUMMYFUNCTION("""COMPUTED_VALUE"""),"John Harrison")</f>
        <v>John Harrison</v>
      </c>
      <c r="I80" s="3" t="str">
        <f t="shared" si="1"/>
        <v>John Harrison</v>
      </c>
      <c r="P80" s="3" t="str">
        <f>IFERROR(__xludf.DUMMYFUNCTION("""COMPUTED_VALUE"""),"Lawrence Asante")</f>
        <v>Lawrence Asante</v>
      </c>
      <c r="Q80" s="11">
        <f>maxifs('OTPI Scores'!A:A,'OTPI Scores'!C:C,P80)</f>
        <v>45262</v>
      </c>
      <c r="R80" s="3">
        <f t="shared" si="2"/>
        <v>0</v>
      </c>
    </row>
    <row r="81">
      <c r="H81" s="3" t="str">
        <f>IFERROR(__xludf.DUMMYFUNCTION("""COMPUTED_VALUE"""),"Jonny Simmons")</f>
        <v>Jonny Simmons</v>
      </c>
      <c r="I81" s="3" t="str">
        <f t="shared" si="1"/>
        <v>Jonny Simmons</v>
      </c>
      <c r="P81" s="3" t="str">
        <f>IFERROR(__xludf.DUMMYFUNCTION("""COMPUTED_VALUE"""),"Lee Clark")</f>
        <v>Lee Clark</v>
      </c>
      <c r="Q81" s="11">
        <f>maxifs('OTPI Scores'!A:A,'OTPI Scores'!C:C,P81)</f>
        <v>45339</v>
      </c>
      <c r="R81" s="3">
        <f t="shared" si="2"/>
        <v>1</v>
      </c>
    </row>
    <row r="82">
      <c r="H82" s="3" t="str">
        <f>IFERROR(__xludf.DUMMYFUNCTION("""COMPUTED_VALUE"""),"Jordan Davis")</f>
        <v>Jordan Davis</v>
      </c>
      <c r="I82" s="3" t="str">
        <f t="shared" si="1"/>
        <v>Jordan Davis</v>
      </c>
      <c r="P82" s="3" t="str">
        <f>IFERROR(__xludf.DUMMYFUNCTION("""COMPUTED_VALUE"""),"Leigh Cremin")</f>
        <v>Leigh Cremin</v>
      </c>
      <c r="Q82" s="11">
        <f>maxifs('OTPI Scores'!A:A,'OTPI Scores'!C:C,P82)</f>
        <v>45325</v>
      </c>
      <c r="R82" s="3">
        <f t="shared" si="2"/>
        <v>1</v>
      </c>
    </row>
    <row r="83">
      <c r="H83" s="3" t="str">
        <f>IFERROR(__xludf.DUMMYFUNCTION("""COMPUTED_VALUE"""),"Josh Billings")</f>
        <v>Josh Billings</v>
      </c>
      <c r="I83" s="3" t="str">
        <f t="shared" si="1"/>
        <v>Josh Billings</v>
      </c>
      <c r="P83" s="3" t="str">
        <f>IFERROR(__xludf.DUMMYFUNCTION("""COMPUTED_VALUE"""),"Leuman Coronado")</f>
        <v>Leuman Coronado</v>
      </c>
      <c r="Q83" s="11">
        <f>maxifs('OTPI Scores'!A:A,'OTPI Scores'!C:C,P83)</f>
        <v>45339</v>
      </c>
      <c r="R83" s="3">
        <f t="shared" si="2"/>
        <v>1</v>
      </c>
    </row>
    <row r="84">
      <c r="H84" s="3" t="str">
        <f>IFERROR(__xludf.DUMMYFUNCTION("""COMPUTED_VALUE"""),"Josh Sherriff-Jolly")</f>
        <v>Josh Sherriff-Jolly</v>
      </c>
      <c r="I84" s="3" t="str">
        <f t="shared" si="1"/>
        <v>Josh Sherriff-Jolly</v>
      </c>
      <c r="P84" s="3" t="str">
        <f>IFERROR(__xludf.DUMMYFUNCTION("""COMPUTED_VALUE"""),"Lewis Anderson")</f>
        <v>Lewis Anderson</v>
      </c>
      <c r="Q84" s="11">
        <f>maxifs('OTPI Scores'!A:A,'OTPI Scores'!C:C,P84)</f>
        <v>45276</v>
      </c>
      <c r="R84" s="3">
        <f t="shared" si="2"/>
        <v>1</v>
      </c>
    </row>
    <row r="85">
      <c r="H85" s="3" t="str">
        <f>IFERROR(__xludf.DUMMYFUNCTION("""COMPUTED_VALUE"""),"Kai Clack")</f>
        <v>Kai Clack</v>
      </c>
      <c r="I85" s="3" t="str">
        <f t="shared" si="1"/>
        <v>Kai Clack</v>
      </c>
      <c r="P85" s="3" t="str">
        <f>IFERROR(__xludf.DUMMYFUNCTION("""COMPUTED_VALUE"""),"Luke Dyges")</f>
        <v>Luke Dyges</v>
      </c>
      <c r="Q85" s="11">
        <f>maxifs('OTPI Scores'!A:A,'OTPI Scores'!C:C,P85)</f>
        <v>45388</v>
      </c>
      <c r="R85" s="3">
        <f t="shared" si="2"/>
        <v>1</v>
      </c>
    </row>
    <row r="86">
      <c r="H86" s="3" t="str">
        <f>IFERROR(__xludf.DUMMYFUNCTION("""COMPUTED_VALUE"""),"Keaton Cohen")</f>
        <v>Keaton Cohen</v>
      </c>
      <c r="I86" s="3" t="str">
        <f t="shared" si="1"/>
        <v>Keaton Cohen</v>
      </c>
      <c r="P86" s="3" t="str">
        <f>IFERROR(__xludf.DUMMYFUNCTION("""COMPUTED_VALUE"""),"Mark Roberts")</f>
        <v>Mark Roberts</v>
      </c>
      <c r="Q86" s="11">
        <f>maxifs('OTPI Scores'!A:A,'OTPI Scores'!C:C,P86)</f>
        <v>45388</v>
      </c>
      <c r="R86" s="3">
        <f t="shared" si="2"/>
        <v>1</v>
      </c>
    </row>
    <row r="87">
      <c r="H87" s="3" t="str">
        <f>IFERROR(__xludf.DUMMYFUNCTION("""COMPUTED_VALUE"""),"Kevin Gonzalez")</f>
        <v>Kevin Gonzalez</v>
      </c>
      <c r="I87" s="3" t="str">
        <f t="shared" si="1"/>
        <v>Kevin Gonzalez</v>
      </c>
      <c r="P87" s="3" t="str">
        <f>IFERROR(__xludf.DUMMYFUNCTION("""COMPUTED_VALUE"""),"Martin Goodson")</f>
        <v>Martin Goodson</v>
      </c>
      <c r="Q87" s="11">
        <f>maxifs('OTPI Scores'!A:A,'OTPI Scores'!C:C,P87)</f>
        <v>45388</v>
      </c>
      <c r="R87" s="3">
        <f t="shared" si="2"/>
        <v>1</v>
      </c>
    </row>
    <row r="88">
      <c r="H88" s="3" t="str">
        <f>IFERROR(__xludf.DUMMYFUNCTION("""COMPUTED_VALUE"""),"Kim Jaeyoon")</f>
        <v>Kim Jaeyoon</v>
      </c>
      <c r="I88" s="3" t="str">
        <f t="shared" si="1"/>
        <v>Kim Jaeyoon</v>
      </c>
      <c r="P88" s="3" t="str">
        <f>IFERROR(__xludf.DUMMYFUNCTION("""COMPUTED_VALUE"""),"Masood Hamidi")</f>
        <v>Masood Hamidi</v>
      </c>
      <c r="Q88" s="11">
        <f>maxifs('OTPI Scores'!A:A,'OTPI Scores'!C:C,P88)</f>
        <v>45388</v>
      </c>
      <c r="R88" s="3">
        <f t="shared" si="2"/>
        <v>1</v>
      </c>
    </row>
    <row r="89">
      <c r="H89" s="3" t="str">
        <f>IFERROR(__xludf.DUMMYFUNCTION("""COMPUTED_VALUE"""),"Lawrence Asante")</f>
        <v>Lawrence Asante</v>
      </c>
      <c r="I89" s="3" t="str">
        <f t="shared" si="1"/>
        <v>Lawrence Asante</v>
      </c>
      <c r="P89" s="3" t="str">
        <f>IFERROR(__xludf.DUMMYFUNCTION("""COMPUTED_VALUE"""),"Matt Crowe")</f>
        <v>Matt Crowe</v>
      </c>
      <c r="Q89" s="11">
        <f>maxifs('OTPI Scores'!A:A,'OTPI Scores'!C:C,P89)</f>
        <v>45388</v>
      </c>
      <c r="R89" s="3">
        <f t="shared" si="2"/>
        <v>1</v>
      </c>
    </row>
    <row r="90">
      <c r="H90" s="3" t="str">
        <f>IFERROR(__xludf.DUMMYFUNCTION("""COMPUTED_VALUE"""),"Lee Clark")</f>
        <v>Lee Clark</v>
      </c>
      <c r="I90" s="3" t="str">
        <f t="shared" si="1"/>
        <v>Lee Clark</v>
      </c>
      <c r="P90" s="3" t="str">
        <f>IFERROR(__xludf.DUMMYFUNCTION("""COMPUTED_VALUE"""),"Matt Hope")</f>
        <v>Matt Hope</v>
      </c>
      <c r="Q90" s="11">
        <f>maxifs('OTPI Scores'!A:A,'OTPI Scores'!C:C,P90)</f>
        <v>45297</v>
      </c>
      <c r="R90" s="3">
        <f t="shared" si="2"/>
        <v>1</v>
      </c>
    </row>
    <row r="91">
      <c r="H91" s="3" t="str">
        <f>IFERROR(__xludf.DUMMYFUNCTION("""COMPUTED_VALUE"""),"Leigh Cremin")</f>
        <v>Leigh Cremin</v>
      </c>
      <c r="I91" s="3" t="str">
        <f t="shared" si="1"/>
        <v>Leigh Cremin</v>
      </c>
      <c r="P91" s="3" t="str">
        <f>IFERROR(__xludf.DUMMYFUNCTION("""COMPUTED_VALUE"""),"Matthew Thomas")</f>
        <v>Matthew Thomas</v>
      </c>
      <c r="Q91" s="11">
        <f>maxifs('OTPI Scores'!A:A,'OTPI Scores'!C:C,P91)</f>
        <v>45388</v>
      </c>
      <c r="R91" s="3">
        <f t="shared" si="2"/>
        <v>1</v>
      </c>
    </row>
    <row r="92">
      <c r="H92" s="3" t="str">
        <f>IFERROR(__xludf.DUMMYFUNCTION("""COMPUTED_VALUE"""),"Leuman Coronado")</f>
        <v>Leuman Coronado</v>
      </c>
      <c r="I92" s="3" t="str">
        <f t="shared" si="1"/>
        <v>Leuman Coronado</v>
      </c>
      <c r="P92" s="3" t="str">
        <f>IFERROR(__xludf.DUMMYFUNCTION("""COMPUTED_VALUE"""),"Max Miles")</f>
        <v>Max Miles</v>
      </c>
      <c r="Q92" s="11">
        <f>maxifs('OTPI Scores'!A:A,'OTPI Scores'!C:C,P92)</f>
        <v>45388</v>
      </c>
      <c r="R92" s="3">
        <f t="shared" si="2"/>
        <v>1</v>
      </c>
    </row>
    <row r="93">
      <c r="H93" s="3" t="str">
        <f>IFERROR(__xludf.DUMMYFUNCTION("""COMPUTED_VALUE"""),"Lewis Anderson")</f>
        <v>Lewis Anderson</v>
      </c>
      <c r="I93" s="3" t="str">
        <f t="shared" si="1"/>
        <v>Lewis Anderson</v>
      </c>
      <c r="P93" s="3" t="str">
        <f>IFERROR(__xludf.DUMMYFUNCTION("""COMPUTED_VALUE"""),"Max Watson")</f>
        <v>Max Watson</v>
      </c>
      <c r="Q93" s="11">
        <f>maxifs('OTPI Scores'!A:A,'OTPI Scores'!C:C,P93)</f>
        <v>45388</v>
      </c>
      <c r="R93" s="3">
        <f t="shared" si="2"/>
        <v>1</v>
      </c>
    </row>
    <row r="94">
      <c r="H94" s="3" t="str">
        <f>IFERROR(__xludf.DUMMYFUNCTION("""COMPUTED_VALUE"""),"Luke Dyges")</f>
        <v>Luke Dyges</v>
      </c>
      <c r="I94" s="3" t="str">
        <f t="shared" si="1"/>
        <v>Luke Dyges</v>
      </c>
      <c r="P94" s="3" t="str">
        <f>IFERROR(__xludf.DUMMYFUNCTION("""COMPUTED_VALUE"""),"Micah Pinnock")</f>
        <v>Micah Pinnock</v>
      </c>
      <c r="Q94" s="11">
        <f>maxifs('OTPI Scores'!A:A,'OTPI Scores'!C:C,P94)</f>
        <v>45360</v>
      </c>
      <c r="R94" s="3">
        <f t="shared" si="2"/>
        <v>1</v>
      </c>
    </row>
    <row r="95">
      <c r="H95" s="3" t="str">
        <f>IFERROR(__xludf.DUMMYFUNCTION("""COMPUTED_VALUE"""),"Mark Roberts")</f>
        <v>Mark Roberts</v>
      </c>
      <c r="I95" s="3" t="str">
        <f t="shared" si="1"/>
        <v>Mark Roberts</v>
      </c>
      <c r="P95" s="3" t="str">
        <f>IFERROR(__xludf.DUMMYFUNCTION("""COMPUTED_VALUE"""),"Nathan Baverstock")</f>
        <v>Nathan Baverstock</v>
      </c>
      <c r="Q95" s="11">
        <f>maxifs('OTPI Scores'!A:A,'OTPI Scores'!C:C,P95)</f>
        <v>45388</v>
      </c>
      <c r="R95" s="3">
        <f t="shared" si="2"/>
        <v>1</v>
      </c>
    </row>
    <row r="96">
      <c r="H96" s="3" t="str">
        <f>IFERROR(__xludf.DUMMYFUNCTION("""COMPUTED_VALUE"""),"Martin Goodson")</f>
        <v>Martin Goodson</v>
      </c>
      <c r="I96" s="3" t="str">
        <f t="shared" si="1"/>
        <v>Martin Goodson</v>
      </c>
      <c r="P96" s="3" t="str">
        <f>IFERROR(__xludf.DUMMYFUNCTION("""COMPUTED_VALUE"""),"Nathan Nzau")</f>
        <v>Nathan Nzau</v>
      </c>
      <c r="Q96" s="11">
        <f>maxifs('OTPI Scores'!A:A,'OTPI Scores'!C:C,P96)</f>
        <v>45360</v>
      </c>
      <c r="R96" s="3">
        <f t="shared" si="2"/>
        <v>1</v>
      </c>
    </row>
    <row r="97">
      <c r="H97" s="3" t="str">
        <f>IFERROR(__xludf.DUMMYFUNCTION("""COMPUTED_VALUE"""),"Masood Hamidi")</f>
        <v>Masood Hamidi</v>
      </c>
      <c r="I97" s="3" t="str">
        <f t="shared" si="1"/>
        <v>Masood Hamidi</v>
      </c>
      <c r="P97" s="3" t="str">
        <f>IFERROR(__xludf.DUMMYFUNCTION("""COMPUTED_VALUE"""),"Niall Wootten")</f>
        <v>Niall Wootten</v>
      </c>
      <c r="Q97" s="11">
        <f>maxifs('OTPI Scores'!A:A,'OTPI Scores'!C:C,P97)</f>
        <v>45388</v>
      </c>
      <c r="R97" s="3">
        <f t="shared" si="2"/>
        <v>1</v>
      </c>
    </row>
    <row r="98">
      <c r="H98" s="3" t="str">
        <f>IFERROR(__xludf.DUMMYFUNCTION("""COMPUTED_VALUE"""),"Matt Crowe")</f>
        <v>Matt Crowe</v>
      </c>
      <c r="I98" s="3" t="str">
        <f t="shared" si="1"/>
        <v>Matt Crowe</v>
      </c>
      <c r="P98" s="3" t="str">
        <f>IFERROR(__xludf.DUMMYFUNCTION("""COMPUTED_VALUE"""),"Nick Chimonides")</f>
        <v>Nick Chimonides</v>
      </c>
      <c r="Q98" s="11">
        <f>maxifs('OTPI Scores'!A:A,'OTPI Scores'!C:C,P98)</f>
        <v>45388</v>
      </c>
      <c r="R98" s="3">
        <f t="shared" si="2"/>
        <v>1</v>
      </c>
    </row>
    <row r="99">
      <c r="H99" s="3" t="str">
        <f>IFERROR(__xludf.DUMMYFUNCTION("""COMPUTED_VALUE"""),"Matt Hope")</f>
        <v>Matt Hope</v>
      </c>
      <c r="I99" s="3" t="str">
        <f t="shared" si="1"/>
        <v>Matt Hope</v>
      </c>
      <c r="P99" s="3" t="str">
        <f>IFERROR(__xludf.DUMMYFUNCTION("""COMPUTED_VALUE"""),"Nima Naghdi")</f>
        <v>Nima Naghdi</v>
      </c>
      <c r="Q99" s="11">
        <f>maxifs('OTPI Scores'!A:A,'OTPI Scores'!C:C,P99)</f>
        <v>45388</v>
      </c>
      <c r="R99" s="3">
        <f t="shared" si="2"/>
        <v>1</v>
      </c>
    </row>
    <row r="100">
      <c r="H100" s="3" t="str">
        <f>IFERROR(__xludf.DUMMYFUNCTION("""COMPUTED_VALUE"""),"Matthew Thomas")</f>
        <v>Matthew Thomas</v>
      </c>
      <c r="I100" s="3" t="str">
        <f t="shared" si="1"/>
        <v>Matthew Thomas</v>
      </c>
      <c r="P100" s="3" t="str">
        <f>IFERROR(__xludf.DUMMYFUNCTION("""COMPUTED_VALUE"""),"Oli Barton")</f>
        <v>Oli Barton</v>
      </c>
      <c r="Q100" s="11">
        <f>maxifs('OTPI Scores'!A:A,'OTPI Scores'!C:C,P100)</f>
        <v>45360</v>
      </c>
      <c r="R100" s="3">
        <f t="shared" si="2"/>
        <v>1</v>
      </c>
    </row>
    <row r="101">
      <c r="H101" s="3" t="str">
        <f>IFERROR(__xludf.DUMMYFUNCTION("""COMPUTED_VALUE"""),"Max Miles")</f>
        <v>Max Miles</v>
      </c>
      <c r="I101" s="3" t="str">
        <f t="shared" si="1"/>
        <v>Max Miles</v>
      </c>
      <c r="P101" s="3" t="str">
        <f>IFERROR(__xludf.DUMMYFUNCTION("""COMPUTED_VALUE"""),"Oliver Golzari")</f>
        <v>Oliver Golzari</v>
      </c>
      <c r="Q101" s="11">
        <f>maxifs('OTPI Scores'!A:A,'OTPI Scores'!C:C,P101)</f>
        <v>45220</v>
      </c>
      <c r="R101" s="3">
        <f t="shared" si="2"/>
        <v>0</v>
      </c>
    </row>
    <row r="102">
      <c r="H102" s="3" t="str">
        <f>IFERROR(__xludf.DUMMYFUNCTION("""COMPUTED_VALUE"""),"Max Watson")</f>
        <v>Max Watson</v>
      </c>
      <c r="I102" s="3" t="str">
        <f t="shared" si="1"/>
        <v>Max Watson</v>
      </c>
      <c r="P102" s="3" t="str">
        <f>IFERROR(__xludf.DUMMYFUNCTION("""COMPUTED_VALUE"""),"Ollie Sewell")</f>
        <v>Ollie Sewell</v>
      </c>
      <c r="Q102" s="11">
        <f>maxifs('OTPI Scores'!A:A,'OTPI Scores'!C:C,P102)</f>
        <v>45388</v>
      </c>
      <c r="R102" s="3">
        <f t="shared" si="2"/>
        <v>1</v>
      </c>
    </row>
    <row r="103">
      <c r="H103" s="3" t="str">
        <f>IFERROR(__xludf.DUMMYFUNCTION("""COMPUTED_VALUE"""),"Micah Pinnock")</f>
        <v>Micah Pinnock</v>
      </c>
      <c r="I103" s="3" t="str">
        <f t="shared" si="1"/>
        <v>Micah Pinnock</v>
      </c>
      <c r="P103" s="3" t="str">
        <f>IFERROR(__xludf.DUMMYFUNCTION("""COMPUTED_VALUE"""),"Paddy Troy")</f>
        <v>Paddy Troy</v>
      </c>
      <c r="Q103" s="11">
        <f>maxifs('OTPI Scores'!A:A,'OTPI Scores'!C:C,P103)</f>
        <v>45388</v>
      </c>
      <c r="R103" s="3">
        <f t="shared" si="2"/>
        <v>1</v>
      </c>
    </row>
    <row r="104">
      <c r="H104" s="3" t="str">
        <f>IFERROR(__xludf.DUMMYFUNCTION("""COMPUTED_VALUE"""),"Nathan Baverstock")</f>
        <v>Nathan Baverstock</v>
      </c>
      <c r="I104" s="3" t="str">
        <f t="shared" si="1"/>
        <v>Nathan Baverstock</v>
      </c>
      <c r="P104" s="3" t="str">
        <f>IFERROR(__xludf.DUMMYFUNCTION("""COMPUTED_VALUE"""),"Parimal Patel")</f>
        <v>Parimal Patel</v>
      </c>
      <c r="Q104" s="11">
        <f>maxifs('OTPI Scores'!A:A,'OTPI Scores'!C:C,P104)</f>
        <v>45388</v>
      </c>
      <c r="R104" s="3">
        <f t="shared" si="2"/>
        <v>1</v>
      </c>
    </row>
    <row r="105">
      <c r="H105" s="3" t="str">
        <f>IFERROR(__xludf.DUMMYFUNCTION("""COMPUTED_VALUE"""),"Nathan Nzau")</f>
        <v>Nathan Nzau</v>
      </c>
      <c r="I105" s="3" t="str">
        <f t="shared" si="1"/>
        <v>Nathan Nzau</v>
      </c>
      <c r="P105" s="3" t="str">
        <f>IFERROR(__xludf.DUMMYFUNCTION("""COMPUTED_VALUE"""),"Paul Ball")</f>
        <v>Paul Ball</v>
      </c>
      <c r="Q105" s="11">
        <f>maxifs('OTPI Scores'!A:A,'OTPI Scores'!C:C,P105)</f>
        <v>45388</v>
      </c>
      <c r="R105" s="3">
        <f t="shared" si="2"/>
        <v>1</v>
      </c>
    </row>
    <row r="106">
      <c r="H106" s="3" t="str">
        <f>IFERROR(__xludf.DUMMYFUNCTION("""COMPUTED_VALUE"""),"Niall Wootten")</f>
        <v>Niall Wootten</v>
      </c>
      <c r="I106" s="3" t="str">
        <f t="shared" si="1"/>
        <v>Niall Wootten</v>
      </c>
      <c r="P106" s="3" t="str">
        <f>IFERROR(__xludf.DUMMYFUNCTION("""COMPUTED_VALUE"""),"Pearl Bakengela")</f>
        <v>Pearl Bakengela</v>
      </c>
      <c r="Q106" s="11">
        <f>maxifs('OTPI Scores'!A:A,'OTPI Scores'!C:C,P106)</f>
        <v>45367</v>
      </c>
      <c r="R106" s="3">
        <f t="shared" si="2"/>
        <v>1</v>
      </c>
    </row>
    <row r="107">
      <c r="H107" s="3" t="str">
        <f>IFERROR(__xludf.DUMMYFUNCTION("""COMPUTED_VALUE"""),"Nick Chimonides")</f>
        <v>Nick Chimonides</v>
      </c>
      <c r="I107" s="3" t="str">
        <f t="shared" si="1"/>
        <v>Nick Chimonides</v>
      </c>
      <c r="P107" s="3" t="str">
        <f>IFERROR(__xludf.DUMMYFUNCTION("""COMPUTED_VALUE"""),"Peter Green")</f>
        <v>Peter Green</v>
      </c>
      <c r="Q107" s="11">
        <f>maxifs('OTPI Scores'!A:A,'OTPI Scores'!C:C,P107)</f>
        <v>45360</v>
      </c>
      <c r="R107" s="3">
        <f t="shared" si="2"/>
        <v>1</v>
      </c>
    </row>
    <row r="108">
      <c r="H108" s="3" t="str">
        <f>IFERROR(__xludf.DUMMYFUNCTION("""COMPUTED_VALUE"""),"Nima Naghdi")</f>
        <v>Nima Naghdi</v>
      </c>
      <c r="I108" s="3" t="str">
        <f t="shared" si="1"/>
        <v>Nima Naghdi</v>
      </c>
      <c r="P108" s="3" t="str">
        <f>IFERROR(__xludf.DUMMYFUNCTION("""COMPUTED_VALUE"""),"Pierce Bennett")</f>
        <v>Pierce Bennett</v>
      </c>
      <c r="Q108" s="11">
        <f>maxifs('OTPI Scores'!A:A,'OTPI Scores'!C:C,P108)</f>
        <v>45374</v>
      </c>
      <c r="R108" s="3">
        <f t="shared" si="2"/>
        <v>1</v>
      </c>
    </row>
    <row r="109">
      <c r="H109" s="3" t="str">
        <f>IFERROR(__xludf.DUMMYFUNCTION("""COMPUTED_VALUE"""),"Oli Barton")</f>
        <v>Oli Barton</v>
      </c>
      <c r="I109" s="3" t="str">
        <f t="shared" si="1"/>
        <v>Oli Barton</v>
      </c>
      <c r="P109" s="3" t="str">
        <f>IFERROR(__xludf.DUMMYFUNCTION("""COMPUTED_VALUE"""),"Raj Ramful")</f>
        <v>Raj Ramful</v>
      </c>
      <c r="Q109" s="11">
        <f>maxifs('OTPI Scores'!A:A,'OTPI Scores'!C:C,P109)</f>
        <v>45360</v>
      </c>
      <c r="R109" s="3">
        <f t="shared" si="2"/>
        <v>1</v>
      </c>
    </row>
    <row r="110">
      <c r="H110" s="3" t="str">
        <f>IFERROR(__xludf.DUMMYFUNCTION("""COMPUTED_VALUE"""),"Oliver Golzari")</f>
        <v>Oliver Golzari</v>
      </c>
      <c r="I110" s="3" t="str">
        <f t="shared" si="1"/>
        <v>Oliver Golzari</v>
      </c>
      <c r="P110" s="3" t="str">
        <f>IFERROR(__xludf.DUMMYFUNCTION("""COMPUTED_VALUE"""),"Rich Lundie")</f>
        <v>Rich Lundie</v>
      </c>
      <c r="Q110" s="11">
        <f>maxifs('OTPI Scores'!A:A,'OTPI Scores'!C:C,P110)</f>
        <v>45374</v>
      </c>
      <c r="R110" s="3">
        <f t="shared" si="2"/>
        <v>1</v>
      </c>
    </row>
    <row r="111">
      <c r="H111" s="3" t="str">
        <f>IFERROR(__xludf.DUMMYFUNCTION("""COMPUTED_VALUE"""),"Ollie Sewell")</f>
        <v>Ollie Sewell</v>
      </c>
      <c r="I111" s="3" t="str">
        <f t="shared" si="1"/>
        <v>Ollie Sewell</v>
      </c>
      <c r="P111" s="3" t="str">
        <f>IFERROR(__xludf.DUMMYFUNCTION("""COMPUTED_VALUE"""),"Richard Jones")</f>
        <v>Richard Jones</v>
      </c>
      <c r="Q111" s="11">
        <f>maxifs('OTPI Scores'!A:A,'OTPI Scores'!C:C,P111)</f>
        <v>45388</v>
      </c>
      <c r="R111" s="3">
        <f t="shared" si="2"/>
        <v>1</v>
      </c>
    </row>
    <row r="112">
      <c r="H112" s="3" t="str">
        <f>IFERROR(__xludf.DUMMYFUNCTION("""COMPUTED_VALUE"""),"Paddy Troy")</f>
        <v>Paddy Troy</v>
      </c>
      <c r="I112" s="3" t="str">
        <f t="shared" si="1"/>
        <v>Paddy Troy</v>
      </c>
      <c r="P112" s="3" t="str">
        <f>IFERROR(__xludf.DUMMYFUNCTION("""COMPUTED_VALUE"""),"Richard Scott")</f>
        <v>Richard Scott</v>
      </c>
      <c r="Q112" s="11">
        <f>maxifs('OTPI Scores'!A:A,'OTPI Scores'!C:C,P112)</f>
        <v>45318</v>
      </c>
      <c r="R112" s="3">
        <f t="shared" si="2"/>
        <v>1</v>
      </c>
    </row>
    <row r="113">
      <c r="H113" s="3" t="str">
        <f>IFERROR(__xludf.DUMMYFUNCTION("""COMPUTED_VALUE"""),"Parimal Patel")</f>
        <v>Parimal Patel</v>
      </c>
      <c r="I113" s="3" t="str">
        <f t="shared" si="1"/>
        <v>Parimal Patel</v>
      </c>
      <c r="P113" s="3" t="str">
        <f>IFERROR(__xludf.DUMMYFUNCTION("""COMPUTED_VALUE"""),"Rob Edmonds")</f>
        <v>Rob Edmonds</v>
      </c>
      <c r="Q113" s="11">
        <f>maxifs('OTPI Scores'!A:A,'OTPI Scores'!C:C,P113)</f>
        <v>45367</v>
      </c>
      <c r="R113" s="3">
        <f t="shared" si="2"/>
        <v>1</v>
      </c>
    </row>
    <row r="114">
      <c r="H114" s="3" t="str">
        <f>IFERROR(__xludf.DUMMYFUNCTION("""COMPUTED_VALUE"""),"Paul Ball")</f>
        <v>Paul Ball</v>
      </c>
      <c r="I114" s="3" t="str">
        <f t="shared" si="1"/>
        <v>Paul Ball</v>
      </c>
      <c r="P114" s="3" t="str">
        <f>IFERROR(__xludf.DUMMYFUNCTION("""COMPUTED_VALUE"""),"Ryan Cochrane")</f>
        <v>Ryan Cochrane</v>
      </c>
      <c r="Q114" s="11">
        <f>maxifs('OTPI Scores'!A:A,'OTPI Scores'!C:C,P114)</f>
        <v>45339</v>
      </c>
      <c r="R114" s="3">
        <f t="shared" si="2"/>
        <v>1</v>
      </c>
    </row>
    <row r="115">
      <c r="H115" s="3" t="str">
        <f>IFERROR(__xludf.DUMMYFUNCTION("""COMPUTED_VALUE"""),"Pearl Bakengela")</f>
        <v>Pearl Bakengela</v>
      </c>
      <c r="I115" s="3" t="str">
        <f t="shared" si="1"/>
        <v>Pearl Bakengela</v>
      </c>
      <c r="P115" s="3" t="str">
        <f>IFERROR(__xludf.DUMMYFUNCTION("""COMPUTED_VALUE"""),"Sam A'Court")</f>
        <v>Sam A'Court</v>
      </c>
      <c r="Q115" s="11">
        <f>maxifs('OTPI Scores'!A:A,'OTPI Scores'!C:C,P115)</f>
        <v>45388</v>
      </c>
      <c r="R115" s="3">
        <f t="shared" si="2"/>
        <v>1</v>
      </c>
    </row>
    <row r="116">
      <c r="H116" s="3" t="str">
        <f>IFERROR(__xludf.DUMMYFUNCTION("""COMPUTED_VALUE"""),"Peter Green")</f>
        <v>Peter Green</v>
      </c>
      <c r="I116" s="3" t="str">
        <f t="shared" si="1"/>
        <v>Peter Green</v>
      </c>
      <c r="P116" s="3" t="str">
        <f>IFERROR(__xludf.DUMMYFUNCTION("""COMPUTED_VALUE"""),"Sam Taylor")</f>
        <v>Sam Taylor</v>
      </c>
      <c r="Q116" s="11">
        <f>maxifs('OTPI Scores'!A:A,'OTPI Scores'!C:C,P116)</f>
        <v>0</v>
      </c>
      <c r="R116" s="3">
        <f t="shared" si="2"/>
        <v>0</v>
      </c>
    </row>
    <row r="117">
      <c r="H117" s="3" t="str">
        <f>IFERROR(__xludf.DUMMYFUNCTION("""COMPUTED_VALUE"""),"Pierce Bennett")</f>
        <v>Pierce Bennett</v>
      </c>
      <c r="I117" s="3" t="str">
        <f t="shared" si="1"/>
        <v>Pierce Bennett</v>
      </c>
      <c r="P117" s="3" t="str">
        <f>IFERROR(__xludf.DUMMYFUNCTION("""COMPUTED_VALUE"""),"Samuel Osewa")</f>
        <v>Samuel Osewa</v>
      </c>
      <c r="Q117" s="11">
        <f>maxifs('OTPI Scores'!A:A,'OTPI Scores'!C:C,P117)</f>
        <v>45325</v>
      </c>
      <c r="R117" s="3">
        <f t="shared" si="2"/>
        <v>1</v>
      </c>
    </row>
    <row r="118">
      <c r="H118" s="3" t="str">
        <f>IFERROR(__xludf.DUMMYFUNCTION("""COMPUTED_VALUE"""),"Raj Ramful")</f>
        <v>Raj Ramful</v>
      </c>
      <c r="I118" s="3" t="str">
        <f t="shared" si="1"/>
        <v>Raj Ramful</v>
      </c>
      <c r="P118" s="3" t="str">
        <f>IFERROR(__xludf.DUMMYFUNCTION("""COMPUTED_VALUE"""),"Sean Rowlett")</f>
        <v>Sean Rowlett</v>
      </c>
      <c r="Q118" s="11">
        <f>maxifs('OTPI Scores'!A:A,'OTPI Scores'!C:C,P118)</f>
        <v>45388</v>
      </c>
      <c r="R118" s="3">
        <f t="shared" si="2"/>
        <v>1</v>
      </c>
    </row>
    <row r="119">
      <c r="H119" s="3" t="str">
        <f>IFERROR(__xludf.DUMMYFUNCTION("""COMPUTED_VALUE"""),"Rich Lundie")</f>
        <v>Rich Lundie</v>
      </c>
      <c r="I119" s="3" t="str">
        <f t="shared" si="1"/>
        <v>Rich Lundie</v>
      </c>
      <c r="P119" s="3" t="str">
        <f>IFERROR(__xludf.DUMMYFUNCTION("""COMPUTED_VALUE"""),"Seb Curle")</f>
        <v>Seb Curle</v>
      </c>
      <c r="Q119" s="11">
        <f>maxifs('OTPI Scores'!A:A,'OTPI Scores'!C:C,P119)</f>
        <v>45388</v>
      </c>
      <c r="R119" s="3">
        <f t="shared" si="2"/>
        <v>1</v>
      </c>
    </row>
    <row r="120">
      <c r="H120" s="3" t="str">
        <f>IFERROR(__xludf.DUMMYFUNCTION("""COMPUTED_VALUE"""),"Richard Jones")</f>
        <v>Richard Jones</v>
      </c>
      <c r="I120" s="3" t="str">
        <f t="shared" si="1"/>
        <v>Richard Jones</v>
      </c>
      <c r="P120" s="3" t="str">
        <f>IFERROR(__xludf.DUMMYFUNCTION("""COMPUTED_VALUE"""),"Shavon Muir")</f>
        <v>Shavon Muir</v>
      </c>
      <c r="Q120" s="11">
        <f>maxifs('OTPI Scores'!A:A,'OTPI Scores'!C:C,P120)</f>
        <v>45220</v>
      </c>
      <c r="R120" s="3">
        <f t="shared" si="2"/>
        <v>0</v>
      </c>
    </row>
    <row r="121">
      <c r="H121" s="3" t="str">
        <f>IFERROR(__xludf.DUMMYFUNCTION("""COMPUTED_VALUE"""),"Richard Scott")</f>
        <v>Richard Scott</v>
      </c>
      <c r="I121" s="3" t="str">
        <f t="shared" si="1"/>
        <v>Richard Scott</v>
      </c>
      <c r="P121" s="3" t="str">
        <f>IFERROR(__xludf.DUMMYFUNCTION("""COMPUTED_VALUE"""),"Sid Nayaar")</f>
        <v>Sid Nayaar</v>
      </c>
      <c r="Q121" s="11">
        <f>maxifs('OTPI Scores'!A:A,'OTPI Scores'!C:C,P121)</f>
        <v>45325</v>
      </c>
      <c r="R121" s="3">
        <f t="shared" si="2"/>
        <v>1</v>
      </c>
    </row>
    <row r="122">
      <c r="H122" s="3" t="str">
        <f>IFERROR(__xludf.DUMMYFUNCTION("""COMPUTED_VALUE"""),"Rob Edmonds")</f>
        <v>Rob Edmonds</v>
      </c>
      <c r="I122" s="3" t="str">
        <f t="shared" si="1"/>
        <v>Rob Edmonds</v>
      </c>
      <c r="P122" s="3" t="str">
        <f>IFERROR(__xludf.DUMMYFUNCTION("""COMPUTED_VALUE"""),"Sidney Hopper-Kelly")</f>
        <v>Sidney Hopper-Kelly</v>
      </c>
      <c r="Q122" s="11">
        <f>maxifs('OTPI Scores'!A:A,'OTPI Scores'!C:C,P122)</f>
        <v>45388</v>
      </c>
      <c r="R122" s="3">
        <f t="shared" si="2"/>
        <v>1</v>
      </c>
    </row>
    <row r="123">
      <c r="H123" s="3" t="str">
        <f>IFERROR(__xludf.DUMMYFUNCTION("""COMPUTED_VALUE"""),"Ryan Cochrane")</f>
        <v>Ryan Cochrane</v>
      </c>
      <c r="I123" s="3" t="str">
        <f t="shared" si="1"/>
        <v>Ryan Cochrane</v>
      </c>
      <c r="P123" s="3" t="str">
        <f>IFERROR(__xludf.DUMMYFUNCTION("""COMPUTED_VALUE"""),"Stanley Timms")</f>
        <v>Stanley Timms</v>
      </c>
      <c r="Q123" s="11">
        <f>maxifs('OTPI Scores'!A:A,'OTPI Scores'!C:C,P123)</f>
        <v>45388</v>
      </c>
      <c r="R123" s="3">
        <f t="shared" si="2"/>
        <v>1</v>
      </c>
    </row>
    <row r="124">
      <c r="H124" s="3" t="str">
        <f>IFERROR(__xludf.DUMMYFUNCTION("""COMPUTED_VALUE"""),"Sam A'Court")</f>
        <v>Sam A'Court</v>
      </c>
      <c r="I124" s="3" t="str">
        <f t="shared" si="1"/>
        <v>Sam A'Court</v>
      </c>
      <c r="P124" s="3" t="str">
        <f>IFERROR(__xludf.DUMMYFUNCTION("""COMPUTED_VALUE"""),"Stu Jordan")</f>
        <v>Stu Jordan</v>
      </c>
      <c r="Q124" s="11">
        <f>maxifs('OTPI Scores'!A:A,'OTPI Scores'!C:C,P124)</f>
        <v>45388</v>
      </c>
      <c r="R124" s="3">
        <f t="shared" si="2"/>
        <v>1</v>
      </c>
    </row>
    <row r="125">
      <c r="H125" s="3" t="str">
        <f>IFERROR(__xludf.DUMMYFUNCTION("""COMPUTED_VALUE"""),"Sam Taylor")</f>
        <v>Sam Taylor</v>
      </c>
      <c r="I125" s="3" t="str">
        <f t="shared" si="1"/>
        <v>Sam Taylor</v>
      </c>
      <c r="P125" s="3" t="str">
        <f>IFERROR(__xludf.DUMMYFUNCTION("""COMPUTED_VALUE"""),"Tali Kiwanuka")</f>
        <v>Tali Kiwanuka</v>
      </c>
      <c r="Q125" s="11">
        <f>maxifs('OTPI Scores'!A:A,'OTPI Scores'!C:C,P125)</f>
        <v>45388</v>
      </c>
      <c r="R125" s="3">
        <f t="shared" si="2"/>
        <v>1</v>
      </c>
    </row>
    <row r="126">
      <c r="H126" s="3" t="str">
        <f>IFERROR(__xludf.DUMMYFUNCTION("""COMPUTED_VALUE"""),"Samuel Osewa")</f>
        <v>Samuel Osewa</v>
      </c>
      <c r="I126" s="3" t="str">
        <f t="shared" si="1"/>
        <v>Samuel Osewa</v>
      </c>
      <c r="P126" s="3" t="str">
        <f>IFERROR(__xludf.DUMMYFUNCTION("""COMPUTED_VALUE"""),"Tam de Lacey")</f>
        <v>Tam de Lacey</v>
      </c>
      <c r="Q126" s="11">
        <f>maxifs('OTPI Scores'!A:A,'OTPI Scores'!C:C,P126)</f>
        <v>45388</v>
      </c>
      <c r="R126" s="3">
        <f t="shared" si="2"/>
        <v>1</v>
      </c>
    </row>
    <row r="127">
      <c r="H127" s="3" t="str">
        <f>IFERROR(__xludf.DUMMYFUNCTION("""COMPUTED_VALUE"""),"Sean Rowlett")</f>
        <v>Sean Rowlett</v>
      </c>
      <c r="I127" s="3" t="str">
        <f t="shared" si="1"/>
        <v>Sean Rowlett</v>
      </c>
      <c r="P127" s="3" t="str">
        <f>IFERROR(__xludf.DUMMYFUNCTION("""COMPUTED_VALUE"""),"Theo Horton")</f>
        <v>Theo Horton</v>
      </c>
      <c r="Q127" s="11">
        <f>maxifs('OTPI Scores'!A:A,'OTPI Scores'!C:C,P127)</f>
        <v>45388</v>
      </c>
      <c r="R127" s="3">
        <f t="shared" si="2"/>
        <v>1</v>
      </c>
    </row>
    <row r="128">
      <c r="H128" s="3" t="str">
        <f>IFERROR(__xludf.DUMMYFUNCTION("""COMPUTED_VALUE"""),"Seb Curle")</f>
        <v>Seb Curle</v>
      </c>
      <c r="I128" s="3" t="str">
        <f t="shared" si="1"/>
        <v>Seb Curle</v>
      </c>
      <c r="P128" s="3" t="str">
        <f>IFERROR(__xludf.DUMMYFUNCTION("""COMPUTED_VALUE"""),"Tom Davidson")</f>
        <v>Tom Davidson</v>
      </c>
      <c r="Q128" s="11">
        <f>maxifs('OTPI Scores'!A:A,'OTPI Scores'!C:C,P128)</f>
        <v>45339</v>
      </c>
      <c r="R128" s="3">
        <f t="shared" si="2"/>
        <v>1</v>
      </c>
    </row>
    <row r="129">
      <c r="H129" s="3" t="str">
        <f>IFERROR(__xludf.DUMMYFUNCTION("""COMPUTED_VALUE"""),"Shavon Muir")</f>
        <v>Shavon Muir</v>
      </c>
      <c r="I129" s="3" t="str">
        <f t="shared" si="1"/>
        <v>Shavon Muir</v>
      </c>
      <c r="P129" s="3" t="str">
        <f>IFERROR(__xludf.DUMMYFUNCTION("""COMPUTED_VALUE"""),"Tom Love")</f>
        <v>Tom Love</v>
      </c>
      <c r="Q129" s="11">
        <f>maxifs('OTPI Scores'!A:A,'OTPI Scores'!C:C,P129)</f>
        <v>45388</v>
      </c>
      <c r="R129" s="3">
        <f t="shared" si="2"/>
        <v>1</v>
      </c>
    </row>
    <row r="130">
      <c r="H130" s="3" t="str">
        <f>IFERROR(__xludf.DUMMYFUNCTION("""COMPUTED_VALUE"""),"Sid Nayaar")</f>
        <v>Sid Nayaar</v>
      </c>
      <c r="I130" s="3" t="str">
        <f t="shared" si="1"/>
        <v>Sid Nayaar</v>
      </c>
      <c r="P130" s="3" t="str">
        <f>IFERROR(__xludf.DUMMYFUNCTION("""COMPUTED_VALUE"""),"Tom Riley")</f>
        <v>Tom Riley</v>
      </c>
      <c r="Q130" s="11">
        <f>maxifs('OTPI Scores'!A:A,'OTPI Scores'!C:C,P130)</f>
        <v>45388</v>
      </c>
      <c r="R130" s="3">
        <f t="shared" si="2"/>
        <v>1</v>
      </c>
    </row>
    <row r="131">
      <c r="H131" s="3" t="str">
        <f>IFERROR(__xludf.DUMMYFUNCTION("""COMPUTED_VALUE"""),"Sidney Hopper-Kelly")</f>
        <v>Sidney Hopper-Kelly</v>
      </c>
      <c r="I131" s="3" t="str">
        <f t="shared" si="1"/>
        <v>Sidney Hopper-Kelly</v>
      </c>
      <c r="P131" s="3" t="str">
        <f>IFERROR(__xludf.DUMMYFUNCTION("""COMPUTED_VALUE"""),"Tom Taylor")</f>
        <v>Tom Taylor</v>
      </c>
      <c r="Q131" s="11">
        <f>maxifs('OTPI Scores'!A:A,'OTPI Scores'!C:C,P131)</f>
        <v>45388</v>
      </c>
      <c r="R131" s="3">
        <f t="shared" si="2"/>
        <v>1</v>
      </c>
    </row>
    <row r="132">
      <c r="H132" s="3" t="str">
        <f>IFERROR(__xludf.DUMMYFUNCTION("""COMPUTED_VALUE"""),"Stanley Timms")</f>
        <v>Stanley Timms</v>
      </c>
      <c r="I132" s="3" t="str">
        <f t="shared" si="1"/>
        <v>Stanley Timms</v>
      </c>
      <c r="P132" s="3" t="str">
        <f>IFERROR(__xludf.DUMMYFUNCTION("""COMPUTED_VALUE"""),"Will French")</f>
        <v>Will French</v>
      </c>
      <c r="Q132" s="11">
        <f>maxifs('OTPI Scores'!A:A,'OTPI Scores'!C:C,P132)</f>
        <v>45388</v>
      </c>
      <c r="R132" s="3">
        <f t="shared" si="2"/>
        <v>1</v>
      </c>
    </row>
    <row r="133">
      <c r="H133" s="3" t="str">
        <f>IFERROR(__xludf.DUMMYFUNCTION("""COMPUTED_VALUE"""),"Stu Jordan")</f>
        <v>Stu Jordan</v>
      </c>
      <c r="I133" s="3" t="str">
        <f t="shared" si="1"/>
        <v>Stu Jordan</v>
      </c>
      <c r="P133" s="3" t="str">
        <f>IFERROR(__xludf.DUMMYFUNCTION("""COMPUTED_VALUE"""),"Will Sollory")</f>
        <v>Will Sollory</v>
      </c>
      <c r="Q133" s="11">
        <f>maxifs('OTPI Scores'!A:A,'OTPI Scores'!C:C,P133)</f>
        <v>45332</v>
      </c>
      <c r="R133" s="3">
        <f t="shared" si="2"/>
        <v>1</v>
      </c>
    </row>
    <row r="134">
      <c r="H134" s="3" t="str">
        <f>IFERROR(__xludf.DUMMYFUNCTION("""COMPUTED_VALUE"""),"Tali Kiwanuka")</f>
        <v>Tali Kiwanuka</v>
      </c>
      <c r="I134" s="3" t="str">
        <f t="shared" si="1"/>
        <v>Tali Kiwanuka</v>
      </c>
      <c r="P134" s="3" t="str">
        <f>IFERROR(__xludf.DUMMYFUNCTION("""COMPUTED_VALUE"""),"Yemi Oviosu")</f>
        <v>Yemi Oviosu</v>
      </c>
      <c r="Q134" s="11">
        <f>maxifs('OTPI Scores'!A:A,'OTPI Scores'!C:C,P134)</f>
        <v>45388</v>
      </c>
      <c r="R134" s="3">
        <f t="shared" si="2"/>
        <v>1</v>
      </c>
    </row>
    <row r="135">
      <c r="H135" s="3" t="str">
        <f>IFERROR(__xludf.DUMMYFUNCTION("""COMPUTED_VALUE"""),"Tam de Lacey")</f>
        <v>Tam de Lacey</v>
      </c>
      <c r="I135" s="3" t="str">
        <f t="shared" si="1"/>
        <v>Tam de Lacey</v>
      </c>
      <c r="Q135" s="11">
        <f>maxifs('OTPI Scores'!A:A,'OTPI Scores'!C:C,P135)</f>
        <v>0</v>
      </c>
      <c r="R135" s="3">
        <f t="shared" si="2"/>
        <v>0</v>
      </c>
    </row>
    <row r="136">
      <c r="H136" s="3" t="str">
        <f>IFERROR(__xludf.DUMMYFUNCTION("""COMPUTED_VALUE"""),"Theo Horton")</f>
        <v>Theo Horton</v>
      </c>
      <c r="I136" s="3" t="str">
        <f t="shared" si="1"/>
        <v>Theo Horton</v>
      </c>
      <c r="Q136" s="11">
        <f>maxifs('OTPI Scores'!A:A,'OTPI Scores'!C:C,P136)</f>
        <v>0</v>
      </c>
      <c r="R136" s="3">
        <f t="shared" si="2"/>
        <v>0</v>
      </c>
    </row>
    <row r="137">
      <c r="H137" s="3" t="str">
        <f>IFERROR(__xludf.DUMMYFUNCTION("""COMPUTED_VALUE"""),"Tom Davidson")</f>
        <v>Tom Davidson</v>
      </c>
      <c r="I137" s="3" t="str">
        <f t="shared" si="1"/>
        <v>Tom Davidson</v>
      </c>
      <c r="Q137" s="11">
        <f>maxifs('OTPI Scores'!A:A,'OTPI Scores'!C:C,P137)</f>
        <v>0</v>
      </c>
      <c r="R137" s="3">
        <f t="shared" si="2"/>
        <v>0</v>
      </c>
    </row>
    <row r="138">
      <c r="H138" s="3" t="str">
        <f>IFERROR(__xludf.DUMMYFUNCTION("""COMPUTED_VALUE"""),"Tom Love")</f>
        <v>Tom Love</v>
      </c>
      <c r="I138" s="3" t="str">
        <f t="shared" si="1"/>
        <v>Tom Love</v>
      </c>
      <c r="Q138" s="11">
        <f>maxifs('OTPI Scores'!A:A,'OTPI Scores'!C:C,P138)</f>
        <v>0</v>
      </c>
      <c r="R138" s="3">
        <f t="shared" si="2"/>
        <v>0</v>
      </c>
    </row>
    <row r="139">
      <c r="H139" s="3" t="str">
        <f>IFERROR(__xludf.DUMMYFUNCTION("""COMPUTED_VALUE"""),"Tom Riley")</f>
        <v>Tom Riley</v>
      </c>
      <c r="I139" s="3" t="str">
        <f t="shared" si="1"/>
        <v>Tom Riley</v>
      </c>
      <c r="Q139" s="11">
        <f>maxifs('OTPI Scores'!A:A,'OTPI Scores'!C:C,P139)</f>
        <v>0</v>
      </c>
      <c r="R139" s="3">
        <f t="shared" si="2"/>
        <v>0</v>
      </c>
    </row>
    <row r="140">
      <c r="H140" s="3" t="str">
        <f>IFERROR(__xludf.DUMMYFUNCTION("""COMPUTED_VALUE"""),"Tom Taylor")</f>
        <v>Tom Taylor</v>
      </c>
      <c r="I140" s="3" t="str">
        <f t="shared" si="1"/>
        <v>Tom Taylor</v>
      </c>
      <c r="Q140" s="11">
        <f>maxifs('OTPI Scores'!A:A,'OTPI Scores'!C:C,P140)</f>
        <v>0</v>
      </c>
      <c r="R140" s="3">
        <f t="shared" si="2"/>
        <v>0</v>
      </c>
    </row>
    <row r="141">
      <c r="H141" s="3" t="str">
        <f>IFERROR(__xludf.DUMMYFUNCTION("""COMPUTED_VALUE"""),"Will French")</f>
        <v>Will French</v>
      </c>
      <c r="I141" s="3" t="str">
        <f t="shared" si="1"/>
        <v>Will French</v>
      </c>
    </row>
    <row r="142">
      <c r="H142" s="3" t="str">
        <f>IFERROR(__xludf.DUMMYFUNCTION("""COMPUTED_VALUE"""),"Will Sollory")</f>
        <v>Will Sollory</v>
      </c>
      <c r="I142" s="3" t="str">
        <f t="shared" si="1"/>
        <v>Will Sollory</v>
      </c>
    </row>
    <row r="143">
      <c r="H143" s="3" t="str">
        <f>IFERROR(__xludf.DUMMYFUNCTION("""COMPUTED_VALUE"""),"Yemi Oviosu")</f>
        <v>Yemi Oviosu</v>
      </c>
      <c r="I143" s="3" t="str">
        <f t="shared" si="1"/>
        <v>Yemi Oviosu</v>
      </c>
    </row>
    <row r="144">
      <c r="H144" s="3"/>
      <c r="I144" s="3" t="str">
        <f t="shared" si="1"/>
        <v/>
      </c>
    </row>
    <row r="145">
      <c r="I145" s="3" t="str">
        <f t="shared" si="1"/>
        <v/>
      </c>
    </row>
    <row r="146">
      <c r="I146" s="3" t="str">
        <f t="shared" si="1"/>
        <v/>
      </c>
    </row>
    <row r="147">
      <c r="I147" s="3" t="str">
        <f t="shared" si="1"/>
        <v/>
      </c>
    </row>
    <row r="148">
      <c r="I148" s="3" t="str">
        <f t="shared" si="1"/>
        <v/>
      </c>
    </row>
    <row r="149">
      <c r="I149" s="3" t="str">
        <f t="shared" si="1"/>
        <v/>
      </c>
    </row>
    <row r="150">
      <c r="I150" s="3" t="str">
        <f t="shared" si="1"/>
        <v/>
      </c>
    </row>
    <row r="151">
      <c r="I151" s="3" t="str">
        <f t="shared" si="1"/>
        <v/>
      </c>
    </row>
    <row r="152">
      <c r="I152" s="3" t="str">
        <f t="shared" si="1"/>
        <v/>
      </c>
    </row>
    <row r="153">
      <c r="I153" s="3" t="str">
        <f t="shared" si="1"/>
        <v/>
      </c>
    </row>
    <row r="154">
      <c r="I154" s="3" t="str">
        <f t="shared" si="1"/>
        <v/>
      </c>
    </row>
    <row r="155">
      <c r="I155" s="3" t="str">
        <f t="shared" si="1"/>
        <v/>
      </c>
    </row>
    <row r="156">
      <c r="I156" s="3" t="str">
        <f t="shared" si="1"/>
        <v/>
      </c>
    </row>
    <row r="157">
      <c r="I157" s="3" t="str">
        <f t="shared" si="1"/>
        <v/>
      </c>
    </row>
    <row r="158">
      <c r="I158" s="3" t="str">
        <f t="shared" si="1"/>
        <v/>
      </c>
    </row>
    <row r="159">
      <c r="I159" s="3" t="str">
        <f t="shared" si="1"/>
        <v/>
      </c>
    </row>
    <row r="160">
      <c r="I160" s="3" t="str">
        <f t="shared" si="1"/>
        <v/>
      </c>
    </row>
    <row r="161">
      <c r="I161" s="3" t="str">
        <f t="shared" si="1"/>
        <v/>
      </c>
    </row>
    <row r="162">
      <c r="I162" s="3" t="str">
        <f t="shared" si="1"/>
        <v/>
      </c>
    </row>
    <row r="163">
      <c r="I163" s="3" t="str">
        <f t="shared" si="1"/>
        <v/>
      </c>
    </row>
    <row r="164">
      <c r="I164" s="3" t="str">
        <f t="shared" si="1"/>
        <v/>
      </c>
    </row>
    <row r="165">
      <c r="I165" s="3" t="str">
        <f t="shared" si="1"/>
        <v/>
      </c>
    </row>
    <row r="166">
      <c r="I166" s="3" t="str">
        <f t="shared" si="1"/>
        <v/>
      </c>
    </row>
    <row r="167">
      <c r="I167" s="3" t="str">
        <f t="shared" si="1"/>
        <v/>
      </c>
    </row>
    <row r="168">
      <c r="I168" s="3" t="str">
        <f t="shared" si="1"/>
        <v/>
      </c>
    </row>
    <row r="169">
      <c r="I169" s="3" t="str">
        <f t="shared" si="1"/>
        <v/>
      </c>
    </row>
    <row r="170">
      <c r="I170" s="3" t="str">
        <f t="shared" si="1"/>
        <v/>
      </c>
    </row>
    <row r="171">
      <c r="I171" s="3" t="str">
        <f t="shared" si="1"/>
        <v/>
      </c>
    </row>
    <row r="172">
      <c r="I172" s="3" t="str">
        <f t="shared" si="1"/>
        <v/>
      </c>
    </row>
    <row r="173">
      <c r="I173" s="3" t="str">
        <f t="shared" si="1"/>
        <v/>
      </c>
    </row>
    <row r="174">
      <c r="I174" s="3" t="str">
        <f t="shared" si="1"/>
        <v/>
      </c>
    </row>
    <row r="175">
      <c r="I175" s="3" t="str">
        <f t="shared" si="1"/>
        <v/>
      </c>
    </row>
    <row r="176">
      <c r="I176" s="3" t="str">
        <f t="shared" si="1"/>
        <v/>
      </c>
    </row>
    <row r="177">
      <c r="I177" s="3" t="str">
        <f t="shared" si="1"/>
        <v/>
      </c>
    </row>
    <row r="178">
      <c r="I178" s="3" t="str">
        <f t="shared" si="1"/>
        <v/>
      </c>
    </row>
    <row r="179">
      <c r="I179" s="3" t="str">
        <f t="shared" si="1"/>
        <v/>
      </c>
    </row>
    <row r="180">
      <c r="I180" s="3" t="str">
        <f t="shared" si="1"/>
        <v/>
      </c>
    </row>
    <row r="181">
      <c r="I181" s="3" t="str">
        <f t="shared" si="1"/>
        <v/>
      </c>
    </row>
    <row r="182">
      <c r="I182" s="3" t="str">
        <f t="shared" si="1"/>
        <v/>
      </c>
    </row>
    <row r="183">
      <c r="I183" s="3" t="str">
        <f t="shared" si="1"/>
        <v/>
      </c>
    </row>
    <row r="184">
      <c r="I184" s="3" t="str">
        <f t="shared" si="1"/>
        <v/>
      </c>
    </row>
    <row r="185">
      <c r="I185" s="3" t="str">
        <f t="shared" si="1"/>
        <v/>
      </c>
    </row>
    <row r="186">
      <c r="I186" s="3" t="str">
        <f t="shared" si="1"/>
        <v/>
      </c>
    </row>
    <row r="187">
      <c r="I187" s="3" t="str">
        <f t="shared" si="1"/>
        <v/>
      </c>
    </row>
    <row r="188">
      <c r="I188" s="3" t="str">
        <f t="shared" si="1"/>
        <v/>
      </c>
    </row>
    <row r="189">
      <c r="I189" s="3" t="str">
        <f t="shared" si="1"/>
        <v/>
      </c>
    </row>
    <row r="190">
      <c r="I190" s="3" t="str">
        <f t="shared" si="1"/>
        <v/>
      </c>
    </row>
    <row r="191">
      <c r="I191" s="3" t="str">
        <f t="shared" si="1"/>
        <v/>
      </c>
    </row>
    <row r="192">
      <c r="I192" s="3" t="str">
        <f t="shared" si="1"/>
        <v/>
      </c>
    </row>
    <row r="193">
      <c r="I193" s="3" t="str">
        <f t="shared" si="1"/>
        <v/>
      </c>
    </row>
    <row r="194">
      <c r="I194" s="3" t="str">
        <f t="shared" si="1"/>
        <v/>
      </c>
    </row>
    <row r="195">
      <c r="I195" s="3" t="str">
        <f t="shared" si="1"/>
        <v/>
      </c>
    </row>
    <row r="196">
      <c r="I196" s="3" t="str">
        <f t="shared" si="1"/>
        <v/>
      </c>
    </row>
    <row r="197">
      <c r="I197" s="3" t="str">
        <f t="shared" si="1"/>
        <v/>
      </c>
    </row>
    <row r="198">
      <c r="I198" s="3" t="str">
        <f t="shared" si="1"/>
        <v/>
      </c>
    </row>
    <row r="199">
      <c r="I199" s="3" t="str">
        <f t="shared" si="1"/>
        <v/>
      </c>
    </row>
    <row r="200">
      <c r="I200" s="3" t="str">
        <f t="shared" si="1"/>
        <v/>
      </c>
    </row>
    <row r="201">
      <c r="I201" s="3" t="str">
        <f t="shared" si="1"/>
        <v/>
      </c>
    </row>
    <row r="202">
      <c r="I202" s="3" t="str">
        <f t="shared" si="1"/>
        <v/>
      </c>
    </row>
    <row r="203">
      <c r="I203" s="3" t="str">
        <f t="shared" si="1"/>
        <v/>
      </c>
    </row>
    <row r="204">
      <c r="I204" s="3" t="str">
        <f t="shared" si="1"/>
        <v/>
      </c>
    </row>
    <row r="205">
      <c r="I205" s="3" t="str">
        <f t="shared" si="1"/>
        <v/>
      </c>
    </row>
    <row r="206">
      <c r="I206" s="3" t="str">
        <f t="shared" si="1"/>
        <v/>
      </c>
    </row>
    <row r="207">
      <c r="I207" s="3" t="str">
        <f t="shared" si="1"/>
        <v/>
      </c>
    </row>
    <row r="208">
      <c r="I208" s="3" t="str">
        <f t="shared" si="1"/>
        <v/>
      </c>
    </row>
    <row r="209">
      <c r="I209" s="3" t="str">
        <f t="shared" si="1"/>
        <v/>
      </c>
    </row>
    <row r="210">
      <c r="I210" s="3" t="str">
        <f t="shared" si="1"/>
        <v/>
      </c>
    </row>
    <row r="211">
      <c r="I211" s="3" t="str">
        <f t="shared" si="1"/>
        <v/>
      </c>
    </row>
    <row r="212">
      <c r="I212" s="3" t="str">
        <f t="shared" si="1"/>
        <v/>
      </c>
    </row>
    <row r="213">
      <c r="I213" s="3" t="str">
        <f t="shared" si="1"/>
        <v/>
      </c>
    </row>
    <row r="214">
      <c r="I214" s="3" t="str">
        <f t="shared" si="1"/>
        <v/>
      </c>
    </row>
    <row r="215">
      <c r="I215" s="3" t="str">
        <f t="shared" si="1"/>
        <v/>
      </c>
    </row>
    <row r="216">
      <c r="I216" s="3" t="str">
        <f t="shared" si="1"/>
        <v/>
      </c>
    </row>
    <row r="217">
      <c r="I217" s="3" t="str">
        <f t="shared" si="1"/>
        <v/>
      </c>
    </row>
    <row r="218">
      <c r="I218" s="3" t="str">
        <f t="shared" si="1"/>
        <v/>
      </c>
    </row>
    <row r="219">
      <c r="I219" s="3" t="str">
        <f t="shared" si="1"/>
        <v/>
      </c>
    </row>
    <row r="220">
      <c r="I220" s="3" t="str">
        <f t="shared" si="1"/>
        <v/>
      </c>
    </row>
    <row r="221">
      <c r="I221" s="3" t="str">
        <f t="shared" si="1"/>
        <v/>
      </c>
    </row>
    <row r="222">
      <c r="I222" s="3" t="str">
        <f t="shared" si="1"/>
        <v/>
      </c>
    </row>
    <row r="223">
      <c r="I223" s="3" t="str">
        <f t="shared" si="1"/>
        <v/>
      </c>
    </row>
    <row r="224">
      <c r="I224" s="3" t="str">
        <f t="shared" si="1"/>
        <v/>
      </c>
    </row>
    <row r="225">
      <c r="I225" s="3" t="str">
        <f t="shared" si="1"/>
        <v/>
      </c>
    </row>
    <row r="226">
      <c r="I226" s="3" t="str">
        <f t="shared" si="1"/>
        <v/>
      </c>
    </row>
    <row r="227">
      <c r="I227" s="3" t="str">
        <f t="shared" si="1"/>
        <v/>
      </c>
    </row>
    <row r="228">
      <c r="I228" s="3" t="str">
        <f t="shared" si="1"/>
        <v/>
      </c>
    </row>
    <row r="229">
      <c r="I229" s="3" t="str">
        <f t="shared" si="1"/>
        <v/>
      </c>
    </row>
    <row r="230">
      <c r="I230" s="3" t="str">
        <f t="shared" si="1"/>
        <v/>
      </c>
    </row>
    <row r="231">
      <c r="I231" s="3" t="str">
        <f t="shared" si="1"/>
        <v/>
      </c>
    </row>
    <row r="232">
      <c r="I232" s="3" t="str">
        <f t="shared" si="1"/>
        <v/>
      </c>
    </row>
    <row r="233">
      <c r="I233" s="3" t="str">
        <f t="shared" si="1"/>
        <v/>
      </c>
    </row>
    <row r="234">
      <c r="I234" s="3" t="str">
        <f t="shared" si="1"/>
        <v/>
      </c>
    </row>
    <row r="235">
      <c r="I235" s="3" t="str">
        <f t="shared" si="1"/>
        <v/>
      </c>
    </row>
    <row r="236">
      <c r="I236" s="3" t="str">
        <f t="shared" si="1"/>
        <v/>
      </c>
    </row>
    <row r="237">
      <c r="I237" s="3" t="str">
        <f t="shared" si="1"/>
        <v/>
      </c>
    </row>
    <row r="238">
      <c r="I238" s="3" t="str">
        <f t="shared" si="1"/>
        <v/>
      </c>
    </row>
    <row r="239">
      <c r="I239" s="3" t="str">
        <f t="shared" si="1"/>
        <v/>
      </c>
    </row>
    <row r="240">
      <c r="I240" s="3" t="str">
        <f t="shared" si="1"/>
        <v/>
      </c>
    </row>
    <row r="241">
      <c r="I241" s="3" t="str">
        <f t="shared" si="1"/>
        <v/>
      </c>
    </row>
    <row r="242">
      <c r="I242" s="3" t="str">
        <f t="shared" si="1"/>
        <v/>
      </c>
    </row>
    <row r="243">
      <c r="I243" s="3" t="str">
        <f t="shared" si="1"/>
        <v/>
      </c>
    </row>
    <row r="244">
      <c r="I244" s="3" t="str">
        <f t="shared" si="1"/>
        <v/>
      </c>
    </row>
    <row r="245">
      <c r="I245" s="3" t="str">
        <f t="shared" si="1"/>
        <v/>
      </c>
    </row>
    <row r="246">
      <c r="I246" s="3" t="str">
        <f t="shared" si="1"/>
        <v/>
      </c>
    </row>
    <row r="247">
      <c r="I247" s="3" t="str">
        <f t="shared" si="1"/>
        <v/>
      </c>
    </row>
    <row r="248">
      <c r="I248" s="3" t="str">
        <f t="shared" si="1"/>
        <v/>
      </c>
    </row>
    <row r="249">
      <c r="I249" s="3" t="str">
        <f t="shared" si="1"/>
        <v/>
      </c>
    </row>
    <row r="250">
      <c r="I250" s="3" t="str">
        <f t="shared" si="1"/>
        <v/>
      </c>
    </row>
    <row r="251">
      <c r="I251" s="3" t="str">
        <f t="shared" si="1"/>
        <v/>
      </c>
    </row>
    <row r="252">
      <c r="I252" s="3" t="str">
        <f t="shared" si="1"/>
        <v/>
      </c>
    </row>
    <row r="253">
      <c r="I253" s="3" t="str">
        <f t="shared" si="1"/>
        <v/>
      </c>
    </row>
    <row r="254">
      <c r="I254" s="3" t="str">
        <f t="shared" si="1"/>
        <v/>
      </c>
    </row>
    <row r="255">
      <c r="I255" s="3" t="str">
        <f t="shared" si="1"/>
        <v/>
      </c>
    </row>
    <row r="256">
      <c r="I256" s="3" t="str">
        <f t="shared" si="1"/>
        <v/>
      </c>
    </row>
    <row r="257">
      <c r="I257" s="3" t="str">
        <f t="shared" si="1"/>
        <v/>
      </c>
    </row>
    <row r="258">
      <c r="I258" s="3" t="str">
        <f t="shared" si="1"/>
        <v/>
      </c>
    </row>
    <row r="259">
      <c r="I259" s="3" t="str">
        <f t="shared" si="1"/>
        <v/>
      </c>
    </row>
    <row r="260">
      <c r="I260" s="3" t="str">
        <f t="shared" si="1"/>
        <v/>
      </c>
    </row>
    <row r="261">
      <c r="I261" s="3" t="str">
        <f t="shared" si="1"/>
        <v/>
      </c>
    </row>
    <row r="262">
      <c r="I262" s="3" t="str">
        <f t="shared" si="1"/>
        <v/>
      </c>
    </row>
    <row r="263">
      <c r="I263" s="3" t="str">
        <f t="shared" si="1"/>
        <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38"/>
  </cols>
  <sheetData>
    <row r="1">
      <c r="A1" s="2" t="str">
        <f>IFERROR(__xludf.DUMMYFUNCTION("query('OTPI Scores'!A:AC,""select C, Count(C), sum(H), sum(I), sum(R), sum(AA) WHERE C is not null and B!='Friendly' and AC=0 group by C order by sum(AA) Desc LABEL sum(AA) 'Points', sum(H) 'Goals', sum(I) 'Assists', Count(C) 'Appearances', sum(R) 'MOTM'"&amp;""")"),"Player Name")</f>
        <v>Player Name</v>
      </c>
      <c r="B1" s="3" t="str">
        <f>IFERROR(__xludf.DUMMYFUNCTION("""COMPUTED_VALUE"""),"Appearances")</f>
        <v>Appearances</v>
      </c>
      <c r="C1" s="3" t="str">
        <f>IFERROR(__xludf.DUMMYFUNCTION("""COMPUTED_VALUE"""),"Goals")</f>
        <v>Goals</v>
      </c>
      <c r="D1" s="3" t="str">
        <f>IFERROR(__xludf.DUMMYFUNCTION("""COMPUTED_VALUE"""),"Assists")</f>
        <v>Assists</v>
      </c>
      <c r="E1" s="2" t="str">
        <f>IFERROR(__xludf.DUMMYFUNCTION("""COMPUTED_VALUE"""),"MOTM")</f>
        <v>MOTM</v>
      </c>
      <c r="F1" s="3" t="str">
        <f>IFERROR(__xludf.DUMMYFUNCTION("""COMPUTED_VALUE"""),"Points")</f>
        <v>Points</v>
      </c>
      <c r="G1" s="1" t="s">
        <v>0</v>
      </c>
    </row>
    <row r="2">
      <c r="A2" s="3" t="str">
        <f>IFERROR(__xludf.DUMMYFUNCTION("""COMPUTED_VALUE"""),"Josh Sherriff-Jolly")</f>
        <v>Josh Sherriff-Jolly</v>
      </c>
      <c r="B2" s="3">
        <f>IFERROR(__xludf.DUMMYFUNCTION("""COMPUTED_VALUE"""),19.0)</f>
        <v>19</v>
      </c>
      <c r="C2" s="3">
        <f>IFERROR(__xludf.DUMMYFUNCTION("""COMPUTED_VALUE"""),10.0)</f>
        <v>10</v>
      </c>
      <c r="D2" s="3">
        <f>IFERROR(__xludf.DUMMYFUNCTION("""COMPUTED_VALUE"""),9.0)</f>
        <v>9</v>
      </c>
      <c r="E2" s="3">
        <f>IFERROR(__xludf.DUMMYFUNCTION("""COMPUTED_VALUE"""),4.0)</f>
        <v>4</v>
      </c>
      <c r="F2" s="3">
        <f>IFERROR(__xludf.DUMMYFUNCTION("""COMPUTED_VALUE"""),137.0)</f>
        <v>137</v>
      </c>
      <c r="G2" s="6">
        <v>1.0</v>
      </c>
    </row>
    <row r="3">
      <c r="A3" s="3" t="str">
        <f>IFERROR(__xludf.DUMMYFUNCTION("""COMPUTED_VALUE"""),"Jarvis Cheek")</f>
        <v>Jarvis Cheek</v>
      </c>
      <c r="B3" s="3">
        <f>IFERROR(__xludf.DUMMYFUNCTION("""COMPUTED_VALUE"""),19.0)</f>
        <v>19</v>
      </c>
      <c r="C3" s="3">
        <f>IFERROR(__xludf.DUMMYFUNCTION("""COMPUTED_VALUE"""),12.0)</f>
        <v>12</v>
      </c>
      <c r="D3" s="3">
        <f>IFERROR(__xludf.DUMMYFUNCTION("""COMPUTED_VALUE"""),11.0)</f>
        <v>11</v>
      </c>
      <c r="E3" s="3">
        <f>IFERROR(__xludf.DUMMYFUNCTION("""COMPUTED_VALUE"""),4.0)</f>
        <v>4</v>
      </c>
      <c r="F3" s="3">
        <f>IFERROR(__xludf.DUMMYFUNCTION("""COMPUTED_VALUE"""),136.0)</f>
        <v>136</v>
      </c>
      <c r="G3" s="8">
        <f t="shared" ref="G3:G259" si="1">if(len(A3)&gt;0,G2+1,"")</f>
        <v>2</v>
      </c>
    </row>
    <row r="4">
      <c r="A4" s="3" t="str">
        <f>IFERROR(__xludf.DUMMYFUNCTION("""COMPUTED_VALUE"""),"Matt Crowe")</f>
        <v>Matt Crowe</v>
      </c>
      <c r="B4" s="3">
        <f>IFERROR(__xludf.DUMMYFUNCTION("""COMPUTED_VALUE"""),21.0)</f>
        <v>21</v>
      </c>
      <c r="C4" s="3">
        <f>IFERROR(__xludf.DUMMYFUNCTION("""COMPUTED_VALUE"""),6.0)</f>
        <v>6</v>
      </c>
      <c r="D4" s="3">
        <f>IFERROR(__xludf.DUMMYFUNCTION("""COMPUTED_VALUE"""),2.0)</f>
        <v>2</v>
      </c>
      <c r="E4" s="3">
        <f>IFERROR(__xludf.DUMMYFUNCTION("""COMPUTED_VALUE"""),2.0)</f>
        <v>2</v>
      </c>
      <c r="F4" s="3">
        <f>IFERROR(__xludf.DUMMYFUNCTION("""COMPUTED_VALUE"""),116.0)</f>
        <v>116</v>
      </c>
      <c r="G4" s="9">
        <f t="shared" si="1"/>
        <v>3</v>
      </c>
    </row>
    <row r="5">
      <c r="A5" s="3" t="str">
        <f>IFERROR(__xludf.DUMMYFUNCTION("""COMPUTED_VALUE"""),"Alex Dockerill")</f>
        <v>Alex Dockerill</v>
      </c>
      <c r="B5" s="3">
        <f>IFERROR(__xludf.DUMMYFUNCTION("""COMPUTED_VALUE"""),18.0)</f>
        <v>18</v>
      </c>
      <c r="C5" s="3">
        <f>IFERROR(__xludf.DUMMYFUNCTION("""COMPUTED_VALUE"""),12.0)</f>
        <v>12</v>
      </c>
      <c r="D5" s="3">
        <f>IFERROR(__xludf.DUMMYFUNCTION("""COMPUTED_VALUE"""),4.0)</f>
        <v>4</v>
      </c>
      <c r="E5" s="3">
        <f>IFERROR(__xludf.DUMMYFUNCTION("""COMPUTED_VALUE"""),4.0)</f>
        <v>4</v>
      </c>
      <c r="F5" s="3">
        <f>IFERROR(__xludf.DUMMYFUNCTION("""COMPUTED_VALUE"""),110.0)</f>
        <v>110</v>
      </c>
      <c r="G5" s="5">
        <f t="shared" si="1"/>
        <v>4</v>
      </c>
    </row>
    <row r="6">
      <c r="A6" s="3" t="str">
        <f>IFERROR(__xludf.DUMMYFUNCTION("""COMPUTED_VALUE"""),"Alex Stevens")</f>
        <v>Alex Stevens</v>
      </c>
      <c r="B6" s="3">
        <f>IFERROR(__xludf.DUMMYFUNCTION("""COMPUTED_VALUE"""),18.0)</f>
        <v>18</v>
      </c>
      <c r="C6" s="3">
        <f>IFERROR(__xludf.DUMMYFUNCTION("""COMPUTED_VALUE"""),10.0)</f>
        <v>10</v>
      </c>
      <c r="D6" s="3">
        <f>IFERROR(__xludf.DUMMYFUNCTION("""COMPUTED_VALUE"""),7.0)</f>
        <v>7</v>
      </c>
      <c r="E6" s="3">
        <f>IFERROR(__xludf.DUMMYFUNCTION("""COMPUTED_VALUE"""),1.0)</f>
        <v>1</v>
      </c>
      <c r="F6" s="3">
        <f>IFERROR(__xludf.DUMMYFUNCTION("""COMPUTED_VALUE"""),102.0)</f>
        <v>102</v>
      </c>
      <c r="G6" s="5">
        <f t="shared" si="1"/>
        <v>5</v>
      </c>
    </row>
    <row r="7">
      <c r="A7" s="3" t="str">
        <f>IFERROR(__xludf.DUMMYFUNCTION("""COMPUTED_VALUE"""),"George Connolly")</f>
        <v>George Connolly</v>
      </c>
      <c r="B7" s="3">
        <f>IFERROR(__xludf.DUMMYFUNCTION("""COMPUTED_VALUE"""),12.0)</f>
        <v>12</v>
      </c>
      <c r="C7" s="3">
        <f>IFERROR(__xludf.DUMMYFUNCTION("""COMPUTED_VALUE"""),10.0)</f>
        <v>10</v>
      </c>
      <c r="D7" s="3">
        <f>IFERROR(__xludf.DUMMYFUNCTION("""COMPUTED_VALUE"""),6.0)</f>
        <v>6</v>
      </c>
      <c r="E7" s="3">
        <f>IFERROR(__xludf.DUMMYFUNCTION("""COMPUTED_VALUE"""),2.0)</f>
        <v>2</v>
      </c>
      <c r="F7" s="3">
        <f>IFERROR(__xludf.DUMMYFUNCTION("""COMPUTED_VALUE"""),91.0)</f>
        <v>91</v>
      </c>
      <c r="G7" s="5">
        <f t="shared" si="1"/>
        <v>6</v>
      </c>
    </row>
    <row r="8">
      <c r="A8" s="3" t="str">
        <f>IFERROR(__xludf.DUMMYFUNCTION("""COMPUTED_VALUE"""),"John Harrison")</f>
        <v>John Harrison</v>
      </c>
      <c r="B8" s="3">
        <f>IFERROR(__xludf.DUMMYFUNCTION("""COMPUTED_VALUE"""),21.0)</f>
        <v>21</v>
      </c>
      <c r="C8" s="3"/>
      <c r="D8" s="3"/>
      <c r="E8" s="3">
        <f>IFERROR(__xludf.DUMMYFUNCTION("""COMPUTED_VALUE"""),2.0)</f>
        <v>2</v>
      </c>
      <c r="F8" s="3">
        <f>IFERROR(__xludf.DUMMYFUNCTION("""COMPUTED_VALUE"""),87.0)</f>
        <v>87</v>
      </c>
      <c r="G8" s="5">
        <f t="shared" si="1"/>
        <v>7</v>
      </c>
    </row>
    <row r="9">
      <c r="A9" s="3" t="str">
        <f>IFERROR(__xludf.DUMMYFUNCTION("""COMPUTED_VALUE"""),"Rich Lundie")</f>
        <v>Rich Lundie</v>
      </c>
      <c r="B9" s="3">
        <f>IFERROR(__xludf.DUMMYFUNCTION("""COMPUTED_VALUE"""),18.0)</f>
        <v>18</v>
      </c>
      <c r="C9" s="3">
        <f>IFERROR(__xludf.DUMMYFUNCTION("""COMPUTED_VALUE"""),7.0)</f>
        <v>7</v>
      </c>
      <c r="D9" s="3">
        <f>IFERROR(__xludf.DUMMYFUNCTION("""COMPUTED_VALUE"""),4.0)</f>
        <v>4</v>
      </c>
      <c r="E9" s="3">
        <f>IFERROR(__xludf.DUMMYFUNCTION("""COMPUTED_VALUE"""),1.0)</f>
        <v>1</v>
      </c>
      <c r="F9" s="3">
        <f>IFERROR(__xludf.DUMMYFUNCTION("""COMPUTED_VALUE"""),87.0)</f>
        <v>87</v>
      </c>
      <c r="G9" s="5">
        <f t="shared" si="1"/>
        <v>8</v>
      </c>
    </row>
    <row r="10">
      <c r="A10" s="3" t="str">
        <f>IFERROR(__xludf.DUMMYFUNCTION("""COMPUTED_VALUE"""),"Adam Platten")</f>
        <v>Adam Platten</v>
      </c>
      <c r="B10" s="3">
        <f>IFERROR(__xludf.DUMMYFUNCTION("""COMPUTED_VALUE"""),13.0)</f>
        <v>13</v>
      </c>
      <c r="C10" s="3">
        <f>IFERROR(__xludf.DUMMYFUNCTION("""COMPUTED_VALUE"""),9.0)</f>
        <v>9</v>
      </c>
      <c r="D10" s="3">
        <f>IFERROR(__xludf.DUMMYFUNCTION("""COMPUTED_VALUE"""),5.0)</f>
        <v>5</v>
      </c>
      <c r="E10" s="3">
        <f>IFERROR(__xludf.DUMMYFUNCTION("""COMPUTED_VALUE"""),1.0)</f>
        <v>1</v>
      </c>
      <c r="F10" s="3">
        <f>IFERROR(__xludf.DUMMYFUNCTION("""COMPUTED_VALUE"""),85.0)</f>
        <v>85</v>
      </c>
      <c r="G10" s="5">
        <f t="shared" si="1"/>
        <v>9</v>
      </c>
    </row>
    <row r="11">
      <c r="A11" s="3" t="str">
        <f>IFERROR(__xludf.DUMMYFUNCTION("""COMPUTED_VALUE"""),"Masood Hamidi")</f>
        <v>Masood Hamidi</v>
      </c>
      <c r="B11" s="3">
        <f>IFERROR(__xludf.DUMMYFUNCTION("""COMPUTED_VALUE"""),19.0)</f>
        <v>19</v>
      </c>
      <c r="C11" s="3">
        <f>IFERROR(__xludf.DUMMYFUNCTION("""COMPUTED_VALUE"""),3.0)</f>
        <v>3</v>
      </c>
      <c r="D11" s="3">
        <f>IFERROR(__xludf.DUMMYFUNCTION("""COMPUTED_VALUE"""),8.0)</f>
        <v>8</v>
      </c>
      <c r="E11" s="3">
        <f>IFERROR(__xludf.DUMMYFUNCTION("""COMPUTED_VALUE"""),2.0)</f>
        <v>2</v>
      </c>
      <c r="F11" s="3">
        <f>IFERROR(__xludf.DUMMYFUNCTION("""COMPUTED_VALUE"""),82.0)</f>
        <v>82</v>
      </c>
      <c r="G11" s="5">
        <f t="shared" si="1"/>
        <v>10</v>
      </c>
    </row>
    <row r="12">
      <c r="A12" s="3" t="str">
        <f>IFERROR(__xludf.DUMMYFUNCTION("""COMPUTED_VALUE"""),"Alex Mansfield")</f>
        <v>Alex Mansfield</v>
      </c>
      <c r="B12" s="3">
        <f>IFERROR(__xludf.DUMMYFUNCTION("""COMPUTED_VALUE"""),16.0)</f>
        <v>16</v>
      </c>
      <c r="C12" s="3">
        <f>IFERROR(__xludf.DUMMYFUNCTION("""COMPUTED_VALUE"""),5.0)</f>
        <v>5</v>
      </c>
      <c r="D12" s="3">
        <f>IFERROR(__xludf.DUMMYFUNCTION("""COMPUTED_VALUE"""),1.0)</f>
        <v>1</v>
      </c>
      <c r="E12" s="3">
        <f>IFERROR(__xludf.DUMMYFUNCTION("""COMPUTED_VALUE"""),3.0)</f>
        <v>3</v>
      </c>
      <c r="F12" s="3">
        <f>IFERROR(__xludf.DUMMYFUNCTION("""COMPUTED_VALUE"""),78.0)</f>
        <v>78</v>
      </c>
      <c r="G12" s="5">
        <f t="shared" si="1"/>
        <v>11</v>
      </c>
    </row>
    <row r="13">
      <c r="A13" s="3" t="str">
        <f>IFERROR(__xludf.DUMMYFUNCTION("""COMPUTED_VALUE"""),"Emi Muhadri")</f>
        <v>Emi Muhadri</v>
      </c>
      <c r="B13" s="3">
        <f>IFERROR(__xludf.DUMMYFUNCTION("""COMPUTED_VALUE"""),21.0)</f>
        <v>21</v>
      </c>
      <c r="C13" s="3">
        <f>IFERROR(__xludf.DUMMYFUNCTION("""COMPUTED_VALUE"""),3.0)</f>
        <v>3</v>
      </c>
      <c r="D13" s="3">
        <f>IFERROR(__xludf.DUMMYFUNCTION("""COMPUTED_VALUE"""),4.0)</f>
        <v>4</v>
      </c>
      <c r="E13" s="3">
        <f>IFERROR(__xludf.DUMMYFUNCTION("""COMPUTED_VALUE"""),1.0)</f>
        <v>1</v>
      </c>
      <c r="F13" s="3">
        <f>IFERROR(__xludf.DUMMYFUNCTION("""COMPUTED_VALUE"""),78.0)</f>
        <v>78</v>
      </c>
      <c r="G13" s="5">
        <f t="shared" si="1"/>
        <v>12</v>
      </c>
    </row>
    <row r="14">
      <c r="A14" s="3" t="str">
        <f>IFERROR(__xludf.DUMMYFUNCTION("""COMPUTED_VALUE"""),"Ollie Sewell")</f>
        <v>Ollie Sewell</v>
      </c>
      <c r="B14" s="3">
        <f>IFERROR(__xludf.DUMMYFUNCTION("""COMPUTED_VALUE"""),16.0)</f>
        <v>16</v>
      </c>
      <c r="C14" s="3">
        <f>IFERROR(__xludf.DUMMYFUNCTION("""COMPUTED_VALUE"""),3.0)</f>
        <v>3</v>
      </c>
      <c r="D14" s="3">
        <f>IFERROR(__xludf.DUMMYFUNCTION("""COMPUTED_VALUE"""),4.0)</f>
        <v>4</v>
      </c>
      <c r="E14" s="3">
        <f>IFERROR(__xludf.DUMMYFUNCTION("""COMPUTED_VALUE"""),3.0)</f>
        <v>3</v>
      </c>
      <c r="F14" s="3">
        <f>IFERROR(__xludf.DUMMYFUNCTION("""COMPUTED_VALUE"""),78.0)</f>
        <v>78</v>
      </c>
      <c r="G14" s="5">
        <f t="shared" si="1"/>
        <v>13</v>
      </c>
    </row>
    <row r="15">
      <c r="A15" s="3" t="str">
        <f>IFERROR(__xludf.DUMMYFUNCTION("""COMPUTED_VALUE"""),"Chris Claeys")</f>
        <v>Chris Claeys</v>
      </c>
      <c r="B15" s="3">
        <f>IFERROR(__xludf.DUMMYFUNCTION("""COMPUTED_VALUE"""),18.0)</f>
        <v>18</v>
      </c>
      <c r="C15" s="3">
        <f>IFERROR(__xludf.DUMMYFUNCTION("""COMPUTED_VALUE"""),8.0)</f>
        <v>8</v>
      </c>
      <c r="D15" s="3">
        <f>IFERROR(__xludf.DUMMYFUNCTION("""COMPUTED_VALUE"""),1.0)</f>
        <v>1</v>
      </c>
      <c r="E15" s="3">
        <f>IFERROR(__xludf.DUMMYFUNCTION("""COMPUTED_VALUE"""),1.0)</f>
        <v>1</v>
      </c>
      <c r="F15" s="3">
        <f>IFERROR(__xludf.DUMMYFUNCTION("""COMPUTED_VALUE"""),76.0)</f>
        <v>76</v>
      </c>
      <c r="G15" s="5">
        <f t="shared" si="1"/>
        <v>14</v>
      </c>
    </row>
    <row r="16">
      <c r="A16" s="3" t="str">
        <f>IFERROR(__xludf.DUMMYFUNCTION("""COMPUTED_VALUE"""),"Theo Horton")</f>
        <v>Theo Horton</v>
      </c>
      <c r="B16" s="3">
        <f>IFERROR(__xludf.DUMMYFUNCTION("""COMPUTED_VALUE"""),20.0)</f>
        <v>20</v>
      </c>
      <c r="C16" s="3"/>
      <c r="D16" s="3">
        <f>IFERROR(__xludf.DUMMYFUNCTION("""COMPUTED_VALUE"""),2.0)</f>
        <v>2</v>
      </c>
      <c r="E16" s="3">
        <f>IFERROR(__xludf.DUMMYFUNCTION("""COMPUTED_VALUE"""),2.0)</f>
        <v>2</v>
      </c>
      <c r="F16" s="3">
        <f>IFERROR(__xludf.DUMMYFUNCTION("""COMPUTED_VALUE"""),76.0)</f>
        <v>76</v>
      </c>
      <c r="G16" s="5">
        <f t="shared" si="1"/>
        <v>15</v>
      </c>
    </row>
    <row r="17">
      <c r="A17" s="3" t="str">
        <f>IFERROR(__xludf.DUMMYFUNCTION("""COMPUTED_VALUE"""),"Harry Fripp")</f>
        <v>Harry Fripp</v>
      </c>
      <c r="B17" s="3">
        <f>IFERROR(__xludf.DUMMYFUNCTION("""COMPUTED_VALUE"""),17.0)</f>
        <v>17</v>
      </c>
      <c r="C17" s="3">
        <f>IFERROR(__xludf.DUMMYFUNCTION("""COMPUTED_VALUE"""),1.0)</f>
        <v>1</v>
      </c>
      <c r="D17" s="3">
        <f>IFERROR(__xludf.DUMMYFUNCTION("""COMPUTED_VALUE"""),4.0)</f>
        <v>4</v>
      </c>
      <c r="E17" s="3">
        <f>IFERROR(__xludf.DUMMYFUNCTION("""COMPUTED_VALUE"""),3.0)</f>
        <v>3</v>
      </c>
      <c r="F17" s="3">
        <f>IFERROR(__xludf.DUMMYFUNCTION("""COMPUTED_VALUE"""),75.0)</f>
        <v>75</v>
      </c>
      <c r="G17" s="5">
        <f t="shared" si="1"/>
        <v>16</v>
      </c>
    </row>
    <row r="18">
      <c r="A18" s="3" t="str">
        <f>IFERROR(__xludf.DUMMYFUNCTION("""COMPUTED_VALUE"""),"Nathan Baverstock")</f>
        <v>Nathan Baverstock</v>
      </c>
      <c r="B18" s="3">
        <f>IFERROR(__xludf.DUMMYFUNCTION("""COMPUTED_VALUE"""),13.0)</f>
        <v>13</v>
      </c>
      <c r="C18" s="3">
        <f>IFERROR(__xludf.DUMMYFUNCTION("""COMPUTED_VALUE"""),6.0)</f>
        <v>6</v>
      </c>
      <c r="D18" s="3">
        <f>IFERROR(__xludf.DUMMYFUNCTION("""COMPUTED_VALUE"""),2.0)</f>
        <v>2</v>
      </c>
      <c r="E18" s="3">
        <f>IFERROR(__xludf.DUMMYFUNCTION("""COMPUTED_VALUE"""),3.0)</f>
        <v>3</v>
      </c>
      <c r="F18" s="3">
        <f>IFERROR(__xludf.DUMMYFUNCTION("""COMPUTED_VALUE"""),75.0)</f>
        <v>75</v>
      </c>
      <c r="G18" s="5">
        <f t="shared" si="1"/>
        <v>17</v>
      </c>
    </row>
    <row r="19">
      <c r="A19" s="3" t="str">
        <f>IFERROR(__xludf.DUMMYFUNCTION("""COMPUTED_VALUE"""),"Richard Jones")</f>
        <v>Richard Jones</v>
      </c>
      <c r="B19" s="3">
        <f>IFERROR(__xludf.DUMMYFUNCTION("""COMPUTED_VALUE"""),11.0)</f>
        <v>11</v>
      </c>
      <c r="C19" s="3">
        <f>IFERROR(__xludf.DUMMYFUNCTION("""COMPUTED_VALUE"""),11.0)</f>
        <v>11</v>
      </c>
      <c r="D19" s="3">
        <f>IFERROR(__xludf.DUMMYFUNCTION("""COMPUTED_VALUE"""),1.0)</f>
        <v>1</v>
      </c>
      <c r="E19" s="3">
        <f>IFERROR(__xludf.DUMMYFUNCTION("""COMPUTED_VALUE"""),1.0)</f>
        <v>1</v>
      </c>
      <c r="F19" s="3">
        <f>IFERROR(__xludf.DUMMYFUNCTION("""COMPUTED_VALUE"""),74.0)</f>
        <v>74</v>
      </c>
      <c r="G19" s="5">
        <f t="shared" si="1"/>
        <v>18</v>
      </c>
    </row>
    <row r="20">
      <c r="A20" s="3" t="str">
        <f>IFERROR(__xludf.DUMMYFUNCTION("""COMPUTED_VALUE"""),"Alex Scott-Ruddock")</f>
        <v>Alex Scott-Ruddock</v>
      </c>
      <c r="B20" s="3">
        <f>IFERROR(__xludf.DUMMYFUNCTION("""COMPUTED_VALUE"""),15.0)</f>
        <v>15</v>
      </c>
      <c r="C20" s="3"/>
      <c r="D20" s="3">
        <f>IFERROR(__xludf.DUMMYFUNCTION("""COMPUTED_VALUE"""),1.0)</f>
        <v>1</v>
      </c>
      <c r="E20" s="3">
        <f>IFERROR(__xludf.DUMMYFUNCTION("""COMPUTED_VALUE"""),1.0)</f>
        <v>1</v>
      </c>
      <c r="F20" s="3">
        <f>IFERROR(__xludf.DUMMYFUNCTION("""COMPUTED_VALUE"""),72.0)</f>
        <v>72</v>
      </c>
      <c r="G20" s="5">
        <f t="shared" si="1"/>
        <v>19</v>
      </c>
    </row>
    <row r="21">
      <c r="A21" s="3" t="str">
        <f>IFERROR(__xludf.DUMMYFUNCTION("""COMPUTED_VALUE"""),"Will French")</f>
        <v>Will French</v>
      </c>
      <c r="B21" s="3">
        <f>IFERROR(__xludf.DUMMYFUNCTION("""COMPUTED_VALUE"""),18.0)</f>
        <v>18</v>
      </c>
      <c r="C21" s="3">
        <f>IFERROR(__xludf.DUMMYFUNCTION("""COMPUTED_VALUE"""),4.0)</f>
        <v>4</v>
      </c>
      <c r="D21" s="3">
        <f>IFERROR(__xludf.DUMMYFUNCTION("""COMPUTED_VALUE"""),5.0)</f>
        <v>5</v>
      </c>
      <c r="E21" s="3">
        <f>IFERROR(__xludf.DUMMYFUNCTION("""COMPUTED_VALUE"""),0.0)</f>
        <v>0</v>
      </c>
      <c r="F21" s="3">
        <f>IFERROR(__xludf.DUMMYFUNCTION("""COMPUTED_VALUE"""),72.0)</f>
        <v>72</v>
      </c>
      <c r="G21" s="5">
        <f t="shared" si="1"/>
        <v>20</v>
      </c>
    </row>
    <row r="22">
      <c r="A22" s="3" t="str">
        <f>IFERROR(__xludf.DUMMYFUNCTION("""COMPUTED_VALUE"""),"Ade Lawal")</f>
        <v>Ade Lawal</v>
      </c>
      <c r="B22" s="3">
        <f>IFERROR(__xludf.DUMMYFUNCTION("""COMPUTED_VALUE"""),17.0)</f>
        <v>17</v>
      </c>
      <c r="C22" s="3">
        <f>IFERROR(__xludf.DUMMYFUNCTION("""COMPUTED_VALUE"""),1.0)</f>
        <v>1</v>
      </c>
      <c r="D22" s="3"/>
      <c r="E22" s="3">
        <f>IFERROR(__xludf.DUMMYFUNCTION("""COMPUTED_VALUE"""),2.0)</f>
        <v>2</v>
      </c>
      <c r="F22" s="3">
        <f>IFERROR(__xludf.DUMMYFUNCTION("""COMPUTED_VALUE"""),71.0)</f>
        <v>71</v>
      </c>
      <c r="G22" s="5">
        <f t="shared" si="1"/>
        <v>21</v>
      </c>
    </row>
    <row r="23">
      <c r="A23" s="3" t="str">
        <f>IFERROR(__xludf.DUMMYFUNCTION("""COMPUTED_VALUE"""),"Jack Harris")</f>
        <v>Jack Harris</v>
      </c>
      <c r="B23" s="3">
        <f>IFERROR(__xludf.DUMMYFUNCTION("""COMPUTED_VALUE"""),15.0)</f>
        <v>15</v>
      </c>
      <c r="C23" s="3">
        <f>IFERROR(__xludf.DUMMYFUNCTION("""COMPUTED_VALUE"""),1.0)</f>
        <v>1</v>
      </c>
      <c r="D23" s="3">
        <f>IFERROR(__xludf.DUMMYFUNCTION("""COMPUTED_VALUE"""),2.0)</f>
        <v>2</v>
      </c>
      <c r="E23" s="3">
        <f>IFERROR(__xludf.DUMMYFUNCTION("""COMPUTED_VALUE"""),1.0)</f>
        <v>1</v>
      </c>
      <c r="F23" s="3">
        <f>IFERROR(__xludf.DUMMYFUNCTION("""COMPUTED_VALUE"""),69.0)</f>
        <v>69</v>
      </c>
      <c r="G23" s="5">
        <f t="shared" si="1"/>
        <v>22</v>
      </c>
    </row>
    <row r="24">
      <c r="A24" s="3" t="str">
        <f>IFERROR(__xludf.DUMMYFUNCTION("""COMPUTED_VALUE"""),"Yemi Oviosu")</f>
        <v>Yemi Oviosu</v>
      </c>
      <c r="B24" s="3">
        <f>IFERROR(__xludf.DUMMYFUNCTION("""COMPUTED_VALUE"""),16.0)</f>
        <v>16</v>
      </c>
      <c r="C24" s="3">
        <f>IFERROR(__xludf.DUMMYFUNCTION("""COMPUTED_VALUE"""),1.0)</f>
        <v>1</v>
      </c>
      <c r="D24" s="3">
        <f>IFERROR(__xludf.DUMMYFUNCTION("""COMPUTED_VALUE"""),2.0)</f>
        <v>2</v>
      </c>
      <c r="E24" s="3">
        <f>IFERROR(__xludf.DUMMYFUNCTION("""COMPUTED_VALUE"""),2.0)</f>
        <v>2</v>
      </c>
      <c r="F24" s="3">
        <f>IFERROR(__xludf.DUMMYFUNCTION("""COMPUTED_VALUE"""),68.0)</f>
        <v>68</v>
      </c>
      <c r="G24" s="5">
        <f t="shared" si="1"/>
        <v>23</v>
      </c>
    </row>
    <row r="25">
      <c r="A25" s="3" t="str">
        <f>IFERROR(__xludf.DUMMYFUNCTION("""COMPUTED_VALUE"""),"Nima Naghdi")</f>
        <v>Nima Naghdi</v>
      </c>
      <c r="B25" s="3">
        <f>IFERROR(__xludf.DUMMYFUNCTION("""COMPUTED_VALUE"""),20.0)</f>
        <v>20</v>
      </c>
      <c r="C25" s="3">
        <f>IFERROR(__xludf.DUMMYFUNCTION("""COMPUTED_VALUE"""),2.0)</f>
        <v>2</v>
      </c>
      <c r="D25" s="3">
        <f>IFERROR(__xludf.DUMMYFUNCTION("""COMPUTED_VALUE"""),4.0)</f>
        <v>4</v>
      </c>
      <c r="E25" s="3">
        <f>IFERROR(__xludf.DUMMYFUNCTION("""COMPUTED_VALUE"""),1.0)</f>
        <v>1</v>
      </c>
      <c r="F25" s="3">
        <f>IFERROR(__xludf.DUMMYFUNCTION("""COMPUTED_VALUE"""),67.0)</f>
        <v>67</v>
      </c>
      <c r="G25" s="5">
        <f t="shared" si="1"/>
        <v>24</v>
      </c>
    </row>
    <row r="26">
      <c r="A26" s="3" t="str">
        <f>IFERROR(__xludf.DUMMYFUNCTION("""COMPUTED_VALUE"""),"Tom Love")</f>
        <v>Tom Love</v>
      </c>
      <c r="B26" s="3">
        <f>IFERROR(__xludf.DUMMYFUNCTION("""COMPUTED_VALUE"""),11.0)</f>
        <v>11</v>
      </c>
      <c r="C26" s="3">
        <f>IFERROR(__xludf.DUMMYFUNCTION("""COMPUTED_VALUE"""),3.0)</f>
        <v>3</v>
      </c>
      <c r="D26" s="3">
        <f>IFERROR(__xludf.DUMMYFUNCTION("""COMPUTED_VALUE"""),2.0)</f>
        <v>2</v>
      </c>
      <c r="E26" s="3">
        <f>IFERROR(__xludf.DUMMYFUNCTION("""COMPUTED_VALUE"""),4.0)</f>
        <v>4</v>
      </c>
      <c r="F26" s="3">
        <f>IFERROR(__xludf.DUMMYFUNCTION("""COMPUTED_VALUE"""),67.0)</f>
        <v>67</v>
      </c>
      <c r="G26" s="5">
        <f t="shared" si="1"/>
        <v>25</v>
      </c>
    </row>
    <row r="27">
      <c r="A27" s="3" t="str">
        <f>IFERROR(__xludf.DUMMYFUNCTION("""COMPUTED_VALUE"""),"Ciaran Curran")</f>
        <v>Ciaran Curran</v>
      </c>
      <c r="B27" s="3">
        <f>IFERROR(__xludf.DUMMYFUNCTION("""COMPUTED_VALUE"""),16.0)</f>
        <v>16</v>
      </c>
      <c r="C27" s="3">
        <f>IFERROR(__xludf.DUMMYFUNCTION("""COMPUTED_VALUE"""),2.0)</f>
        <v>2</v>
      </c>
      <c r="D27" s="3">
        <f>IFERROR(__xludf.DUMMYFUNCTION("""COMPUTED_VALUE"""),3.0)</f>
        <v>3</v>
      </c>
      <c r="E27" s="3">
        <f>IFERROR(__xludf.DUMMYFUNCTION("""COMPUTED_VALUE"""),1.0)</f>
        <v>1</v>
      </c>
      <c r="F27" s="3">
        <f>IFERROR(__xludf.DUMMYFUNCTION("""COMPUTED_VALUE"""),66.0)</f>
        <v>66</v>
      </c>
      <c r="G27" s="5">
        <f t="shared" si="1"/>
        <v>26</v>
      </c>
    </row>
    <row r="28">
      <c r="A28" s="3" t="str">
        <f>IFERROR(__xludf.DUMMYFUNCTION("""COMPUTED_VALUE"""),"Rob Edmonds")</f>
        <v>Rob Edmonds</v>
      </c>
      <c r="B28" s="3">
        <f>IFERROR(__xludf.DUMMYFUNCTION("""COMPUTED_VALUE"""),10.0)</f>
        <v>10</v>
      </c>
      <c r="C28" s="3">
        <f>IFERROR(__xludf.DUMMYFUNCTION("""COMPUTED_VALUE"""),8.0)</f>
        <v>8</v>
      </c>
      <c r="D28" s="3">
        <f>IFERROR(__xludf.DUMMYFUNCTION("""COMPUTED_VALUE"""),4.0)</f>
        <v>4</v>
      </c>
      <c r="E28" s="3">
        <f>IFERROR(__xludf.DUMMYFUNCTION("""COMPUTED_VALUE"""),0.0)</f>
        <v>0</v>
      </c>
      <c r="F28" s="3">
        <f>IFERROR(__xludf.DUMMYFUNCTION("""COMPUTED_VALUE"""),63.0)</f>
        <v>63</v>
      </c>
      <c r="G28" s="5">
        <f t="shared" si="1"/>
        <v>27</v>
      </c>
    </row>
    <row r="29">
      <c r="A29" s="3" t="str">
        <f>IFERROR(__xludf.DUMMYFUNCTION("""COMPUTED_VALUE"""),"Sean Rowlett")</f>
        <v>Sean Rowlett</v>
      </c>
      <c r="B29" s="3">
        <f>IFERROR(__xludf.DUMMYFUNCTION("""COMPUTED_VALUE"""),18.0)</f>
        <v>18</v>
      </c>
      <c r="C29" s="3">
        <f>IFERROR(__xludf.DUMMYFUNCTION("""COMPUTED_VALUE"""),4.0)</f>
        <v>4</v>
      </c>
      <c r="D29" s="3"/>
      <c r="E29" s="3">
        <f>IFERROR(__xludf.DUMMYFUNCTION("""COMPUTED_VALUE"""),2.0)</f>
        <v>2</v>
      </c>
      <c r="F29" s="3">
        <f>IFERROR(__xludf.DUMMYFUNCTION("""COMPUTED_VALUE"""),63.0)</f>
        <v>63</v>
      </c>
      <c r="G29" s="5">
        <f t="shared" si="1"/>
        <v>28</v>
      </c>
    </row>
    <row r="30">
      <c r="A30" s="3" t="str">
        <f>IFERROR(__xludf.DUMMYFUNCTION("""COMPUTED_VALUE"""),"Dan Russell")</f>
        <v>Dan Russell</v>
      </c>
      <c r="B30" s="3">
        <f>IFERROR(__xludf.DUMMYFUNCTION("""COMPUTED_VALUE"""),14.0)</f>
        <v>14</v>
      </c>
      <c r="C30" s="3">
        <f>IFERROR(__xludf.DUMMYFUNCTION("""COMPUTED_VALUE"""),4.0)</f>
        <v>4</v>
      </c>
      <c r="D30" s="3">
        <f>IFERROR(__xludf.DUMMYFUNCTION("""COMPUTED_VALUE"""),4.0)</f>
        <v>4</v>
      </c>
      <c r="E30" s="3">
        <f>IFERROR(__xludf.DUMMYFUNCTION("""COMPUTED_VALUE"""),0.0)</f>
        <v>0</v>
      </c>
      <c r="F30" s="3">
        <f>IFERROR(__xludf.DUMMYFUNCTION("""COMPUTED_VALUE"""),61.0)</f>
        <v>61</v>
      </c>
      <c r="G30" s="5">
        <f t="shared" si="1"/>
        <v>29</v>
      </c>
    </row>
    <row r="31">
      <c r="A31" s="3" t="str">
        <f>IFERROR(__xludf.DUMMYFUNCTION("""COMPUTED_VALUE"""),"Jamie Wood")</f>
        <v>Jamie Wood</v>
      </c>
      <c r="B31" s="3">
        <f>IFERROR(__xludf.DUMMYFUNCTION("""COMPUTED_VALUE"""),16.0)</f>
        <v>16</v>
      </c>
      <c r="C31" s="3">
        <f>IFERROR(__xludf.DUMMYFUNCTION("""COMPUTED_VALUE"""),1.0)</f>
        <v>1</v>
      </c>
      <c r="D31" s="3"/>
      <c r="E31" s="3">
        <f>IFERROR(__xludf.DUMMYFUNCTION("""COMPUTED_VALUE"""),1.0)</f>
        <v>1</v>
      </c>
      <c r="F31" s="3">
        <f>IFERROR(__xludf.DUMMYFUNCTION("""COMPUTED_VALUE"""),58.0)</f>
        <v>58</v>
      </c>
      <c r="G31" s="5">
        <f t="shared" si="1"/>
        <v>30</v>
      </c>
    </row>
    <row r="32">
      <c r="A32" s="3" t="str">
        <f>IFERROR(__xludf.DUMMYFUNCTION("""COMPUTED_VALUE"""),"Paul Ball")</f>
        <v>Paul Ball</v>
      </c>
      <c r="B32" s="3">
        <f>IFERROR(__xludf.DUMMYFUNCTION("""COMPUTED_VALUE"""),14.0)</f>
        <v>14</v>
      </c>
      <c r="C32" s="3">
        <f>IFERROR(__xludf.DUMMYFUNCTION("""COMPUTED_VALUE"""),3.0)</f>
        <v>3</v>
      </c>
      <c r="D32" s="3">
        <f>IFERROR(__xludf.DUMMYFUNCTION("""COMPUTED_VALUE"""),4.0)</f>
        <v>4</v>
      </c>
      <c r="E32" s="3">
        <f>IFERROR(__xludf.DUMMYFUNCTION("""COMPUTED_VALUE"""),1.0)</f>
        <v>1</v>
      </c>
      <c r="F32" s="3">
        <f>IFERROR(__xludf.DUMMYFUNCTION("""COMPUTED_VALUE"""),57.0)</f>
        <v>57</v>
      </c>
      <c r="G32" s="5">
        <f t="shared" si="1"/>
        <v>31</v>
      </c>
    </row>
    <row r="33">
      <c r="A33" s="3" t="str">
        <f>IFERROR(__xludf.DUMMYFUNCTION("""COMPUTED_VALUE"""),"Andres Ahlgren")</f>
        <v>Andres Ahlgren</v>
      </c>
      <c r="B33" s="3">
        <f>IFERROR(__xludf.DUMMYFUNCTION("""COMPUTED_VALUE"""),13.0)</f>
        <v>13</v>
      </c>
      <c r="C33" s="3">
        <f>IFERROR(__xludf.DUMMYFUNCTION("""COMPUTED_VALUE"""),2.0)</f>
        <v>2</v>
      </c>
      <c r="D33" s="3">
        <f>IFERROR(__xludf.DUMMYFUNCTION("""COMPUTED_VALUE"""),2.0)</f>
        <v>2</v>
      </c>
      <c r="E33" s="3">
        <f>IFERROR(__xludf.DUMMYFUNCTION("""COMPUTED_VALUE"""),2.0)</f>
        <v>2</v>
      </c>
      <c r="F33" s="3">
        <f>IFERROR(__xludf.DUMMYFUNCTION("""COMPUTED_VALUE"""),56.0)</f>
        <v>56</v>
      </c>
      <c r="G33" s="5">
        <f t="shared" si="1"/>
        <v>32</v>
      </c>
    </row>
    <row r="34">
      <c r="A34" s="3" t="str">
        <f>IFERROR(__xludf.DUMMYFUNCTION("""COMPUTED_VALUE"""),"Keaton Cohen")</f>
        <v>Keaton Cohen</v>
      </c>
      <c r="B34" s="3">
        <f>IFERROR(__xludf.DUMMYFUNCTION("""COMPUTED_VALUE"""),11.0)</f>
        <v>11</v>
      </c>
      <c r="C34" s="3">
        <f>IFERROR(__xludf.DUMMYFUNCTION("""COMPUTED_VALUE"""),2.0)</f>
        <v>2</v>
      </c>
      <c r="D34" s="3">
        <f>IFERROR(__xludf.DUMMYFUNCTION("""COMPUTED_VALUE"""),2.0)</f>
        <v>2</v>
      </c>
      <c r="E34" s="3">
        <f>IFERROR(__xludf.DUMMYFUNCTION("""COMPUTED_VALUE"""),3.0)</f>
        <v>3</v>
      </c>
      <c r="F34" s="3">
        <f>IFERROR(__xludf.DUMMYFUNCTION("""COMPUTED_VALUE"""),56.0)</f>
        <v>56</v>
      </c>
      <c r="G34" s="5">
        <f t="shared" si="1"/>
        <v>33</v>
      </c>
    </row>
    <row r="35">
      <c r="A35" s="3" t="str">
        <f>IFERROR(__xludf.DUMMYFUNCTION("""COMPUTED_VALUE"""),"Charlie Doe")</f>
        <v>Charlie Doe</v>
      </c>
      <c r="B35" s="3">
        <f>IFERROR(__xludf.DUMMYFUNCTION("""COMPUTED_VALUE"""),14.0)</f>
        <v>14</v>
      </c>
      <c r="C35" s="3"/>
      <c r="D35" s="3">
        <f>IFERROR(__xludf.DUMMYFUNCTION("""COMPUTED_VALUE"""),1.0)</f>
        <v>1</v>
      </c>
      <c r="E35" s="3">
        <f>IFERROR(__xludf.DUMMYFUNCTION("""COMPUTED_VALUE"""),4.0)</f>
        <v>4</v>
      </c>
      <c r="F35" s="3">
        <f>IFERROR(__xludf.DUMMYFUNCTION("""COMPUTED_VALUE"""),55.0)</f>
        <v>55</v>
      </c>
      <c r="G35" s="5">
        <f t="shared" si="1"/>
        <v>34</v>
      </c>
    </row>
    <row r="36">
      <c r="A36" s="3" t="str">
        <f>IFERROR(__xludf.DUMMYFUNCTION("""COMPUTED_VALUE"""),"Luke Dyges")</f>
        <v>Luke Dyges</v>
      </c>
      <c r="B36" s="3">
        <f>IFERROR(__xludf.DUMMYFUNCTION("""COMPUTED_VALUE"""),15.0)</f>
        <v>15</v>
      </c>
      <c r="C36" s="3">
        <f>IFERROR(__xludf.DUMMYFUNCTION("""COMPUTED_VALUE"""),4.0)</f>
        <v>4</v>
      </c>
      <c r="D36" s="3">
        <f>IFERROR(__xludf.DUMMYFUNCTION("""COMPUTED_VALUE"""),4.0)</f>
        <v>4</v>
      </c>
      <c r="E36" s="3">
        <f>IFERROR(__xludf.DUMMYFUNCTION("""COMPUTED_VALUE"""),0.0)</f>
        <v>0</v>
      </c>
      <c r="F36" s="3">
        <f>IFERROR(__xludf.DUMMYFUNCTION("""COMPUTED_VALUE"""),55.0)</f>
        <v>55</v>
      </c>
      <c r="G36" s="5">
        <f t="shared" si="1"/>
        <v>35</v>
      </c>
    </row>
    <row r="37">
      <c r="A37" s="3" t="str">
        <f>IFERROR(__xludf.DUMMYFUNCTION("""COMPUTED_VALUE"""),"Stanley Timms")</f>
        <v>Stanley Timms</v>
      </c>
      <c r="B37" s="3">
        <f>IFERROR(__xludf.DUMMYFUNCTION("""COMPUTED_VALUE"""),15.0)</f>
        <v>15</v>
      </c>
      <c r="C37" s="3">
        <f>IFERROR(__xludf.DUMMYFUNCTION("""COMPUTED_VALUE"""),2.0)</f>
        <v>2</v>
      </c>
      <c r="D37" s="3"/>
      <c r="E37" s="3">
        <f>IFERROR(__xludf.DUMMYFUNCTION("""COMPUTED_VALUE"""),0.0)</f>
        <v>0</v>
      </c>
      <c r="F37" s="3">
        <f>IFERROR(__xludf.DUMMYFUNCTION("""COMPUTED_VALUE"""),54.0)</f>
        <v>54</v>
      </c>
      <c r="G37" s="5">
        <f t="shared" si="1"/>
        <v>36</v>
      </c>
    </row>
    <row r="38">
      <c r="A38" s="3" t="str">
        <f>IFERROR(__xludf.DUMMYFUNCTION("""COMPUTED_VALUE"""),"Parimal Patel")</f>
        <v>Parimal Patel</v>
      </c>
      <c r="B38" s="3">
        <f>IFERROR(__xludf.DUMMYFUNCTION("""COMPUTED_VALUE"""),14.0)</f>
        <v>14</v>
      </c>
      <c r="C38" s="3">
        <f>IFERROR(__xludf.DUMMYFUNCTION("""COMPUTED_VALUE"""),1.0)</f>
        <v>1</v>
      </c>
      <c r="D38" s="3">
        <f>IFERROR(__xludf.DUMMYFUNCTION("""COMPUTED_VALUE"""),3.0)</f>
        <v>3</v>
      </c>
      <c r="E38" s="3">
        <f>IFERROR(__xludf.DUMMYFUNCTION("""COMPUTED_VALUE"""),0.0)</f>
        <v>0</v>
      </c>
      <c r="F38" s="3">
        <f>IFERROR(__xludf.DUMMYFUNCTION("""COMPUTED_VALUE"""),53.0)</f>
        <v>53</v>
      </c>
      <c r="G38" s="5">
        <f t="shared" si="1"/>
        <v>37</v>
      </c>
    </row>
    <row r="39">
      <c r="A39" s="3" t="str">
        <f>IFERROR(__xludf.DUMMYFUNCTION("""COMPUTED_VALUE"""),"James Rodriguez")</f>
        <v>James Rodriguez</v>
      </c>
      <c r="B39" s="3">
        <f>IFERROR(__xludf.DUMMYFUNCTION("""COMPUTED_VALUE"""),17.0)</f>
        <v>17</v>
      </c>
      <c r="C39" s="3">
        <f>IFERROR(__xludf.DUMMYFUNCTION("""COMPUTED_VALUE"""),2.0)</f>
        <v>2</v>
      </c>
      <c r="D39" s="3">
        <f>IFERROR(__xludf.DUMMYFUNCTION("""COMPUTED_VALUE"""),3.0)</f>
        <v>3</v>
      </c>
      <c r="E39" s="3">
        <f>IFERROR(__xludf.DUMMYFUNCTION("""COMPUTED_VALUE"""),0.0)</f>
        <v>0</v>
      </c>
      <c r="F39" s="3">
        <f>IFERROR(__xludf.DUMMYFUNCTION("""COMPUTED_VALUE"""),52.0)</f>
        <v>52</v>
      </c>
      <c r="G39" s="5">
        <f t="shared" si="1"/>
        <v>38</v>
      </c>
    </row>
    <row r="40">
      <c r="A40" s="3" t="str">
        <f>IFERROR(__xludf.DUMMYFUNCTION("""COMPUTED_VALUE"""),"Aaron Snelling")</f>
        <v>Aaron Snelling</v>
      </c>
      <c r="B40" s="3">
        <f>IFERROR(__xludf.DUMMYFUNCTION("""COMPUTED_VALUE"""),13.0)</f>
        <v>13</v>
      </c>
      <c r="C40" s="3"/>
      <c r="D40" s="3"/>
      <c r="E40" s="3">
        <f>IFERROR(__xludf.DUMMYFUNCTION("""COMPUTED_VALUE"""),1.0)</f>
        <v>1</v>
      </c>
      <c r="F40" s="3">
        <f>IFERROR(__xludf.DUMMYFUNCTION("""COMPUTED_VALUE"""),51.0)</f>
        <v>51</v>
      </c>
      <c r="G40" s="5">
        <f t="shared" si="1"/>
        <v>39</v>
      </c>
    </row>
    <row r="41">
      <c r="A41" s="3" t="str">
        <f>IFERROR(__xludf.DUMMYFUNCTION("""COMPUTED_VALUE"""),"Jason Heath")</f>
        <v>Jason Heath</v>
      </c>
      <c r="B41" s="3">
        <f>IFERROR(__xludf.DUMMYFUNCTION("""COMPUTED_VALUE"""),17.0)</f>
        <v>17</v>
      </c>
      <c r="C41" s="3">
        <f>IFERROR(__xludf.DUMMYFUNCTION("""COMPUTED_VALUE"""),1.0)</f>
        <v>1</v>
      </c>
      <c r="D41" s="3">
        <f>IFERROR(__xludf.DUMMYFUNCTION("""COMPUTED_VALUE"""),4.0)</f>
        <v>4</v>
      </c>
      <c r="E41" s="3">
        <f>IFERROR(__xludf.DUMMYFUNCTION("""COMPUTED_VALUE"""),0.0)</f>
        <v>0</v>
      </c>
      <c r="F41" s="3">
        <f>IFERROR(__xludf.DUMMYFUNCTION("""COMPUTED_VALUE"""),51.0)</f>
        <v>51</v>
      </c>
      <c r="G41" s="5">
        <f t="shared" si="1"/>
        <v>40</v>
      </c>
    </row>
    <row r="42">
      <c r="A42" s="3" t="str">
        <f>IFERROR(__xludf.DUMMYFUNCTION("""COMPUTED_VALUE"""),"Deji Ogunyemi")</f>
        <v>Deji Ogunyemi</v>
      </c>
      <c r="B42" s="3">
        <f>IFERROR(__xludf.DUMMYFUNCTION("""COMPUTED_VALUE"""),11.0)</f>
        <v>11</v>
      </c>
      <c r="C42" s="3">
        <f>IFERROR(__xludf.DUMMYFUNCTION("""COMPUTED_VALUE"""),2.0)</f>
        <v>2</v>
      </c>
      <c r="D42" s="3">
        <f>IFERROR(__xludf.DUMMYFUNCTION("""COMPUTED_VALUE"""),2.0)</f>
        <v>2</v>
      </c>
      <c r="E42" s="3">
        <f>IFERROR(__xludf.DUMMYFUNCTION("""COMPUTED_VALUE"""),1.0)</f>
        <v>1</v>
      </c>
      <c r="F42" s="3">
        <f>IFERROR(__xludf.DUMMYFUNCTION("""COMPUTED_VALUE"""),50.0)</f>
        <v>50</v>
      </c>
      <c r="G42" s="5">
        <f t="shared" si="1"/>
        <v>41</v>
      </c>
    </row>
    <row r="43">
      <c r="A43" s="3" t="str">
        <f>IFERROR(__xludf.DUMMYFUNCTION("""COMPUTED_VALUE"""),"Denver Lalonde")</f>
        <v>Denver Lalonde</v>
      </c>
      <c r="B43" s="3">
        <f>IFERROR(__xludf.DUMMYFUNCTION("""COMPUTED_VALUE"""),15.0)</f>
        <v>15</v>
      </c>
      <c r="C43" s="3">
        <f>IFERROR(__xludf.DUMMYFUNCTION("""COMPUTED_VALUE"""),1.0)</f>
        <v>1</v>
      </c>
      <c r="D43" s="3">
        <f>IFERROR(__xludf.DUMMYFUNCTION("""COMPUTED_VALUE"""),4.0)</f>
        <v>4</v>
      </c>
      <c r="E43" s="3">
        <f>IFERROR(__xludf.DUMMYFUNCTION("""COMPUTED_VALUE"""),1.0)</f>
        <v>1</v>
      </c>
      <c r="F43" s="3">
        <f>IFERROR(__xludf.DUMMYFUNCTION("""COMPUTED_VALUE"""),50.0)</f>
        <v>50</v>
      </c>
      <c r="G43" s="5">
        <f t="shared" si="1"/>
        <v>42</v>
      </c>
    </row>
    <row r="44">
      <c r="A44" s="3" t="str">
        <f>IFERROR(__xludf.DUMMYFUNCTION("""COMPUTED_VALUE"""),"Seb Curle")</f>
        <v>Seb Curle</v>
      </c>
      <c r="B44" s="3">
        <f>IFERROR(__xludf.DUMMYFUNCTION("""COMPUTED_VALUE"""),14.0)</f>
        <v>14</v>
      </c>
      <c r="C44" s="3"/>
      <c r="D44" s="3">
        <f>IFERROR(__xludf.DUMMYFUNCTION("""COMPUTED_VALUE"""),2.0)</f>
        <v>2</v>
      </c>
      <c r="E44" s="3">
        <f>IFERROR(__xludf.DUMMYFUNCTION("""COMPUTED_VALUE"""),1.0)</f>
        <v>1</v>
      </c>
      <c r="F44" s="3">
        <f>IFERROR(__xludf.DUMMYFUNCTION("""COMPUTED_VALUE"""),50.0)</f>
        <v>50</v>
      </c>
      <c r="G44" s="5">
        <f t="shared" si="1"/>
        <v>43</v>
      </c>
    </row>
    <row r="45">
      <c r="A45" s="3" t="str">
        <f>IFERROR(__xludf.DUMMYFUNCTION("""COMPUTED_VALUE"""),"Cameron Pashley")</f>
        <v>Cameron Pashley</v>
      </c>
      <c r="B45" s="3">
        <f>IFERROR(__xludf.DUMMYFUNCTION("""COMPUTED_VALUE"""),10.0)</f>
        <v>10</v>
      </c>
      <c r="C45" s="3"/>
      <c r="D45" s="3">
        <f>IFERROR(__xludf.DUMMYFUNCTION("""COMPUTED_VALUE"""),4.0)</f>
        <v>4</v>
      </c>
      <c r="E45" s="3">
        <f>IFERROR(__xludf.DUMMYFUNCTION("""COMPUTED_VALUE"""),3.0)</f>
        <v>3</v>
      </c>
      <c r="F45" s="3">
        <f>IFERROR(__xludf.DUMMYFUNCTION("""COMPUTED_VALUE"""),49.0)</f>
        <v>49</v>
      </c>
      <c r="G45" s="5">
        <f t="shared" si="1"/>
        <v>44</v>
      </c>
    </row>
    <row r="46">
      <c r="A46" s="3" t="str">
        <f>IFERROR(__xludf.DUMMYFUNCTION("""COMPUTED_VALUE"""),"Ellis Forrester")</f>
        <v>Ellis Forrester</v>
      </c>
      <c r="B46" s="3">
        <f>IFERROR(__xludf.DUMMYFUNCTION("""COMPUTED_VALUE"""),16.0)</f>
        <v>16</v>
      </c>
      <c r="C46" s="3"/>
      <c r="D46" s="3">
        <f>IFERROR(__xludf.DUMMYFUNCTION("""COMPUTED_VALUE"""),2.0)</f>
        <v>2</v>
      </c>
      <c r="E46" s="3">
        <f>IFERROR(__xludf.DUMMYFUNCTION("""COMPUTED_VALUE"""),0.0)</f>
        <v>0</v>
      </c>
      <c r="F46" s="3">
        <f>IFERROR(__xludf.DUMMYFUNCTION("""COMPUTED_VALUE"""),49.0)</f>
        <v>49</v>
      </c>
      <c r="G46" s="5">
        <f t="shared" si="1"/>
        <v>45</v>
      </c>
    </row>
    <row r="47">
      <c r="A47" s="3" t="str">
        <f>IFERROR(__xludf.DUMMYFUNCTION("""COMPUTED_VALUE"""),"Kevin Gonzalez")</f>
        <v>Kevin Gonzalez</v>
      </c>
      <c r="B47" s="3">
        <f>IFERROR(__xludf.DUMMYFUNCTION("""COMPUTED_VALUE"""),19.0)</f>
        <v>19</v>
      </c>
      <c r="C47" s="3"/>
      <c r="D47" s="3">
        <f>IFERROR(__xludf.DUMMYFUNCTION("""COMPUTED_VALUE"""),1.0)</f>
        <v>1</v>
      </c>
      <c r="E47" s="3">
        <f>IFERROR(__xludf.DUMMYFUNCTION("""COMPUTED_VALUE"""),2.0)</f>
        <v>2</v>
      </c>
      <c r="F47" s="3">
        <f>IFERROR(__xludf.DUMMYFUNCTION("""COMPUTED_VALUE"""),49.0)</f>
        <v>49</v>
      </c>
      <c r="G47" s="5">
        <f t="shared" si="1"/>
        <v>46</v>
      </c>
    </row>
    <row r="48">
      <c r="A48" s="3" t="str">
        <f>IFERROR(__xludf.DUMMYFUNCTION("""COMPUTED_VALUE"""),"Mark Roberts")</f>
        <v>Mark Roberts</v>
      </c>
      <c r="B48" s="3">
        <f>IFERROR(__xludf.DUMMYFUNCTION("""COMPUTED_VALUE"""),14.0)</f>
        <v>14</v>
      </c>
      <c r="C48" s="3"/>
      <c r="D48" s="3">
        <f>IFERROR(__xludf.DUMMYFUNCTION("""COMPUTED_VALUE"""),3.0)</f>
        <v>3</v>
      </c>
      <c r="E48" s="3">
        <f>IFERROR(__xludf.DUMMYFUNCTION("""COMPUTED_VALUE"""),2.0)</f>
        <v>2</v>
      </c>
      <c r="F48" s="3">
        <f>IFERROR(__xludf.DUMMYFUNCTION("""COMPUTED_VALUE"""),49.0)</f>
        <v>49</v>
      </c>
      <c r="G48" s="5">
        <f t="shared" si="1"/>
        <v>47</v>
      </c>
    </row>
    <row r="49">
      <c r="A49" s="3" t="str">
        <f>IFERROR(__xludf.DUMMYFUNCTION("""COMPUTED_VALUE"""),"Billy Mclean")</f>
        <v>Billy Mclean</v>
      </c>
      <c r="B49" s="3">
        <f>IFERROR(__xludf.DUMMYFUNCTION("""COMPUTED_VALUE"""),16.0)</f>
        <v>16</v>
      </c>
      <c r="C49" s="3"/>
      <c r="D49" s="3">
        <f>IFERROR(__xludf.DUMMYFUNCTION("""COMPUTED_VALUE"""),2.0)</f>
        <v>2</v>
      </c>
      <c r="E49" s="3">
        <f>IFERROR(__xludf.DUMMYFUNCTION("""COMPUTED_VALUE"""),0.0)</f>
        <v>0</v>
      </c>
      <c r="F49" s="3">
        <f>IFERROR(__xludf.DUMMYFUNCTION("""COMPUTED_VALUE"""),46.0)</f>
        <v>46</v>
      </c>
      <c r="G49" s="5">
        <f t="shared" si="1"/>
        <v>48</v>
      </c>
    </row>
    <row r="50">
      <c r="A50" s="3" t="str">
        <f>IFERROR(__xludf.DUMMYFUNCTION("""COMPUTED_VALUE"""),"Jonny Simmons")</f>
        <v>Jonny Simmons</v>
      </c>
      <c r="B50" s="3">
        <f>IFERROR(__xludf.DUMMYFUNCTION("""COMPUTED_VALUE"""),14.0)</f>
        <v>14</v>
      </c>
      <c r="C50" s="3"/>
      <c r="D50" s="3"/>
      <c r="E50" s="3">
        <f>IFERROR(__xludf.DUMMYFUNCTION("""COMPUTED_VALUE"""),1.0)</f>
        <v>1</v>
      </c>
      <c r="F50" s="3">
        <f>IFERROR(__xludf.DUMMYFUNCTION("""COMPUTED_VALUE"""),46.0)</f>
        <v>46</v>
      </c>
      <c r="G50" s="5">
        <f t="shared" si="1"/>
        <v>49</v>
      </c>
    </row>
    <row r="51">
      <c r="A51" s="3" t="str">
        <f>IFERROR(__xludf.DUMMYFUNCTION("""COMPUTED_VALUE"""),"Max Watson")</f>
        <v>Max Watson</v>
      </c>
      <c r="B51" s="3">
        <f>IFERROR(__xludf.DUMMYFUNCTION("""COMPUTED_VALUE"""),14.0)</f>
        <v>14</v>
      </c>
      <c r="C51" s="3"/>
      <c r="D51" s="3">
        <f>IFERROR(__xludf.DUMMYFUNCTION("""COMPUTED_VALUE"""),1.0)</f>
        <v>1</v>
      </c>
      <c r="E51" s="3">
        <f>IFERROR(__xludf.DUMMYFUNCTION("""COMPUTED_VALUE"""),1.0)</f>
        <v>1</v>
      </c>
      <c r="F51" s="3">
        <f>IFERROR(__xludf.DUMMYFUNCTION("""COMPUTED_VALUE"""),46.0)</f>
        <v>46</v>
      </c>
      <c r="G51" s="5">
        <f t="shared" si="1"/>
        <v>50</v>
      </c>
    </row>
    <row r="52">
      <c r="A52" s="3" t="str">
        <f>IFERROR(__xludf.DUMMYFUNCTION("""COMPUTED_VALUE"""),"Ed Wightman")</f>
        <v>Ed Wightman</v>
      </c>
      <c r="B52" s="3">
        <f>IFERROR(__xludf.DUMMYFUNCTION("""COMPUTED_VALUE"""),9.0)</f>
        <v>9</v>
      </c>
      <c r="C52" s="3">
        <f>IFERROR(__xludf.DUMMYFUNCTION("""COMPUTED_VALUE"""),4.0)</f>
        <v>4</v>
      </c>
      <c r="D52" s="3">
        <f>IFERROR(__xludf.DUMMYFUNCTION("""COMPUTED_VALUE"""),2.0)</f>
        <v>2</v>
      </c>
      <c r="E52" s="3">
        <f>IFERROR(__xludf.DUMMYFUNCTION("""COMPUTED_VALUE"""),1.0)</f>
        <v>1</v>
      </c>
      <c r="F52" s="3">
        <f>IFERROR(__xludf.DUMMYFUNCTION("""COMPUTED_VALUE"""),45.0)</f>
        <v>45</v>
      </c>
      <c r="G52" s="5">
        <f t="shared" si="1"/>
        <v>51</v>
      </c>
    </row>
    <row r="53">
      <c r="A53" s="3" t="str">
        <f>IFERROR(__xludf.DUMMYFUNCTION("""COMPUTED_VALUE"""),"Anish Philips")</f>
        <v>Anish Philips</v>
      </c>
      <c r="B53" s="3">
        <f>IFERROR(__xludf.DUMMYFUNCTION("""COMPUTED_VALUE"""),13.0)</f>
        <v>13</v>
      </c>
      <c r="C53" s="3"/>
      <c r="D53" s="3">
        <f>IFERROR(__xludf.DUMMYFUNCTION("""COMPUTED_VALUE"""),5.0)</f>
        <v>5</v>
      </c>
      <c r="E53" s="3">
        <f>IFERROR(__xludf.DUMMYFUNCTION("""COMPUTED_VALUE"""),1.0)</f>
        <v>1</v>
      </c>
      <c r="F53" s="3">
        <f>IFERROR(__xludf.DUMMYFUNCTION("""COMPUTED_VALUE"""),44.0)</f>
        <v>44</v>
      </c>
      <c r="G53" s="5">
        <f t="shared" si="1"/>
        <v>52</v>
      </c>
    </row>
    <row r="54">
      <c r="A54" s="3" t="str">
        <f>IFERROR(__xludf.DUMMYFUNCTION("""COMPUTED_VALUE"""),"Connor White")</f>
        <v>Connor White</v>
      </c>
      <c r="B54" s="3">
        <f>IFERROR(__xludf.DUMMYFUNCTION("""COMPUTED_VALUE"""),11.0)</f>
        <v>11</v>
      </c>
      <c r="C54" s="3"/>
      <c r="D54" s="3">
        <f>IFERROR(__xludf.DUMMYFUNCTION("""COMPUTED_VALUE"""),4.0)</f>
        <v>4</v>
      </c>
      <c r="E54" s="3">
        <f>IFERROR(__xludf.DUMMYFUNCTION("""COMPUTED_VALUE"""),0.0)</f>
        <v>0</v>
      </c>
      <c r="F54" s="3">
        <f>IFERROR(__xludf.DUMMYFUNCTION("""COMPUTED_VALUE"""),44.0)</f>
        <v>44</v>
      </c>
      <c r="G54" s="5">
        <f t="shared" si="1"/>
        <v>53</v>
      </c>
    </row>
    <row r="55">
      <c r="A55" s="3" t="str">
        <f>IFERROR(__xludf.DUMMYFUNCTION("""COMPUTED_VALUE"""),"Harold Kiyingi")</f>
        <v>Harold Kiyingi</v>
      </c>
      <c r="B55" s="3">
        <f>IFERROR(__xludf.DUMMYFUNCTION("""COMPUTED_VALUE"""),15.0)</f>
        <v>15</v>
      </c>
      <c r="C55" s="3">
        <f>IFERROR(__xludf.DUMMYFUNCTION("""COMPUTED_VALUE"""),3.0)</f>
        <v>3</v>
      </c>
      <c r="D55" s="3">
        <f>IFERROR(__xludf.DUMMYFUNCTION("""COMPUTED_VALUE"""),1.0)</f>
        <v>1</v>
      </c>
      <c r="E55" s="3">
        <f>IFERROR(__xludf.DUMMYFUNCTION("""COMPUTED_VALUE"""),0.0)</f>
        <v>0</v>
      </c>
      <c r="F55" s="3">
        <f>IFERROR(__xludf.DUMMYFUNCTION("""COMPUTED_VALUE"""),44.0)</f>
        <v>44</v>
      </c>
      <c r="G55" s="5">
        <f t="shared" si="1"/>
        <v>54</v>
      </c>
    </row>
    <row r="56">
      <c r="A56" s="3" t="str">
        <f>IFERROR(__xludf.DUMMYFUNCTION("""COMPUTED_VALUE"""),"Joel Wright")</f>
        <v>Joel Wright</v>
      </c>
      <c r="B56" s="3">
        <f>IFERROR(__xludf.DUMMYFUNCTION("""COMPUTED_VALUE"""),14.0)</f>
        <v>14</v>
      </c>
      <c r="C56" s="3"/>
      <c r="D56" s="3">
        <f>IFERROR(__xludf.DUMMYFUNCTION("""COMPUTED_VALUE"""),1.0)</f>
        <v>1</v>
      </c>
      <c r="E56" s="3">
        <f>IFERROR(__xludf.DUMMYFUNCTION("""COMPUTED_VALUE"""),1.0)</f>
        <v>1</v>
      </c>
      <c r="F56" s="3">
        <f>IFERROR(__xludf.DUMMYFUNCTION("""COMPUTED_VALUE"""),44.0)</f>
        <v>44</v>
      </c>
      <c r="G56" s="5">
        <f t="shared" si="1"/>
        <v>55</v>
      </c>
    </row>
    <row r="57">
      <c r="A57" s="3" t="str">
        <f>IFERROR(__xludf.DUMMYFUNCTION("""COMPUTED_VALUE"""),"Kai Clack")</f>
        <v>Kai Clack</v>
      </c>
      <c r="B57" s="3">
        <f>IFERROR(__xludf.DUMMYFUNCTION("""COMPUTED_VALUE"""),9.0)</f>
        <v>9</v>
      </c>
      <c r="C57" s="3"/>
      <c r="D57" s="3">
        <f>IFERROR(__xludf.DUMMYFUNCTION("""COMPUTED_VALUE"""),1.0)</f>
        <v>1</v>
      </c>
      <c r="E57" s="3">
        <f>IFERROR(__xludf.DUMMYFUNCTION("""COMPUTED_VALUE"""),0.0)</f>
        <v>0</v>
      </c>
      <c r="F57" s="3">
        <f>IFERROR(__xludf.DUMMYFUNCTION("""COMPUTED_VALUE"""),44.0)</f>
        <v>44</v>
      </c>
      <c r="G57" s="5">
        <f t="shared" si="1"/>
        <v>56</v>
      </c>
    </row>
    <row r="58">
      <c r="A58" s="3" t="str">
        <f>IFERROR(__xludf.DUMMYFUNCTION("""COMPUTED_VALUE"""),"Nick Chimonides")</f>
        <v>Nick Chimonides</v>
      </c>
      <c r="B58" s="3">
        <f>IFERROR(__xludf.DUMMYFUNCTION("""COMPUTED_VALUE"""),14.0)</f>
        <v>14</v>
      </c>
      <c r="C58" s="3"/>
      <c r="D58" s="3">
        <f>IFERROR(__xludf.DUMMYFUNCTION("""COMPUTED_VALUE"""),1.0)</f>
        <v>1</v>
      </c>
      <c r="E58" s="3">
        <f>IFERROR(__xludf.DUMMYFUNCTION("""COMPUTED_VALUE"""),0.0)</f>
        <v>0</v>
      </c>
      <c r="F58" s="3">
        <f>IFERROR(__xludf.DUMMYFUNCTION("""COMPUTED_VALUE"""),44.0)</f>
        <v>44</v>
      </c>
      <c r="G58" s="5">
        <f t="shared" si="1"/>
        <v>57</v>
      </c>
    </row>
    <row r="59">
      <c r="A59" s="3" t="str">
        <f>IFERROR(__xludf.DUMMYFUNCTION("""COMPUTED_VALUE"""),"Sean Staunton")</f>
        <v>Sean Staunton</v>
      </c>
      <c r="B59" s="3">
        <f>IFERROR(__xludf.DUMMYFUNCTION("""COMPUTED_VALUE"""),7.0)</f>
        <v>7</v>
      </c>
      <c r="C59" s="3">
        <f>IFERROR(__xludf.DUMMYFUNCTION("""COMPUTED_VALUE"""),4.0)</f>
        <v>4</v>
      </c>
      <c r="D59" s="3">
        <f>IFERROR(__xludf.DUMMYFUNCTION("""COMPUTED_VALUE"""),3.0)</f>
        <v>3</v>
      </c>
      <c r="E59" s="3">
        <f>IFERROR(__xludf.DUMMYFUNCTION("""COMPUTED_VALUE"""),0.0)</f>
        <v>0</v>
      </c>
      <c r="F59" s="3">
        <f>IFERROR(__xludf.DUMMYFUNCTION("""COMPUTED_VALUE"""),44.0)</f>
        <v>44</v>
      </c>
      <c r="G59" s="5">
        <f t="shared" si="1"/>
        <v>58</v>
      </c>
    </row>
    <row r="60">
      <c r="A60" s="3" t="str">
        <f>IFERROR(__xludf.DUMMYFUNCTION("""COMPUTED_VALUE"""),"Ben Dockerill")</f>
        <v>Ben Dockerill</v>
      </c>
      <c r="B60" s="3">
        <f>IFERROR(__xludf.DUMMYFUNCTION("""COMPUTED_VALUE"""),12.0)</f>
        <v>12</v>
      </c>
      <c r="C60" s="3"/>
      <c r="D60" s="3">
        <f>IFERROR(__xludf.DUMMYFUNCTION("""COMPUTED_VALUE"""),5.0)</f>
        <v>5</v>
      </c>
      <c r="E60" s="3">
        <f>IFERROR(__xludf.DUMMYFUNCTION("""COMPUTED_VALUE"""),0.0)</f>
        <v>0</v>
      </c>
      <c r="F60" s="3">
        <f>IFERROR(__xludf.DUMMYFUNCTION("""COMPUTED_VALUE"""),43.0)</f>
        <v>43</v>
      </c>
      <c r="G60" s="5">
        <f t="shared" si="1"/>
        <v>59</v>
      </c>
    </row>
    <row r="61">
      <c r="A61" s="3" t="str">
        <f>IFERROR(__xludf.DUMMYFUNCTION("""COMPUTED_VALUE"""),"Max Miles")</f>
        <v>Max Miles</v>
      </c>
      <c r="B61" s="3">
        <f>IFERROR(__xludf.DUMMYFUNCTION("""COMPUTED_VALUE"""),12.0)</f>
        <v>12</v>
      </c>
      <c r="C61" s="3">
        <f>IFERROR(__xludf.DUMMYFUNCTION("""COMPUTED_VALUE"""),2.0)</f>
        <v>2</v>
      </c>
      <c r="D61" s="3"/>
      <c r="E61" s="3">
        <f>IFERROR(__xludf.DUMMYFUNCTION("""COMPUTED_VALUE"""),1.0)</f>
        <v>1</v>
      </c>
      <c r="F61" s="3">
        <f>IFERROR(__xludf.DUMMYFUNCTION("""COMPUTED_VALUE"""),43.0)</f>
        <v>43</v>
      </c>
      <c r="G61" s="5">
        <f t="shared" si="1"/>
        <v>60</v>
      </c>
    </row>
    <row r="62">
      <c r="A62" s="3" t="str">
        <f>IFERROR(__xludf.DUMMYFUNCTION("""COMPUTED_VALUE"""),"Stu Jordan")</f>
        <v>Stu Jordan</v>
      </c>
      <c r="B62" s="3">
        <f>IFERROR(__xludf.DUMMYFUNCTION("""COMPUTED_VALUE"""),11.0)</f>
        <v>11</v>
      </c>
      <c r="C62" s="3"/>
      <c r="D62" s="3"/>
      <c r="E62" s="3">
        <f>IFERROR(__xludf.DUMMYFUNCTION("""COMPUTED_VALUE"""),0.0)</f>
        <v>0</v>
      </c>
      <c r="F62" s="3">
        <f>IFERROR(__xludf.DUMMYFUNCTION("""COMPUTED_VALUE"""),43.0)</f>
        <v>43</v>
      </c>
      <c r="G62" s="5">
        <f t="shared" si="1"/>
        <v>61</v>
      </c>
    </row>
    <row r="63">
      <c r="A63" s="3" t="str">
        <f>IFERROR(__xludf.DUMMYFUNCTION("""COMPUTED_VALUE"""),"Calum Bennett")</f>
        <v>Calum Bennett</v>
      </c>
      <c r="B63" s="3">
        <f>IFERROR(__xludf.DUMMYFUNCTION("""COMPUTED_VALUE"""),12.0)</f>
        <v>12</v>
      </c>
      <c r="C63" s="3">
        <f>IFERROR(__xludf.DUMMYFUNCTION("""COMPUTED_VALUE"""),3.0)</f>
        <v>3</v>
      </c>
      <c r="D63" s="3"/>
      <c r="E63" s="3">
        <f>IFERROR(__xludf.DUMMYFUNCTION("""COMPUTED_VALUE"""),0.0)</f>
        <v>0</v>
      </c>
      <c r="F63" s="3">
        <f>IFERROR(__xludf.DUMMYFUNCTION("""COMPUTED_VALUE"""),42.0)</f>
        <v>42</v>
      </c>
      <c r="G63" s="5">
        <f t="shared" si="1"/>
        <v>62</v>
      </c>
    </row>
    <row r="64">
      <c r="A64" s="3" t="str">
        <f>IFERROR(__xludf.DUMMYFUNCTION("""COMPUTED_VALUE"""),"Chris Douthwaite")</f>
        <v>Chris Douthwaite</v>
      </c>
      <c r="B64" s="3">
        <f>IFERROR(__xludf.DUMMYFUNCTION("""COMPUTED_VALUE"""),13.0)</f>
        <v>13</v>
      </c>
      <c r="C64" s="3"/>
      <c r="D64" s="3"/>
      <c r="E64" s="3">
        <f>IFERROR(__xludf.DUMMYFUNCTION("""COMPUTED_VALUE"""),1.0)</f>
        <v>1</v>
      </c>
      <c r="F64" s="3">
        <f>IFERROR(__xludf.DUMMYFUNCTION("""COMPUTED_VALUE"""),41.0)</f>
        <v>41</v>
      </c>
      <c r="G64" s="5">
        <f t="shared" si="1"/>
        <v>63</v>
      </c>
    </row>
    <row r="65">
      <c r="A65" s="3" t="str">
        <f>IFERROR(__xludf.DUMMYFUNCTION("""COMPUTED_VALUE"""),"Finn Coolen")</f>
        <v>Finn Coolen</v>
      </c>
      <c r="B65" s="3">
        <f>IFERROR(__xludf.DUMMYFUNCTION("""COMPUTED_VALUE"""),13.0)</f>
        <v>13</v>
      </c>
      <c r="C65" s="3">
        <f>IFERROR(__xludf.DUMMYFUNCTION("""COMPUTED_VALUE"""),1.0)</f>
        <v>1</v>
      </c>
      <c r="D65" s="3">
        <f>IFERROR(__xludf.DUMMYFUNCTION("""COMPUTED_VALUE"""),2.0)</f>
        <v>2</v>
      </c>
      <c r="E65" s="3">
        <f>IFERROR(__xludf.DUMMYFUNCTION("""COMPUTED_VALUE"""),0.0)</f>
        <v>0</v>
      </c>
      <c r="F65" s="3">
        <f>IFERROR(__xludf.DUMMYFUNCTION("""COMPUTED_VALUE"""),41.0)</f>
        <v>41</v>
      </c>
      <c r="G65" s="5">
        <f t="shared" si="1"/>
        <v>64</v>
      </c>
    </row>
    <row r="66">
      <c r="A66" s="3" t="str">
        <f>IFERROR(__xludf.DUMMYFUNCTION("""COMPUTED_VALUE"""),"Richard Scott")</f>
        <v>Richard Scott</v>
      </c>
      <c r="B66" s="3">
        <f>IFERROR(__xludf.DUMMYFUNCTION("""COMPUTED_VALUE"""),5.0)</f>
        <v>5</v>
      </c>
      <c r="C66" s="3">
        <f>IFERROR(__xludf.DUMMYFUNCTION("""COMPUTED_VALUE"""),6.0)</f>
        <v>6</v>
      </c>
      <c r="D66" s="3">
        <f>IFERROR(__xludf.DUMMYFUNCTION("""COMPUTED_VALUE"""),1.0)</f>
        <v>1</v>
      </c>
      <c r="E66" s="3">
        <f>IFERROR(__xludf.DUMMYFUNCTION("""COMPUTED_VALUE"""),1.0)</f>
        <v>1</v>
      </c>
      <c r="F66" s="3">
        <f>IFERROR(__xludf.DUMMYFUNCTION("""COMPUTED_VALUE"""),41.0)</f>
        <v>41</v>
      </c>
      <c r="G66" s="5">
        <f t="shared" si="1"/>
        <v>65</v>
      </c>
    </row>
    <row r="67">
      <c r="A67" s="3" t="str">
        <f>IFERROR(__xludf.DUMMYFUNCTION("""COMPUTED_VALUE"""),"Matthew Thomas")</f>
        <v>Matthew Thomas</v>
      </c>
      <c r="B67" s="3">
        <f>IFERROR(__xludf.DUMMYFUNCTION("""COMPUTED_VALUE"""),14.0)</f>
        <v>14</v>
      </c>
      <c r="C67" s="3"/>
      <c r="D67" s="3">
        <f>IFERROR(__xludf.DUMMYFUNCTION("""COMPUTED_VALUE"""),1.0)</f>
        <v>1</v>
      </c>
      <c r="E67" s="3">
        <f>IFERROR(__xludf.DUMMYFUNCTION("""COMPUTED_VALUE"""),1.0)</f>
        <v>1</v>
      </c>
      <c r="F67" s="3">
        <f>IFERROR(__xludf.DUMMYFUNCTION("""COMPUTED_VALUE"""),40.0)</f>
        <v>40</v>
      </c>
      <c r="G67" s="5">
        <f t="shared" si="1"/>
        <v>66</v>
      </c>
    </row>
    <row r="68">
      <c r="A68" s="3" t="str">
        <f>IFERROR(__xludf.DUMMYFUNCTION("""COMPUTED_VALUE"""),"Calum Edwards")</f>
        <v>Calum Edwards</v>
      </c>
      <c r="B68" s="3">
        <f>IFERROR(__xludf.DUMMYFUNCTION("""COMPUTED_VALUE"""),9.0)</f>
        <v>9</v>
      </c>
      <c r="C68" s="3">
        <f>IFERROR(__xludf.DUMMYFUNCTION("""COMPUTED_VALUE"""),1.0)</f>
        <v>1</v>
      </c>
      <c r="D68" s="3"/>
      <c r="E68" s="3">
        <f>IFERROR(__xludf.DUMMYFUNCTION("""COMPUTED_VALUE"""),2.0)</f>
        <v>2</v>
      </c>
      <c r="F68" s="3">
        <f>IFERROR(__xludf.DUMMYFUNCTION("""COMPUTED_VALUE"""),39.0)</f>
        <v>39</v>
      </c>
      <c r="G68" s="5">
        <f t="shared" si="1"/>
        <v>67</v>
      </c>
    </row>
    <row r="69">
      <c r="A69" s="3" t="str">
        <f>IFERROR(__xludf.DUMMYFUNCTION("""COMPUTED_VALUE"""),"Christian King")</f>
        <v>Christian King</v>
      </c>
      <c r="B69" s="3">
        <f>IFERROR(__xludf.DUMMYFUNCTION("""COMPUTED_VALUE"""),11.0)</f>
        <v>11</v>
      </c>
      <c r="C69" s="3">
        <f>IFERROR(__xludf.DUMMYFUNCTION("""COMPUTED_VALUE"""),1.0)</f>
        <v>1</v>
      </c>
      <c r="D69" s="3">
        <f>IFERROR(__xludf.DUMMYFUNCTION("""COMPUTED_VALUE"""),2.0)</f>
        <v>2</v>
      </c>
      <c r="E69" s="3">
        <f>IFERROR(__xludf.DUMMYFUNCTION("""COMPUTED_VALUE"""),1.0)</f>
        <v>1</v>
      </c>
      <c r="F69" s="3">
        <f>IFERROR(__xludf.DUMMYFUNCTION("""COMPUTED_VALUE"""),39.0)</f>
        <v>39</v>
      </c>
      <c r="G69" s="5">
        <f t="shared" si="1"/>
        <v>68</v>
      </c>
    </row>
    <row r="70">
      <c r="A70" s="3" t="str">
        <f>IFERROR(__xludf.DUMMYFUNCTION("""COMPUTED_VALUE"""),"Jack Hind")</f>
        <v>Jack Hind</v>
      </c>
      <c r="B70" s="3">
        <f>IFERROR(__xludf.DUMMYFUNCTION("""COMPUTED_VALUE"""),10.0)</f>
        <v>10</v>
      </c>
      <c r="C70" s="3">
        <f>IFERROR(__xludf.DUMMYFUNCTION("""COMPUTED_VALUE"""),5.0)</f>
        <v>5</v>
      </c>
      <c r="D70" s="3">
        <f>IFERROR(__xludf.DUMMYFUNCTION("""COMPUTED_VALUE"""),1.0)</f>
        <v>1</v>
      </c>
      <c r="E70" s="3">
        <f>IFERROR(__xludf.DUMMYFUNCTION("""COMPUTED_VALUE"""),0.0)</f>
        <v>0</v>
      </c>
      <c r="F70" s="3">
        <f>IFERROR(__xludf.DUMMYFUNCTION("""COMPUTED_VALUE"""),39.0)</f>
        <v>39</v>
      </c>
      <c r="G70" s="5">
        <f t="shared" si="1"/>
        <v>69</v>
      </c>
    </row>
    <row r="71">
      <c r="A71" s="3" t="str">
        <f>IFERROR(__xludf.DUMMYFUNCTION("""COMPUTED_VALUE"""),"Sam A'Court")</f>
        <v>Sam A'Court</v>
      </c>
      <c r="B71" s="3">
        <f>IFERROR(__xludf.DUMMYFUNCTION("""COMPUTED_VALUE"""),13.0)</f>
        <v>13</v>
      </c>
      <c r="C71" s="3">
        <f>IFERROR(__xludf.DUMMYFUNCTION("""COMPUTED_VALUE"""),1.0)</f>
        <v>1</v>
      </c>
      <c r="D71" s="3"/>
      <c r="E71" s="3">
        <f>IFERROR(__xludf.DUMMYFUNCTION("""COMPUTED_VALUE"""),0.0)</f>
        <v>0</v>
      </c>
      <c r="F71" s="3">
        <f>IFERROR(__xludf.DUMMYFUNCTION("""COMPUTED_VALUE"""),39.0)</f>
        <v>39</v>
      </c>
      <c r="G71" s="5">
        <f t="shared" si="1"/>
        <v>70</v>
      </c>
    </row>
    <row r="72">
      <c r="A72" s="3" t="str">
        <f>IFERROR(__xludf.DUMMYFUNCTION("""COMPUTED_VALUE"""),"Tam de Lacey")</f>
        <v>Tam de Lacey</v>
      </c>
      <c r="B72" s="3">
        <f>IFERROR(__xludf.DUMMYFUNCTION("""COMPUTED_VALUE"""),13.0)</f>
        <v>13</v>
      </c>
      <c r="C72" s="3"/>
      <c r="D72" s="3"/>
      <c r="E72" s="3">
        <f>IFERROR(__xludf.DUMMYFUNCTION("""COMPUTED_VALUE"""),0.0)</f>
        <v>0</v>
      </c>
      <c r="F72" s="3">
        <f>IFERROR(__xludf.DUMMYFUNCTION("""COMPUTED_VALUE"""),39.0)</f>
        <v>39</v>
      </c>
      <c r="G72" s="5">
        <f t="shared" si="1"/>
        <v>71</v>
      </c>
    </row>
    <row r="73">
      <c r="A73" s="3" t="str">
        <f>IFERROR(__xludf.DUMMYFUNCTION("""COMPUTED_VALUE"""),"Oli Barton")</f>
        <v>Oli Barton</v>
      </c>
      <c r="B73" s="3">
        <f>IFERROR(__xludf.DUMMYFUNCTION("""COMPUTED_VALUE"""),11.0)</f>
        <v>11</v>
      </c>
      <c r="C73" s="3">
        <f>IFERROR(__xludf.DUMMYFUNCTION("""COMPUTED_VALUE"""),1.0)</f>
        <v>1</v>
      </c>
      <c r="D73" s="3">
        <f>IFERROR(__xludf.DUMMYFUNCTION("""COMPUTED_VALUE"""),1.0)</f>
        <v>1</v>
      </c>
      <c r="E73" s="3">
        <f>IFERROR(__xludf.DUMMYFUNCTION("""COMPUTED_VALUE"""),1.0)</f>
        <v>1</v>
      </c>
      <c r="F73" s="3">
        <f>IFERROR(__xludf.DUMMYFUNCTION("""COMPUTED_VALUE"""),38.0)</f>
        <v>38</v>
      </c>
      <c r="G73" s="5">
        <f t="shared" si="1"/>
        <v>72</v>
      </c>
    </row>
    <row r="74">
      <c r="A74" s="3" t="str">
        <f>IFERROR(__xludf.DUMMYFUNCTION("""COMPUTED_VALUE"""),"David Holmes-White")</f>
        <v>David Holmes-White</v>
      </c>
      <c r="B74" s="3">
        <f>IFERROR(__xludf.DUMMYFUNCTION("""COMPUTED_VALUE"""),14.0)</f>
        <v>14</v>
      </c>
      <c r="C74" s="3"/>
      <c r="D74" s="3">
        <f>IFERROR(__xludf.DUMMYFUNCTION("""COMPUTED_VALUE"""),1.0)</f>
        <v>1</v>
      </c>
      <c r="E74" s="3">
        <f>IFERROR(__xludf.DUMMYFUNCTION("""COMPUTED_VALUE"""),0.0)</f>
        <v>0</v>
      </c>
      <c r="F74" s="3">
        <f>IFERROR(__xludf.DUMMYFUNCTION("""COMPUTED_VALUE"""),37.0)</f>
        <v>37</v>
      </c>
      <c r="G74" s="5">
        <f t="shared" si="1"/>
        <v>73</v>
      </c>
    </row>
    <row r="75">
      <c r="A75" s="3" t="str">
        <f>IFERROR(__xludf.DUMMYFUNCTION("""COMPUTED_VALUE"""),"Martin Goodson")</f>
        <v>Martin Goodson</v>
      </c>
      <c r="B75" s="3">
        <f>IFERROR(__xludf.DUMMYFUNCTION("""COMPUTED_VALUE"""),19.0)</f>
        <v>19</v>
      </c>
      <c r="C75" s="3"/>
      <c r="D75" s="3"/>
      <c r="E75" s="3">
        <f>IFERROR(__xludf.DUMMYFUNCTION("""COMPUTED_VALUE"""),2.0)</f>
        <v>2</v>
      </c>
      <c r="F75" s="3">
        <f>IFERROR(__xludf.DUMMYFUNCTION("""COMPUTED_VALUE"""),36.0)</f>
        <v>36</v>
      </c>
      <c r="G75" s="5">
        <f t="shared" si="1"/>
        <v>74</v>
      </c>
    </row>
    <row r="76">
      <c r="A76" s="3" t="str">
        <f>IFERROR(__xludf.DUMMYFUNCTION("""COMPUTED_VALUE"""),"George Havord")</f>
        <v>George Havord</v>
      </c>
      <c r="B76" s="3">
        <f>IFERROR(__xludf.DUMMYFUNCTION("""COMPUTED_VALUE"""),10.0)</f>
        <v>10</v>
      </c>
      <c r="C76" s="3">
        <f>IFERROR(__xludf.DUMMYFUNCTION("""COMPUTED_VALUE"""),1.0)</f>
        <v>1</v>
      </c>
      <c r="D76" s="3"/>
      <c r="E76" s="3">
        <f>IFERROR(__xludf.DUMMYFUNCTION("""COMPUTED_VALUE"""),2.0)</f>
        <v>2</v>
      </c>
      <c r="F76" s="3">
        <f>IFERROR(__xludf.DUMMYFUNCTION("""COMPUTED_VALUE"""),35.0)</f>
        <v>35</v>
      </c>
      <c r="G76" s="5">
        <f t="shared" si="1"/>
        <v>75</v>
      </c>
    </row>
    <row r="77">
      <c r="A77" s="3" t="str">
        <f>IFERROR(__xludf.DUMMYFUNCTION("""COMPUTED_VALUE"""),"Will Sollory")</f>
        <v>Will Sollory</v>
      </c>
      <c r="B77" s="3">
        <f>IFERROR(__xludf.DUMMYFUNCTION("""COMPUTED_VALUE"""),13.0)</f>
        <v>13</v>
      </c>
      <c r="C77" s="3"/>
      <c r="D77" s="3">
        <f>IFERROR(__xludf.DUMMYFUNCTION("""COMPUTED_VALUE"""),2.0)</f>
        <v>2</v>
      </c>
      <c r="E77" s="3">
        <f>IFERROR(__xludf.DUMMYFUNCTION("""COMPUTED_VALUE"""),0.0)</f>
        <v>0</v>
      </c>
      <c r="F77" s="3">
        <f>IFERROR(__xludf.DUMMYFUNCTION("""COMPUTED_VALUE"""),35.0)</f>
        <v>35</v>
      </c>
      <c r="G77" s="5">
        <f t="shared" si="1"/>
        <v>76</v>
      </c>
    </row>
    <row r="78">
      <c r="A78" s="3" t="str">
        <f>IFERROR(__xludf.DUMMYFUNCTION("""COMPUTED_VALUE"""),"Corey Cleave")</f>
        <v>Corey Cleave</v>
      </c>
      <c r="B78" s="3">
        <f>IFERROR(__xludf.DUMMYFUNCTION("""COMPUTED_VALUE"""),7.0)</f>
        <v>7</v>
      </c>
      <c r="C78" s="3">
        <f>IFERROR(__xludf.DUMMYFUNCTION("""COMPUTED_VALUE"""),4.0)</f>
        <v>4</v>
      </c>
      <c r="D78" s="3"/>
      <c r="E78" s="3">
        <f>IFERROR(__xludf.DUMMYFUNCTION("""COMPUTED_VALUE"""),1.0)</f>
        <v>1</v>
      </c>
      <c r="F78" s="3">
        <f>IFERROR(__xludf.DUMMYFUNCTION("""COMPUTED_VALUE"""),34.0)</f>
        <v>34</v>
      </c>
      <c r="G78" s="5">
        <f t="shared" si="1"/>
        <v>77</v>
      </c>
    </row>
    <row r="79">
      <c r="A79" s="3" t="str">
        <f>IFERROR(__xludf.DUMMYFUNCTION("""COMPUTED_VALUE"""),"Sidney Hopper-Kelly")</f>
        <v>Sidney Hopper-Kelly</v>
      </c>
      <c r="B79" s="3">
        <f>IFERROR(__xludf.DUMMYFUNCTION("""COMPUTED_VALUE"""),9.0)</f>
        <v>9</v>
      </c>
      <c r="C79" s="3"/>
      <c r="D79" s="3">
        <f>IFERROR(__xludf.DUMMYFUNCTION("""COMPUTED_VALUE"""),1.0)</f>
        <v>1</v>
      </c>
      <c r="E79" s="3">
        <f>IFERROR(__xludf.DUMMYFUNCTION("""COMPUTED_VALUE"""),1.0)</f>
        <v>1</v>
      </c>
      <c r="F79" s="3">
        <f>IFERROR(__xludf.DUMMYFUNCTION("""COMPUTED_VALUE"""),34.0)</f>
        <v>34</v>
      </c>
      <c r="G79" s="5">
        <f t="shared" si="1"/>
        <v>78</v>
      </c>
    </row>
    <row r="80">
      <c r="A80" s="3" t="str">
        <f>IFERROR(__xludf.DUMMYFUNCTION("""COMPUTED_VALUE"""),"Daniel Sheehan")</f>
        <v>Daniel Sheehan</v>
      </c>
      <c r="B80" s="3">
        <f>IFERROR(__xludf.DUMMYFUNCTION("""COMPUTED_VALUE"""),9.0)</f>
        <v>9</v>
      </c>
      <c r="C80" s="3">
        <f>IFERROR(__xludf.DUMMYFUNCTION("""COMPUTED_VALUE"""),2.0)</f>
        <v>2</v>
      </c>
      <c r="D80" s="3">
        <f>IFERROR(__xludf.DUMMYFUNCTION("""COMPUTED_VALUE"""),3.0)</f>
        <v>3</v>
      </c>
      <c r="E80" s="3">
        <f>IFERROR(__xludf.DUMMYFUNCTION("""COMPUTED_VALUE"""),0.0)</f>
        <v>0</v>
      </c>
      <c r="F80" s="3">
        <f>IFERROR(__xludf.DUMMYFUNCTION("""COMPUTED_VALUE"""),33.0)</f>
        <v>33</v>
      </c>
      <c r="G80" s="5">
        <f t="shared" si="1"/>
        <v>79</v>
      </c>
    </row>
    <row r="81">
      <c r="A81" s="3" t="str">
        <f>IFERROR(__xludf.DUMMYFUNCTION("""COMPUTED_VALUE"""),"Pearl Bakengela")</f>
        <v>Pearl Bakengela</v>
      </c>
      <c r="B81" s="3">
        <f>IFERROR(__xludf.DUMMYFUNCTION("""COMPUTED_VALUE"""),9.0)</f>
        <v>9</v>
      </c>
      <c r="C81" s="3">
        <f>IFERROR(__xludf.DUMMYFUNCTION("""COMPUTED_VALUE"""),4.0)</f>
        <v>4</v>
      </c>
      <c r="D81" s="3"/>
      <c r="E81" s="3">
        <f>IFERROR(__xludf.DUMMYFUNCTION("""COMPUTED_VALUE"""),0.0)</f>
        <v>0</v>
      </c>
      <c r="F81" s="3">
        <f>IFERROR(__xludf.DUMMYFUNCTION("""COMPUTED_VALUE"""),33.0)</f>
        <v>33</v>
      </c>
      <c r="G81" s="5">
        <f t="shared" si="1"/>
        <v>80</v>
      </c>
    </row>
    <row r="82">
      <c r="A82" s="3" t="str">
        <f>IFERROR(__xludf.DUMMYFUNCTION("""COMPUTED_VALUE"""),"Tom Riley")</f>
        <v>Tom Riley</v>
      </c>
      <c r="B82" s="3">
        <f>IFERROR(__xludf.DUMMYFUNCTION("""COMPUTED_VALUE"""),11.0)</f>
        <v>11</v>
      </c>
      <c r="C82" s="3"/>
      <c r="D82" s="3">
        <f>IFERROR(__xludf.DUMMYFUNCTION("""COMPUTED_VALUE"""),3.0)</f>
        <v>3</v>
      </c>
      <c r="E82" s="3">
        <f>IFERROR(__xludf.DUMMYFUNCTION("""COMPUTED_VALUE"""),0.0)</f>
        <v>0</v>
      </c>
      <c r="F82" s="3">
        <f>IFERROR(__xludf.DUMMYFUNCTION("""COMPUTED_VALUE"""),33.0)</f>
        <v>33</v>
      </c>
      <c r="G82" s="5">
        <f t="shared" si="1"/>
        <v>81</v>
      </c>
    </row>
    <row r="83">
      <c r="A83" s="3" t="str">
        <f>IFERROR(__xludf.DUMMYFUNCTION("""COMPUTED_VALUE"""),"Anthony Ball")</f>
        <v>Anthony Ball</v>
      </c>
      <c r="B83" s="3">
        <f>IFERROR(__xludf.DUMMYFUNCTION("""COMPUTED_VALUE"""),13.0)</f>
        <v>13</v>
      </c>
      <c r="C83" s="3"/>
      <c r="D83" s="3">
        <f>IFERROR(__xludf.DUMMYFUNCTION("""COMPUTED_VALUE"""),1.0)</f>
        <v>1</v>
      </c>
      <c r="E83" s="3">
        <f>IFERROR(__xludf.DUMMYFUNCTION("""COMPUTED_VALUE"""),0.0)</f>
        <v>0</v>
      </c>
      <c r="F83" s="3">
        <f>IFERROR(__xludf.DUMMYFUNCTION("""COMPUTED_VALUE"""),32.0)</f>
        <v>32</v>
      </c>
      <c r="G83" s="5">
        <f t="shared" si="1"/>
        <v>82</v>
      </c>
    </row>
    <row r="84">
      <c r="A84" s="3" t="str">
        <f>IFERROR(__xludf.DUMMYFUNCTION("""COMPUTED_VALUE"""),"Henry Pepperell")</f>
        <v>Henry Pepperell</v>
      </c>
      <c r="B84" s="3">
        <f>IFERROR(__xludf.DUMMYFUNCTION("""COMPUTED_VALUE"""),7.0)</f>
        <v>7</v>
      </c>
      <c r="C84" s="3"/>
      <c r="D84" s="3">
        <f>IFERROR(__xludf.DUMMYFUNCTION("""COMPUTED_VALUE"""),1.0)</f>
        <v>1</v>
      </c>
      <c r="E84" s="3">
        <f>IFERROR(__xludf.DUMMYFUNCTION("""COMPUTED_VALUE"""),1.0)</f>
        <v>1</v>
      </c>
      <c r="F84" s="3">
        <f>IFERROR(__xludf.DUMMYFUNCTION("""COMPUTED_VALUE"""),31.0)</f>
        <v>31</v>
      </c>
      <c r="G84" s="5">
        <f t="shared" si="1"/>
        <v>83</v>
      </c>
    </row>
    <row r="85">
      <c r="A85" s="3" t="str">
        <f>IFERROR(__xludf.DUMMYFUNCTION("""COMPUTED_VALUE"""),"Andrew Barclay")</f>
        <v>Andrew Barclay</v>
      </c>
      <c r="B85" s="3">
        <f>IFERROR(__xludf.DUMMYFUNCTION("""COMPUTED_VALUE"""),10.0)</f>
        <v>10</v>
      </c>
      <c r="C85" s="3"/>
      <c r="D85" s="3">
        <f>IFERROR(__xludf.DUMMYFUNCTION("""COMPUTED_VALUE"""),1.0)</f>
        <v>1</v>
      </c>
      <c r="E85" s="3">
        <f>IFERROR(__xludf.DUMMYFUNCTION("""COMPUTED_VALUE"""),1.0)</f>
        <v>1</v>
      </c>
      <c r="F85" s="3">
        <f>IFERROR(__xludf.DUMMYFUNCTION("""COMPUTED_VALUE"""),30.0)</f>
        <v>30</v>
      </c>
      <c r="G85" s="5">
        <f t="shared" si="1"/>
        <v>84</v>
      </c>
    </row>
    <row r="86">
      <c r="A86" s="3" t="str">
        <f>IFERROR(__xludf.DUMMYFUNCTION("""COMPUTED_VALUE"""),"Hallam Wye")</f>
        <v>Hallam Wye</v>
      </c>
      <c r="B86" s="3">
        <f>IFERROR(__xludf.DUMMYFUNCTION("""COMPUTED_VALUE"""),12.0)</f>
        <v>12</v>
      </c>
      <c r="C86" s="3">
        <f>IFERROR(__xludf.DUMMYFUNCTION("""COMPUTED_VALUE"""),1.0)</f>
        <v>1</v>
      </c>
      <c r="D86" s="3">
        <f>IFERROR(__xludf.DUMMYFUNCTION("""COMPUTED_VALUE"""),1.0)</f>
        <v>1</v>
      </c>
      <c r="E86" s="3">
        <f>IFERROR(__xludf.DUMMYFUNCTION("""COMPUTED_VALUE"""),0.0)</f>
        <v>0</v>
      </c>
      <c r="F86" s="3">
        <f>IFERROR(__xludf.DUMMYFUNCTION("""COMPUTED_VALUE"""),30.0)</f>
        <v>30</v>
      </c>
      <c r="G86" s="5">
        <f t="shared" si="1"/>
        <v>85</v>
      </c>
    </row>
    <row r="87">
      <c r="A87" s="3" t="str">
        <f>IFERROR(__xludf.DUMMYFUNCTION("""COMPUTED_VALUE"""),"Josh Billings")</f>
        <v>Josh Billings</v>
      </c>
      <c r="B87" s="3">
        <f>IFERROR(__xludf.DUMMYFUNCTION("""COMPUTED_VALUE"""),6.0)</f>
        <v>6</v>
      </c>
      <c r="C87" s="3">
        <f>IFERROR(__xludf.DUMMYFUNCTION("""COMPUTED_VALUE"""),3.0)</f>
        <v>3</v>
      </c>
      <c r="D87" s="3">
        <f>IFERROR(__xludf.DUMMYFUNCTION("""COMPUTED_VALUE"""),2.0)</f>
        <v>2</v>
      </c>
      <c r="E87" s="3">
        <f>IFERROR(__xludf.DUMMYFUNCTION("""COMPUTED_VALUE"""),0.0)</f>
        <v>0</v>
      </c>
      <c r="F87" s="3">
        <f>IFERROR(__xludf.DUMMYFUNCTION("""COMPUTED_VALUE"""),30.0)</f>
        <v>30</v>
      </c>
      <c r="G87" s="5">
        <f t="shared" si="1"/>
        <v>86</v>
      </c>
    </row>
    <row r="88">
      <c r="A88" s="3" t="str">
        <f>IFERROR(__xludf.DUMMYFUNCTION("""COMPUTED_VALUE"""),"Joe Vincent")</f>
        <v>Joe Vincent</v>
      </c>
      <c r="B88" s="3">
        <f>IFERROR(__xludf.DUMMYFUNCTION("""COMPUTED_VALUE"""),10.0)</f>
        <v>10</v>
      </c>
      <c r="C88" s="3"/>
      <c r="D88" s="3"/>
      <c r="E88" s="3">
        <f>IFERROR(__xludf.DUMMYFUNCTION("""COMPUTED_VALUE"""),1.0)</f>
        <v>1</v>
      </c>
      <c r="F88" s="3">
        <f>IFERROR(__xludf.DUMMYFUNCTION("""COMPUTED_VALUE"""),29.0)</f>
        <v>29</v>
      </c>
      <c r="G88" s="5">
        <f t="shared" si="1"/>
        <v>87</v>
      </c>
    </row>
    <row r="89">
      <c r="A89" s="3" t="str">
        <f>IFERROR(__xludf.DUMMYFUNCTION("""COMPUTED_VALUE"""),"Claudien Mwalimu")</f>
        <v>Claudien Mwalimu</v>
      </c>
      <c r="B89" s="3">
        <f>IFERROR(__xludf.DUMMYFUNCTION("""COMPUTED_VALUE"""),5.0)</f>
        <v>5</v>
      </c>
      <c r="C89" s="3">
        <f>IFERROR(__xludf.DUMMYFUNCTION("""COMPUTED_VALUE"""),2.0)</f>
        <v>2</v>
      </c>
      <c r="D89" s="3"/>
      <c r="E89" s="3">
        <f>IFERROR(__xludf.DUMMYFUNCTION("""COMPUTED_VALUE"""),2.0)</f>
        <v>2</v>
      </c>
      <c r="F89" s="3">
        <f>IFERROR(__xludf.DUMMYFUNCTION("""COMPUTED_VALUE"""),28.0)</f>
        <v>28</v>
      </c>
      <c r="G89" s="5">
        <f t="shared" si="1"/>
        <v>88</v>
      </c>
    </row>
    <row r="90">
      <c r="A90" s="3" t="str">
        <f>IFERROR(__xludf.DUMMYFUNCTION("""COMPUTED_VALUE"""),"Janam Satra")</f>
        <v>Janam Satra</v>
      </c>
      <c r="B90" s="3">
        <f>IFERROR(__xludf.DUMMYFUNCTION("""COMPUTED_VALUE"""),12.0)</f>
        <v>12</v>
      </c>
      <c r="C90" s="3"/>
      <c r="D90" s="3">
        <f>IFERROR(__xludf.DUMMYFUNCTION("""COMPUTED_VALUE"""),1.0)</f>
        <v>1</v>
      </c>
      <c r="E90" s="3">
        <f>IFERROR(__xludf.DUMMYFUNCTION("""COMPUTED_VALUE"""),0.0)</f>
        <v>0</v>
      </c>
      <c r="F90" s="3">
        <f>IFERROR(__xludf.DUMMYFUNCTION("""COMPUTED_VALUE"""),28.0)</f>
        <v>28</v>
      </c>
      <c r="G90" s="5">
        <f t="shared" si="1"/>
        <v>89</v>
      </c>
    </row>
    <row r="91">
      <c r="A91" s="3" t="str">
        <f>IFERROR(__xludf.DUMMYFUNCTION("""COMPUTED_VALUE"""),"Leuman Coronado")</f>
        <v>Leuman Coronado</v>
      </c>
      <c r="B91" s="3">
        <f>IFERROR(__xludf.DUMMYFUNCTION("""COMPUTED_VALUE"""),8.0)</f>
        <v>8</v>
      </c>
      <c r="C91" s="3"/>
      <c r="D91" s="3"/>
      <c r="E91" s="3">
        <f>IFERROR(__xludf.DUMMYFUNCTION("""COMPUTED_VALUE"""),2.0)</f>
        <v>2</v>
      </c>
      <c r="F91" s="3">
        <f>IFERROR(__xludf.DUMMYFUNCTION("""COMPUTED_VALUE"""),28.0)</f>
        <v>28</v>
      </c>
      <c r="G91" s="5">
        <f t="shared" si="1"/>
        <v>90</v>
      </c>
    </row>
    <row r="92">
      <c r="A92" s="3" t="str">
        <f>IFERROR(__xludf.DUMMYFUNCTION("""COMPUTED_VALUE"""),"Steve Francis")</f>
        <v>Steve Francis</v>
      </c>
      <c r="B92" s="3">
        <f>IFERROR(__xludf.DUMMYFUNCTION("""COMPUTED_VALUE"""),4.0)</f>
        <v>4</v>
      </c>
      <c r="C92" s="3">
        <f>IFERROR(__xludf.DUMMYFUNCTION("""COMPUTED_VALUE"""),5.0)</f>
        <v>5</v>
      </c>
      <c r="D92" s="3"/>
      <c r="E92" s="3">
        <f>IFERROR(__xludf.DUMMYFUNCTION("""COMPUTED_VALUE"""),0.0)</f>
        <v>0</v>
      </c>
      <c r="F92" s="3">
        <f>IFERROR(__xludf.DUMMYFUNCTION("""COMPUTED_VALUE"""),28.0)</f>
        <v>28</v>
      </c>
      <c r="G92" s="5">
        <f t="shared" si="1"/>
        <v>91</v>
      </c>
    </row>
    <row r="93">
      <c r="A93" s="3" t="str">
        <f>IFERROR(__xludf.DUMMYFUNCTION("""COMPUTED_VALUE"""),"Gaz Wheldale")</f>
        <v>Gaz Wheldale</v>
      </c>
      <c r="B93" s="3">
        <f>IFERROR(__xludf.DUMMYFUNCTION("""COMPUTED_VALUE"""),6.0)</f>
        <v>6</v>
      </c>
      <c r="C93" s="3"/>
      <c r="D93" s="3">
        <f>IFERROR(__xludf.DUMMYFUNCTION("""COMPUTED_VALUE"""),2.0)</f>
        <v>2</v>
      </c>
      <c r="E93" s="3">
        <f>IFERROR(__xludf.DUMMYFUNCTION("""COMPUTED_VALUE"""),1.0)</f>
        <v>1</v>
      </c>
      <c r="F93" s="3">
        <f>IFERROR(__xludf.DUMMYFUNCTION("""COMPUTED_VALUE"""),27.0)</f>
        <v>27</v>
      </c>
      <c r="G93" s="5">
        <f t="shared" si="1"/>
        <v>92</v>
      </c>
    </row>
    <row r="94">
      <c r="A94" s="3" t="str">
        <f>IFERROR(__xludf.DUMMYFUNCTION("""COMPUTED_VALUE"""),"Tom Taylor")</f>
        <v>Tom Taylor</v>
      </c>
      <c r="B94" s="3">
        <f>IFERROR(__xludf.DUMMYFUNCTION("""COMPUTED_VALUE"""),7.0)</f>
        <v>7</v>
      </c>
      <c r="C94" s="3">
        <f>IFERROR(__xludf.DUMMYFUNCTION("""COMPUTED_VALUE"""),2.0)</f>
        <v>2</v>
      </c>
      <c r="D94" s="3"/>
      <c r="E94" s="3">
        <f>IFERROR(__xludf.DUMMYFUNCTION("""COMPUTED_VALUE"""),1.0)</f>
        <v>1</v>
      </c>
      <c r="F94" s="3">
        <f>IFERROR(__xludf.DUMMYFUNCTION("""COMPUTED_VALUE"""),27.0)</f>
        <v>27</v>
      </c>
      <c r="G94" s="5">
        <f t="shared" si="1"/>
        <v>93</v>
      </c>
    </row>
    <row r="95">
      <c r="A95" s="3" t="str">
        <f>IFERROR(__xludf.DUMMYFUNCTION("""COMPUTED_VALUE"""),"Jabari Dixon")</f>
        <v>Jabari Dixon</v>
      </c>
      <c r="B95" s="3">
        <f>IFERROR(__xludf.DUMMYFUNCTION("""COMPUTED_VALUE"""),10.0)</f>
        <v>10</v>
      </c>
      <c r="C95" s="3"/>
      <c r="D95" s="3"/>
      <c r="E95" s="3">
        <f>IFERROR(__xludf.DUMMYFUNCTION("""COMPUTED_VALUE"""),1.0)</f>
        <v>1</v>
      </c>
      <c r="F95" s="3">
        <f>IFERROR(__xludf.DUMMYFUNCTION("""COMPUTED_VALUE"""),26.0)</f>
        <v>26</v>
      </c>
      <c r="G95" s="5">
        <f t="shared" si="1"/>
        <v>94</v>
      </c>
    </row>
    <row r="96">
      <c r="A96" s="3" t="str">
        <f>IFERROR(__xludf.DUMMYFUNCTION("""COMPUTED_VALUE"""),"Lee Clark")</f>
        <v>Lee Clark</v>
      </c>
      <c r="B96" s="3">
        <f>IFERROR(__xludf.DUMMYFUNCTION("""COMPUTED_VALUE"""),11.0)</f>
        <v>11</v>
      </c>
      <c r="C96" s="3"/>
      <c r="D96" s="3"/>
      <c r="E96" s="3">
        <f>IFERROR(__xludf.DUMMYFUNCTION("""COMPUTED_VALUE"""),0.0)</f>
        <v>0</v>
      </c>
      <c r="F96" s="3">
        <f>IFERROR(__xludf.DUMMYFUNCTION("""COMPUTED_VALUE"""),26.0)</f>
        <v>26</v>
      </c>
      <c r="G96" s="5">
        <f t="shared" si="1"/>
        <v>95</v>
      </c>
    </row>
    <row r="97">
      <c r="A97" s="3" t="str">
        <f>IFERROR(__xludf.DUMMYFUNCTION("""COMPUTED_VALUE"""),"Cameron Ward")</f>
        <v>Cameron Ward</v>
      </c>
      <c r="B97" s="3">
        <f>IFERROR(__xludf.DUMMYFUNCTION("""COMPUTED_VALUE"""),8.0)</f>
        <v>8</v>
      </c>
      <c r="C97" s="3"/>
      <c r="D97" s="3">
        <f>IFERROR(__xludf.DUMMYFUNCTION("""COMPUTED_VALUE"""),2.0)</f>
        <v>2</v>
      </c>
      <c r="E97" s="3">
        <f>IFERROR(__xludf.DUMMYFUNCTION("""COMPUTED_VALUE"""),0.0)</f>
        <v>0</v>
      </c>
      <c r="F97" s="3">
        <f>IFERROR(__xludf.DUMMYFUNCTION("""COMPUTED_VALUE"""),25.0)</f>
        <v>25</v>
      </c>
      <c r="G97" s="5">
        <f t="shared" si="1"/>
        <v>96</v>
      </c>
    </row>
    <row r="98">
      <c r="A98" s="3" t="str">
        <f>IFERROR(__xludf.DUMMYFUNCTION("""COMPUTED_VALUE"""),"Matt Hope")</f>
        <v>Matt Hope</v>
      </c>
      <c r="B98" s="3">
        <f>IFERROR(__xludf.DUMMYFUNCTION("""COMPUTED_VALUE"""),9.0)</f>
        <v>9</v>
      </c>
      <c r="C98" s="3">
        <f>IFERROR(__xludf.DUMMYFUNCTION("""COMPUTED_VALUE"""),1.0)</f>
        <v>1</v>
      </c>
      <c r="D98" s="3">
        <f>IFERROR(__xludf.DUMMYFUNCTION("""COMPUTED_VALUE"""),1.0)</f>
        <v>1</v>
      </c>
      <c r="E98" s="3">
        <f>IFERROR(__xludf.DUMMYFUNCTION("""COMPUTED_VALUE"""),0.0)</f>
        <v>0</v>
      </c>
      <c r="F98" s="3">
        <f>IFERROR(__xludf.DUMMYFUNCTION("""COMPUTED_VALUE"""),25.0)</f>
        <v>25</v>
      </c>
      <c r="G98" s="5">
        <f t="shared" si="1"/>
        <v>97</v>
      </c>
    </row>
    <row r="99">
      <c r="A99" s="3" t="str">
        <f>IFERROR(__xludf.DUMMYFUNCTION("""COMPUTED_VALUE"""),"Aidan Byrne")</f>
        <v>Aidan Byrne</v>
      </c>
      <c r="B99" s="3">
        <f>IFERROR(__xludf.DUMMYFUNCTION("""COMPUTED_VALUE"""),5.0)</f>
        <v>5</v>
      </c>
      <c r="C99" s="3">
        <f>IFERROR(__xludf.DUMMYFUNCTION("""COMPUTED_VALUE"""),1.0)</f>
        <v>1</v>
      </c>
      <c r="D99" s="3"/>
      <c r="E99" s="3">
        <f>IFERROR(__xludf.DUMMYFUNCTION("""COMPUTED_VALUE"""),0.0)</f>
        <v>0</v>
      </c>
      <c r="F99" s="3">
        <f>IFERROR(__xludf.DUMMYFUNCTION("""COMPUTED_VALUE"""),24.0)</f>
        <v>24</v>
      </c>
      <c r="G99" s="5">
        <f t="shared" si="1"/>
        <v>98</v>
      </c>
    </row>
    <row r="100">
      <c r="A100" s="3" t="str">
        <f>IFERROR(__xludf.DUMMYFUNCTION("""COMPUTED_VALUE"""),"Alex Clark")</f>
        <v>Alex Clark</v>
      </c>
      <c r="B100" s="3">
        <f>IFERROR(__xludf.DUMMYFUNCTION("""COMPUTED_VALUE"""),7.0)</f>
        <v>7</v>
      </c>
      <c r="C100" s="3">
        <f>IFERROR(__xludf.DUMMYFUNCTION("""COMPUTED_VALUE"""),1.0)</f>
        <v>1</v>
      </c>
      <c r="D100" s="3">
        <f>IFERROR(__xludf.DUMMYFUNCTION("""COMPUTED_VALUE"""),1.0)</f>
        <v>1</v>
      </c>
      <c r="E100" s="3">
        <f>IFERROR(__xludf.DUMMYFUNCTION("""COMPUTED_VALUE"""),0.0)</f>
        <v>0</v>
      </c>
      <c r="F100" s="3">
        <f>IFERROR(__xludf.DUMMYFUNCTION("""COMPUTED_VALUE"""),24.0)</f>
        <v>24</v>
      </c>
      <c r="G100" s="5">
        <f t="shared" si="1"/>
        <v>99</v>
      </c>
    </row>
    <row r="101">
      <c r="A101" s="3" t="str">
        <f>IFERROR(__xludf.DUMMYFUNCTION("""COMPUTED_VALUE"""),"Billy King")</f>
        <v>Billy King</v>
      </c>
      <c r="B101" s="3">
        <f>IFERROR(__xludf.DUMMYFUNCTION("""COMPUTED_VALUE"""),7.0)</f>
        <v>7</v>
      </c>
      <c r="C101" s="3"/>
      <c r="D101" s="3">
        <f>IFERROR(__xludf.DUMMYFUNCTION("""COMPUTED_VALUE"""),2.0)</f>
        <v>2</v>
      </c>
      <c r="E101" s="3">
        <f>IFERROR(__xludf.DUMMYFUNCTION("""COMPUTED_VALUE"""),0.0)</f>
        <v>0</v>
      </c>
      <c r="F101" s="3">
        <f>IFERROR(__xludf.DUMMYFUNCTION("""COMPUTED_VALUE"""),24.0)</f>
        <v>24</v>
      </c>
      <c r="G101" s="5">
        <f t="shared" si="1"/>
        <v>100</v>
      </c>
    </row>
    <row r="102">
      <c r="A102" s="3" t="str">
        <f>IFERROR(__xludf.DUMMYFUNCTION("""COMPUTED_VALUE"""),"Pierce Bennett")</f>
        <v>Pierce Bennett</v>
      </c>
      <c r="B102" s="3">
        <f>IFERROR(__xludf.DUMMYFUNCTION("""COMPUTED_VALUE"""),3.0)</f>
        <v>3</v>
      </c>
      <c r="C102" s="3">
        <f>IFERROR(__xludf.DUMMYFUNCTION("""COMPUTED_VALUE"""),2.0)</f>
        <v>2</v>
      </c>
      <c r="D102" s="3">
        <f>IFERROR(__xludf.DUMMYFUNCTION("""COMPUTED_VALUE"""),1.0)</f>
        <v>1</v>
      </c>
      <c r="E102" s="3">
        <f>IFERROR(__xludf.DUMMYFUNCTION("""COMPUTED_VALUE"""),1.0)</f>
        <v>1</v>
      </c>
      <c r="F102" s="3">
        <f>IFERROR(__xludf.DUMMYFUNCTION("""COMPUTED_VALUE"""),24.0)</f>
        <v>24</v>
      </c>
      <c r="G102" s="5">
        <f t="shared" si="1"/>
        <v>101</v>
      </c>
    </row>
    <row r="103">
      <c r="A103" s="3" t="str">
        <f>IFERROR(__xludf.DUMMYFUNCTION("""COMPUTED_VALUE"""),"Ste Calder")</f>
        <v>Ste Calder</v>
      </c>
      <c r="B103" s="3">
        <f>IFERROR(__xludf.DUMMYFUNCTION("""COMPUTED_VALUE"""),4.0)</f>
        <v>4</v>
      </c>
      <c r="C103" s="3">
        <f>IFERROR(__xludf.DUMMYFUNCTION("""COMPUTED_VALUE"""),2.0)</f>
        <v>2</v>
      </c>
      <c r="D103" s="3">
        <f>IFERROR(__xludf.DUMMYFUNCTION("""COMPUTED_VALUE"""),2.0)</f>
        <v>2</v>
      </c>
      <c r="E103" s="3">
        <f>IFERROR(__xludf.DUMMYFUNCTION("""COMPUTED_VALUE"""),0.0)</f>
        <v>0</v>
      </c>
      <c r="F103" s="3">
        <f>IFERROR(__xludf.DUMMYFUNCTION("""COMPUTED_VALUE"""),24.0)</f>
        <v>24</v>
      </c>
      <c r="G103" s="5">
        <f t="shared" si="1"/>
        <v>102</v>
      </c>
    </row>
    <row r="104">
      <c r="A104" s="3" t="str">
        <f>IFERROR(__xludf.DUMMYFUNCTION("""COMPUTED_VALUE"""),"Tali Kiwanuka")</f>
        <v>Tali Kiwanuka</v>
      </c>
      <c r="B104" s="3">
        <f>IFERROR(__xludf.DUMMYFUNCTION("""COMPUTED_VALUE"""),6.0)</f>
        <v>6</v>
      </c>
      <c r="C104" s="3">
        <f>IFERROR(__xludf.DUMMYFUNCTION("""COMPUTED_VALUE"""),2.0)</f>
        <v>2</v>
      </c>
      <c r="D104" s="3"/>
      <c r="E104" s="3">
        <f>IFERROR(__xludf.DUMMYFUNCTION("""COMPUTED_VALUE"""),1.0)</f>
        <v>1</v>
      </c>
      <c r="F104" s="3">
        <f>IFERROR(__xludf.DUMMYFUNCTION("""COMPUTED_VALUE"""),24.0)</f>
        <v>24</v>
      </c>
      <c r="G104" s="5">
        <f t="shared" si="1"/>
        <v>103</v>
      </c>
    </row>
    <row r="105">
      <c r="A105" s="3" t="str">
        <f>IFERROR(__xludf.DUMMYFUNCTION("""COMPUTED_VALUE"""),"Ewan Harris")</f>
        <v>Ewan Harris</v>
      </c>
      <c r="B105" s="3">
        <f>IFERROR(__xludf.DUMMYFUNCTION("""COMPUTED_VALUE"""),6.0)</f>
        <v>6</v>
      </c>
      <c r="C105" s="3">
        <f>IFERROR(__xludf.DUMMYFUNCTION("""COMPUTED_VALUE"""),2.0)</f>
        <v>2</v>
      </c>
      <c r="D105" s="3"/>
      <c r="E105" s="3">
        <f>IFERROR(__xludf.DUMMYFUNCTION("""COMPUTED_VALUE"""),0.0)</f>
        <v>0</v>
      </c>
      <c r="F105" s="3">
        <f>IFERROR(__xludf.DUMMYFUNCTION("""COMPUTED_VALUE"""),22.0)</f>
        <v>22</v>
      </c>
      <c r="G105" s="5">
        <f t="shared" si="1"/>
        <v>104</v>
      </c>
    </row>
    <row r="106">
      <c r="A106" s="3" t="str">
        <f>IFERROR(__xludf.DUMMYFUNCTION("""COMPUTED_VALUE"""),"James Timmins")</f>
        <v>James Timmins</v>
      </c>
      <c r="B106" s="3">
        <f>IFERROR(__xludf.DUMMYFUNCTION("""COMPUTED_VALUE"""),8.0)</f>
        <v>8</v>
      </c>
      <c r="C106" s="3"/>
      <c r="D106" s="3">
        <f>IFERROR(__xludf.DUMMYFUNCTION("""COMPUTED_VALUE"""),1.0)</f>
        <v>1</v>
      </c>
      <c r="E106" s="3">
        <f>IFERROR(__xludf.DUMMYFUNCTION("""COMPUTED_VALUE"""),1.0)</f>
        <v>1</v>
      </c>
      <c r="F106" s="3">
        <f>IFERROR(__xludf.DUMMYFUNCTION("""COMPUTED_VALUE"""),22.0)</f>
        <v>22</v>
      </c>
      <c r="G106" s="5">
        <f t="shared" si="1"/>
        <v>105</v>
      </c>
    </row>
    <row r="107">
      <c r="A107" s="3" t="str">
        <f>IFERROR(__xludf.DUMMYFUNCTION("""COMPUTED_VALUE"""),"Micah Pinnock")</f>
        <v>Micah Pinnock</v>
      </c>
      <c r="B107" s="3">
        <f>IFERROR(__xludf.DUMMYFUNCTION("""COMPUTED_VALUE"""),5.0)</f>
        <v>5</v>
      </c>
      <c r="C107" s="3">
        <f>IFERROR(__xludf.DUMMYFUNCTION("""COMPUTED_VALUE"""),1.0)</f>
        <v>1</v>
      </c>
      <c r="D107" s="3">
        <f>IFERROR(__xludf.DUMMYFUNCTION("""COMPUTED_VALUE"""),3.0)</f>
        <v>3</v>
      </c>
      <c r="E107" s="3">
        <f>IFERROR(__xludf.DUMMYFUNCTION("""COMPUTED_VALUE"""),0.0)</f>
        <v>0</v>
      </c>
      <c r="F107" s="3">
        <f>IFERROR(__xludf.DUMMYFUNCTION("""COMPUTED_VALUE"""),22.0)</f>
        <v>22</v>
      </c>
      <c r="G107" s="5">
        <f t="shared" si="1"/>
        <v>106</v>
      </c>
    </row>
    <row r="108">
      <c r="A108" s="3" t="str">
        <f>IFERROR(__xludf.DUMMYFUNCTION("""COMPUTED_VALUE"""),"Peter Green")</f>
        <v>Peter Green</v>
      </c>
      <c r="B108" s="3">
        <f>IFERROR(__xludf.DUMMYFUNCTION("""COMPUTED_VALUE"""),11.0)</f>
        <v>11</v>
      </c>
      <c r="C108" s="3"/>
      <c r="D108" s="3"/>
      <c r="E108" s="3">
        <f>IFERROR(__xludf.DUMMYFUNCTION("""COMPUTED_VALUE"""),0.0)</f>
        <v>0</v>
      </c>
      <c r="F108" s="3">
        <f>IFERROR(__xludf.DUMMYFUNCTION("""COMPUTED_VALUE"""),22.0)</f>
        <v>22</v>
      </c>
      <c r="G108" s="5">
        <f t="shared" si="1"/>
        <v>107</v>
      </c>
    </row>
    <row r="109">
      <c r="A109" s="3" t="str">
        <f>IFERROR(__xludf.DUMMYFUNCTION("""COMPUTED_VALUE"""),"Afnan Khan")</f>
        <v>Afnan Khan</v>
      </c>
      <c r="B109" s="3">
        <f>IFERROR(__xludf.DUMMYFUNCTION("""COMPUTED_VALUE"""),8.0)</f>
        <v>8</v>
      </c>
      <c r="C109" s="3">
        <f>IFERROR(__xludf.DUMMYFUNCTION("""COMPUTED_VALUE"""),1.0)</f>
        <v>1</v>
      </c>
      <c r="D109" s="3"/>
      <c r="E109" s="3">
        <f>IFERROR(__xludf.DUMMYFUNCTION("""COMPUTED_VALUE"""),0.0)</f>
        <v>0</v>
      </c>
      <c r="F109" s="3">
        <f>IFERROR(__xludf.DUMMYFUNCTION("""COMPUTED_VALUE"""),21.0)</f>
        <v>21</v>
      </c>
      <c r="G109" s="5">
        <f t="shared" si="1"/>
        <v>108</v>
      </c>
    </row>
    <row r="110">
      <c r="A110" s="3" t="str">
        <f>IFERROR(__xludf.DUMMYFUNCTION("""COMPUTED_VALUE"""),"Lewis Anderson")</f>
        <v>Lewis Anderson</v>
      </c>
      <c r="B110" s="3">
        <f>IFERROR(__xludf.DUMMYFUNCTION("""COMPUTED_VALUE"""),5.0)</f>
        <v>5</v>
      </c>
      <c r="C110" s="3"/>
      <c r="D110" s="3">
        <f>IFERROR(__xludf.DUMMYFUNCTION("""COMPUTED_VALUE"""),2.0)</f>
        <v>2</v>
      </c>
      <c r="E110" s="3">
        <f>IFERROR(__xludf.DUMMYFUNCTION("""COMPUTED_VALUE"""),0.0)</f>
        <v>0</v>
      </c>
      <c r="F110" s="3">
        <f>IFERROR(__xludf.DUMMYFUNCTION("""COMPUTED_VALUE"""),21.0)</f>
        <v>21</v>
      </c>
      <c r="G110" s="5">
        <f t="shared" si="1"/>
        <v>109</v>
      </c>
    </row>
    <row r="111">
      <c r="A111" s="3" t="str">
        <f>IFERROR(__xludf.DUMMYFUNCTION("""COMPUTED_VALUE"""),"Oliver Golzari")</f>
        <v>Oliver Golzari</v>
      </c>
      <c r="B111" s="3">
        <f>IFERROR(__xludf.DUMMYFUNCTION("""COMPUTED_VALUE"""),5.0)</f>
        <v>5</v>
      </c>
      <c r="C111" s="3">
        <f>IFERROR(__xludf.DUMMYFUNCTION("""COMPUTED_VALUE"""),3.0)</f>
        <v>3</v>
      </c>
      <c r="D111" s="3"/>
      <c r="E111" s="3">
        <f>IFERROR(__xludf.DUMMYFUNCTION("""COMPUTED_VALUE"""),0.0)</f>
        <v>0</v>
      </c>
      <c r="F111" s="3">
        <f>IFERROR(__xludf.DUMMYFUNCTION("""COMPUTED_VALUE"""),21.0)</f>
        <v>21</v>
      </c>
      <c r="G111" s="5">
        <f t="shared" si="1"/>
        <v>110</v>
      </c>
    </row>
    <row r="112">
      <c r="A112" s="3" t="str">
        <f>IFERROR(__xludf.DUMMYFUNCTION("""COMPUTED_VALUE"""),"Jason Nwakaeze")</f>
        <v>Jason Nwakaeze</v>
      </c>
      <c r="B112" s="3">
        <f>IFERROR(__xludf.DUMMYFUNCTION("""COMPUTED_VALUE"""),6.0)</f>
        <v>6</v>
      </c>
      <c r="C112" s="3">
        <f>IFERROR(__xludf.DUMMYFUNCTION("""COMPUTED_VALUE"""),2.0)</f>
        <v>2</v>
      </c>
      <c r="D112" s="3"/>
      <c r="E112" s="3">
        <f>IFERROR(__xludf.DUMMYFUNCTION("""COMPUTED_VALUE"""),0.0)</f>
        <v>0</v>
      </c>
      <c r="F112" s="3">
        <f>IFERROR(__xludf.DUMMYFUNCTION("""COMPUTED_VALUE"""),20.0)</f>
        <v>20</v>
      </c>
      <c r="G112" s="5">
        <f t="shared" si="1"/>
        <v>111</v>
      </c>
    </row>
    <row r="113">
      <c r="A113" s="3" t="str">
        <f>IFERROR(__xludf.DUMMYFUNCTION("""COMPUTED_VALUE"""),"Tom Davidson")</f>
        <v>Tom Davidson</v>
      </c>
      <c r="B113" s="3">
        <f>IFERROR(__xludf.DUMMYFUNCTION("""COMPUTED_VALUE"""),8.0)</f>
        <v>8</v>
      </c>
      <c r="C113" s="3"/>
      <c r="D113" s="3"/>
      <c r="E113" s="3">
        <f>IFERROR(__xludf.DUMMYFUNCTION("""COMPUTED_VALUE"""),0.0)</f>
        <v>0</v>
      </c>
      <c r="F113" s="3">
        <f>IFERROR(__xludf.DUMMYFUNCTION("""COMPUTED_VALUE"""),20.0)</f>
        <v>20</v>
      </c>
      <c r="G113" s="5">
        <f t="shared" si="1"/>
        <v>112</v>
      </c>
    </row>
    <row r="114">
      <c r="A114" s="3" t="str">
        <f>IFERROR(__xludf.DUMMYFUNCTION("""COMPUTED_VALUE"""),"Abz Marfa")</f>
        <v>Abz Marfa</v>
      </c>
      <c r="B114" s="3">
        <f>IFERROR(__xludf.DUMMYFUNCTION("""COMPUTED_VALUE"""),6.0)</f>
        <v>6</v>
      </c>
      <c r="C114" s="3">
        <f>IFERROR(__xludf.DUMMYFUNCTION("""COMPUTED_VALUE"""),1.0)</f>
        <v>1</v>
      </c>
      <c r="D114" s="3">
        <f>IFERROR(__xludf.DUMMYFUNCTION("""COMPUTED_VALUE"""),1.0)</f>
        <v>1</v>
      </c>
      <c r="E114" s="3">
        <f>IFERROR(__xludf.DUMMYFUNCTION("""COMPUTED_VALUE"""),0.0)</f>
        <v>0</v>
      </c>
      <c r="F114" s="3">
        <f>IFERROR(__xludf.DUMMYFUNCTION("""COMPUTED_VALUE"""),19.0)</f>
        <v>19</v>
      </c>
      <c r="G114" s="5">
        <f t="shared" si="1"/>
        <v>113</v>
      </c>
    </row>
    <row r="115">
      <c r="A115" s="3" t="str">
        <f>IFERROR(__xludf.DUMMYFUNCTION("""COMPUTED_VALUE"""),"Jerome Goncalves")</f>
        <v>Jerome Goncalves</v>
      </c>
      <c r="B115" s="3">
        <f>IFERROR(__xludf.DUMMYFUNCTION("""COMPUTED_VALUE"""),6.0)</f>
        <v>6</v>
      </c>
      <c r="C115" s="3">
        <f>IFERROR(__xludf.DUMMYFUNCTION("""COMPUTED_VALUE"""),1.0)</f>
        <v>1</v>
      </c>
      <c r="D115" s="3">
        <f>IFERROR(__xludf.DUMMYFUNCTION("""COMPUTED_VALUE"""),1.0)</f>
        <v>1</v>
      </c>
      <c r="E115" s="3">
        <f>IFERROR(__xludf.DUMMYFUNCTION("""COMPUTED_VALUE"""),0.0)</f>
        <v>0</v>
      </c>
      <c r="F115" s="3">
        <f>IFERROR(__xludf.DUMMYFUNCTION("""COMPUTED_VALUE"""),19.0)</f>
        <v>19</v>
      </c>
      <c r="G115" s="5">
        <f t="shared" si="1"/>
        <v>114</v>
      </c>
    </row>
    <row r="116">
      <c r="A116" s="3" t="str">
        <f>IFERROR(__xludf.DUMMYFUNCTION("""COMPUTED_VALUE"""),"Niall Wootten")</f>
        <v>Niall Wootten</v>
      </c>
      <c r="B116" s="3">
        <f>IFERROR(__xludf.DUMMYFUNCTION("""COMPUTED_VALUE"""),5.0)</f>
        <v>5</v>
      </c>
      <c r="C116" s="3"/>
      <c r="D116" s="3"/>
      <c r="E116" s="3">
        <f>IFERROR(__xludf.DUMMYFUNCTION("""COMPUTED_VALUE"""),1.0)</f>
        <v>1</v>
      </c>
      <c r="F116" s="3">
        <f>IFERROR(__xludf.DUMMYFUNCTION("""COMPUTED_VALUE"""),19.0)</f>
        <v>19</v>
      </c>
      <c r="G116" s="5">
        <f t="shared" si="1"/>
        <v>115</v>
      </c>
    </row>
    <row r="117">
      <c r="A117" s="3" t="str">
        <f>IFERROR(__xludf.DUMMYFUNCTION("""COMPUTED_VALUE"""),"Ash Mayers")</f>
        <v>Ash Mayers</v>
      </c>
      <c r="B117" s="3">
        <f>IFERROR(__xludf.DUMMYFUNCTION("""COMPUTED_VALUE"""),4.0)</f>
        <v>4</v>
      </c>
      <c r="C117" s="3">
        <f>IFERROR(__xludf.DUMMYFUNCTION("""COMPUTED_VALUE"""),1.0)</f>
        <v>1</v>
      </c>
      <c r="D117" s="3">
        <f>IFERROR(__xludf.DUMMYFUNCTION("""COMPUTED_VALUE"""),2.0)</f>
        <v>2</v>
      </c>
      <c r="E117" s="3">
        <f>IFERROR(__xludf.DUMMYFUNCTION("""COMPUTED_VALUE"""),0.0)</f>
        <v>0</v>
      </c>
      <c r="F117" s="3">
        <f>IFERROR(__xludf.DUMMYFUNCTION("""COMPUTED_VALUE"""),18.0)</f>
        <v>18</v>
      </c>
      <c r="G117" s="5">
        <f t="shared" si="1"/>
        <v>116</v>
      </c>
    </row>
    <row r="118">
      <c r="A118" s="3" t="str">
        <f>IFERROR(__xludf.DUMMYFUNCTION("""COMPUTED_VALUE"""),"Dan Klin")</f>
        <v>Dan Klin</v>
      </c>
      <c r="B118" s="3">
        <f>IFERROR(__xludf.DUMMYFUNCTION("""COMPUTED_VALUE"""),5.0)</f>
        <v>5</v>
      </c>
      <c r="C118" s="3">
        <f>IFERROR(__xludf.DUMMYFUNCTION("""COMPUTED_VALUE"""),2.0)</f>
        <v>2</v>
      </c>
      <c r="D118" s="3"/>
      <c r="E118" s="3">
        <f>IFERROR(__xludf.DUMMYFUNCTION("""COMPUTED_VALUE"""),0.0)</f>
        <v>0</v>
      </c>
      <c r="F118" s="3">
        <f>IFERROR(__xludf.DUMMYFUNCTION("""COMPUTED_VALUE"""),18.0)</f>
        <v>18</v>
      </c>
      <c r="G118" s="5">
        <f t="shared" si="1"/>
        <v>117</v>
      </c>
    </row>
    <row r="119">
      <c r="A119" s="3" t="str">
        <f>IFERROR(__xludf.DUMMYFUNCTION("""COMPUTED_VALUE"""),"Joe Docherty")</f>
        <v>Joe Docherty</v>
      </c>
      <c r="B119" s="3">
        <f>IFERROR(__xludf.DUMMYFUNCTION("""COMPUTED_VALUE"""),4.0)</f>
        <v>4</v>
      </c>
      <c r="C119" s="3"/>
      <c r="D119" s="3"/>
      <c r="E119" s="3">
        <f>IFERROR(__xludf.DUMMYFUNCTION("""COMPUTED_VALUE"""),1.0)</f>
        <v>1</v>
      </c>
      <c r="F119" s="3">
        <f>IFERROR(__xludf.DUMMYFUNCTION("""COMPUTED_VALUE"""),17.0)</f>
        <v>17</v>
      </c>
      <c r="G119" s="5">
        <f t="shared" si="1"/>
        <v>118</v>
      </c>
    </row>
    <row r="120">
      <c r="A120" s="3" t="str">
        <f>IFERROR(__xludf.DUMMYFUNCTION("""COMPUTED_VALUE"""),"Dom Robbins")</f>
        <v>Dom Robbins</v>
      </c>
      <c r="B120" s="3">
        <f>IFERROR(__xludf.DUMMYFUNCTION("""COMPUTED_VALUE"""),7.0)</f>
        <v>7</v>
      </c>
      <c r="C120" s="3"/>
      <c r="D120" s="3">
        <f>IFERROR(__xludf.DUMMYFUNCTION("""COMPUTED_VALUE"""),1.0)</f>
        <v>1</v>
      </c>
      <c r="E120" s="3">
        <f>IFERROR(__xludf.DUMMYFUNCTION("""COMPUTED_VALUE"""),0.0)</f>
        <v>0</v>
      </c>
      <c r="F120" s="3">
        <f>IFERROR(__xludf.DUMMYFUNCTION("""COMPUTED_VALUE"""),16.0)</f>
        <v>16</v>
      </c>
      <c r="G120" s="5">
        <f t="shared" si="1"/>
        <v>119</v>
      </c>
    </row>
    <row r="121">
      <c r="A121" s="3" t="str">
        <f>IFERROR(__xludf.DUMMYFUNCTION("""COMPUTED_VALUE"""),"Wayne Ebanks")</f>
        <v>Wayne Ebanks</v>
      </c>
      <c r="B121" s="3">
        <f>IFERROR(__xludf.DUMMYFUNCTION("""COMPUTED_VALUE"""),2.0)</f>
        <v>2</v>
      </c>
      <c r="C121" s="3">
        <f>IFERROR(__xludf.DUMMYFUNCTION("""COMPUTED_VALUE"""),1.0)</f>
        <v>1</v>
      </c>
      <c r="D121" s="3">
        <f>IFERROR(__xludf.DUMMYFUNCTION("""COMPUTED_VALUE"""),1.0)</f>
        <v>1</v>
      </c>
      <c r="E121" s="3">
        <f>IFERROR(__xludf.DUMMYFUNCTION("""COMPUTED_VALUE"""),1.0)</f>
        <v>1</v>
      </c>
      <c r="F121" s="3">
        <f>IFERROR(__xludf.DUMMYFUNCTION("""COMPUTED_VALUE"""),16.0)</f>
        <v>16</v>
      </c>
      <c r="G121" s="5">
        <f t="shared" si="1"/>
        <v>120</v>
      </c>
    </row>
    <row r="122">
      <c r="A122" s="3" t="str">
        <f>IFERROR(__xludf.DUMMYFUNCTION("""COMPUTED_VALUE"""),"Ben Himpe")</f>
        <v>Ben Himpe</v>
      </c>
      <c r="B122" s="3">
        <f>IFERROR(__xludf.DUMMYFUNCTION("""COMPUTED_VALUE"""),3.0)</f>
        <v>3</v>
      </c>
      <c r="C122" s="3">
        <f>IFERROR(__xludf.DUMMYFUNCTION("""COMPUTED_VALUE"""),1.0)</f>
        <v>1</v>
      </c>
      <c r="D122" s="3">
        <f>IFERROR(__xludf.DUMMYFUNCTION("""COMPUTED_VALUE"""),1.0)</f>
        <v>1</v>
      </c>
      <c r="E122" s="3">
        <f>IFERROR(__xludf.DUMMYFUNCTION("""COMPUTED_VALUE"""),0.0)</f>
        <v>0</v>
      </c>
      <c r="F122" s="3">
        <f>IFERROR(__xludf.DUMMYFUNCTION("""COMPUTED_VALUE"""),14.0)</f>
        <v>14</v>
      </c>
      <c r="G122" s="5">
        <f t="shared" si="1"/>
        <v>121</v>
      </c>
    </row>
    <row r="123">
      <c r="A123" s="3" t="str">
        <f>IFERROR(__xludf.DUMMYFUNCTION("""COMPUTED_VALUE"""),"Isaac Adepegba")</f>
        <v>Isaac Adepegba</v>
      </c>
      <c r="B123" s="3">
        <f>IFERROR(__xludf.DUMMYFUNCTION("""COMPUTED_VALUE"""),5.0)</f>
        <v>5</v>
      </c>
      <c r="C123" s="3">
        <f>IFERROR(__xludf.DUMMYFUNCTION("""COMPUTED_VALUE"""),1.0)</f>
        <v>1</v>
      </c>
      <c r="D123" s="3"/>
      <c r="E123" s="3">
        <f>IFERROR(__xludf.DUMMYFUNCTION("""COMPUTED_VALUE"""),0.0)</f>
        <v>0</v>
      </c>
      <c r="F123" s="3">
        <f>IFERROR(__xludf.DUMMYFUNCTION("""COMPUTED_VALUE"""),14.0)</f>
        <v>14</v>
      </c>
      <c r="G123" s="5">
        <f t="shared" si="1"/>
        <v>122</v>
      </c>
    </row>
    <row r="124">
      <c r="A124" s="3" t="str">
        <f>IFERROR(__xludf.DUMMYFUNCTION("""COMPUTED_VALUE"""),"Jamie Arkell")</f>
        <v>Jamie Arkell</v>
      </c>
      <c r="B124" s="3">
        <f>IFERROR(__xludf.DUMMYFUNCTION("""COMPUTED_VALUE"""),2.0)</f>
        <v>2</v>
      </c>
      <c r="C124" s="3">
        <f>IFERROR(__xludf.DUMMYFUNCTION("""COMPUTED_VALUE"""),1.0)</f>
        <v>1</v>
      </c>
      <c r="D124" s="3"/>
      <c r="E124" s="3">
        <f>IFERROR(__xludf.DUMMYFUNCTION("""COMPUTED_VALUE"""),1.0)</f>
        <v>1</v>
      </c>
      <c r="F124" s="3">
        <f>IFERROR(__xludf.DUMMYFUNCTION("""COMPUTED_VALUE"""),14.0)</f>
        <v>14</v>
      </c>
      <c r="G124" s="5">
        <f t="shared" si="1"/>
        <v>123</v>
      </c>
    </row>
    <row r="125">
      <c r="A125" s="3" t="str">
        <f>IFERROR(__xludf.DUMMYFUNCTION("""COMPUTED_VALUE"""),"Joe France")</f>
        <v>Joe France</v>
      </c>
      <c r="B125" s="3">
        <f>IFERROR(__xludf.DUMMYFUNCTION("""COMPUTED_VALUE"""),7.0)</f>
        <v>7</v>
      </c>
      <c r="C125" s="3"/>
      <c r="D125" s="3"/>
      <c r="E125" s="3">
        <f>IFERROR(__xludf.DUMMYFUNCTION("""COMPUTED_VALUE"""),0.0)</f>
        <v>0</v>
      </c>
      <c r="F125" s="3">
        <f>IFERROR(__xludf.DUMMYFUNCTION("""COMPUTED_VALUE"""),14.0)</f>
        <v>14</v>
      </c>
      <c r="G125" s="5">
        <f t="shared" si="1"/>
        <v>124</v>
      </c>
    </row>
    <row r="126">
      <c r="A126" s="3" t="str">
        <f>IFERROR(__xludf.DUMMYFUNCTION("""COMPUTED_VALUE"""),"Victor Lemmer")</f>
        <v>Victor Lemmer</v>
      </c>
      <c r="B126" s="3">
        <f>IFERROR(__xludf.DUMMYFUNCTION("""COMPUTED_VALUE"""),7.0)</f>
        <v>7</v>
      </c>
      <c r="C126" s="3"/>
      <c r="D126" s="3"/>
      <c r="E126" s="3">
        <f>IFERROR(__xludf.DUMMYFUNCTION("""COMPUTED_VALUE"""),0.0)</f>
        <v>0</v>
      </c>
      <c r="F126" s="3">
        <f>IFERROR(__xludf.DUMMYFUNCTION("""COMPUTED_VALUE"""),14.0)</f>
        <v>14</v>
      </c>
      <c r="G126" s="5">
        <f t="shared" si="1"/>
        <v>125</v>
      </c>
    </row>
    <row r="127">
      <c r="A127" s="3" t="str">
        <f>IFERROR(__xludf.DUMMYFUNCTION("""COMPUTED_VALUE"""),"Jed Evamy")</f>
        <v>Jed Evamy</v>
      </c>
      <c r="B127" s="3">
        <f>IFERROR(__xludf.DUMMYFUNCTION("""COMPUTED_VALUE"""),4.0)</f>
        <v>4</v>
      </c>
      <c r="C127" s="3"/>
      <c r="D127" s="3"/>
      <c r="E127" s="3">
        <f>IFERROR(__xludf.DUMMYFUNCTION("""COMPUTED_VALUE"""),0.0)</f>
        <v>0</v>
      </c>
      <c r="F127" s="3">
        <f>IFERROR(__xludf.DUMMYFUNCTION("""COMPUTED_VALUE"""),13.0)</f>
        <v>13</v>
      </c>
      <c r="G127" s="5">
        <f t="shared" si="1"/>
        <v>126</v>
      </c>
    </row>
    <row r="128">
      <c r="A128" s="3" t="str">
        <f>IFERROR(__xludf.DUMMYFUNCTION("""COMPUTED_VALUE"""),"Nathan Nzau")</f>
        <v>Nathan Nzau</v>
      </c>
      <c r="B128" s="3">
        <f>IFERROR(__xludf.DUMMYFUNCTION("""COMPUTED_VALUE"""),4.0)</f>
        <v>4</v>
      </c>
      <c r="C128" s="3"/>
      <c r="D128" s="3"/>
      <c r="E128" s="3">
        <f>IFERROR(__xludf.DUMMYFUNCTION("""COMPUTED_VALUE"""),1.0)</f>
        <v>1</v>
      </c>
      <c r="F128" s="3">
        <f>IFERROR(__xludf.DUMMYFUNCTION("""COMPUTED_VALUE"""),13.0)</f>
        <v>13</v>
      </c>
      <c r="G128" s="5">
        <f t="shared" si="1"/>
        <v>127</v>
      </c>
    </row>
    <row r="129">
      <c r="A129" s="3" t="str">
        <f>IFERROR(__xludf.DUMMYFUNCTION("""COMPUTED_VALUE"""),"Jay Mair")</f>
        <v>Jay Mair</v>
      </c>
      <c r="B129" s="3">
        <f>IFERROR(__xludf.DUMMYFUNCTION("""COMPUTED_VALUE"""),7.0)</f>
        <v>7</v>
      </c>
      <c r="C129" s="3"/>
      <c r="D129" s="3"/>
      <c r="E129" s="3">
        <f>IFERROR(__xludf.DUMMYFUNCTION("""COMPUTED_VALUE"""),0.0)</f>
        <v>0</v>
      </c>
      <c r="F129" s="3">
        <f>IFERROR(__xludf.DUMMYFUNCTION("""COMPUTED_VALUE"""),12.0)</f>
        <v>12</v>
      </c>
      <c r="G129" s="5">
        <f t="shared" si="1"/>
        <v>128</v>
      </c>
    </row>
    <row r="130">
      <c r="A130" s="3" t="str">
        <f>IFERROR(__xludf.DUMMYFUNCTION("""COMPUTED_VALUE"""),"Paul Jalil")</f>
        <v>Paul Jalil</v>
      </c>
      <c r="B130" s="3">
        <f>IFERROR(__xludf.DUMMYFUNCTION("""COMPUTED_VALUE"""),5.0)</f>
        <v>5</v>
      </c>
      <c r="C130" s="3"/>
      <c r="D130" s="3">
        <f>IFERROR(__xludf.DUMMYFUNCTION("""COMPUTED_VALUE"""),1.0)</f>
        <v>1</v>
      </c>
      <c r="E130" s="3">
        <f>IFERROR(__xludf.DUMMYFUNCTION("""COMPUTED_VALUE"""),0.0)</f>
        <v>0</v>
      </c>
      <c r="F130" s="3">
        <f>IFERROR(__xludf.DUMMYFUNCTION("""COMPUTED_VALUE"""),12.0)</f>
        <v>12</v>
      </c>
      <c r="G130" s="5">
        <f t="shared" si="1"/>
        <v>129</v>
      </c>
    </row>
    <row r="131">
      <c r="A131" s="3" t="str">
        <f>IFERROR(__xludf.DUMMYFUNCTION("""COMPUTED_VALUE"""),"Remi Sellers")</f>
        <v>Remi Sellers</v>
      </c>
      <c r="B131" s="3">
        <f>IFERROR(__xludf.DUMMYFUNCTION("""COMPUTED_VALUE"""),2.0)</f>
        <v>2</v>
      </c>
      <c r="C131" s="3"/>
      <c r="D131" s="3">
        <f>IFERROR(__xludf.DUMMYFUNCTION("""COMPUTED_VALUE"""),1.0)</f>
        <v>1</v>
      </c>
      <c r="E131" s="3">
        <f>IFERROR(__xludf.DUMMYFUNCTION("""COMPUTED_VALUE"""),1.0)</f>
        <v>1</v>
      </c>
      <c r="F131" s="3">
        <f>IFERROR(__xludf.DUMMYFUNCTION("""COMPUTED_VALUE"""),12.0)</f>
        <v>12</v>
      </c>
      <c r="G131" s="5">
        <f t="shared" si="1"/>
        <v>130</v>
      </c>
    </row>
    <row r="132">
      <c r="A132" s="3" t="str">
        <f>IFERROR(__xludf.DUMMYFUNCTION("""COMPUTED_VALUE"""),"Ryan Cochrane")</f>
        <v>Ryan Cochrane</v>
      </c>
      <c r="B132" s="3">
        <f>IFERROR(__xludf.DUMMYFUNCTION("""COMPUTED_VALUE"""),4.0)</f>
        <v>4</v>
      </c>
      <c r="C132" s="3"/>
      <c r="D132" s="3"/>
      <c r="E132" s="3">
        <f>IFERROR(__xludf.DUMMYFUNCTION("""COMPUTED_VALUE"""),1.0)</f>
        <v>1</v>
      </c>
      <c r="F132" s="3">
        <f>IFERROR(__xludf.DUMMYFUNCTION("""COMPUTED_VALUE"""),12.0)</f>
        <v>12</v>
      </c>
      <c r="G132" s="5">
        <f t="shared" si="1"/>
        <v>131</v>
      </c>
    </row>
    <row r="133">
      <c r="A133" s="3" t="str">
        <f>IFERROR(__xludf.DUMMYFUNCTION("""COMPUTED_VALUE"""),"Sam Laidler")</f>
        <v>Sam Laidler</v>
      </c>
      <c r="B133" s="3">
        <f>IFERROR(__xludf.DUMMYFUNCTION("""COMPUTED_VALUE"""),3.0)</f>
        <v>3</v>
      </c>
      <c r="C133" s="3"/>
      <c r="D133" s="3"/>
      <c r="E133" s="3">
        <f>IFERROR(__xludf.DUMMYFUNCTION("""COMPUTED_VALUE"""),0.0)</f>
        <v>0</v>
      </c>
      <c r="F133" s="3">
        <f>IFERROR(__xludf.DUMMYFUNCTION("""COMPUTED_VALUE"""),12.0)</f>
        <v>12</v>
      </c>
      <c r="G133" s="5">
        <f t="shared" si="1"/>
        <v>132</v>
      </c>
    </row>
    <row r="134">
      <c r="A134" s="3" t="str">
        <f>IFERROR(__xludf.DUMMYFUNCTION("""COMPUTED_VALUE"""),"Ismail Wall")</f>
        <v>Ismail Wall</v>
      </c>
      <c r="B134" s="3">
        <f>IFERROR(__xludf.DUMMYFUNCTION("""COMPUTED_VALUE"""),6.0)</f>
        <v>6</v>
      </c>
      <c r="C134" s="3"/>
      <c r="D134" s="3">
        <f>IFERROR(__xludf.DUMMYFUNCTION("""COMPUTED_VALUE"""),1.0)</f>
        <v>1</v>
      </c>
      <c r="E134" s="3">
        <f>IFERROR(__xludf.DUMMYFUNCTION("""COMPUTED_VALUE"""),0.0)</f>
        <v>0</v>
      </c>
      <c r="F134" s="3">
        <f>IFERROR(__xludf.DUMMYFUNCTION("""COMPUTED_VALUE"""),11.0)</f>
        <v>11</v>
      </c>
      <c r="G134" s="5">
        <f t="shared" si="1"/>
        <v>133</v>
      </c>
    </row>
    <row r="135">
      <c r="A135" s="3" t="str">
        <f>IFERROR(__xludf.DUMMYFUNCTION("""COMPUTED_VALUE"""),"Reiss Hutton")</f>
        <v>Reiss Hutton</v>
      </c>
      <c r="B135" s="3">
        <f>IFERROR(__xludf.DUMMYFUNCTION("""COMPUTED_VALUE"""),3.0)</f>
        <v>3</v>
      </c>
      <c r="C135" s="3">
        <f>IFERROR(__xludf.DUMMYFUNCTION("""COMPUTED_VALUE"""),1.0)</f>
        <v>1</v>
      </c>
      <c r="D135" s="3"/>
      <c r="E135" s="3">
        <f>IFERROR(__xludf.DUMMYFUNCTION("""COMPUTED_VALUE"""),0.0)</f>
        <v>0</v>
      </c>
      <c r="F135" s="3">
        <f>IFERROR(__xludf.DUMMYFUNCTION("""COMPUTED_VALUE"""),11.0)</f>
        <v>11</v>
      </c>
      <c r="G135" s="5">
        <f t="shared" si="1"/>
        <v>134</v>
      </c>
    </row>
    <row r="136">
      <c r="A136" s="3" t="str">
        <f>IFERROR(__xludf.DUMMYFUNCTION("""COMPUTED_VALUE"""),"Shavon Muir")</f>
        <v>Shavon Muir</v>
      </c>
      <c r="B136" s="3">
        <f>IFERROR(__xludf.DUMMYFUNCTION("""COMPUTED_VALUE"""),3.0)</f>
        <v>3</v>
      </c>
      <c r="C136" s="3">
        <f>IFERROR(__xludf.DUMMYFUNCTION("""COMPUTED_VALUE"""),1.0)</f>
        <v>1</v>
      </c>
      <c r="D136" s="3"/>
      <c r="E136" s="3">
        <f>IFERROR(__xludf.DUMMYFUNCTION("""COMPUTED_VALUE"""),0.0)</f>
        <v>0</v>
      </c>
      <c r="F136" s="3">
        <f>IFERROR(__xludf.DUMMYFUNCTION("""COMPUTED_VALUE"""),11.0)</f>
        <v>11</v>
      </c>
      <c r="G136" s="5">
        <f t="shared" si="1"/>
        <v>135</v>
      </c>
    </row>
    <row r="137">
      <c r="A137" s="3" t="str">
        <f>IFERROR(__xludf.DUMMYFUNCTION("""COMPUTED_VALUE"""),"Sid Nayaar")</f>
        <v>Sid Nayaar</v>
      </c>
      <c r="B137" s="3">
        <f>IFERROR(__xludf.DUMMYFUNCTION("""COMPUTED_VALUE"""),6.0)</f>
        <v>6</v>
      </c>
      <c r="C137" s="3"/>
      <c r="D137" s="3"/>
      <c r="E137" s="3">
        <f>IFERROR(__xludf.DUMMYFUNCTION("""COMPUTED_VALUE"""),0.0)</f>
        <v>0</v>
      </c>
      <c r="F137" s="3">
        <f>IFERROR(__xludf.DUMMYFUNCTION("""COMPUTED_VALUE"""),11.0)</f>
        <v>11</v>
      </c>
      <c r="G137" s="5">
        <f t="shared" si="1"/>
        <v>136</v>
      </c>
    </row>
    <row r="138">
      <c r="A138" s="3" t="str">
        <f>IFERROR(__xludf.DUMMYFUNCTION("""COMPUTED_VALUE"""),"Matt Price")</f>
        <v>Matt Price</v>
      </c>
      <c r="B138" s="3">
        <f>IFERROR(__xludf.DUMMYFUNCTION("""COMPUTED_VALUE"""),1.0)</f>
        <v>1</v>
      </c>
      <c r="C138" s="3"/>
      <c r="D138" s="3">
        <f>IFERROR(__xludf.DUMMYFUNCTION("""COMPUTED_VALUE"""),1.0)</f>
        <v>1</v>
      </c>
      <c r="E138" s="3">
        <f>IFERROR(__xludf.DUMMYFUNCTION("""COMPUTED_VALUE"""),1.0)</f>
        <v>1</v>
      </c>
      <c r="F138" s="3">
        <f>IFERROR(__xludf.DUMMYFUNCTION("""COMPUTED_VALUE"""),10.0)</f>
        <v>10</v>
      </c>
      <c r="G138" s="5">
        <f t="shared" si="1"/>
        <v>137</v>
      </c>
    </row>
    <row r="139">
      <c r="A139" s="3" t="str">
        <f>IFERROR(__xludf.DUMMYFUNCTION("""COMPUTED_VALUE"""),"Harry Calvesbert")</f>
        <v>Harry Calvesbert</v>
      </c>
      <c r="B139" s="3">
        <f>IFERROR(__xludf.DUMMYFUNCTION("""COMPUTED_VALUE"""),5.0)</f>
        <v>5</v>
      </c>
      <c r="C139" s="3"/>
      <c r="D139" s="3"/>
      <c r="E139" s="3">
        <f>IFERROR(__xludf.DUMMYFUNCTION("""COMPUTED_VALUE"""),0.0)</f>
        <v>0</v>
      </c>
      <c r="F139" s="3">
        <f>IFERROR(__xludf.DUMMYFUNCTION("""COMPUTED_VALUE"""),9.0)</f>
        <v>9</v>
      </c>
      <c r="G139" s="5">
        <f t="shared" si="1"/>
        <v>138</v>
      </c>
    </row>
    <row r="140">
      <c r="A140" s="3" t="str">
        <f>IFERROR(__xludf.DUMMYFUNCTION("""COMPUTED_VALUE"""),"Joseph Smith")</f>
        <v>Joseph Smith</v>
      </c>
      <c r="B140" s="3">
        <f>IFERROR(__xludf.DUMMYFUNCTION("""COMPUTED_VALUE"""),5.0)</f>
        <v>5</v>
      </c>
      <c r="C140" s="3"/>
      <c r="D140" s="3"/>
      <c r="E140" s="3">
        <f>IFERROR(__xludf.DUMMYFUNCTION("""COMPUTED_VALUE"""),0.0)</f>
        <v>0</v>
      </c>
      <c r="F140" s="3">
        <f>IFERROR(__xludf.DUMMYFUNCTION("""COMPUTED_VALUE"""),9.0)</f>
        <v>9</v>
      </c>
      <c r="G140" s="5">
        <f t="shared" si="1"/>
        <v>139</v>
      </c>
    </row>
    <row r="141">
      <c r="A141" s="3" t="str">
        <f>IFERROR(__xludf.DUMMYFUNCTION("""COMPUTED_VALUE"""),"Lawrence Asante")</f>
        <v>Lawrence Asante</v>
      </c>
      <c r="B141" s="3">
        <f>IFERROR(__xludf.DUMMYFUNCTION("""COMPUTED_VALUE"""),2.0)</f>
        <v>2</v>
      </c>
      <c r="C141" s="3">
        <f>IFERROR(__xludf.DUMMYFUNCTION("""COMPUTED_VALUE"""),1.0)</f>
        <v>1</v>
      </c>
      <c r="D141" s="3"/>
      <c r="E141" s="3">
        <f>IFERROR(__xludf.DUMMYFUNCTION("""COMPUTED_VALUE"""),0.0)</f>
        <v>0</v>
      </c>
      <c r="F141" s="3">
        <f>IFERROR(__xludf.DUMMYFUNCTION("""COMPUTED_VALUE"""),9.0)</f>
        <v>9</v>
      </c>
      <c r="G141" s="5">
        <f t="shared" si="1"/>
        <v>140</v>
      </c>
    </row>
    <row r="142">
      <c r="A142" s="3" t="str">
        <f>IFERROR(__xludf.DUMMYFUNCTION("""COMPUTED_VALUE"""),"Matt Powell")</f>
        <v>Matt Powell</v>
      </c>
      <c r="B142" s="3">
        <f>IFERROR(__xludf.DUMMYFUNCTION("""COMPUTED_VALUE"""),5.0)</f>
        <v>5</v>
      </c>
      <c r="C142" s="3"/>
      <c r="D142" s="3"/>
      <c r="E142" s="3">
        <f>IFERROR(__xludf.DUMMYFUNCTION("""COMPUTED_VALUE"""),0.0)</f>
        <v>0</v>
      </c>
      <c r="F142" s="3">
        <f>IFERROR(__xludf.DUMMYFUNCTION("""COMPUTED_VALUE"""),9.0)</f>
        <v>9</v>
      </c>
      <c r="G142" s="5">
        <f t="shared" si="1"/>
        <v>141</v>
      </c>
    </row>
    <row r="143">
      <c r="A143" s="3" t="str">
        <f>IFERROR(__xludf.DUMMYFUNCTION("""COMPUTED_VALUE"""),"Raj Ramful")</f>
        <v>Raj Ramful</v>
      </c>
      <c r="B143" s="3">
        <f>IFERROR(__xludf.DUMMYFUNCTION("""COMPUTED_VALUE"""),7.0)</f>
        <v>7</v>
      </c>
      <c r="C143" s="3"/>
      <c r="D143" s="3"/>
      <c r="E143" s="3">
        <f>IFERROR(__xludf.DUMMYFUNCTION("""COMPUTED_VALUE"""),0.0)</f>
        <v>0</v>
      </c>
      <c r="F143" s="3">
        <f>IFERROR(__xludf.DUMMYFUNCTION("""COMPUTED_VALUE"""),9.0)</f>
        <v>9</v>
      </c>
      <c r="G143" s="5">
        <f t="shared" si="1"/>
        <v>142</v>
      </c>
    </row>
    <row r="144">
      <c r="A144" s="3" t="str">
        <f>IFERROR(__xludf.DUMMYFUNCTION("""COMPUTED_VALUE"""),"Rob Pritchard-Jones")</f>
        <v>Rob Pritchard-Jones</v>
      </c>
      <c r="B144" s="3">
        <f>IFERROR(__xludf.DUMMYFUNCTION("""COMPUTED_VALUE"""),2.0)</f>
        <v>2</v>
      </c>
      <c r="C144" s="3"/>
      <c r="D144" s="3">
        <f>IFERROR(__xludf.DUMMYFUNCTION("""COMPUTED_VALUE"""),2.0)</f>
        <v>2</v>
      </c>
      <c r="E144" s="3">
        <f>IFERROR(__xludf.DUMMYFUNCTION("""COMPUTED_VALUE"""),0.0)</f>
        <v>0</v>
      </c>
      <c r="F144" s="3">
        <f>IFERROR(__xludf.DUMMYFUNCTION("""COMPUTED_VALUE"""),9.0)</f>
        <v>9</v>
      </c>
      <c r="G144" s="5">
        <f t="shared" si="1"/>
        <v>143</v>
      </c>
    </row>
    <row r="145">
      <c r="A145" s="3" t="str">
        <f>IFERROR(__xludf.DUMMYFUNCTION("""COMPUTED_VALUE"""),"Chris Lang")</f>
        <v>Chris Lang</v>
      </c>
      <c r="B145" s="3">
        <f>IFERROR(__xludf.DUMMYFUNCTION("""COMPUTED_VALUE"""),3.0)</f>
        <v>3</v>
      </c>
      <c r="C145" s="3"/>
      <c r="D145" s="3">
        <f>IFERROR(__xludf.DUMMYFUNCTION("""COMPUTED_VALUE"""),1.0)</f>
        <v>1</v>
      </c>
      <c r="E145" s="3">
        <f>IFERROR(__xludf.DUMMYFUNCTION("""COMPUTED_VALUE"""),0.0)</f>
        <v>0</v>
      </c>
      <c r="F145" s="3">
        <f>IFERROR(__xludf.DUMMYFUNCTION("""COMPUTED_VALUE"""),8.0)</f>
        <v>8</v>
      </c>
      <c r="G145" s="5">
        <f t="shared" si="1"/>
        <v>144</v>
      </c>
    </row>
    <row r="146">
      <c r="A146" s="3" t="str">
        <f>IFERROR(__xludf.DUMMYFUNCTION("""COMPUTED_VALUE"""),"Dereece Pinder")</f>
        <v>Dereece Pinder</v>
      </c>
      <c r="B146" s="3">
        <f>IFERROR(__xludf.DUMMYFUNCTION("""COMPUTED_VALUE"""),1.0)</f>
        <v>1</v>
      </c>
      <c r="C146" s="3"/>
      <c r="D146" s="3"/>
      <c r="E146" s="3">
        <f>IFERROR(__xludf.DUMMYFUNCTION("""COMPUTED_VALUE"""),0.0)</f>
        <v>0</v>
      </c>
      <c r="F146" s="3">
        <f>IFERROR(__xludf.DUMMYFUNCTION("""COMPUTED_VALUE"""),8.0)</f>
        <v>8</v>
      </c>
      <c r="G146" s="5">
        <f t="shared" si="1"/>
        <v>145</v>
      </c>
    </row>
    <row r="147">
      <c r="A147" s="3" t="str">
        <f>IFERROR(__xludf.DUMMYFUNCTION("""COMPUTED_VALUE"""),"Jack Butcher")</f>
        <v>Jack Butcher</v>
      </c>
      <c r="B147" s="3">
        <f>IFERROR(__xludf.DUMMYFUNCTION("""COMPUTED_VALUE"""),3.0)</f>
        <v>3</v>
      </c>
      <c r="C147" s="3"/>
      <c r="D147" s="3">
        <f>IFERROR(__xludf.DUMMYFUNCTION("""COMPUTED_VALUE"""),1.0)</f>
        <v>1</v>
      </c>
      <c r="E147" s="3">
        <f>IFERROR(__xludf.DUMMYFUNCTION("""COMPUTED_VALUE"""),0.0)</f>
        <v>0</v>
      </c>
      <c r="F147" s="3">
        <f>IFERROR(__xludf.DUMMYFUNCTION("""COMPUTED_VALUE"""),8.0)</f>
        <v>8</v>
      </c>
      <c r="G147" s="5">
        <f t="shared" si="1"/>
        <v>146</v>
      </c>
    </row>
    <row r="148">
      <c r="A148" s="3" t="str">
        <f>IFERROR(__xludf.DUMMYFUNCTION("""COMPUTED_VALUE"""),"Phil Boden")</f>
        <v>Phil Boden</v>
      </c>
      <c r="B148" s="3">
        <f>IFERROR(__xludf.DUMMYFUNCTION("""COMPUTED_VALUE"""),4.0)</f>
        <v>4</v>
      </c>
      <c r="C148" s="3"/>
      <c r="D148" s="3"/>
      <c r="E148" s="3">
        <f>IFERROR(__xludf.DUMMYFUNCTION("""COMPUTED_VALUE"""),0.0)</f>
        <v>0</v>
      </c>
      <c r="F148" s="3">
        <f>IFERROR(__xludf.DUMMYFUNCTION("""COMPUTED_VALUE"""),8.0)</f>
        <v>8</v>
      </c>
      <c r="G148" s="5">
        <f t="shared" si="1"/>
        <v>147</v>
      </c>
    </row>
    <row r="149">
      <c r="A149" s="3" t="str">
        <f>IFERROR(__xludf.DUMMYFUNCTION("""COMPUTED_VALUE"""),"Cameron Hildebrandt-Brooks")</f>
        <v>Cameron Hildebrandt-Brooks</v>
      </c>
      <c r="B149" s="3">
        <f>IFERROR(__xludf.DUMMYFUNCTION("""COMPUTED_VALUE"""),7.0)</f>
        <v>7</v>
      </c>
      <c r="C149" s="3"/>
      <c r="D149" s="3"/>
      <c r="E149" s="3">
        <f>IFERROR(__xludf.DUMMYFUNCTION("""COMPUTED_VALUE"""),0.0)</f>
        <v>0</v>
      </c>
      <c r="F149" s="3">
        <f>IFERROR(__xludf.DUMMYFUNCTION("""COMPUTED_VALUE"""),7.0)</f>
        <v>7</v>
      </c>
      <c r="G149" s="5">
        <f t="shared" si="1"/>
        <v>148</v>
      </c>
    </row>
    <row r="150">
      <c r="A150" s="3" t="str">
        <f>IFERROR(__xludf.DUMMYFUNCTION("""COMPUTED_VALUE"""),"Dean Wright")</f>
        <v>Dean Wright</v>
      </c>
      <c r="B150" s="3">
        <f>IFERROR(__xludf.DUMMYFUNCTION("""COMPUTED_VALUE"""),5.0)</f>
        <v>5</v>
      </c>
      <c r="C150" s="3"/>
      <c r="D150" s="3">
        <f>IFERROR(__xludf.DUMMYFUNCTION("""COMPUTED_VALUE"""),1.0)</f>
        <v>1</v>
      </c>
      <c r="E150" s="3">
        <f>IFERROR(__xludf.DUMMYFUNCTION("""COMPUTED_VALUE"""),0.0)</f>
        <v>0</v>
      </c>
      <c r="F150" s="3">
        <f>IFERROR(__xludf.DUMMYFUNCTION("""COMPUTED_VALUE"""),7.0)</f>
        <v>7</v>
      </c>
      <c r="G150" s="5">
        <f t="shared" si="1"/>
        <v>149</v>
      </c>
    </row>
    <row r="151">
      <c r="A151" s="3" t="str">
        <f>IFERROR(__xludf.DUMMYFUNCTION("""COMPUTED_VALUE"""),"Jordan Davis")</f>
        <v>Jordan Davis</v>
      </c>
      <c r="B151" s="3">
        <f>IFERROR(__xludf.DUMMYFUNCTION("""COMPUTED_VALUE"""),4.0)</f>
        <v>4</v>
      </c>
      <c r="C151" s="3"/>
      <c r="D151" s="3"/>
      <c r="E151" s="3">
        <f>IFERROR(__xludf.DUMMYFUNCTION("""COMPUTED_VALUE"""),0.0)</f>
        <v>0</v>
      </c>
      <c r="F151" s="3">
        <f>IFERROR(__xludf.DUMMYFUNCTION("""COMPUTED_VALUE"""),7.0)</f>
        <v>7</v>
      </c>
      <c r="G151" s="5">
        <f t="shared" si="1"/>
        <v>150</v>
      </c>
    </row>
    <row r="152">
      <c r="A152" s="3" t="str">
        <f>IFERROR(__xludf.DUMMYFUNCTION("""COMPUTED_VALUE"""),"Fraser Wylie")</f>
        <v>Fraser Wylie</v>
      </c>
      <c r="B152" s="3">
        <f>IFERROR(__xludf.DUMMYFUNCTION("""COMPUTED_VALUE"""),3.0)</f>
        <v>3</v>
      </c>
      <c r="C152" s="3"/>
      <c r="D152" s="3"/>
      <c r="E152" s="3">
        <f>IFERROR(__xludf.DUMMYFUNCTION("""COMPUTED_VALUE"""),0.0)</f>
        <v>0</v>
      </c>
      <c r="F152" s="3">
        <f>IFERROR(__xludf.DUMMYFUNCTION("""COMPUTED_VALUE"""),6.0)</f>
        <v>6</v>
      </c>
      <c r="G152" s="5">
        <f t="shared" si="1"/>
        <v>151</v>
      </c>
    </row>
    <row r="153">
      <c r="A153" s="3" t="str">
        <f>IFERROR(__xludf.DUMMYFUNCTION("""COMPUTED_VALUE"""),"Kim Jaeyoon")</f>
        <v>Kim Jaeyoon</v>
      </c>
      <c r="B153" s="3">
        <f>IFERROR(__xludf.DUMMYFUNCTION("""COMPUTED_VALUE"""),3.0)</f>
        <v>3</v>
      </c>
      <c r="C153" s="3"/>
      <c r="D153" s="3"/>
      <c r="E153" s="3">
        <f>IFERROR(__xludf.DUMMYFUNCTION("""COMPUTED_VALUE"""),0.0)</f>
        <v>0</v>
      </c>
      <c r="F153" s="3">
        <f>IFERROR(__xludf.DUMMYFUNCTION("""COMPUTED_VALUE"""),6.0)</f>
        <v>6</v>
      </c>
      <c r="G153" s="5">
        <f t="shared" si="1"/>
        <v>152</v>
      </c>
    </row>
    <row r="154">
      <c r="A154" s="3" t="str">
        <f>IFERROR(__xludf.DUMMYFUNCTION("""COMPUTED_VALUE"""),"Leigh Cremin")</f>
        <v>Leigh Cremin</v>
      </c>
      <c r="B154" s="3">
        <f>IFERROR(__xludf.DUMMYFUNCTION("""COMPUTED_VALUE"""),3.0)</f>
        <v>3</v>
      </c>
      <c r="C154" s="3"/>
      <c r="D154" s="3">
        <f>IFERROR(__xludf.DUMMYFUNCTION("""COMPUTED_VALUE"""),1.0)</f>
        <v>1</v>
      </c>
      <c r="E154" s="3">
        <f>IFERROR(__xludf.DUMMYFUNCTION("""COMPUTED_VALUE"""),0.0)</f>
        <v>0</v>
      </c>
      <c r="F154" s="3">
        <f>IFERROR(__xludf.DUMMYFUNCTION("""COMPUTED_VALUE"""),6.0)</f>
        <v>6</v>
      </c>
      <c r="G154" s="5">
        <f t="shared" si="1"/>
        <v>153</v>
      </c>
    </row>
    <row r="155">
      <c r="A155" s="3" t="str">
        <f>IFERROR(__xludf.DUMMYFUNCTION("""COMPUTED_VALUE"""),"Olly Mason")</f>
        <v>Olly Mason</v>
      </c>
      <c r="B155" s="3">
        <f>IFERROR(__xludf.DUMMYFUNCTION("""COMPUTED_VALUE"""),3.0)</f>
        <v>3</v>
      </c>
      <c r="C155" s="3"/>
      <c r="D155" s="3"/>
      <c r="E155" s="3">
        <f>IFERROR(__xludf.DUMMYFUNCTION("""COMPUTED_VALUE"""),0.0)</f>
        <v>0</v>
      </c>
      <c r="F155" s="3">
        <f>IFERROR(__xludf.DUMMYFUNCTION("""COMPUTED_VALUE"""),6.0)</f>
        <v>6</v>
      </c>
      <c r="G155" s="5">
        <f t="shared" si="1"/>
        <v>154</v>
      </c>
    </row>
    <row r="156">
      <c r="A156" s="3" t="str">
        <f>IFERROR(__xludf.DUMMYFUNCTION("""COMPUTED_VALUE"""),"Al Humphrey")</f>
        <v>Al Humphrey</v>
      </c>
      <c r="B156" s="3">
        <f>IFERROR(__xludf.DUMMYFUNCTION("""COMPUTED_VALUE"""),1.0)</f>
        <v>1</v>
      </c>
      <c r="C156" s="3"/>
      <c r="D156" s="3">
        <f>IFERROR(__xludf.DUMMYFUNCTION("""COMPUTED_VALUE"""),1.0)</f>
        <v>1</v>
      </c>
      <c r="E156" s="3">
        <f>IFERROR(__xludf.DUMMYFUNCTION("""COMPUTED_VALUE"""),0.0)</f>
        <v>0</v>
      </c>
      <c r="F156" s="3">
        <f>IFERROR(__xludf.DUMMYFUNCTION("""COMPUTED_VALUE"""),5.0)</f>
        <v>5</v>
      </c>
      <c r="G156" s="5">
        <f t="shared" si="1"/>
        <v>155</v>
      </c>
    </row>
    <row r="157">
      <c r="A157" s="3" t="str">
        <f>IFERROR(__xludf.DUMMYFUNCTION("""COMPUTED_VALUE"""),"Charlie Heptinstall")</f>
        <v>Charlie Heptinstall</v>
      </c>
      <c r="B157" s="3">
        <f>IFERROR(__xludf.DUMMYFUNCTION("""COMPUTED_VALUE"""),4.0)</f>
        <v>4</v>
      </c>
      <c r="C157" s="3"/>
      <c r="D157" s="3"/>
      <c r="E157" s="3">
        <f>IFERROR(__xludf.DUMMYFUNCTION("""COMPUTED_VALUE"""),0.0)</f>
        <v>0</v>
      </c>
      <c r="F157" s="3">
        <f>IFERROR(__xludf.DUMMYFUNCTION("""COMPUTED_VALUE"""),5.0)</f>
        <v>5</v>
      </c>
      <c r="G157" s="5">
        <f t="shared" si="1"/>
        <v>156</v>
      </c>
    </row>
    <row r="158">
      <c r="A158" s="3" t="str">
        <f>IFERROR(__xludf.DUMMYFUNCTION("""COMPUTED_VALUE"""),"Chris Weir")</f>
        <v>Chris Weir</v>
      </c>
      <c r="B158" s="3">
        <f>IFERROR(__xludf.DUMMYFUNCTION("""COMPUTED_VALUE"""),3.0)</f>
        <v>3</v>
      </c>
      <c r="C158" s="3"/>
      <c r="D158" s="3"/>
      <c r="E158" s="3">
        <f>IFERROR(__xludf.DUMMYFUNCTION("""COMPUTED_VALUE"""),0.0)</f>
        <v>0</v>
      </c>
      <c r="F158" s="3">
        <f>IFERROR(__xludf.DUMMYFUNCTION("""COMPUTED_VALUE"""),5.0)</f>
        <v>5</v>
      </c>
      <c r="G158" s="5">
        <f t="shared" si="1"/>
        <v>157</v>
      </c>
    </row>
    <row r="159">
      <c r="A159" s="3" t="str">
        <f>IFERROR(__xludf.DUMMYFUNCTION("""COMPUTED_VALUE"""),"Dave Webster")</f>
        <v>Dave Webster</v>
      </c>
      <c r="B159" s="3">
        <f>IFERROR(__xludf.DUMMYFUNCTION("""COMPUTED_VALUE"""),1.0)</f>
        <v>1</v>
      </c>
      <c r="C159" s="3"/>
      <c r="D159" s="3">
        <f>IFERROR(__xludf.DUMMYFUNCTION("""COMPUTED_VALUE"""),1.0)</f>
        <v>1</v>
      </c>
      <c r="E159" s="3">
        <f>IFERROR(__xludf.DUMMYFUNCTION("""COMPUTED_VALUE"""),0.0)</f>
        <v>0</v>
      </c>
      <c r="F159" s="3">
        <f>IFERROR(__xludf.DUMMYFUNCTION("""COMPUTED_VALUE"""),5.0)</f>
        <v>5</v>
      </c>
      <c r="G159" s="5">
        <f t="shared" si="1"/>
        <v>158</v>
      </c>
    </row>
    <row r="160">
      <c r="A160" s="3" t="str">
        <f>IFERROR(__xludf.DUMMYFUNCTION("""COMPUTED_VALUE"""),"Michael Dill")</f>
        <v>Michael Dill</v>
      </c>
      <c r="B160" s="3">
        <f>IFERROR(__xludf.DUMMYFUNCTION("""COMPUTED_VALUE"""),4.0)</f>
        <v>4</v>
      </c>
      <c r="C160" s="3"/>
      <c r="D160" s="3"/>
      <c r="E160" s="3">
        <f>IFERROR(__xludf.DUMMYFUNCTION("""COMPUTED_VALUE"""),0.0)</f>
        <v>0</v>
      </c>
      <c r="F160" s="3">
        <f>IFERROR(__xludf.DUMMYFUNCTION("""COMPUTED_VALUE"""),5.0)</f>
        <v>5</v>
      </c>
      <c r="G160" s="5">
        <f t="shared" si="1"/>
        <v>159</v>
      </c>
    </row>
    <row r="161">
      <c r="A161" s="3" t="str">
        <f>IFERROR(__xludf.DUMMYFUNCTION("""COMPUTED_VALUE"""),"Paddy Troy")</f>
        <v>Paddy Troy</v>
      </c>
      <c r="B161" s="3">
        <f>IFERROR(__xludf.DUMMYFUNCTION("""COMPUTED_VALUE"""),1.0)</f>
        <v>1</v>
      </c>
      <c r="C161" s="3"/>
      <c r="D161" s="3">
        <f>IFERROR(__xludf.DUMMYFUNCTION("""COMPUTED_VALUE"""),1.0)</f>
        <v>1</v>
      </c>
      <c r="E161" s="3">
        <f>IFERROR(__xludf.DUMMYFUNCTION("""COMPUTED_VALUE"""),0.0)</f>
        <v>0</v>
      </c>
      <c r="F161" s="3">
        <f>IFERROR(__xludf.DUMMYFUNCTION("""COMPUTED_VALUE"""),5.0)</f>
        <v>5</v>
      </c>
      <c r="G161" s="5">
        <f t="shared" si="1"/>
        <v>160</v>
      </c>
    </row>
    <row r="162">
      <c r="A162" s="3" t="str">
        <f>IFERROR(__xludf.DUMMYFUNCTION("""COMPUTED_VALUE"""),"Sam Bowen")</f>
        <v>Sam Bowen</v>
      </c>
      <c r="B162" s="3">
        <f>IFERROR(__xludf.DUMMYFUNCTION("""COMPUTED_VALUE"""),3.0)</f>
        <v>3</v>
      </c>
      <c r="C162" s="3"/>
      <c r="D162" s="3"/>
      <c r="E162" s="3">
        <f>IFERROR(__xludf.DUMMYFUNCTION("""COMPUTED_VALUE"""),0.0)</f>
        <v>0</v>
      </c>
      <c r="F162" s="3">
        <f>IFERROR(__xludf.DUMMYFUNCTION("""COMPUTED_VALUE"""),5.0)</f>
        <v>5</v>
      </c>
      <c r="G162" s="5">
        <f t="shared" si="1"/>
        <v>161</v>
      </c>
    </row>
    <row r="163">
      <c r="A163" s="3" t="str">
        <f>IFERROR(__xludf.DUMMYFUNCTION("""COMPUTED_VALUE"""),"Samuel Osewa")</f>
        <v>Samuel Osewa</v>
      </c>
      <c r="B163" s="3">
        <f>IFERROR(__xludf.DUMMYFUNCTION("""COMPUTED_VALUE"""),4.0)</f>
        <v>4</v>
      </c>
      <c r="C163" s="3"/>
      <c r="D163" s="3"/>
      <c r="E163" s="3">
        <f>IFERROR(__xludf.DUMMYFUNCTION("""COMPUTED_VALUE"""),0.0)</f>
        <v>0</v>
      </c>
      <c r="F163" s="3">
        <f>IFERROR(__xludf.DUMMYFUNCTION("""COMPUTED_VALUE"""),5.0)</f>
        <v>5</v>
      </c>
      <c r="G163" s="5">
        <f t="shared" si="1"/>
        <v>162</v>
      </c>
    </row>
    <row r="164">
      <c r="A164" s="3" t="str">
        <f>IFERROR(__xludf.DUMMYFUNCTION("""COMPUTED_VALUE"""),"Chris Tong")</f>
        <v>Chris Tong</v>
      </c>
      <c r="B164" s="3">
        <f>IFERROR(__xludf.DUMMYFUNCTION("""COMPUTED_VALUE"""),2.0)</f>
        <v>2</v>
      </c>
      <c r="C164" s="3"/>
      <c r="D164" s="3"/>
      <c r="E164" s="3">
        <f>IFERROR(__xludf.DUMMYFUNCTION("""COMPUTED_VALUE"""),0.0)</f>
        <v>0</v>
      </c>
      <c r="F164" s="3">
        <f>IFERROR(__xludf.DUMMYFUNCTION("""COMPUTED_VALUE"""),4.0)</f>
        <v>4</v>
      </c>
      <c r="G164" s="5">
        <f t="shared" si="1"/>
        <v>163</v>
      </c>
    </row>
    <row r="165">
      <c r="A165" s="3" t="str">
        <f>IFERROR(__xludf.DUMMYFUNCTION("""COMPUTED_VALUE"""),"Fabio Teixeira")</f>
        <v>Fabio Teixeira</v>
      </c>
      <c r="B165" s="3">
        <f>IFERROR(__xludf.DUMMYFUNCTION("""COMPUTED_VALUE"""),2.0)</f>
        <v>2</v>
      </c>
      <c r="C165" s="3"/>
      <c r="D165" s="3"/>
      <c r="E165" s="3">
        <f>IFERROR(__xludf.DUMMYFUNCTION("""COMPUTED_VALUE"""),0.0)</f>
        <v>0</v>
      </c>
      <c r="F165" s="3">
        <f>IFERROR(__xludf.DUMMYFUNCTION("""COMPUTED_VALUE"""),4.0)</f>
        <v>4</v>
      </c>
      <c r="G165" s="5">
        <f t="shared" si="1"/>
        <v>164</v>
      </c>
    </row>
    <row r="166">
      <c r="A166" s="3" t="str">
        <f>IFERROR(__xludf.DUMMYFUNCTION("""COMPUTED_VALUE"""),"Gus Neill")</f>
        <v>Gus Neill</v>
      </c>
      <c r="B166" s="3">
        <f>IFERROR(__xludf.DUMMYFUNCTION("""COMPUTED_VALUE"""),2.0)</f>
        <v>2</v>
      </c>
      <c r="C166" s="3"/>
      <c r="D166" s="3"/>
      <c r="E166" s="3">
        <f>IFERROR(__xludf.DUMMYFUNCTION("""COMPUTED_VALUE"""),0.0)</f>
        <v>0</v>
      </c>
      <c r="F166" s="3">
        <f>IFERROR(__xludf.DUMMYFUNCTION("""COMPUTED_VALUE"""),4.0)</f>
        <v>4</v>
      </c>
      <c r="G166" s="5">
        <f t="shared" si="1"/>
        <v>165</v>
      </c>
    </row>
    <row r="167">
      <c r="A167" s="3" t="str">
        <f>IFERROR(__xludf.DUMMYFUNCTION("""COMPUTED_VALUE"""),"Jayden Wong")</f>
        <v>Jayden Wong</v>
      </c>
      <c r="B167" s="3">
        <f>IFERROR(__xludf.DUMMYFUNCTION("""COMPUTED_VALUE"""),1.0)</f>
        <v>1</v>
      </c>
      <c r="C167" s="3"/>
      <c r="D167" s="3"/>
      <c r="E167" s="3">
        <f>IFERROR(__xludf.DUMMYFUNCTION("""COMPUTED_VALUE"""),0.0)</f>
        <v>0</v>
      </c>
      <c r="F167" s="3">
        <f>IFERROR(__xludf.DUMMYFUNCTION("""COMPUTED_VALUE"""),4.0)</f>
        <v>4</v>
      </c>
      <c r="G167" s="5">
        <f t="shared" si="1"/>
        <v>166</v>
      </c>
    </row>
    <row r="168">
      <c r="A168" s="3" t="str">
        <f>IFERROR(__xludf.DUMMYFUNCTION("""COMPUTED_VALUE"""),"Kye Williams")</f>
        <v>Kye Williams</v>
      </c>
      <c r="B168" s="3">
        <f>IFERROR(__xludf.DUMMYFUNCTION("""COMPUTED_VALUE"""),2.0)</f>
        <v>2</v>
      </c>
      <c r="C168" s="3"/>
      <c r="D168" s="3"/>
      <c r="E168" s="3">
        <f>IFERROR(__xludf.DUMMYFUNCTION("""COMPUTED_VALUE"""),0.0)</f>
        <v>0</v>
      </c>
      <c r="F168" s="3">
        <f>IFERROR(__xludf.DUMMYFUNCTION("""COMPUTED_VALUE"""),4.0)</f>
        <v>4</v>
      </c>
      <c r="G168" s="5">
        <f t="shared" si="1"/>
        <v>167</v>
      </c>
    </row>
    <row r="169">
      <c r="A169" s="3" t="str">
        <f>IFERROR(__xludf.DUMMYFUNCTION("""COMPUTED_VALUE"""),"Chris Boden")</f>
        <v>Chris Boden</v>
      </c>
      <c r="B169" s="3">
        <f>IFERROR(__xludf.DUMMYFUNCTION("""COMPUTED_VALUE"""),1.0)</f>
        <v>1</v>
      </c>
      <c r="C169" s="3"/>
      <c r="D169" s="3">
        <f>IFERROR(__xludf.DUMMYFUNCTION("""COMPUTED_VALUE"""),1.0)</f>
        <v>1</v>
      </c>
      <c r="E169" s="3">
        <f>IFERROR(__xludf.DUMMYFUNCTION("""COMPUTED_VALUE"""),0.0)</f>
        <v>0</v>
      </c>
      <c r="F169" s="3">
        <f>IFERROR(__xludf.DUMMYFUNCTION("""COMPUTED_VALUE"""),3.0)</f>
        <v>3</v>
      </c>
      <c r="G169" s="5">
        <f t="shared" si="1"/>
        <v>168</v>
      </c>
    </row>
    <row r="170">
      <c r="A170" s="3" t="str">
        <f>IFERROR(__xludf.DUMMYFUNCTION("""COMPUTED_VALUE"""),"Rich Robinson")</f>
        <v>Rich Robinson</v>
      </c>
      <c r="B170" s="3">
        <f>IFERROR(__xludf.DUMMYFUNCTION("""COMPUTED_VALUE"""),2.0)</f>
        <v>2</v>
      </c>
      <c r="C170" s="3"/>
      <c r="D170" s="3"/>
      <c r="E170" s="3">
        <f>IFERROR(__xludf.DUMMYFUNCTION("""COMPUTED_VALUE"""),0.0)</f>
        <v>0</v>
      </c>
      <c r="F170" s="3">
        <f>IFERROR(__xludf.DUMMYFUNCTION("""COMPUTED_VALUE"""),3.0)</f>
        <v>3</v>
      </c>
      <c r="G170" s="5">
        <f t="shared" si="1"/>
        <v>169</v>
      </c>
    </row>
    <row r="171">
      <c r="A171" s="3" t="str">
        <f>IFERROR(__xludf.DUMMYFUNCTION("""COMPUTED_VALUE"""),"Sonny Kombo")</f>
        <v>Sonny Kombo</v>
      </c>
      <c r="B171" s="3">
        <f>IFERROR(__xludf.DUMMYFUNCTION("""COMPUTED_VALUE"""),2.0)</f>
        <v>2</v>
      </c>
      <c r="C171" s="3"/>
      <c r="D171" s="3"/>
      <c r="E171" s="3">
        <f>IFERROR(__xludf.DUMMYFUNCTION("""COMPUTED_VALUE"""),0.0)</f>
        <v>0</v>
      </c>
      <c r="F171" s="3">
        <f>IFERROR(__xludf.DUMMYFUNCTION("""COMPUTED_VALUE"""),3.0)</f>
        <v>3</v>
      </c>
      <c r="G171" s="5">
        <f t="shared" si="1"/>
        <v>170</v>
      </c>
    </row>
    <row r="172">
      <c r="A172" s="3" t="str">
        <f>IFERROR(__xludf.DUMMYFUNCTION("""COMPUTED_VALUE"""),"Andreas Andreou")</f>
        <v>Andreas Andreou</v>
      </c>
      <c r="B172" s="3">
        <f>IFERROR(__xludf.DUMMYFUNCTION("""COMPUTED_VALUE"""),2.0)</f>
        <v>2</v>
      </c>
      <c r="C172" s="3"/>
      <c r="D172" s="3"/>
      <c r="E172" s="3">
        <f>IFERROR(__xludf.DUMMYFUNCTION("""COMPUTED_VALUE"""),0.0)</f>
        <v>0</v>
      </c>
      <c r="F172" s="3">
        <f>IFERROR(__xludf.DUMMYFUNCTION("""COMPUTED_VALUE"""),2.0)</f>
        <v>2</v>
      </c>
      <c r="G172" s="5">
        <f t="shared" si="1"/>
        <v>171</v>
      </c>
    </row>
    <row r="173">
      <c r="A173" s="3" t="str">
        <f>IFERROR(__xludf.DUMMYFUNCTION("""COMPUTED_VALUE"""),"Cameron Divine")</f>
        <v>Cameron Divine</v>
      </c>
      <c r="B173" s="3">
        <f>IFERROR(__xludf.DUMMYFUNCTION("""COMPUTED_VALUE"""),1.0)</f>
        <v>1</v>
      </c>
      <c r="C173" s="3"/>
      <c r="D173" s="3"/>
      <c r="E173" s="3">
        <f>IFERROR(__xludf.DUMMYFUNCTION("""COMPUTED_VALUE"""),0.0)</f>
        <v>0</v>
      </c>
      <c r="F173" s="3">
        <f>IFERROR(__xludf.DUMMYFUNCTION("""COMPUTED_VALUE"""),2.0)</f>
        <v>2</v>
      </c>
      <c r="G173" s="5">
        <f t="shared" si="1"/>
        <v>172</v>
      </c>
    </row>
    <row r="174">
      <c r="A174" s="3" t="str">
        <f>IFERROR(__xludf.DUMMYFUNCTION("""COMPUTED_VALUE"""),"Charlie Brooks")</f>
        <v>Charlie Brooks</v>
      </c>
      <c r="B174" s="3">
        <f>IFERROR(__xludf.DUMMYFUNCTION("""COMPUTED_VALUE"""),1.0)</f>
        <v>1</v>
      </c>
      <c r="C174" s="3"/>
      <c r="D174" s="3"/>
      <c r="E174" s="3">
        <f>IFERROR(__xludf.DUMMYFUNCTION("""COMPUTED_VALUE"""),0.0)</f>
        <v>0</v>
      </c>
      <c r="F174" s="3">
        <f>IFERROR(__xludf.DUMMYFUNCTION("""COMPUTED_VALUE"""),2.0)</f>
        <v>2</v>
      </c>
      <c r="G174" s="5">
        <f t="shared" si="1"/>
        <v>173</v>
      </c>
    </row>
    <row r="175">
      <c r="A175" s="3" t="str">
        <f>IFERROR(__xludf.DUMMYFUNCTION("""COMPUTED_VALUE"""),"Chris Marx")</f>
        <v>Chris Marx</v>
      </c>
      <c r="B175" s="3">
        <f>IFERROR(__xludf.DUMMYFUNCTION("""COMPUTED_VALUE"""),1.0)</f>
        <v>1</v>
      </c>
      <c r="C175" s="3"/>
      <c r="D175" s="3"/>
      <c r="E175" s="3">
        <f>IFERROR(__xludf.DUMMYFUNCTION("""COMPUTED_VALUE"""),0.0)</f>
        <v>0</v>
      </c>
      <c r="F175" s="3">
        <f>IFERROR(__xludf.DUMMYFUNCTION("""COMPUTED_VALUE"""),2.0)</f>
        <v>2</v>
      </c>
      <c r="G175" s="5">
        <f t="shared" si="1"/>
        <v>174</v>
      </c>
    </row>
    <row r="176">
      <c r="A176" s="3" t="str">
        <f>IFERROR(__xludf.DUMMYFUNCTION("""COMPUTED_VALUE"""),"Harrison Woolley")</f>
        <v>Harrison Woolley</v>
      </c>
      <c r="B176" s="3">
        <f>IFERROR(__xludf.DUMMYFUNCTION("""COMPUTED_VALUE"""),1.0)</f>
        <v>1</v>
      </c>
      <c r="C176" s="3"/>
      <c r="D176" s="3"/>
      <c r="E176" s="3">
        <f>IFERROR(__xludf.DUMMYFUNCTION("""COMPUTED_VALUE"""),0.0)</f>
        <v>0</v>
      </c>
      <c r="F176" s="3">
        <f>IFERROR(__xludf.DUMMYFUNCTION("""COMPUTED_VALUE"""),2.0)</f>
        <v>2</v>
      </c>
      <c r="G176" s="5">
        <f t="shared" si="1"/>
        <v>175</v>
      </c>
    </row>
    <row r="177">
      <c r="A177" s="3" t="str">
        <f>IFERROR(__xludf.DUMMYFUNCTION("""COMPUTED_VALUE"""),"James Black")</f>
        <v>James Black</v>
      </c>
      <c r="B177" s="3">
        <f>IFERROR(__xludf.DUMMYFUNCTION("""COMPUTED_VALUE"""),1.0)</f>
        <v>1</v>
      </c>
      <c r="C177" s="3"/>
      <c r="D177" s="3"/>
      <c r="E177" s="3">
        <f>IFERROR(__xludf.DUMMYFUNCTION("""COMPUTED_VALUE"""),0.0)</f>
        <v>0</v>
      </c>
      <c r="F177" s="3">
        <f>IFERROR(__xludf.DUMMYFUNCTION("""COMPUTED_VALUE"""),2.0)</f>
        <v>2</v>
      </c>
      <c r="G177" s="5">
        <f t="shared" si="1"/>
        <v>176</v>
      </c>
    </row>
    <row r="178">
      <c r="A178" s="3" t="str">
        <f>IFERROR(__xludf.DUMMYFUNCTION("""COMPUTED_VALUE"""),"Jason Raife")</f>
        <v>Jason Raife</v>
      </c>
      <c r="B178" s="3">
        <f>IFERROR(__xludf.DUMMYFUNCTION("""COMPUTED_VALUE"""),1.0)</f>
        <v>1</v>
      </c>
      <c r="C178" s="3"/>
      <c r="D178" s="3"/>
      <c r="E178" s="3">
        <f>IFERROR(__xludf.DUMMYFUNCTION("""COMPUTED_VALUE"""),0.0)</f>
        <v>0</v>
      </c>
      <c r="F178" s="3">
        <f>IFERROR(__xludf.DUMMYFUNCTION("""COMPUTED_VALUE"""),2.0)</f>
        <v>2</v>
      </c>
      <c r="G178" s="5">
        <f t="shared" si="1"/>
        <v>177</v>
      </c>
    </row>
    <row r="179">
      <c r="A179" s="3" t="str">
        <f>IFERROR(__xludf.DUMMYFUNCTION("""COMPUTED_VALUE"""),"Joe Tanner")</f>
        <v>Joe Tanner</v>
      </c>
      <c r="B179" s="3">
        <f>IFERROR(__xludf.DUMMYFUNCTION("""COMPUTED_VALUE"""),2.0)</f>
        <v>2</v>
      </c>
      <c r="C179" s="3"/>
      <c r="D179" s="3"/>
      <c r="E179" s="3">
        <f>IFERROR(__xludf.DUMMYFUNCTION("""COMPUTED_VALUE"""),0.0)</f>
        <v>0</v>
      </c>
      <c r="F179" s="3">
        <f>IFERROR(__xludf.DUMMYFUNCTION("""COMPUTED_VALUE"""),2.0)</f>
        <v>2</v>
      </c>
      <c r="G179" s="5">
        <f t="shared" si="1"/>
        <v>178</v>
      </c>
    </row>
    <row r="180">
      <c r="A180" s="3" t="str">
        <f>IFERROR(__xludf.DUMMYFUNCTION("""COMPUTED_VALUE"""),"Joey Wackrill")</f>
        <v>Joey Wackrill</v>
      </c>
      <c r="B180" s="3">
        <f>IFERROR(__xludf.DUMMYFUNCTION("""COMPUTED_VALUE"""),2.0)</f>
        <v>2</v>
      </c>
      <c r="C180" s="3"/>
      <c r="D180" s="3"/>
      <c r="E180" s="3">
        <f>IFERROR(__xludf.DUMMYFUNCTION("""COMPUTED_VALUE"""),0.0)</f>
        <v>0</v>
      </c>
      <c r="F180" s="3">
        <f>IFERROR(__xludf.DUMMYFUNCTION("""COMPUTED_VALUE"""),2.0)</f>
        <v>2</v>
      </c>
      <c r="G180" s="5">
        <f t="shared" si="1"/>
        <v>179</v>
      </c>
    </row>
    <row r="181">
      <c r="A181" s="3" t="str">
        <f>IFERROR(__xludf.DUMMYFUNCTION("""COMPUTED_VALUE"""),"Kolawole Kehinde")</f>
        <v>Kolawole Kehinde</v>
      </c>
      <c r="B181" s="3">
        <f>IFERROR(__xludf.DUMMYFUNCTION("""COMPUTED_VALUE"""),1.0)</f>
        <v>1</v>
      </c>
      <c r="C181" s="3"/>
      <c r="D181" s="3"/>
      <c r="E181" s="3">
        <f>IFERROR(__xludf.DUMMYFUNCTION("""COMPUTED_VALUE"""),0.0)</f>
        <v>0</v>
      </c>
      <c r="F181" s="3">
        <f>IFERROR(__xludf.DUMMYFUNCTION("""COMPUTED_VALUE"""),2.0)</f>
        <v>2</v>
      </c>
      <c r="G181" s="5">
        <f t="shared" si="1"/>
        <v>180</v>
      </c>
    </row>
    <row r="182">
      <c r="A182" s="3" t="str">
        <f>IFERROR(__xludf.DUMMYFUNCTION("""COMPUTED_VALUE"""),"Liam Gunn")</f>
        <v>Liam Gunn</v>
      </c>
      <c r="B182" s="3">
        <f>IFERROR(__xludf.DUMMYFUNCTION("""COMPUTED_VALUE"""),1.0)</f>
        <v>1</v>
      </c>
      <c r="C182" s="3"/>
      <c r="D182" s="3"/>
      <c r="E182" s="3">
        <f>IFERROR(__xludf.DUMMYFUNCTION("""COMPUTED_VALUE"""),0.0)</f>
        <v>0</v>
      </c>
      <c r="F182" s="3">
        <f>IFERROR(__xludf.DUMMYFUNCTION("""COMPUTED_VALUE"""),2.0)</f>
        <v>2</v>
      </c>
      <c r="G182" s="5">
        <f t="shared" si="1"/>
        <v>181</v>
      </c>
    </row>
    <row r="183">
      <c r="A183" s="3" t="str">
        <f>IFERROR(__xludf.DUMMYFUNCTION("""COMPUTED_VALUE"""),"Mark Rowntree")</f>
        <v>Mark Rowntree</v>
      </c>
      <c r="B183" s="3">
        <f>IFERROR(__xludf.DUMMYFUNCTION("""COMPUTED_VALUE"""),1.0)</f>
        <v>1</v>
      </c>
      <c r="C183" s="3"/>
      <c r="D183" s="3"/>
      <c r="E183" s="3">
        <f>IFERROR(__xludf.DUMMYFUNCTION("""COMPUTED_VALUE"""),0.0)</f>
        <v>0</v>
      </c>
      <c r="F183" s="3">
        <f>IFERROR(__xludf.DUMMYFUNCTION("""COMPUTED_VALUE"""),2.0)</f>
        <v>2</v>
      </c>
      <c r="G183" s="5">
        <f t="shared" si="1"/>
        <v>182</v>
      </c>
    </row>
    <row r="184">
      <c r="A184" s="3" t="str">
        <f>IFERROR(__xludf.DUMMYFUNCTION("""COMPUTED_VALUE"""),"Miles Shirtcliffe")</f>
        <v>Miles Shirtcliffe</v>
      </c>
      <c r="B184" s="3">
        <f>IFERROR(__xludf.DUMMYFUNCTION("""COMPUTED_VALUE"""),1.0)</f>
        <v>1</v>
      </c>
      <c r="C184" s="3"/>
      <c r="D184" s="3"/>
      <c r="E184" s="3">
        <f>IFERROR(__xludf.DUMMYFUNCTION("""COMPUTED_VALUE"""),0.0)</f>
        <v>0</v>
      </c>
      <c r="F184" s="3">
        <f>IFERROR(__xludf.DUMMYFUNCTION("""COMPUTED_VALUE"""),2.0)</f>
        <v>2</v>
      </c>
      <c r="G184" s="5">
        <f t="shared" si="1"/>
        <v>183</v>
      </c>
    </row>
    <row r="185">
      <c r="A185" s="3" t="str">
        <f>IFERROR(__xludf.DUMMYFUNCTION("""COMPUTED_VALUE"""),"Sean Woodhouse")</f>
        <v>Sean Woodhouse</v>
      </c>
      <c r="B185" s="3">
        <f>IFERROR(__xludf.DUMMYFUNCTION("""COMPUTED_VALUE"""),1.0)</f>
        <v>1</v>
      </c>
      <c r="C185" s="3"/>
      <c r="D185" s="3"/>
      <c r="E185" s="3">
        <f>IFERROR(__xludf.DUMMYFUNCTION("""COMPUTED_VALUE"""),0.0)</f>
        <v>0</v>
      </c>
      <c r="F185" s="3">
        <f>IFERROR(__xludf.DUMMYFUNCTION("""COMPUTED_VALUE"""),2.0)</f>
        <v>2</v>
      </c>
      <c r="G185" s="5">
        <f t="shared" si="1"/>
        <v>184</v>
      </c>
    </row>
    <row r="186">
      <c r="A186" s="3" t="str">
        <f>IFERROR(__xludf.DUMMYFUNCTION("""COMPUTED_VALUE"""),"Stevie Wood")</f>
        <v>Stevie Wood</v>
      </c>
      <c r="B186" s="3">
        <f>IFERROR(__xludf.DUMMYFUNCTION("""COMPUTED_VALUE"""),1.0)</f>
        <v>1</v>
      </c>
      <c r="C186" s="3"/>
      <c r="D186" s="3"/>
      <c r="E186" s="3">
        <f>IFERROR(__xludf.DUMMYFUNCTION("""COMPUTED_VALUE"""),0.0)</f>
        <v>0</v>
      </c>
      <c r="F186" s="3">
        <f>IFERROR(__xludf.DUMMYFUNCTION("""COMPUTED_VALUE"""),2.0)</f>
        <v>2</v>
      </c>
      <c r="G186" s="5">
        <f t="shared" si="1"/>
        <v>185</v>
      </c>
    </row>
    <row r="187">
      <c r="A187" s="3" t="str">
        <f>IFERROR(__xludf.DUMMYFUNCTION("""COMPUTED_VALUE"""),"Ali Koc")</f>
        <v>Ali Koc</v>
      </c>
      <c r="B187" s="3">
        <f>IFERROR(__xludf.DUMMYFUNCTION("""COMPUTED_VALUE"""),1.0)</f>
        <v>1</v>
      </c>
      <c r="C187" s="3"/>
      <c r="D187" s="3"/>
      <c r="E187" s="3">
        <f>IFERROR(__xludf.DUMMYFUNCTION("""COMPUTED_VALUE"""),0.0)</f>
        <v>0</v>
      </c>
      <c r="F187" s="3">
        <f>IFERROR(__xludf.DUMMYFUNCTION("""COMPUTED_VALUE"""),1.0)</f>
        <v>1</v>
      </c>
      <c r="G187" s="5">
        <f t="shared" si="1"/>
        <v>186</v>
      </c>
    </row>
    <row r="188">
      <c r="A188" s="3" t="str">
        <f>IFERROR(__xludf.DUMMYFUNCTION("""COMPUTED_VALUE"""),"Jamie Dedman")</f>
        <v>Jamie Dedman</v>
      </c>
      <c r="B188" s="3">
        <f>IFERROR(__xludf.DUMMYFUNCTION("""COMPUTED_VALUE"""),1.0)</f>
        <v>1</v>
      </c>
      <c r="C188" s="3"/>
      <c r="D188" s="3"/>
      <c r="E188" s="3">
        <f>IFERROR(__xludf.DUMMYFUNCTION("""COMPUTED_VALUE"""),0.0)</f>
        <v>0</v>
      </c>
      <c r="F188" s="3">
        <f>IFERROR(__xludf.DUMMYFUNCTION("""COMPUTED_VALUE"""),1.0)</f>
        <v>1</v>
      </c>
      <c r="G188" s="5">
        <f t="shared" si="1"/>
        <v>187</v>
      </c>
    </row>
    <row r="189">
      <c r="G189" s="5" t="str">
        <f t="shared" si="1"/>
        <v/>
      </c>
    </row>
    <row r="190">
      <c r="G190" s="5" t="str">
        <f t="shared" si="1"/>
        <v/>
      </c>
    </row>
    <row r="191">
      <c r="G191" s="5" t="str">
        <f t="shared" si="1"/>
        <v/>
      </c>
    </row>
    <row r="192">
      <c r="G192" s="5" t="str">
        <f t="shared" si="1"/>
        <v/>
      </c>
    </row>
    <row r="193">
      <c r="G193" s="5" t="str">
        <f t="shared" si="1"/>
        <v/>
      </c>
    </row>
    <row r="194">
      <c r="G194" s="5" t="str">
        <f t="shared" si="1"/>
        <v/>
      </c>
    </row>
    <row r="195">
      <c r="G195" s="5" t="str">
        <f t="shared" si="1"/>
        <v/>
      </c>
    </row>
    <row r="196">
      <c r="G196" s="5" t="str">
        <f t="shared" si="1"/>
        <v/>
      </c>
    </row>
    <row r="197">
      <c r="G197" s="5" t="str">
        <f t="shared" si="1"/>
        <v/>
      </c>
    </row>
    <row r="198">
      <c r="G198" s="5" t="str">
        <f t="shared" si="1"/>
        <v/>
      </c>
    </row>
    <row r="199">
      <c r="G199" s="5" t="str">
        <f t="shared" si="1"/>
        <v/>
      </c>
    </row>
    <row r="200">
      <c r="G200" s="5" t="str">
        <f t="shared" si="1"/>
        <v/>
      </c>
    </row>
    <row r="201">
      <c r="G201" s="5" t="str">
        <f t="shared" si="1"/>
        <v/>
      </c>
    </row>
    <row r="202">
      <c r="G202" s="5" t="str">
        <f t="shared" si="1"/>
        <v/>
      </c>
    </row>
    <row r="203">
      <c r="G203" s="5" t="str">
        <f t="shared" si="1"/>
        <v/>
      </c>
    </row>
    <row r="204">
      <c r="G204" s="5" t="str">
        <f t="shared" si="1"/>
        <v/>
      </c>
    </row>
    <row r="205">
      <c r="G205" s="5" t="str">
        <f t="shared" si="1"/>
        <v/>
      </c>
    </row>
    <row r="206">
      <c r="G206" s="5" t="str">
        <f t="shared" si="1"/>
        <v/>
      </c>
    </row>
    <row r="207">
      <c r="G207" s="5" t="str">
        <f t="shared" si="1"/>
        <v/>
      </c>
    </row>
    <row r="208">
      <c r="G208" s="5" t="str">
        <f t="shared" si="1"/>
        <v/>
      </c>
    </row>
    <row r="209">
      <c r="G209" s="5" t="str">
        <f t="shared" si="1"/>
        <v/>
      </c>
    </row>
    <row r="210">
      <c r="G210" s="5" t="str">
        <f t="shared" si="1"/>
        <v/>
      </c>
    </row>
    <row r="211">
      <c r="G211" s="5" t="str">
        <f t="shared" si="1"/>
        <v/>
      </c>
    </row>
    <row r="212">
      <c r="G212" s="5" t="str">
        <f t="shared" si="1"/>
        <v/>
      </c>
    </row>
    <row r="213">
      <c r="G213" s="5" t="str">
        <f t="shared" si="1"/>
        <v/>
      </c>
    </row>
    <row r="214">
      <c r="G214" s="5" t="str">
        <f t="shared" si="1"/>
        <v/>
      </c>
    </row>
    <row r="215">
      <c r="G215" s="5" t="str">
        <f t="shared" si="1"/>
        <v/>
      </c>
    </row>
    <row r="216">
      <c r="G216" s="5" t="str">
        <f t="shared" si="1"/>
        <v/>
      </c>
    </row>
    <row r="217">
      <c r="G217" s="5" t="str">
        <f t="shared" si="1"/>
        <v/>
      </c>
    </row>
    <row r="218">
      <c r="G218" s="5" t="str">
        <f t="shared" si="1"/>
        <v/>
      </c>
    </row>
    <row r="219">
      <c r="G219" s="5" t="str">
        <f t="shared" si="1"/>
        <v/>
      </c>
    </row>
    <row r="220">
      <c r="G220" s="5" t="str">
        <f t="shared" si="1"/>
        <v/>
      </c>
    </row>
    <row r="221">
      <c r="G221" s="5" t="str">
        <f t="shared" si="1"/>
        <v/>
      </c>
    </row>
    <row r="222">
      <c r="G222" s="5" t="str">
        <f t="shared" si="1"/>
        <v/>
      </c>
    </row>
    <row r="223">
      <c r="G223" s="5" t="str">
        <f t="shared" si="1"/>
        <v/>
      </c>
    </row>
    <row r="224">
      <c r="G224" s="5" t="str">
        <f t="shared" si="1"/>
        <v/>
      </c>
    </row>
    <row r="225">
      <c r="G225" s="5" t="str">
        <f t="shared" si="1"/>
        <v/>
      </c>
    </row>
    <row r="226">
      <c r="G226" s="5" t="str">
        <f t="shared" si="1"/>
        <v/>
      </c>
    </row>
    <row r="227">
      <c r="G227" s="5" t="str">
        <f t="shared" si="1"/>
        <v/>
      </c>
    </row>
    <row r="228">
      <c r="G228" s="5" t="str">
        <f t="shared" si="1"/>
        <v/>
      </c>
    </row>
    <row r="229">
      <c r="G229" s="5" t="str">
        <f t="shared" si="1"/>
        <v/>
      </c>
    </row>
    <row r="230">
      <c r="G230" s="5" t="str">
        <f t="shared" si="1"/>
        <v/>
      </c>
    </row>
    <row r="231">
      <c r="G231" s="5" t="str">
        <f t="shared" si="1"/>
        <v/>
      </c>
    </row>
    <row r="232">
      <c r="G232" s="5" t="str">
        <f t="shared" si="1"/>
        <v/>
      </c>
    </row>
    <row r="233">
      <c r="G233" s="5" t="str">
        <f t="shared" si="1"/>
        <v/>
      </c>
    </row>
    <row r="234">
      <c r="G234" s="5" t="str">
        <f t="shared" si="1"/>
        <v/>
      </c>
    </row>
    <row r="235">
      <c r="G235" s="5" t="str">
        <f t="shared" si="1"/>
        <v/>
      </c>
    </row>
    <row r="236">
      <c r="G236" s="5" t="str">
        <f t="shared" si="1"/>
        <v/>
      </c>
    </row>
    <row r="237">
      <c r="G237" s="5" t="str">
        <f t="shared" si="1"/>
        <v/>
      </c>
    </row>
    <row r="238">
      <c r="G238" s="5" t="str">
        <f t="shared" si="1"/>
        <v/>
      </c>
    </row>
    <row r="239">
      <c r="G239" s="5" t="str">
        <f t="shared" si="1"/>
        <v/>
      </c>
    </row>
    <row r="240">
      <c r="G240" s="5" t="str">
        <f t="shared" si="1"/>
        <v/>
      </c>
    </row>
    <row r="241">
      <c r="G241" s="5" t="str">
        <f t="shared" si="1"/>
        <v/>
      </c>
    </row>
    <row r="242">
      <c r="G242" s="5" t="str">
        <f t="shared" si="1"/>
        <v/>
      </c>
    </row>
    <row r="243">
      <c r="G243" s="5" t="str">
        <f t="shared" si="1"/>
        <v/>
      </c>
    </row>
    <row r="244">
      <c r="G244" s="5" t="str">
        <f t="shared" si="1"/>
        <v/>
      </c>
    </row>
    <row r="245">
      <c r="G245" s="5" t="str">
        <f t="shared" si="1"/>
        <v/>
      </c>
    </row>
    <row r="246">
      <c r="G246" s="5" t="str">
        <f t="shared" si="1"/>
        <v/>
      </c>
    </row>
    <row r="247">
      <c r="G247" s="5" t="str">
        <f t="shared" si="1"/>
        <v/>
      </c>
    </row>
    <row r="248">
      <c r="G248" s="5" t="str">
        <f t="shared" si="1"/>
        <v/>
      </c>
    </row>
    <row r="249">
      <c r="G249" s="5" t="str">
        <f t="shared" si="1"/>
        <v/>
      </c>
    </row>
    <row r="250">
      <c r="G250" s="5" t="str">
        <f t="shared" si="1"/>
        <v/>
      </c>
    </row>
    <row r="251">
      <c r="G251" s="5" t="str">
        <f t="shared" si="1"/>
        <v/>
      </c>
    </row>
    <row r="252">
      <c r="G252" s="5" t="str">
        <f t="shared" si="1"/>
        <v/>
      </c>
    </row>
    <row r="253">
      <c r="G253" s="5" t="str">
        <f t="shared" si="1"/>
        <v/>
      </c>
    </row>
    <row r="254">
      <c r="G254" s="5" t="str">
        <f t="shared" si="1"/>
        <v/>
      </c>
    </row>
    <row r="255">
      <c r="G255" s="5" t="str">
        <f t="shared" si="1"/>
        <v/>
      </c>
    </row>
    <row r="256">
      <c r="G256" s="5" t="str">
        <f t="shared" si="1"/>
        <v/>
      </c>
    </row>
    <row r="257">
      <c r="G257" s="5" t="str">
        <f t="shared" si="1"/>
        <v/>
      </c>
    </row>
    <row r="258">
      <c r="G258" s="5" t="str">
        <f t="shared" si="1"/>
        <v/>
      </c>
    </row>
    <row r="259">
      <c r="G259" s="5" t="str">
        <f t="shared" si="1"/>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8</v>
      </c>
      <c r="B1" s="5" t="s">
        <v>8</v>
      </c>
    </row>
    <row r="2">
      <c r="A2" s="5" t="s">
        <v>9</v>
      </c>
      <c r="B2" s="5" t="s">
        <v>9</v>
      </c>
    </row>
    <row r="3">
      <c r="A3" s="5" t="s">
        <v>10</v>
      </c>
      <c r="B3" s="5" t="s">
        <v>10</v>
      </c>
    </row>
    <row r="4">
      <c r="A4" s="5" t="s">
        <v>11</v>
      </c>
      <c r="B4" s="5" t="s">
        <v>11</v>
      </c>
    </row>
    <row r="5">
      <c r="A5" s="5" t="s">
        <v>12</v>
      </c>
      <c r="B5" s="5" t="s">
        <v>11</v>
      </c>
    </row>
    <row r="6">
      <c r="A6" s="5" t="s">
        <v>13</v>
      </c>
      <c r="B6" s="5" t="s">
        <v>11</v>
      </c>
    </row>
    <row r="7">
      <c r="A7" s="5" t="s">
        <v>14</v>
      </c>
      <c r="B7" s="5" t="s">
        <v>11</v>
      </c>
    </row>
    <row r="8">
      <c r="A8" s="5" t="s">
        <v>15</v>
      </c>
      <c r="B8" s="5" t="s">
        <v>11</v>
      </c>
    </row>
    <row r="9">
      <c r="A9" s="5" t="s">
        <v>16</v>
      </c>
      <c r="B9" s="5" t="s">
        <v>11</v>
      </c>
    </row>
    <row r="10">
      <c r="A10" s="5" t="s">
        <v>17</v>
      </c>
      <c r="B10" s="5" t="s">
        <v>11</v>
      </c>
    </row>
    <row r="11">
      <c r="A11" s="5" t="s">
        <v>18</v>
      </c>
      <c r="B11" s="5" t="s">
        <v>11</v>
      </c>
    </row>
    <row r="12">
      <c r="A12" s="5" t="s">
        <v>19</v>
      </c>
      <c r="B12" s="5" t="s">
        <v>10</v>
      </c>
    </row>
    <row r="13">
      <c r="A13" s="5" t="s">
        <v>20</v>
      </c>
      <c r="B13" s="5" t="s">
        <v>10</v>
      </c>
    </row>
    <row r="14">
      <c r="A14" s="5" t="s">
        <v>21</v>
      </c>
      <c r="B14" s="5" t="s">
        <v>10</v>
      </c>
    </row>
    <row r="15">
      <c r="A15" s="5" t="s">
        <v>22</v>
      </c>
      <c r="B15" s="5" t="s">
        <v>9</v>
      </c>
    </row>
    <row r="16">
      <c r="A16" s="5" t="s">
        <v>23</v>
      </c>
      <c r="B16" s="5" t="s">
        <v>9</v>
      </c>
    </row>
    <row r="17">
      <c r="A17" s="5" t="s">
        <v>24</v>
      </c>
      <c r="B17" s="5" t="s">
        <v>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tr">
        <f>IFERROR(__xludf.DUMMYFUNCTION("query('OTPI Scores'!A:S,""SELECT C, count(S) WHERE S=TRUE group by C order by Count(S) desc LABEL Count(S) 'Kits Washed'"")"),"Player Name")</f>
        <v>Player Name</v>
      </c>
      <c r="B1" s="3" t="str">
        <f>IFERROR(__xludf.DUMMYFUNCTION("""COMPUTED_VALUE"""),"Kits Washed")</f>
        <v>Kits Washed</v>
      </c>
    </row>
    <row r="2">
      <c r="A2" s="3" t="str">
        <f>IFERROR(__xludf.DUMMYFUNCTION("""COMPUTED_VALUE"""),"Nima Naghdi")</f>
        <v>Nima Naghdi</v>
      </c>
      <c r="B2" s="3">
        <f>IFERROR(__xludf.DUMMYFUNCTION("""COMPUTED_VALUE"""),25.0)</f>
        <v>25</v>
      </c>
    </row>
    <row r="3">
      <c r="A3" s="3" t="str">
        <f>IFERROR(__xludf.DUMMYFUNCTION("""COMPUTED_VALUE"""),"Alex Scott-Ruddock")</f>
        <v>Alex Scott-Ruddock</v>
      </c>
      <c r="B3" s="3">
        <f>IFERROR(__xludf.DUMMYFUNCTION("""COMPUTED_VALUE"""),19.0)</f>
        <v>19</v>
      </c>
    </row>
    <row r="4">
      <c r="A4" s="3" t="str">
        <f>IFERROR(__xludf.DUMMYFUNCTION("""COMPUTED_VALUE"""),"Denver Lalonde")</f>
        <v>Denver Lalonde</v>
      </c>
      <c r="B4" s="3">
        <f>IFERROR(__xludf.DUMMYFUNCTION("""COMPUTED_VALUE"""),15.0)</f>
        <v>15</v>
      </c>
    </row>
    <row r="5">
      <c r="A5" s="3" t="str">
        <f>IFERROR(__xludf.DUMMYFUNCTION("""COMPUTED_VALUE"""),"Sean Staunton")</f>
        <v>Sean Staunton</v>
      </c>
      <c r="B5" s="3">
        <f>IFERROR(__xludf.DUMMYFUNCTION("""COMPUTED_VALUE"""),10.0)</f>
        <v>10</v>
      </c>
    </row>
    <row r="6">
      <c r="A6" s="3" t="str">
        <f>IFERROR(__xludf.DUMMYFUNCTION("""COMPUTED_VALUE"""),"Martin Goodson")</f>
        <v>Martin Goodson</v>
      </c>
      <c r="B6" s="3">
        <f>IFERROR(__xludf.DUMMYFUNCTION("""COMPUTED_VALUE"""),9.0)</f>
        <v>9</v>
      </c>
    </row>
    <row r="7">
      <c r="A7" s="3" t="str">
        <f>IFERROR(__xludf.DUMMYFUNCTION("""COMPUTED_VALUE"""),"Peter Green")</f>
        <v>Peter Green</v>
      </c>
      <c r="B7" s="3">
        <f>IFERROR(__xludf.DUMMYFUNCTION("""COMPUTED_VALUE"""),6.0)</f>
        <v>6</v>
      </c>
    </row>
    <row r="8">
      <c r="A8" s="3" t="str">
        <f>IFERROR(__xludf.DUMMYFUNCTION("""COMPUTED_VALUE"""),"Alex Stevens")</f>
        <v>Alex Stevens</v>
      </c>
      <c r="B8" s="3">
        <f>IFERROR(__xludf.DUMMYFUNCTION("""COMPUTED_VALUE"""),5.0)</f>
        <v>5</v>
      </c>
    </row>
    <row r="9">
      <c r="A9" s="3" t="str">
        <f>IFERROR(__xludf.DUMMYFUNCTION("""COMPUTED_VALUE"""),"Janam Satra")</f>
        <v>Janam Satra</v>
      </c>
      <c r="B9" s="3">
        <f>IFERROR(__xludf.DUMMYFUNCTION("""COMPUTED_VALUE"""),4.0)</f>
        <v>4</v>
      </c>
    </row>
    <row r="10">
      <c r="A10" s="3" t="str">
        <f>IFERROR(__xludf.DUMMYFUNCTION("""COMPUTED_VALUE"""),"Jarvis Cheek")</f>
        <v>Jarvis Cheek</v>
      </c>
      <c r="B10" s="3">
        <f>IFERROR(__xludf.DUMMYFUNCTION("""COMPUTED_VALUE"""),4.0)</f>
        <v>4</v>
      </c>
    </row>
    <row r="11">
      <c r="A11" s="3" t="str">
        <f>IFERROR(__xludf.DUMMYFUNCTION("""COMPUTED_VALUE"""),"Rob Pritchard-Jones")</f>
        <v>Rob Pritchard-Jones</v>
      </c>
      <c r="B11" s="3">
        <f>IFERROR(__xludf.DUMMYFUNCTION("""COMPUTED_VALUE"""),3.0)</f>
        <v>3</v>
      </c>
    </row>
    <row r="12">
      <c r="A12" s="3" t="str">
        <f>IFERROR(__xludf.DUMMYFUNCTION("""COMPUTED_VALUE"""),"Jason Heath")</f>
        <v>Jason Heath</v>
      </c>
      <c r="B12" s="3">
        <f>IFERROR(__xludf.DUMMYFUNCTION("""COMPUTED_VALUE"""),2.0)</f>
        <v>2</v>
      </c>
    </row>
    <row r="13">
      <c r="A13" s="3" t="str">
        <f>IFERROR(__xludf.DUMMYFUNCTION("""COMPUTED_VALUE"""),"Josh Sherriff-Jolly")</f>
        <v>Josh Sherriff-Jolly</v>
      </c>
      <c r="B13" s="3">
        <f>IFERROR(__xludf.DUMMYFUNCTION("""COMPUTED_VALUE"""),2.0)</f>
        <v>2</v>
      </c>
    </row>
    <row r="14">
      <c r="A14" s="3" t="str">
        <f>IFERROR(__xludf.DUMMYFUNCTION("""COMPUTED_VALUE"""),"Parimal Patel")</f>
        <v>Parimal Patel</v>
      </c>
      <c r="B14" s="3">
        <f>IFERROR(__xludf.DUMMYFUNCTION("""COMPUTED_VALUE"""),2.0)</f>
        <v>2</v>
      </c>
    </row>
    <row r="15">
      <c r="A15" s="3" t="str">
        <f>IFERROR(__xludf.DUMMYFUNCTION("""COMPUTED_VALUE"""),"Alex Dockerill")</f>
        <v>Alex Dockerill</v>
      </c>
      <c r="B15" s="3">
        <f>IFERROR(__xludf.DUMMYFUNCTION("""COMPUTED_VALUE"""),1.0)</f>
        <v>1</v>
      </c>
    </row>
    <row r="16">
      <c r="A16" s="3" t="str">
        <f>IFERROR(__xludf.DUMMYFUNCTION("""COMPUTED_VALUE"""),"Charlie Brooks")</f>
        <v>Charlie Brooks</v>
      </c>
      <c r="B16" s="3">
        <f>IFERROR(__xludf.DUMMYFUNCTION("""COMPUTED_VALUE"""),1.0)</f>
        <v>1</v>
      </c>
    </row>
    <row r="17">
      <c r="A17" s="3" t="str">
        <f>IFERROR(__xludf.DUMMYFUNCTION("""COMPUTED_VALUE"""),"Corey Cleave")</f>
        <v>Corey Cleave</v>
      </c>
      <c r="B17" s="3">
        <f>IFERROR(__xludf.DUMMYFUNCTION("""COMPUTED_VALUE"""),1.0)</f>
        <v>1</v>
      </c>
    </row>
    <row r="18">
      <c r="A18" s="3" t="str">
        <f>IFERROR(__xludf.DUMMYFUNCTION("""COMPUTED_VALUE"""),"George Havord")</f>
        <v>George Havord</v>
      </c>
      <c r="B18" s="3">
        <f>IFERROR(__xludf.DUMMYFUNCTION("""COMPUTED_VALUE"""),1.0)</f>
        <v>1</v>
      </c>
    </row>
    <row r="19">
      <c r="A19" s="3" t="str">
        <f>IFERROR(__xludf.DUMMYFUNCTION("""COMPUTED_VALUE"""),"John Harrison")</f>
        <v>John Harrison</v>
      </c>
      <c r="B19" s="3">
        <f>IFERROR(__xludf.DUMMYFUNCTION("""COMPUTED_VALUE"""),1.0)</f>
        <v>1</v>
      </c>
    </row>
    <row r="20">
      <c r="A20" s="3" t="str">
        <f>IFERROR(__xludf.DUMMYFUNCTION("""COMPUTED_VALUE"""),"Keaton Cohen")</f>
        <v>Keaton Cohen</v>
      </c>
      <c r="B20" s="3">
        <f>IFERROR(__xludf.DUMMYFUNCTION("""COMPUTED_VALUE"""),1.0)</f>
        <v>1</v>
      </c>
    </row>
    <row r="21">
      <c r="A21" s="3" t="str">
        <f>IFERROR(__xludf.DUMMYFUNCTION("""COMPUTED_VALUE"""),"Max Watson")</f>
        <v>Max Watson</v>
      </c>
      <c r="B21" s="3">
        <f>IFERROR(__xludf.DUMMYFUNCTION("""COMPUTED_VALUE"""),1.0)</f>
        <v>1</v>
      </c>
    </row>
    <row r="22">
      <c r="A22" s="3" t="str">
        <f>IFERROR(__xludf.DUMMYFUNCTION("""COMPUTED_VALUE"""),"Miles Shirtcliffe")</f>
        <v>Miles Shirtcliffe</v>
      </c>
      <c r="B22" s="3">
        <f>IFERROR(__xludf.DUMMYFUNCTION("""COMPUTED_VALUE"""),1.0)</f>
        <v>1</v>
      </c>
    </row>
    <row r="23">
      <c r="A23" s="3" t="str">
        <f>IFERROR(__xludf.DUMMYFUNCTION("""COMPUTED_VALUE"""),"Rich Lundie")</f>
        <v>Rich Lundie</v>
      </c>
      <c r="B23" s="3">
        <f>IFERROR(__xludf.DUMMYFUNCTION("""COMPUTED_VALUE"""),1.0)</f>
        <v>1</v>
      </c>
    </row>
    <row r="24">
      <c r="A24" s="3" t="str">
        <f>IFERROR(__xludf.DUMMYFUNCTION("""COMPUTED_VALUE"""),"Seb Curle")</f>
        <v>Seb Curle</v>
      </c>
      <c r="B24" s="3">
        <f>IFERROR(__xludf.DUMMYFUNCTION("""COMPUTED_VALUE"""),1.0)</f>
        <v>1</v>
      </c>
    </row>
    <row r="25">
      <c r="A25" s="3" t="str">
        <f>IFERROR(__xludf.DUMMYFUNCTION("""COMPUTED_VALUE"""),"Theo Horton")</f>
        <v>Theo Horton</v>
      </c>
      <c r="B25" s="3">
        <f>IFERROR(__xludf.DUMMYFUNCTION("""COMPUTED_VALUE"""),1.0)</f>
        <v>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25"/>
    <col customWidth="1" min="6" max="6" width="87.13"/>
  </cols>
  <sheetData>
    <row r="1">
      <c r="A1" s="13" t="s">
        <v>25</v>
      </c>
      <c r="D1" s="14">
        <v>45367.0</v>
      </c>
      <c r="G1" s="15"/>
      <c r="H1" s="15"/>
      <c r="I1" s="15"/>
      <c r="J1" s="15"/>
      <c r="K1" s="15"/>
      <c r="L1" s="15"/>
      <c r="M1" s="15"/>
      <c r="N1" s="15"/>
      <c r="O1" s="15"/>
      <c r="P1" s="15"/>
      <c r="Q1" s="15"/>
      <c r="R1" s="15"/>
      <c r="S1" s="15"/>
      <c r="T1" s="15"/>
      <c r="U1" s="15"/>
      <c r="V1" s="15"/>
      <c r="W1" s="15"/>
      <c r="X1" s="15"/>
      <c r="Y1" s="15"/>
      <c r="Z1" s="15"/>
    </row>
    <row r="2">
      <c r="A2" s="16"/>
      <c r="B2" s="17"/>
      <c r="C2" s="17"/>
      <c r="D2" s="17"/>
      <c r="E2" s="17"/>
      <c r="F2" s="17"/>
      <c r="G2" s="15"/>
      <c r="H2" s="15"/>
      <c r="I2" s="15"/>
      <c r="J2" s="15"/>
      <c r="K2" s="15"/>
      <c r="L2" s="15"/>
      <c r="M2" s="15"/>
      <c r="N2" s="15"/>
      <c r="O2" s="15"/>
      <c r="P2" s="15"/>
      <c r="Q2" s="15"/>
      <c r="R2" s="15"/>
      <c r="S2" s="15"/>
      <c r="T2" s="15"/>
      <c r="U2" s="15"/>
      <c r="V2" s="15"/>
      <c r="W2" s="15"/>
      <c r="X2" s="15"/>
      <c r="Y2" s="15"/>
      <c r="Z2" s="15"/>
    </row>
    <row r="3">
      <c r="A3" s="18" t="s">
        <v>26</v>
      </c>
      <c r="G3" s="15"/>
      <c r="H3" s="15"/>
      <c r="I3" s="15"/>
      <c r="J3" s="15"/>
      <c r="K3" s="15"/>
      <c r="L3" s="15"/>
      <c r="M3" s="15"/>
      <c r="N3" s="15"/>
      <c r="O3" s="15"/>
      <c r="P3" s="15"/>
      <c r="Q3" s="15"/>
      <c r="R3" s="15"/>
      <c r="S3" s="15"/>
      <c r="T3" s="15"/>
      <c r="U3" s="15"/>
      <c r="V3" s="15"/>
      <c r="W3" s="15"/>
      <c r="X3" s="15"/>
      <c r="Y3" s="15"/>
      <c r="Z3" s="15"/>
    </row>
    <row r="4">
      <c r="A4" s="2" t="str">
        <f>IFERROR(__xludf.DUMMYFUNCTION("query('OTPI Scores'!$A:$AD, ""select C, D, E,AA, U,V where A= date '""&amp;text($D$1,""yyyy-mm-dd"")&amp;""'and B!='Friendly' order by AA desc, U desc, E limit 20"")"),"Player Name")</f>
        <v>Player Name</v>
      </c>
      <c r="B4" s="3" t="str">
        <f>IFERROR(__xludf.DUMMYFUNCTION("""COMPUTED_VALUE"""),"Position")</f>
        <v>Position</v>
      </c>
      <c r="C4" s="3" t="str">
        <f>IFERROR(__xludf.DUMMYFUNCTION("""COMPUTED_VALUE"""),"OT Team")</f>
        <v>OT Team</v>
      </c>
      <c r="D4" s="3" t="str">
        <f>IFERROR(__xludf.DUMMYFUNCTION("""COMPUTED_VALUE"""),"OPTI Score")</f>
        <v>OPTI Score</v>
      </c>
      <c r="E4" s="3" t="str">
        <f>IFERROR(__xludf.DUMMYFUNCTION("""COMPUTED_VALUE"""),"Match day rating")</f>
        <v>Match day rating</v>
      </c>
      <c r="F4" s="3" t="str">
        <f>IFERROR(__xludf.DUMMYFUNCTION("""COMPUTED_VALUE"""),"Comments")</f>
        <v>Comments</v>
      </c>
      <c r="G4" s="15"/>
      <c r="H4" s="15"/>
      <c r="I4" s="15"/>
      <c r="J4" s="15"/>
      <c r="K4" s="15"/>
      <c r="L4" s="15"/>
      <c r="M4" s="15"/>
      <c r="N4" s="15"/>
      <c r="O4" s="15"/>
      <c r="P4" s="15"/>
      <c r="Q4" s="15"/>
      <c r="R4" s="15"/>
      <c r="S4" s="15"/>
      <c r="T4" s="15"/>
      <c r="U4" s="15"/>
      <c r="V4" s="15"/>
      <c r="W4" s="15"/>
      <c r="X4" s="15"/>
      <c r="Y4" s="15"/>
      <c r="Z4" s="15"/>
    </row>
    <row r="5">
      <c r="A5" s="3" t="str">
        <f>IFERROR(__xludf.DUMMYFUNCTION("""COMPUTED_VALUE"""),"Masood Hamidi")</f>
        <v>Masood Hamidi</v>
      </c>
      <c r="B5" s="3" t="str">
        <f>IFERROR(__xludf.DUMMYFUNCTION("""COMPUTED_VALUE"""),"RW")</f>
        <v>RW</v>
      </c>
      <c r="C5" s="3">
        <f>IFERROR(__xludf.DUMMYFUNCTION("""COMPUTED_VALUE"""),4.0)</f>
        <v>4</v>
      </c>
      <c r="D5" s="3">
        <f>IFERROR(__xludf.DUMMYFUNCTION("""COMPUTED_VALUE"""),14.0)</f>
        <v>14</v>
      </c>
      <c r="E5" s="3">
        <f>IFERROR(__xludf.DUMMYFUNCTION("""COMPUTED_VALUE"""),8.0)</f>
        <v>8</v>
      </c>
      <c r="F5" s="19" t="str">
        <f>IFERROR(__xludf.DUMMYFUNCTION("""COMPUTED_VALUE"""),"2nd game were his form has carried on. linking up better with players. considering hes fasting he displayed good energy levels. took him off for 15 to give him a breather.")</f>
        <v>2nd game were his form has carried on. linking up better with players. considering hes fasting he displayed good energy levels. took him off for 15 to give him a breather.</v>
      </c>
      <c r="G5" s="15"/>
      <c r="H5" s="15"/>
      <c r="I5" s="15"/>
      <c r="J5" s="15"/>
      <c r="K5" s="15"/>
      <c r="L5" s="15"/>
      <c r="M5" s="15"/>
      <c r="N5" s="15"/>
      <c r="O5" s="15"/>
      <c r="P5" s="15"/>
      <c r="Q5" s="15"/>
      <c r="R5" s="15"/>
      <c r="S5" s="15"/>
      <c r="T5" s="15"/>
      <c r="U5" s="15"/>
      <c r="V5" s="15"/>
      <c r="W5" s="15"/>
      <c r="X5" s="15"/>
      <c r="Y5" s="15"/>
      <c r="Z5" s="15"/>
    </row>
    <row r="6">
      <c r="A6" s="3" t="str">
        <f>IFERROR(__xludf.DUMMYFUNCTION("""COMPUTED_VALUE"""),"Chris Douthwaite")</f>
        <v>Chris Douthwaite</v>
      </c>
      <c r="B6" s="3" t="str">
        <f>IFERROR(__xludf.DUMMYFUNCTION("""COMPUTED_VALUE"""),"CB")</f>
        <v>CB</v>
      </c>
      <c r="C6" s="3">
        <f>IFERROR(__xludf.DUMMYFUNCTION("""COMPUTED_VALUE"""),3.0)</f>
        <v>3</v>
      </c>
      <c r="D6" s="3">
        <f>IFERROR(__xludf.DUMMYFUNCTION("""COMPUTED_VALUE"""),13.0)</f>
        <v>13</v>
      </c>
      <c r="E6" s="3">
        <f>IFERROR(__xludf.DUMMYFUNCTION("""COMPUTED_VALUE"""),7.5)</f>
        <v>7.5</v>
      </c>
      <c r="F6" s="19" t="str">
        <f>IFERROR(__xludf.DUMMYFUNCTION("""COMPUTED_VALUE"""),"Best of the defence in getting the ball forward. dealt with his defensive duties well.")</f>
        <v>Best of the defence in getting the ball forward. dealt with his defensive duties well.</v>
      </c>
      <c r="G6" s="15"/>
      <c r="H6" s="15"/>
      <c r="I6" s="15"/>
      <c r="J6" s="15"/>
      <c r="K6" s="15"/>
      <c r="L6" s="15"/>
      <c r="M6" s="15"/>
      <c r="N6" s="15"/>
      <c r="O6" s="15"/>
      <c r="P6" s="15"/>
      <c r="Q6" s="15"/>
      <c r="R6" s="15"/>
      <c r="S6" s="15"/>
      <c r="T6" s="15"/>
      <c r="U6" s="15"/>
      <c r="V6" s="15"/>
      <c r="W6" s="15"/>
      <c r="X6" s="15"/>
      <c r="Y6" s="15"/>
      <c r="Z6" s="15"/>
    </row>
    <row r="7">
      <c r="A7" s="3" t="str">
        <f>IFERROR(__xludf.DUMMYFUNCTION("""COMPUTED_VALUE"""),"Alex Stevens")</f>
        <v>Alex Stevens</v>
      </c>
      <c r="B7" s="3" t="str">
        <f>IFERROR(__xludf.DUMMYFUNCTION("""COMPUTED_VALUE"""),"CF")</f>
        <v>CF</v>
      </c>
      <c r="C7" s="3">
        <f>IFERROR(__xludf.DUMMYFUNCTION("""COMPUTED_VALUE"""),3.0)</f>
        <v>3</v>
      </c>
      <c r="D7" s="3">
        <f>IFERROR(__xludf.DUMMYFUNCTION("""COMPUTED_VALUE"""),10.0)</f>
        <v>10</v>
      </c>
      <c r="E7" s="3">
        <f>IFERROR(__xludf.DUMMYFUNCTION("""COMPUTED_VALUE"""),7.0)</f>
        <v>7</v>
      </c>
      <c r="F7" s="19" t="str">
        <f>IFERROR(__xludf.DUMMYFUNCTION("""COMPUTED_VALUE"""),"goalline flatters him but both count. 2nd came from him pressing and winning it back before rounding the keeper. Hopefully it builds his confidence.")</f>
        <v>goalline flatters him but both count. 2nd came from him pressing and winning it back before rounding the keeper. Hopefully it builds his confidence.</v>
      </c>
      <c r="G7" s="15"/>
      <c r="H7" s="15"/>
      <c r="I7" s="15"/>
      <c r="J7" s="15"/>
      <c r="K7" s="15"/>
      <c r="L7" s="15"/>
      <c r="M7" s="15"/>
      <c r="N7" s="15"/>
      <c r="O7" s="15"/>
      <c r="P7" s="15"/>
      <c r="Q7" s="15"/>
      <c r="R7" s="15"/>
      <c r="S7" s="15"/>
      <c r="T7" s="15"/>
      <c r="U7" s="15"/>
      <c r="V7" s="15"/>
      <c r="W7" s="15"/>
      <c r="X7" s="15"/>
      <c r="Y7" s="15"/>
      <c r="Z7" s="15"/>
    </row>
    <row r="8">
      <c r="A8" s="3" t="str">
        <f>IFERROR(__xludf.DUMMYFUNCTION("""COMPUTED_VALUE"""),"Jonny Simmons")</f>
        <v>Jonny Simmons</v>
      </c>
      <c r="B8" s="3" t="str">
        <f>IFERROR(__xludf.DUMMYFUNCTION("""COMPUTED_VALUE"""),"CB")</f>
        <v>CB</v>
      </c>
      <c r="C8" s="3">
        <f>IFERROR(__xludf.DUMMYFUNCTION("""COMPUTED_VALUE"""),3.0)</f>
        <v>3</v>
      </c>
      <c r="D8" s="3">
        <f>IFERROR(__xludf.DUMMYFUNCTION("""COMPUTED_VALUE"""),8.0)</f>
        <v>8</v>
      </c>
      <c r="E8" s="3">
        <f>IFERROR(__xludf.DUMMYFUNCTION("""COMPUTED_VALUE"""),7.0)</f>
        <v>7</v>
      </c>
      <c r="F8" s="19" t="str">
        <f>IFERROR(__xludf.DUMMYFUNCTION("""COMPUTED_VALUE"""),"part of a back 4 that dealt with duties defensively but struggled to support build up play at times.")</f>
        <v>part of a back 4 that dealt with duties defensively but struggled to support build up play at times.</v>
      </c>
      <c r="G8" s="15"/>
      <c r="H8" s="15"/>
      <c r="I8" s="15"/>
      <c r="J8" s="15"/>
      <c r="K8" s="15"/>
      <c r="L8" s="15"/>
      <c r="M8" s="15"/>
      <c r="N8" s="15"/>
      <c r="O8" s="15"/>
      <c r="P8" s="15"/>
      <c r="Q8" s="15"/>
      <c r="R8" s="15"/>
      <c r="S8" s="15"/>
      <c r="T8" s="15"/>
      <c r="U8" s="15"/>
      <c r="V8" s="15"/>
      <c r="W8" s="15"/>
      <c r="X8" s="15"/>
      <c r="Y8" s="15"/>
      <c r="Z8" s="15"/>
    </row>
    <row r="9">
      <c r="A9" s="3" t="str">
        <f>IFERROR(__xludf.DUMMYFUNCTION("""COMPUTED_VALUE"""),"Gaz Wheldale")</f>
        <v>Gaz Wheldale</v>
      </c>
      <c r="B9" s="3" t="str">
        <f>IFERROR(__xludf.DUMMYFUNCTION("""COMPUTED_VALUE"""),"RB")</f>
        <v>RB</v>
      </c>
      <c r="C9" s="3">
        <f>IFERROR(__xludf.DUMMYFUNCTION("""COMPUTED_VALUE"""),3.0)</f>
        <v>3</v>
      </c>
      <c r="D9" s="3">
        <f>IFERROR(__xludf.DUMMYFUNCTION("""COMPUTED_VALUE"""),8.0)</f>
        <v>8</v>
      </c>
      <c r="E9" s="3">
        <f>IFERROR(__xludf.DUMMYFUNCTION("""COMPUTED_VALUE"""),7.0)</f>
        <v>7</v>
      </c>
      <c r="F9" s="19" t="str">
        <f>IFERROR(__xludf.DUMMYFUNCTION("""COMPUTED_VALUE"""),"very solid when on the pitch. Good to see him back in the squad.")</f>
        <v>very solid when on the pitch. Good to see him back in the squad.</v>
      </c>
      <c r="G9" s="15"/>
      <c r="H9" s="15"/>
      <c r="I9" s="15"/>
      <c r="J9" s="15"/>
      <c r="K9" s="15"/>
      <c r="L9" s="15"/>
      <c r="M9" s="15"/>
      <c r="N9" s="15"/>
      <c r="O9" s="15"/>
      <c r="P9" s="15"/>
      <c r="Q9" s="15"/>
      <c r="R9" s="15"/>
      <c r="S9" s="15"/>
      <c r="T9" s="15"/>
      <c r="U9" s="15"/>
      <c r="V9" s="15"/>
      <c r="W9" s="15"/>
      <c r="X9" s="15"/>
      <c r="Y9" s="15"/>
      <c r="Z9" s="15"/>
    </row>
    <row r="10">
      <c r="A10" s="3" t="str">
        <f>IFERROR(__xludf.DUMMYFUNCTION("""COMPUTED_VALUE"""),"Nick Chimonides")</f>
        <v>Nick Chimonides</v>
      </c>
      <c r="B10" s="3" t="str">
        <f>IFERROR(__xludf.DUMMYFUNCTION("""COMPUTED_VALUE"""),"GK")</f>
        <v>GK</v>
      </c>
      <c r="C10" s="3">
        <f>IFERROR(__xludf.DUMMYFUNCTION("""COMPUTED_VALUE"""),3.0)</f>
        <v>3</v>
      </c>
      <c r="D10" s="3">
        <f>IFERROR(__xludf.DUMMYFUNCTION("""COMPUTED_VALUE"""),8.0)</f>
        <v>8</v>
      </c>
      <c r="E10" s="3">
        <f>IFERROR(__xludf.DUMMYFUNCTION("""COMPUTED_VALUE"""),6.0)</f>
        <v>6</v>
      </c>
      <c r="F10" s="19" t="str">
        <f>IFERROR(__xludf.DUMMYFUNCTION("""COMPUTED_VALUE"""),"Nothing to do at all, kicking was good and off his line well.")</f>
        <v>Nothing to do at all, kicking was good and off his line well.</v>
      </c>
      <c r="G10" s="15"/>
      <c r="H10" s="15"/>
      <c r="I10" s="15"/>
      <c r="J10" s="15"/>
      <c r="K10" s="15"/>
      <c r="L10" s="15"/>
      <c r="M10" s="15"/>
      <c r="N10" s="15"/>
      <c r="O10" s="15"/>
      <c r="P10" s="15"/>
      <c r="Q10" s="15"/>
      <c r="R10" s="15"/>
      <c r="S10" s="15"/>
      <c r="T10" s="15"/>
      <c r="U10" s="15"/>
      <c r="V10" s="15"/>
      <c r="W10" s="15"/>
      <c r="X10" s="15"/>
      <c r="Y10" s="15"/>
      <c r="Z10" s="15"/>
    </row>
    <row r="11">
      <c r="A11" s="3" t="str">
        <f>IFERROR(__xludf.DUMMYFUNCTION("""COMPUTED_VALUE"""),"Joe Vincent")</f>
        <v>Joe Vincent</v>
      </c>
      <c r="B11" s="3" t="str">
        <f>IFERROR(__xludf.DUMMYFUNCTION("""COMPUTED_VALUE"""),"RB")</f>
        <v>RB</v>
      </c>
      <c r="C11" s="3">
        <f>IFERROR(__xludf.DUMMYFUNCTION("""COMPUTED_VALUE"""),3.0)</f>
        <v>3</v>
      </c>
      <c r="D11" s="3">
        <f>IFERROR(__xludf.DUMMYFUNCTION("""COMPUTED_VALUE"""),8.0)</f>
        <v>8</v>
      </c>
      <c r="E11" s="3">
        <f>IFERROR(__xludf.DUMMYFUNCTION("""COMPUTED_VALUE"""),6.0)</f>
        <v>6</v>
      </c>
      <c r="F11" s="19" t="str">
        <f>IFERROR(__xludf.DUMMYFUNCTION("""COMPUTED_VALUE"""),"part of a back 4 that dealt with duties defensively but struggled to support build up play at times.")</f>
        <v>part of a back 4 that dealt with duties defensively but struggled to support build up play at times.</v>
      </c>
      <c r="G11" s="15"/>
      <c r="H11" s="15"/>
      <c r="I11" s="15"/>
      <c r="J11" s="15"/>
      <c r="K11" s="15"/>
      <c r="L11" s="15"/>
      <c r="M11" s="15"/>
      <c r="N11" s="15"/>
      <c r="O11" s="15"/>
      <c r="P11" s="15"/>
      <c r="Q11" s="15"/>
      <c r="R11" s="15"/>
      <c r="S11" s="15"/>
      <c r="T11" s="15"/>
      <c r="U11" s="15"/>
      <c r="V11" s="15"/>
      <c r="W11" s="15"/>
      <c r="X11" s="15"/>
      <c r="Y11" s="15"/>
      <c r="Z11" s="15"/>
    </row>
    <row r="12">
      <c r="A12" s="3" t="str">
        <f>IFERROR(__xludf.DUMMYFUNCTION("""COMPUTED_VALUE"""),"Tam de Lacey")</f>
        <v>Tam de Lacey</v>
      </c>
      <c r="B12" s="3" t="str">
        <f>IFERROR(__xludf.DUMMYFUNCTION("""COMPUTED_VALUE"""),"LB")</f>
        <v>LB</v>
      </c>
      <c r="C12" s="3">
        <f>IFERROR(__xludf.DUMMYFUNCTION("""COMPUTED_VALUE"""),3.0)</f>
        <v>3</v>
      </c>
      <c r="D12" s="3">
        <f>IFERROR(__xludf.DUMMYFUNCTION("""COMPUTED_VALUE"""),8.0)</f>
        <v>8</v>
      </c>
      <c r="E12" s="3">
        <f>IFERROR(__xludf.DUMMYFUNCTION("""COMPUTED_VALUE"""),6.0)</f>
        <v>6</v>
      </c>
      <c r="F12" s="19" t="str">
        <f>IFERROR(__xludf.DUMMYFUNCTION("""COMPUTED_VALUE"""),"2nd game in a row where I am not convinced with Tam's performance. Did okay defensively but struggled to impact going forward.")</f>
        <v>2nd game in a row where I am not convinced with Tam's performance. Did okay defensively but struggled to impact going forward.</v>
      </c>
      <c r="G12" s="15"/>
      <c r="H12" s="15"/>
      <c r="I12" s="15"/>
      <c r="J12" s="15"/>
      <c r="K12" s="15"/>
      <c r="L12" s="15"/>
      <c r="M12" s="15"/>
      <c r="N12" s="15"/>
      <c r="O12" s="15"/>
      <c r="P12" s="15"/>
      <c r="Q12" s="15"/>
      <c r="R12" s="15"/>
      <c r="S12" s="15"/>
      <c r="T12" s="15"/>
      <c r="U12" s="15"/>
      <c r="V12" s="15"/>
      <c r="W12" s="15"/>
      <c r="X12" s="15"/>
      <c r="Y12" s="15"/>
      <c r="Z12" s="15"/>
    </row>
    <row r="13">
      <c r="A13" s="3" t="str">
        <f>IFERROR(__xludf.DUMMYFUNCTION("""COMPUTED_VALUE"""),"Yemi Oviosu")</f>
        <v>Yemi Oviosu</v>
      </c>
      <c r="B13" s="3" t="str">
        <f>IFERROR(__xludf.DUMMYFUNCTION("""COMPUTED_VALUE"""),"LB")</f>
        <v>LB</v>
      </c>
      <c r="C13" s="3">
        <f>IFERROR(__xludf.DUMMYFUNCTION("""COMPUTED_VALUE"""),1.0)</f>
        <v>1</v>
      </c>
      <c r="D13" s="3">
        <f>IFERROR(__xludf.DUMMYFUNCTION("""COMPUTED_VALUE"""),7.0)</f>
        <v>7</v>
      </c>
      <c r="E13" s="3">
        <f>IFERROR(__xludf.DUMMYFUNCTION("""COMPUTED_VALUE"""),9.5)</f>
        <v>9.5</v>
      </c>
      <c r="F13" s="19" t="str">
        <f>IFERROR(__xludf.DUMMYFUNCTION("""COMPUTED_VALUE"""),"Very nearly a 10. In the context of what he was asked to do it was a 10. Think will reserve a 10 for a 5 goal haul or something. Pocketed a superb opponent from a position he has never started a game from. We had talked about this a lot in the week and he"&amp;" was worried. When instructed to not think about it as LB just as man marking it simple")</f>
        <v>Very nearly a 10. In the context of what he was asked to do it was a 10. Think will reserve a 10 for a 5 goal haul or something. Pocketed a superb opponent from a position he has never started a game from. We had talked about this a lot in the week and he was worried. When instructed to not think about it as LB just as man marking it simple</v>
      </c>
      <c r="G13" s="15"/>
      <c r="H13" s="15"/>
      <c r="I13" s="15"/>
      <c r="J13" s="15"/>
      <c r="K13" s="15"/>
      <c r="L13" s="15"/>
      <c r="M13" s="15"/>
      <c r="N13" s="15"/>
      <c r="O13" s="15"/>
      <c r="P13" s="15"/>
      <c r="Q13" s="15"/>
      <c r="R13" s="15"/>
      <c r="S13" s="15"/>
      <c r="T13" s="15"/>
      <c r="U13" s="15"/>
      <c r="V13" s="15"/>
      <c r="W13" s="15"/>
      <c r="X13" s="15"/>
      <c r="Y13" s="15"/>
      <c r="Z13" s="15"/>
    </row>
    <row r="14">
      <c r="A14" s="3" t="str">
        <f>IFERROR(__xludf.DUMMYFUNCTION("""COMPUTED_VALUE"""),"Matt Crowe")</f>
        <v>Matt Crowe</v>
      </c>
      <c r="B14" s="3" t="str">
        <f>IFERROR(__xludf.DUMMYFUNCTION("""COMPUTED_VALUE"""),"CB")</f>
        <v>CB</v>
      </c>
      <c r="C14" s="3">
        <f>IFERROR(__xludf.DUMMYFUNCTION("""COMPUTED_VALUE"""),1.0)</f>
        <v>1</v>
      </c>
      <c r="D14" s="3">
        <f>IFERROR(__xludf.DUMMYFUNCTION("""COMPUTED_VALUE"""),7.0)</f>
        <v>7</v>
      </c>
      <c r="E14" s="3">
        <f>IFERROR(__xludf.DUMMYFUNCTION("""COMPUTED_VALUE"""),8.0)</f>
        <v>8</v>
      </c>
      <c r="F14" s="19" t="str">
        <f>IFERROR(__xludf.DUMMYFUNCTION("""COMPUTED_VALUE"""),"Mad game, ultimately top game. Conceded pen and got booked, also scored and was a menace in their box.  ")</f>
        <v>Mad game, ultimately top game. Conceded pen and got booked, also scored and was a menace in their box.  </v>
      </c>
      <c r="G14" s="15"/>
      <c r="H14" s="15"/>
      <c r="I14" s="15"/>
      <c r="J14" s="15"/>
      <c r="K14" s="15"/>
      <c r="L14" s="15"/>
      <c r="M14" s="15"/>
      <c r="N14" s="15"/>
      <c r="O14" s="15"/>
      <c r="P14" s="15"/>
      <c r="Q14" s="15"/>
      <c r="R14" s="15"/>
      <c r="S14" s="15"/>
      <c r="T14" s="15"/>
      <c r="U14" s="15"/>
      <c r="V14" s="15"/>
      <c r="W14" s="15"/>
      <c r="X14" s="15"/>
      <c r="Y14" s="15"/>
      <c r="Z14" s="15"/>
    </row>
    <row r="15">
      <c r="A15" s="3" t="str">
        <f>IFERROR(__xludf.DUMMYFUNCTION("""COMPUTED_VALUE"""),"Sean Rowlett")</f>
        <v>Sean Rowlett</v>
      </c>
      <c r="B15" s="3" t="str">
        <f>IFERROR(__xludf.DUMMYFUNCTION("""COMPUTED_VALUE"""),"DCM")</f>
        <v>DCM</v>
      </c>
      <c r="C15" s="3">
        <f>IFERROR(__xludf.DUMMYFUNCTION("""COMPUTED_VALUE"""),4.0)</f>
        <v>4</v>
      </c>
      <c r="D15" s="3">
        <f>IFERROR(__xludf.DUMMYFUNCTION("""COMPUTED_VALUE"""),7.0)</f>
        <v>7</v>
      </c>
      <c r="E15" s="3">
        <f>IFERROR(__xludf.DUMMYFUNCTION("""COMPUTED_VALUE"""),8.0)</f>
        <v>8</v>
      </c>
      <c r="F15" s="19" t="str">
        <f>IFERROR(__xludf.DUMMYFUNCTION("""COMPUTED_VALUE"""),"battled well. get the first goal and kept energy up in middle of the park.")</f>
        <v>battled well. get the first goal and kept energy up in middle of the park.</v>
      </c>
      <c r="G15" s="15"/>
      <c r="H15" s="15"/>
      <c r="I15" s="15"/>
      <c r="J15" s="15"/>
      <c r="K15" s="15"/>
      <c r="L15" s="15"/>
      <c r="M15" s="15"/>
      <c r="N15" s="15"/>
      <c r="O15" s="15"/>
      <c r="P15" s="15"/>
      <c r="Q15" s="15"/>
      <c r="R15" s="15"/>
      <c r="S15" s="15"/>
      <c r="T15" s="15"/>
      <c r="U15" s="15"/>
      <c r="V15" s="15"/>
      <c r="W15" s="15"/>
      <c r="X15" s="15"/>
      <c r="Y15" s="15"/>
      <c r="Z15" s="15"/>
    </row>
    <row r="16">
      <c r="A16" s="3" t="str">
        <f>IFERROR(__xludf.DUMMYFUNCTION("""COMPUTED_VALUE"""),"Martin Goodson")</f>
        <v>Martin Goodson</v>
      </c>
      <c r="B16" s="3" t="str">
        <f>IFERROR(__xludf.DUMMYFUNCTION("""COMPUTED_VALUE"""),"GK")</f>
        <v>GK</v>
      </c>
      <c r="C16" s="3">
        <f>IFERROR(__xludf.DUMMYFUNCTION("""COMPUTED_VALUE"""),6.0)</f>
        <v>6</v>
      </c>
      <c r="D16" s="3">
        <f>IFERROR(__xludf.DUMMYFUNCTION("""COMPUTED_VALUE"""),7.0)</f>
        <v>7</v>
      </c>
      <c r="E16" s="3">
        <f>IFERROR(__xludf.DUMMYFUNCTION("""COMPUTED_VALUE"""),8.0)</f>
        <v>8</v>
      </c>
      <c r="F16" s="19" t="str">
        <f>IFERROR(__xludf.DUMMYFUNCTION("""COMPUTED_VALUE"""),"did little wrong today, a save off his nose in the first half and then a near post 1 v 1 stop 
from a late oppo counter won him man of the match - still really unsure with anything above
his head height but luckily the effort they did have went a few inch"&amp;"es over the bar.")</f>
        <v>did little wrong today, a save off his nose in the first half and then a near post 1 v 1 stop 
from a late oppo counter won him man of the match - still really unsure with anything above
his head height but luckily the effort they did have went a few inches over the bar.</v>
      </c>
      <c r="G16" s="15"/>
      <c r="H16" s="15"/>
      <c r="I16" s="15"/>
      <c r="J16" s="15"/>
      <c r="K16" s="15"/>
      <c r="L16" s="15"/>
      <c r="M16" s="15"/>
      <c r="N16" s="15"/>
      <c r="O16" s="15"/>
      <c r="P16" s="15"/>
      <c r="Q16" s="15"/>
      <c r="R16" s="15"/>
      <c r="S16" s="15"/>
      <c r="T16" s="15"/>
      <c r="U16" s="15"/>
      <c r="V16" s="15"/>
      <c r="W16" s="15"/>
      <c r="X16" s="15"/>
      <c r="Y16" s="15"/>
      <c r="Z16" s="15"/>
    </row>
    <row r="17">
      <c r="A17" s="3" t="str">
        <f>IFERROR(__xludf.DUMMYFUNCTION("""COMPUTED_VALUE"""),"Jarvis Cheek")</f>
        <v>Jarvis Cheek</v>
      </c>
      <c r="B17" s="3" t="str">
        <f>IFERROR(__xludf.DUMMYFUNCTION("""COMPUTED_VALUE"""),"LW")</f>
        <v>LW</v>
      </c>
      <c r="C17" s="3">
        <f>IFERROR(__xludf.DUMMYFUNCTION("""COMPUTED_VALUE"""),1.0)</f>
        <v>1</v>
      </c>
      <c r="D17" s="3">
        <f>IFERROR(__xludf.DUMMYFUNCTION("""COMPUTED_VALUE"""),6.0)</f>
        <v>6</v>
      </c>
      <c r="E17" s="3">
        <f>IFERROR(__xludf.DUMMYFUNCTION("""COMPUTED_VALUE"""),8.5)</f>
        <v>8.5</v>
      </c>
      <c r="F17" s="19" t="str">
        <f>IFERROR(__xludf.DUMMYFUNCTION("""COMPUTED_VALUE"""),"Very good showing from LW and CF. Goal well taken. Hold up and link up play very good. ")</f>
        <v>Very good showing from LW and CF. Goal well taken. Hold up and link up play very good. </v>
      </c>
      <c r="G17" s="15"/>
      <c r="H17" s="15"/>
      <c r="I17" s="15"/>
      <c r="J17" s="15"/>
      <c r="K17" s="15"/>
      <c r="L17" s="15"/>
      <c r="M17" s="15"/>
      <c r="N17" s="15"/>
      <c r="O17" s="15"/>
      <c r="P17" s="15"/>
      <c r="Q17" s="15"/>
      <c r="R17" s="15"/>
      <c r="S17" s="15"/>
      <c r="T17" s="15"/>
      <c r="U17" s="15"/>
      <c r="V17" s="15"/>
      <c r="W17" s="15"/>
      <c r="X17" s="15"/>
      <c r="Y17" s="15"/>
      <c r="Z17" s="15"/>
    </row>
    <row r="18">
      <c r="A18" s="3" t="str">
        <f>IFERROR(__xludf.DUMMYFUNCTION("""COMPUTED_VALUE"""),"Dan Klin")</f>
        <v>Dan Klin</v>
      </c>
      <c r="B18" s="3" t="str">
        <f>IFERROR(__xludf.DUMMYFUNCTION("""COMPUTED_VALUE"""),"LW")</f>
        <v>LW</v>
      </c>
      <c r="C18" s="3">
        <f>IFERROR(__xludf.DUMMYFUNCTION("""COMPUTED_VALUE"""),4.0)</f>
        <v>4</v>
      </c>
      <c r="D18" s="3">
        <f>IFERROR(__xludf.DUMMYFUNCTION("""COMPUTED_VALUE"""),6.0)</f>
        <v>6</v>
      </c>
      <c r="E18" s="3">
        <f>IFERROR(__xludf.DUMMYFUNCTION("""COMPUTED_VALUE"""),7.5)</f>
        <v>7.5</v>
      </c>
      <c r="F18" s="19" t="str">
        <f>IFERROR(__xludf.DUMMYFUNCTION("""COMPUTED_VALUE"""),"effective sub. came on after 30 and scored with his first few toches. over dribbled at times also but accomplished on the ball. still has a few niggles which is why brought him off with 10 to go.")</f>
        <v>effective sub. came on after 30 and scored with his first few toches. over dribbled at times also but accomplished on the ball. still has a few niggles which is why brought him off with 10 to go.</v>
      </c>
      <c r="G18" s="15"/>
      <c r="H18" s="15"/>
      <c r="I18" s="15"/>
      <c r="J18" s="15"/>
      <c r="K18" s="15"/>
      <c r="L18" s="15"/>
      <c r="M18" s="15"/>
      <c r="N18" s="15"/>
      <c r="O18" s="15"/>
      <c r="P18" s="15"/>
      <c r="Q18" s="15"/>
      <c r="R18" s="15"/>
      <c r="S18" s="15"/>
      <c r="T18" s="15"/>
      <c r="U18" s="15"/>
      <c r="V18" s="15"/>
      <c r="W18" s="15"/>
      <c r="X18" s="15"/>
      <c r="Y18" s="15"/>
      <c r="Z18" s="15"/>
    </row>
    <row r="19">
      <c r="A19" s="3" t="str">
        <f>IFERROR(__xludf.DUMMYFUNCTION("""COMPUTED_VALUE"""),"Pearl Bakengela")</f>
        <v>Pearl Bakengela</v>
      </c>
      <c r="B19" s="3" t="str">
        <f>IFERROR(__xludf.DUMMYFUNCTION("""COMPUTED_VALUE"""),"LW")</f>
        <v>LW</v>
      </c>
      <c r="C19" s="3">
        <f>IFERROR(__xludf.DUMMYFUNCTION("""COMPUTED_VALUE"""),6.0)</f>
        <v>6</v>
      </c>
      <c r="D19" s="3">
        <f>IFERROR(__xludf.DUMMYFUNCTION("""COMPUTED_VALUE"""),6.0)</f>
        <v>6</v>
      </c>
      <c r="E19" s="3">
        <f>IFERROR(__xludf.DUMMYFUNCTION("""COMPUTED_VALUE"""),7.5)</f>
        <v>7.5</v>
      </c>
      <c r="F19" s="19" t="str">
        <f>IFERROR(__xludf.DUMMYFUNCTION("""COMPUTED_VALUE"""),"first game in 4 months he said - didnt really show signs of it til last 15 mins or so. Gave fullbacks on
both sides problems and won some good 1 vs 1. scored a tap in late on and denied a clear pen in 1st half.")</f>
        <v>first game in 4 months he said - didnt really show signs of it til last 15 mins or so. Gave fullbacks on
both sides problems and won some good 1 vs 1. scored a tap in late on and denied a clear pen in 1st half.</v>
      </c>
      <c r="G19" s="15"/>
      <c r="H19" s="15"/>
      <c r="I19" s="15"/>
      <c r="J19" s="15"/>
      <c r="K19" s="15"/>
      <c r="L19" s="15"/>
      <c r="M19" s="15"/>
      <c r="N19" s="15"/>
      <c r="O19" s="15"/>
      <c r="P19" s="15"/>
      <c r="Q19" s="15"/>
      <c r="R19" s="15"/>
      <c r="S19" s="15"/>
      <c r="T19" s="15"/>
      <c r="U19" s="15"/>
      <c r="V19" s="15"/>
      <c r="W19" s="15"/>
      <c r="X19" s="15"/>
      <c r="Y19" s="15"/>
      <c r="Z19" s="15"/>
    </row>
    <row r="20">
      <c r="A20" s="3" t="str">
        <f>IFERROR(__xludf.DUMMYFUNCTION("""COMPUTED_VALUE"""),"Chris Claeys")</f>
        <v>Chris Claeys</v>
      </c>
      <c r="B20" s="3" t="str">
        <f>IFERROR(__xludf.DUMMYFUNCTION("""COMPUTED_VALUE"""),"CF")</f>
        <v>CF</v>
      </c>
      <c r="C20" s="3">
        <f>IFERROR(__xludf.DUMMYFUNCTION("""COMPUTED_VALUE"""),4.0)</f>
        <v>4</v>
      </c>
      <c r="D20" s="3">
        <f>IFERROR(__xludf.DUMMYFUNCTION("""COMPUTED_VALUE"""),6.0)</f>
        <v>6</v>
      </c>
      <c r="E20" s="3">
        <f>IFERROR(__xludf.DUMMYFUNCTION("""COMPUTED_VALUE"""),7.0)</f>
        <v>7</v>
      </c>
      <c r="F20" s="19" t="str">
        <f>IFERROR(__xludf.DUMMYFUNCTION("""COMPUTED_VALUE"""),"doesnt really get involved too much. not the most imposing forward. had to play him as number 10 for 20 mins as i had to drop in to dcm. went missing for that phase. doesnt really comm too much. put him back up top last 10 and got the last goal of the gam"&amp;"e with a tap in from masoods assist.")</f>
        <v>doesnt really get involved too much. not the most imposing forward. had to play him as number 10 for 20 mins as i had to drop in to dcm. went missing for that phase. doesnt really comm too much. put him back up top last 10 and got the last goal of the game with a tap in from masoods assist.</v>
      </c>
      <c r="G20" s="15"/>
      <c r="H20" s="15"/>
      <c r="I20" s="15"/>
      <c r="J20" s="15"/>
      <c r="K20" s="15"/>
      <c r="L20" s="15"/>
      <c r="M20" s="15"/>
      <c r="N20" s="15"/>
      <c r="O20" s="15"/>
      <c r="P20" s="15"/>
      <c r="Q20" s="15"/>
      <c r="R20" s="15"/>
      <c r="S20" s="15"/>
      <c r="T20" s="15"/>
      <c r="U20" s="15"/>
      <c r="V20" s="15"/>
      <c r="W20" s="15"/>
      <c r="X20" s="15"/>
      <c r="Y20" s="15"/>
      <c r="Z20" s="15"/>
    </row>
    <row r="21">
      <c r="A21" s="3" t="str">
        <f>IFERROR(__xludf.DUMMYFUNCTION("""COMPUTED_VALUE"""),"Billy Mclean")</f>
        <v>Billy Mclean</v>
      </c>
      <c r="B21" s="3" t="str">
        <f>IFERROR(__xludf.DUMMYFUNCTION("""COMPUTED_VALUE"""),"CM")</f>
        <v>CM</v>
      </c>
      <c r="C21" s="3">
        <f>IFERROR(__xludf.DUMMYFUNCTION("""COMPUTED_VALUE"""),1.0)</f>
        <v>1</v>
      </c>
      <c r="D21" s="3">
        <f>IFERROR(__xludf.DUMMYFUNCTION("""COMPUTED_VALUE"""),5.0)</f>
        <v>5</v>
      </c>
      <c r="E21" s="3">
        <f>IFERROR(__xludf.DUMMYFUNCTION("""COMPUTED_VALUE"""),8.5)</f>
        <v>8.5</v>
      </c>
      <c r="F21" s="19" t="str">
        <f>IFERROR(__xludf.DUMMYFUNCTION("""COMPUTED_VALUE"""),"Big game Billy. Superb showing, didn't delay passes as he has a habit of. Won so many headers. They have a massive CM who Billy took care of. Physical match up was key. ")</f>
        <v>Big game Billy. Superb showing, didn't delay passes as he has a habit of. Won so many headers. They have a massive CM who Billy took care of. Physical match up was key. </v>
      </c>
      <c r="G21" s="15"/>
      <c r="H21" s="15"/>
      <c r="I21" s="15"/>
      <c r="J21" s="15"/>
      <c r="K21" s="15"/>
      <c r="L21" s="15"/>
      <c r="M21" s="15"/>
      <c r="N21" s="15"/>
      <c r="O21" s="15"/>
      <c r="P21" s="15"/>
      <c r="Q21" s="15"/>
      <c r="R21" s="15"/>
      <c r="S21" s="15"/>
      <c r="T21" s="15"/>
      <c r="U21" s="15"/>
      <c r="V21" s="15"/>
      <c r="W21" s="15"/>
      <c r="X21" s="15"/>
      <c r="Y21" s="15"/>
      <c r="Z21" s="15"/>
    </row>
    <row r="22">
      <c r="A22" s="3" t="str">
        <f>IFERROR(__xludf.DUMMYFUNCTION("""COMPUTED_VALUE"""),"Ben Dockerill")</f>
        <v>Ben Dockerill</v>
      </c>
      <c r="B22" s="3" t="str">
        <f>IFERROR(__xludf.DUMMYFUNCTION("""COMPUTED_VALUE"""),"RB")</f>
        <v>RB</v>
      </c>
      <c r="C22" s="3">
        <f>IFERROR(__xludf.DUMMYFUNCTION("""COMPUTED_VALUE"""),1.0)</f>
        <v>1</v>
      </c>
      <c r="D22" s="3">
        <f>IFERROR(__xludf.DUMMYFUNCTION("""COMPUTED_VALUE"""),5.0)</f>
        <v>5</v>
      </c>
      <c r="E22" s="3">
        <f>IFERROR(__xludf.DUMMYFUNCTION("""COMPUTED_VALUE"""),8.0)</f>
        <v>8</v>
      </c>
      <c r="F22" s="19" t="str">
        <f>IFERROR(__xludf.DUMMYFUNCTION("""COMPUTED_VALUE"""),"Flying performance, full of energy.  Lovely work for opening goal. ")</f>
        <v>Flying performance, full of energy.  Lovely work for opening goal. </v>
      </c>
      <c r="G22" s="15"/>
      <c r="H22" s="15"/>
      <c r="I22" s="15"/>
      <c r="J22" s="15"/>
      <c r="K22" s="15"/>
      <c r="L22" s="15"/>
      <c r="M22" s="15"/>
      <c r="N22" s="15"/>
      <c r="O22" s="15"/>
      <c r="P22" s="15"/>
      <c r="Q22" s="15"/>
      <c r="R22" s="15"/>
      <c r="S22" s="15"/>
      <c r="T22" s="15"/>
      <c r="U22" s="15"/>
      <c r="V22" s="15"/>
      <c r="W22" s="15"/>
      <c r="X22" s="15"/>
      <c r="Y22" s="15"/>
      <c r="Z22" s="15"/>
    </row>
    <row r="23">
      <c r="A23" s="3" t="str">
        <f>IFERROR(__xludf.DUMMYFUNCTION("""COMPUTED_VALUE"""),"Charlie Doe")</f>
        <v>Charlie Doe</v>
      </c>
      <c r="B23" s="3" t="str">
        <f>IFERROR(__xludf.DUMMYFUNCTION("""COMPUTED_VALUE"""),"GK")</f>
        <v>GK</v>
      </c>
      <c r="C23" s="3">
        <f>IFERROR(__xludf.DUMMYFUNCTION("""COMPUTED_VALUE"""),4.0)</f>
        <v>4</v>
      </c>
      <c r="D23" s="3">
        <f>IFERROR(__xludf.DUMMYFUNCTION("""COMPUTED_VALUE"""),5.0)</f>
        <v>5</v>
      </c>
      <c r="E23" s="3">
        <f>IFERROR(__xludf.DUMMYFUNCTION("""COMPUTED_VALUE"""),7.0)</f>
        <v>7</v>
      </c>
      <c r="F23" s="19" t="str">
        <f>IFERROR(__xludf.DUMMYFUNCTION("""COMPUTED_VALUE"""),"good comms and kicking again. not too much to do ")</f>
        <v>good comms and kicking again. not too much to do </v>
      </c>
      <c r="G23" s="15"/>
      <c r="H23" s="15"/>
      <c r="I23" s="15"/>
      <c r="J23" s="15"/>
      <c r="K23" s="15"/>
      <c r="L23" s="15"/>
      <c r="M23" s="15"/>
      <c r="N23" s="15"/>
      <c r="O23" s="15"/>
      <c r="P23" s="15"/>
      <c r="Q23" s="15"/>
      <c r="R23" s="15"/>
      <c r="S23" s="15"/>
      <c r="T23" s="15"/>
      <c r="U23" s="15"/>
      <c r="V23" s="15"/>
      <c r="W23" s="15"/>
      <c r="X23" s="15"/>
      <c r="Y23" s="15"/>
      <c r="Z23" s="15"/>
    </row>
    <row r="24">
      <c r="A24" s="3" t="str">
        <f>IFERROR(__xludf.DUMMYFUNCTION("""COMPUTED_VALUE"""),"Billy King")</f>
        <v>Billy King</v>
      </c>
      <c r="B24" s="3" t="str">
        <f>IFERROR(__xludf.DUMMYFUNCTION("""COMPUTED_VALUE"""),"LB")</f>
        <v>LB</v>
      </c>
      <c r="C24" s="3">
        <f>IFERROR(__xludf.DUMMYFUNCTION("""COMPUTED_VALUE"""),4.0)</f>
        <v>4</v>
      </c>
      <c r="D24" s="3">
        <f>IFERROR(__xludf.DUMMYFUNCTION("""COMPUTED_VALUE"""),5.0)</f>
        <v>5</v>
      </c>
      <c r="E24" s="3">
        <f>IFERROR(__xludf.DUMMYFUNCTION("""COMPUTED_VALUE"""),7.0)</f>
        <v>7</v>
      </c>
      <c r="F24" s="19" t="str">
        <f>IFERROR(__xludf.DUMMYFUNCTION("""COMPUTED_VALUE"""),"played him at lb. his rw didnt really offer much in terms of a threat. quiet day for him. throw ins was a strong suite of his.")</f>
        <v>played him at lb. his rw didnt really offer much in terms of a threat. quiet day for him. throw ins was a strong suite of his.</v>
      </c>
      <c r="G24" s="15"/>
      <c r="H24" s="15"/>
      <c r="I24" s="15"/>
      <c r="J24" s="15"/>
      <c r="K24" s="15"/>
      <c r="L24" s="15"/>
      <c r="M24" s="15"/>
      <c r="N24" s="15"/>
      <c r="O24" s="15"/>
      <c r="P24" s="15"/>
      <c r="Q24" s="15"/>
      <c r="R24" s="15"/>
      <c r="S24" s="15"/>
      <c r="T24" s="15"/>
      <c r="U24" s="15"/>
      <c r="V24" s="15"/>
      <c r="W24" s="15"/>
      <c r="X24" s="15"/>
      <c r="Y24" s="15"/>
      <c r="Z24" s="15"/>
    </row>
    <row r="25">
      <c r="A25" s="20"/>
      <c r="B25" s="21"/>
      <c r="C25" s="21"/>
      <c r="D25" s="21"/>
      <c r="E25" s="21"/>
      <c r="F25" s="21"/>
      <c r="G25" s="15"/>
      <c r="H25" s="15"/>
      <c r="I25" s="15"/>
      <c r="J25" s="15"/>
      <c r="K25" s="15"/>
      <c r="L25" s="15"/>
      <c r="M25" s="15"/>
      <c r="N25" s="15"/>
      <c r="O25" s="15"/>
      <c r="P25" s="15"/>
      <c r="Q25" s="15"/>
      <c r="R25" s="15"/>
      <c r="S25" s="15"/>
      <c r="T25" s="15"/>
      <c r="U25" s="15"/>
      <c r="V25" s="15"/>
      <c r="W25" s="15"/>
      <c r="X25" s="15"/>
      <c r="Y25" s="15"/>
      <c r="Z25" s="15"/>
    </row>
    <row r="26" hidden="1">
      <c r="A26" s="20"/>
      <c r="B26" s="21"/>
      <c r="C26" s="21"/>
      <c r="D26" s="21"/>
      <c r="E26" s="21"/>
      <c r="F26" s="21"/>
      <c r="G26" s="15"/>
      <c r="H26" s="15"/>
      <c r="I26" s="15"/>
      <c r="J26" s="15"/>
      <c r="K26" s="15"/>
      <c r="L26" s="15"/>
      <c r="M26" s="15"/>
      <c r="N26" s="15"/>
      <c r="O26" s="15"/>
      <c r="P26" s="15"/>
      <c r="Q26" s="15"/>
      <c r="R26" s="15"/>
      <c r="S26" s="15"/>
      <c r="T26" s="15"/>
      <c r="U26" s="15"/>
      <c r="V26" s="15"/>
      <c r="W26" s="15"/>
      <c r="X26" s="15"/>
      <c r="Y26" s="15"/>
      <c r="Z26" s="15"/>
    </row>
    <row r="27" hidden="1">
      <c r="A27" s="20"/>
      <c r="B27" s="21"/>
      <c r="C27" s="21"/>
      <c r="D27" s="21"/>
      <c r="E27" s="21"/>
      <c r="F27" s="21"/>
      <c r="G27" s="15"/>
      <c r="H27" s="15"/>
      <c r="I27" s="15"/>
      <c r="J27" s="15"/>
      <c r="K27" s="15"/>
      <c r="L27" s="15"/>
      <c r="M27" s="15"/>
      <c r="N27" s="15"/>
      <c r="O27" s="15"/>
      <c r="P27" s="15"/>
      <c r="Q27" s="15"/>
      <c r="R27" s="15"/>
      <c r="S27" s="15"/>
      <c r="T27" s="15"/>
      <c r="U27" s="15"/>
      <c r="V27" s="15"/>
      <c r="W27" s="15"/>
      <c r="X27" s="15"/>
      <c r="Y27" s="15"/>
      <c r="Z27" s="15"/>
    </row>
    <row r="28" hidden="1">
      <c r="A28" s="20"/>
      <c r="B28" s="21"/>
      <c r="C28" s="21"/>
      <c r="D28" s="21"/>
      <c r="E28" s="21"/>
      <c r="F28" s="21"/>
      <c r="G28" s="15"/>
      <c r="H28" s="15"/>
      <c r="I28" s="15"/>
      <c r="J28" s="15"/>
      <c r="K28" s="15"/>
      <c r="L28" s="15"/>
      <c r="M28" s="15"/>
      <c r="N28" s="15"/>
      <c r="O28" s="15"/>
      <c r="P28" s="15"/>
      <c r="Q28" s="15"/>
      <c r="R28" s="15"/>
      <c r="S28" s="15"/>
      <c r="T28" s="15"/>
      <c r="U28" s="15"/>
      <c r="V28" s="15"/>
      <c r="W28" s="15"/>
      <c r="X28" s="15"/>
      <c r="Y28" s="15"/>
      <c r="Z28" s="15"/>
    </row>
    <row r="29" hidden="1">
      <c r="A29" s="20"/>
      <c r="B29" s="21"/>
      <c r="C29" s="21"/>
      <c r="D29" s="21"/>
      <c r="E29" s="21"/>
      <c r="F29" s="21"/>
      <c r="G29" s="15"/>
      <c r="H29" s="15"/>
      <c r="I29" s="15"/>
      <c r="J29" s="15"/>
      <c r="K29" s="15"/>
      <c r="L29" s="15"/>
      <c r="M29" s="15"/>
      <c r="N29" s="15"/>
      <c r="O29" s="15"/>
      <c r="P29" s="15"/>
      <c r="Q29" s="15"/>
      <c r="R29" s="15"/>
      <c r="S29" s="15"/>
      <c r="T29" s="15"/>
      <c r="U29" s="15"/>
      <c r="V29" s="15"/>
      <c r="W29" s="15"/>
      <c r="X29" s="15"/>
      <c r="Y29" s="15"/>
      <c r="Z29" s="15"/>
    </row>
    <row r="30" hidden="1">
      <c r="A30" s="20"/>
      <c r="B30" s="21"/>
      <c r="C30" s="21"/>
      <c r="D30" s="21"/>
      <c r="E30" s="21"/>
      <c r="F30" s="21"/>
      <c r="G30" s="15"/>
      <c r="H30" s="15"/>
      <c r="I30" s="15"/>
      <c r="J30" s="15"/>
      <c r="K30" s="15"/>
      <c r="L30" s="15"/>
      <c r="M30" s="15"/>
      <c r="N30" s="15"/>
      <c r="O30" s="15"/>
      <c r="P30" s="15"/>
      <c r="Q30" s="15"/>
      <c r="R30" s="15"/>
      <c r="S30" s="15"/>
      <c r="T30" s="15"/>
      <c r="U30" s="15"/>
      <c r="V30" s="15"/>
      <c r="W30" s="15"/>
      <c r="X30" s="15"/>
      <c r="Y30" s="15"/>
      <c r="Z30" s="15"/>
    </row>
    <row r="31" hidden="1">
      <c r="A31" s="22"/>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idden="1">
      <c r="A32" s="23" t="s">
        <v>27</v>
      </c>
      <c r="B32" s="15"/>
      <c r="C32" s="15"/>
      <c r="D32" s="15"/>
      <c r="E32" s="15"/>
      <c r="F32" s="15"/>
      <c r="G32" s="15"/>
      <c r="H32" s="15"/>
      <c r="I32" s="24" t="s">
        <v>28</v>
      </c>
      <c r="J32" s="24" t="s">
        <v>29</v>
      </c>
      <c r="K32" s="24" t="s">
        <v>30</v>
      </c>
      <c r="L32" s="24" t="s">
        <v>31</v>
      </c>
      <c r="M32" s="24" t="s">
        <v>32</v>
      </c>
      <c r="N32" s="24" t="s">
        <v>33</v>
      </c>
      <c r="O32" s="24" t="s">
        <v>34</v>
      </c>
      <c r="P32" s="15"/>
      <c r="Q32" s="15"/>
      <c r="R32" s="15"/>
      <c r="S32" s="15"/>
      <c r="T32" s="15"/>
      <c r="U32" s="15"/>
      <c r="V32" s="15"/>
      <c r="W32" s="15"/>
      <c r="X32" s="15"/>
      <c r="Y32" s="15"/>
      <c r="Z32" s="15"/>
    </row>
    <row r="33" hidden="1">
      <c r="A33" s="23" t="s">
        <v>8</v>
      </c>
      <c r="B33" s="15" t="str">
        <f>IFERROR(__xludf.DUMMYFUNCTION("query('OTPI Scores'!$A:$AA, ""select C,AA,U,E where D='""&amp;A33&amp;""'and B!='Friendly' and A= date '""&amp;text($D$1,""yyyy-mm-dd"")&amp;""' order by AA desc, U desc, E limit 1"",0)"),"Nick Chimonides")</f>
        <v>Nick Chimonides</v>
      </c>
      <c r="C33" s="15">
        <f>IFERROR(__xludf.DUMMYFUNCTION("""COMPUTED_VALUE"""),8.0)</f>
        <v>8</v>
      </c>
      <c r="D33" s="15">
        <f>IFERROR(__xludf.DUMMYFUNCTION("""COMPUTED_VALUE"""),6.0)</f>
        <v>6</v>
      </c>
      <c r="E33" s="15">
        <f>IFERROR(__xludf.DUMMYFUNCTION("""COMPUTED_VALUE"""),3.0)</f>
        <v>3</v>
      </c>
      <c r="F33" s="15">
        <f t="shared" ref="F33:F48" si="1">IFERROR(match(B33,$B$51:$B56,0),0)</f>
        <v>1</v>
      </c>
      <c r="G33" s="15"/>
      <c r="H33" s="15"/>
      <c r="I33" s="15" t="str">
        <f>IFERROR(__xludf.DUMMYFUNCTION("sort(filter(A33:F48,F33:F48=0),3,FALSE,4,FALSE,5,TRUE)"),"ATT")</f>
        <v>ATT</v>
      </c>
      <c r="J33" s="15" t="str">
        <f>IFERROR(__xludf.DUMMYFUNCTION("""COMPUTED_VALUE"""),"Alex Stevens")</f>
        <v>Alex Stevens</v>
      </c>
      <c r="K33" s="15">
        <f>IFERROR(__xludf.DUMMYFUNCTION("""COMPUTED_VALUE"""),10.0)</f>
        <v>10</v>
      </c>
      <c r="L33" s="15">
        <f>IFERROR(__xludf.DUMMYFUNCTION("""COMPUTED_VALUE"""),7.0)</f>
        <v>7</v>
      </c>
      <c r="M33" s="15">
        <f>IFERROR(__xludf.DUMMYFUNCTION("""COMPUTED_VALUE"""),3.0)</f>
        <v>3</v>
      </c>
      <c r="N33" s="15">
        <f>IFERROR(__xludf.DUMMYFUNCTION("""COMPUTED_VALUE"""),0.0)</f>
        <v>0</v>
      </c>
      <c r="O33" s="25">
        <f t="shared" ref="O33:O42" si="2">if(I33="DEF",1,IF(I33="MID",2,3))</f>
        <v>3</v>
      </c>
      <c r="P33" s="15"/>
      <c r="Q33" s="15"/>
      <c r="R33" s="15"/>
      <c r="S33" s="15"/>
      <c r="T33" s="15"/>
      <c r="U33" s="15"/>
      <c r="V33" s="15"/>
      <c r="W33" s="15"/>
      <c r="X33" s="15"/>
      <c r="Y33" s="15"/>
      <c r="Z33" s="15"/>
    </row>
    <row r="34" hidden="1">
      <c r="A34" s="23" t="s">
        <v>11</v>
      </c>
      <c r="B34" s="15" t="str">
        <f>IFERROR(__xludf.DUMMYFUNCTION("query('OTPI Scores'!$A:$AD, ""select C,AA,U,E where AD='""&amp;A34&amp;""'and A= date '""&amp;text($D$1,""yyyy-mm-dd"")&amp;""'and B!='Friendly' order by AA desc, U desc, E limit 5"",0)"),"Chris Douthwaite")</f>
        <v>Chris Douthwaite</v>
      </c>
      <c r="C34" s="15">
        <f>IFERROR(__xludf.DUMMYFUNCTION("""COMPUTED_VALUE"""),13.0)</f>
        <v>13</v>
      </c>
      <c r="D34" s="15">
        <f>IFERROR(__xludf.DUMMYFUNCTION("""COMPUTED_VALUE"""),7.5)</f>
        <v>7.5</v>
      </c>
      <c r="E34" s="15">
        <f>IFERROR(__xludf.DUMMYFUNCTION("""COMPUTED_VALUE"""),3.0)</f>
        <v>3</v>
      </c>
      <c r="F34" s="15">
        <f t="shared" si="1"/>
        <v>2</v>
      </c>
      <c r="G34" s="15"/>
      <c r="H34" s="15"/>
      <c r="I34" s="15" t="str">
        <f>IFERROR(__xludf.DUMMYFUNCTION("""COMPUTED_VALUE"""),"DEF")</f>
        <v>DEF</v>
      </c>
      <c r="J34" s="15" t="str">
        <f>IFERROR(__xludf.DUMMYFUNCTION("""COMPUTED_VALUE"""),"Joe Vincent")</f>
        <v>Joe Vincent</v>
      </c>
      <c r="K34" s="15">
        <f>IFERROR(__xludf.DUMMYFUNCTION("""COMPUTED_VALUE"""),8.0)</f>
        <v>8</v>
      </c>
      <c r="L34" s="15">
        <f>IFERROR(__xludf.DUMMYFUNCTION("""COMPUTED_VALUE"""),6.0)</f>
        <v>6</v>
      </c>
      <c r="M34" s="15">
        <f>IFERROR(__xludf.DUMMYFUNCTION("""COMPUTED_VALUE"""),3.0)</f>
        <v>3</v>
      </c>
      <c r="N34" s="15">
        <f>IFERROR(__xludf.DUMMYFUNCTION("""COMPUTED_VALUE"""),0.0)</f>
        <v>0</v>
      </c>
      <c r="O34" s="25">
        <f t="shared" si="2"/>
        <v>1</v>
      </c>
      <c r="P34" s="15"/>
      <c r="Q34" s="15"/>
      <c r="R34" s="15"/>
      <c r="S34" s="15"/>
      <c r="T34" s="15"/>
      <c r="U34" s="15"/>
      <c r="V34" s="15"/>
      <c r="W34" s="15"/>
      <c r="X34" s="15"/>
      <c r="Y34" s="15"/>
      <c r="Z34" s="15"/>
    </row>
    <row r="35" hidden="1">
      <c r="A35" s="23" t="s">
        <v>11</v>
      </c>
      <c r="B35" s="15" t="str">
        <f>IFERROR(__xludf.DUMMYFUNCTION("""COMPUTED_VALUE"""),"Jonny Simmons")</f>
        <v>Jonny Simmons</v>
      </c>
      <c r="C35" s="15">
        <f>IFERROR(__xludf.DUMMYFUNCTION("""COMPUTED_VALUE"""),8.0)</f>
        <v>8</v>
      </c>
      <c r="D35" s="15">
        <f>IFERROR(__xludf.DUMMYFUNCTION("""COMPUTED_VALUE"""),7.0)</f>
        <v>7</v>
      </c>
      <c r="E35" s="15">
        <f>IFERROR(__xludf.DUMMYFUNCTION("""COMPUTED_VALUE"""),3.0)</f>
        <v>3</v>
      </c>
      <c r="F35" s="15">
        <f t="shared" si="1"/>
        <v>3</v>
      </c>
      <c r="G35" s="15"/>
      <c r="H35" s="15"/>
      <c r="I35" s="15" t="str">
        <f>IFERROR(__xludf.DUMMYFUNCTION("""COMPUTED_VALUE"""),"DEF")</f>
        <v>DEF</v>
      </c>
      <c r="J35" s="15" t="str">
        <f>IFERROR(__xludf.DUMMYFUNCTION("""COMPUTED_VALUE"""),"Tam de Lacey")</f>
        <v>Tam de Lacey</v>
      </c>
      <c r="K35" s="15">
        <f>IFERROR(__xludf.DUMMYFUNCTION("""COMPUTED_VALUE"""),8.0)</f>
        <v>8</v>
      </c>
      <c r="L35" s="15">
        <f>IFERROR(__xludf.DUMMYFUNCTION("""COMPUTED_VALUE"""),6.0)</f>
        <v>6</v>
      </c>
      <c r="M35" s="15">
        <f>IFERROR(__xludf.DUMMYFUNCTION("""COMPUTED_VALUE"""),3.0)</f>
        <v>3</v>
      </c>
      <c r="N35" s="15">
        <f>IFERROR(__xludf.DUMMYFUNCTION("""COMPUTED_VALUE"""),0.0)</f>
        <v>0</v>
      </c>
      <c r="O35" s="25">
        <f t="shared" si="2"/>
        <v>1</v>
      </c>
      <c r="P35" s="15"/>
      <c r="Q35" s="15"/>
      <c r="R35" s="15"/>
      <c r="S35" s="15"/>
      <c r="T35" s="15"/>
      <c r="U35" s="15"/>
      <c r="V35" s="15"/>
      <c r="W35" s="15"/>
      <c r="X35" s="15"/>
      <c r="Y35" s="15"/>
      <c r="Z35" s="15"/>
    </row>
    <row r="36" hidden="1">
      <c r="A36" s="23" t="s">
        <v>11</v>
      </c>
      <c r="B36" s="15" t="str">
        <f>IFERROR(__xludf.DUMMYFUNCTION("""COMPUTED_VALUE"""),"Gaz Wheldale")</f>
        <v>Gaz Wheldale</v>
      </c>
      <c r="C36" s="15">
        <f>IFERROR(__xludf.DUMMYFUNCTION("""COMPUTED_VALUE"""),8.0)</f>
        <v>8</v>
      </c>
      <c r="D36" s="15">
        <f>IFERROR(__xludf.DUMMYFUNCTION("""COMPUTED_VALUE"""),7.0)</f>
        <v>7</v>
      </c>
      <c r="E36" s="15">
        <f>IFERROR(__xludf.DUMMYFUNCTION("""COMPUTED_VALUE"""),3.0)</f>
        <v>3</v>
      </c>
      <c r="F36" s="15">
        <f t="shared" si="1"/>
        <v>4</v>
      </c>
      <c r="G36" s="15"/>
      <c r="H36" s="15"/>
      <c r="I36" s="15" t="str">
        <f>IFERROR(__xludf.DUMMYFUNCTION("""COMPUTED_VALUE"""),"ATT")</f>
        <v>ATT</v>
      </c>
      <c r="J36" s="15" t="str">
        <f>IFERROR(__xludf.DUMMYFUNCTION("""COMPUTED_VALUE"""),"Jarvis Cheek")</f>
        <v>Jarvis Cheek</v>
      </c>
      <c r="K36" s="15">
        <f>IFERROR(__xludf.DUMMYFUNCTION("""COMPUTED_VALUE"""),6.0)</f>
        <v>6</v>
      </c>
      <c r="L36" s="15">
        <f>IFERROR(__xludf.DUMMYFUNCTION("""COMPUTED_VALUE"""),8.5)</f>
        <v>8.5</v>
      </c>
      <c r="M36" s="15">
        <f>IFERROR(__xludf.DUMMYFUNCTION("""COMPUTED_VALUE"""),1.0)</f>
        <v>1</v>
      </c>
      <c r="N36" s="15">
        <f>IFERROR(__xludf.DUMMYFUNCTION("""COMPUTED_VALUE"""),0.0)</f>
        <v>0</v>
      </c>
      <c r="O36" s="25">
        <f t="shared" si="2"/>
        <v>3</v>
      </c>
      <c r="P36" s="15"/>
      <c r="Q36" s="15"/>
      <c r="R36" s="15"/>
      <c r="S36" s="15"/>
      <c r="T36" s="15"/>
      <c r="U36" s="15"/>
      <c r="V36" s="15"/>
      <c r="W36" s="15"/>
      <c r="X36" s="15"/>
      <c r="Y36" s="15"/>
      <c r="Z36" s="15"/>
    </row>
    <row r="37" hidden="1">
      <c r="A37" s="23" t="s">
        <v>11</v>
      </c>
      <c r="B37" s="15" t="str">
        <f>IFERROR(__xludf.DUMMYFUNCTION("""COMPUTED_VALUE"""),"Joe Vincent")</f>
        <v>Joe Vincent</v>
      </c>
      <c r="C37" s="15">
        <f>IFERROR(__xludf.DUMMYFUNCTION("""COMPUTED_VALUE"""),8.0)</f>
        <v>8</v>
      </c>
      <c r="D37" s="15">
        <f>IFERROR(__xludf.DUMMYFUNCTION("""COMPUTED_VALUE"""),6.0)</f>
        <v>6</v>
      </c>
      <c r="E37" s="15">
        <f>IFERROR(__xludf.DUMMYFUNCTION("""COMPUTED_VALUE"""),3.0)</f>
        <v>3</v>
      </c>
      <c r="F37" s="15">
        <f t="shared" si="1"/>
        <v>0</v>
      </c>
      <c r="G37" s="15"/>
      <c r="H37" s="15"/>
      <c r="I37" s="15" t="str">
        <f>IFERROR(__xludf.DUMMYFUNCTION("""COMPUTED_VALUE"""),"ATT")</f>
        <v>ATT</v>
      </c>
      <c r="J37" s="15" t="str">
        <f>IFERROR(__xludf.DUMMYFUNCTION("""COMPUTED_VALUE"""),"Dan Klin")</f>
        <v>Dan Klin</v>
      </c>
      <c r="K37" s="15">
        <f>IFERROR(__xludf.DUMMYFUNCTION("""COMPUTED_VALUE"""),6.0)</f>
        <v>6</v>
      </c>
      <c r="L37" s="15">
        <f>IFERROR(__xludf.DUMMYFUNCTION("""COMPUTED_VALUE"""),7.5)</f>
        <v>7.5</v>
      </c>
      <c r="M37" s="15">
        <f>IFERROR(__xludf.DUMMYFUNCTION("""COMPUTED_VALUE"""),4.0)</f>
        <v>4</v>
      </c>
      <c r="N37" s="15">
        <f>IFERROR(__xludf.DUMMYFUNCTION("""COMPUTED_VALUE"""),0.0)</f>
        <v>0</v>
      </c>
      <c r="O37" s="25">
        <f t="shared" si="2"/>
        <v>3</v>
      </c>
      <c r="P37" s="15"/>
      <c r="Q37" s="15"/>
      <c r="R37" s="15"/>
      <c r="S37" s="15"/>
      <c r="T37" s="15"/>
      <c r="U37" s="15"/>
      <c r="V37" s="15"/>
      <c r="W37" s="15"/>
      <c r="X37" s="15"/>
      <c r="Y37" s="15"/>
      <c r="Z37" s="15"/>
    </row>
    <row r="38" hidden="1">
      <c r="A38" s="23" t="s">
        <v>11</v>
      </c>
      <c r="B38" s="15" t="str">
        <f>IFERROR(__xludf.DUMMYFUNCTION("""COMPUTED_VALUE"""),"Tam de Lacey")</f>
        <v>Tam de Lacey</v>
      </c>
      <c r="C38" s="15">
        <f>IFERROR(__xludf.DUMMYFUNCTION("""COMPUTED_VALUE"""),8.0)</f>
        <v>8</v>
      </c>
      <c r="D38" s="15">
        <f>IFERROR(__xludf.DUMMYFUNCTION("""COMPUTED_VALUE"""),6.0)</f>
        <v>6</v>
      </c>
      <c r="E38" s="15">
        <f>IFERROR(__xludf.DUMMYFUNCTION("""COMPUTED_VALUE"""),3.0)</f>
        <v>3</v>
      </c>
      <c r="F38" s="15">
        <f t="shared" si="1"/>
        <v>0</v>
      </c>
      <c r="G38" s="15"/>
      <c r="H38" s="15"/>
      <c r="I38" s="15" t="str">
        <f>IFERROR(__xludf.DUMMYFUNCTION("""COMPUTED_VALUE"""),"ATT")</f>
        <v>ATT</v>
      </c>
      <c r="J38" s="15" t="str">
        <f>IFERROR(__xludf.DUMMYFUNCTION("""COMPUTED_VALUE"""),"Pearl Bakengela")</f>
        <v>Pearl Bakengela</v>
      </c>
      <c r="K38" s="15">
        <f>IFERROR(__xludf.DUMMYFUNCTION("""COMPUTED_VALUE"""),6.0)</f>
        <v>6</v>
      </c>
      <c r="L38" s="15">
        <f>IFERROR(__xludf.DUMMYFUNCTION("""COMPUTED_VALUE"""),7.5)</f>
        <v>7.5</v>
      </c>
      <c r="M38" s="15">
        <f>IFERROR(__xludf.DUMMYFUNCTION("""COMPUTED_VALUE"""),6.0)</f>
        <v>6</v>
      </c>
      <c r="N38" s="15">
        <f>IFERROR(__xludf.DUMMYFUNCTION("""COMPUTED_VALUE"""),0.0)</f>
        <v>0</v>
      </c>
      <c r="O38" s="25">
        <f t="shared" si="2"/>
        <v>3</v>
      </c>
      <c r="P38" s="15"/>
      <c r="Q38" s="15"/>
      <c r="R38" s="15"/>
      <c r="S38" s="15"/>
      <c r="T38" s="15"/>
      <c r="U38" s="15"/>
      <c r="V38" s="15"/>
      <c r="W38" s="15"/>
      <c r="X38" s="15"/>
      <c r="Y38" s="15"/>
      <c r="Z38" s="15"/>
    </row>
    <row r="39" hidden="1">
      <c r="A39" s="23" t="s">
        <v>10</v>
      </c>
      <c r="B39" s="15" t="str">
        <f>IFERROR(__xludf.DUMMYFUNCTION("query('OTPI Scores'!$A:$AD, ""select C,AA,U,E where AD='""&amp;A39&amp;""'and A= date '""&amp;text($D$1,""yyyy-mm-dd"")&amp;""' and B!='Friendly' order by AA desc, U desc, E limit 5"",0)"),"Sean Rowlett")</f>
        <v>Sean Rowlett</v>
      </c>
      <c r="C39" s="15">
        <f>IFERROR(__xludf.DUMMYFUNCTION("""COMPUTED_VALUE"""),7.0)</f>
        <v>7</v>
      </c>
      <c r="D39" s="15">
        <f>IFERROR(__xludf.DUMMYFUNCTION("""COMPUTED_VALUE"""),8.0)</f>
        <v>8</v>
      </c>
      <c r="E39" s="15">
        <f>IFERROR(__xludf.DUMMYFUNCTION("""COMPUTED_VALUE"""),4.0)</f>
        <v>4</v>
      </c>
      <c r="F39" s="15">
        <f t="shared" si="1"/>
        <v>5</v>
      </c>
      <c r="G39" s="15"/>
      <c r="H39" s="15"/>
      <c r="I39" s="15" t="str">
        <f>IFERROR(__xludf.DUMMYFUNCTION("""COMPUTED_VALUE"""),"MID")</f>
        <v>MID</v>
      </c>
      <c r="J39" s="15" t="str">
        <f>IFERROR(__xludf.DUMMYFUNCTION("""COMPUTED_VALUE"""),"Billy Mclean")</f>
        <v>Billy Mclean</v>
      </c>
      <c r="K39" s="15">
        <f>IFERROR(__xludf.DUMMYFUNCTION("""COMPUTED_VALUE"""),5.0)</f>
        <v>5</v>
      </c>
      <c r="L39" s="15">
        <f>IFERROR(__xludf.DUMMYFUNCTION("""COMPUTED_VALUE"""),8.5)</f>
        <v>8.5</v>
      </c>
      <c r="M39" s="15">
        <f>IFERROR(__xludf.DUMMYFUNCTION("""COMPUTED_VALUE"""),1.0)</f>
        <v>1</v>
      </c>
      <c r="N39" s="15">
        <f>IFERROR(__xludf.DUMMYFUNCTION("""COMPUTED_VALUE"""),0.0)</f>
        <v>0</v>
      </c>
      <c r="O39" s="25">
        <f t="shared" si="2"/>
        <v>2</v>
      </c>
      <c r="P39" s="15"/>
      <c r="Q39" s="15"/>
      <c r="R39" s="15"/>
      <c r="S39" s="15"/>
      <c r="T39" s="15"/>
      <c r="U39" s="15"/>
      <c r="V39" s="15"/>
      <c r="W39" s="15"/>
      <c r="X39" s="15"/>
      <c r="Y39" s="15"/>
      <c r="Z39" s="15"/>
    </row>
    <row r="40" hidden="1">
      <c r="A40" s="23" t="s">
        <v>10</v>
      </c>
      <c r="B40" s="15" t="str">
        <f>IFERROR(__xludf.DUMMYFUNCTION("""COMPUTED_VALUE"""),"Billy Mclean")</f>
        <v>Billy Mclean</v>
      </c>
      <c r="C40" s="15">
        <f>IFERROR(__xludf.DUMMYFUNCTION("""COMPUTED_VALUE"""),5.0)</f>
        <v>5</v>
      </c>
      <c r="D40" s="15">
        <f>IFERROR(__xludf.DUMMYFUNCTION("""COMPUTED_VALUE"""),8.5)</f>
        <v>8.5</v>
      </c>
      <c r="E40" s="15">
        <f>IFERROR(__xludf.DUMMYFUNCTION("""COMPUTED_VALUE"""),1.0)</f>
        <v>1</v>
      </c>
      <c r="F40" s="15">
        <f t="shared" si="1"/>
        <v>0</v>
      </c>
      <c r="G40" s="15"/>
      <c r="H40" s="15"/>
      <c r="I40" s="15" t="str">
        <f>IFERROR(__xludf.DUMMYFUNCTION("""COMPUTED_VALUE"""),"MID")</f>
        <v>MID</v>
      </c>
      <c r="J40" s="15" t="str">
        <f>IFERROR(__xludf.DUMMYFUNCTION("""COMPUTED_VALUE"""),"Janam Satra")</f>
        <v>Janam Satra</v>
      </c>
      <c r="K40" s="15">
        <f>IFERROR(__xludf.DUMMYFUNCTION("""COMPUTED_VALUE"""),5.0)</f>
        <v>5</v>
      </c>
      <c r="L40" s="15">
        <f>IFERROR(__xludf.DUMMYFUNCTION("""COMPUTED_VALUE"""),6.0)</f>
        <v>6</v>
      </c>
      <c r="M40" s="15">
        <f>IFERROR(__xludf.DUMMYFUNCTION("""COMPUTED_VALUE"""),6.0)</f>
        <v>6</v>
      </c>
      <c r="N40" s="15">
        <f>IFERROR(__xludf.DUMMYFUNCTION("""COMPUTED_VALUE"""),0.0)</f>
        <v>0</v>
      </c>
      <c r="O40" s="25">
        <f t="shared" si="2"/>
        <v>2</v>
      </c>
      <c r="P40" s="15"/>
      <c r="Q40" s="15"/>
      <c r="R40" s="15"/>
      <c r="S40" s="15"/>
      <c r="T40" s="15"/>
      <c r="U40" s="15"/>
      <c r="V40" s="15"/>
      <c r="W40" s="15"/>
      <c r="X40" s="15"/>
      <c r="Y40" s="15"/>
      <c r="Z40" s="15"/>
    </row>
    <row r="41" hidden="1">
      <c r="A41" s="23" t="s">
        <v>10</v>
      </c>
      <c r="B41" s="15" t="str">
        <f>IFERROR(__xludf.DUMMYFUNCTION("""COMPUTED_VALUE"""),"Janam Satra")</f>
        <v>Janam Satra</v>
      </c>
      <c r="C41" s="15">
        <f>IFERROR(__xludf.DUMMYFUNCTION("""COMPUTED_VALUE"""),5.0)</f>
        <v>5</v>
      </c>
      <c r="D41" s="15">
        <f>IFERROR(__xludf.DUMMYFUNCTION("""COMPUTED_VALUE"""),6.0)</f>
        <v>6</v>
      </c>
      <c r="E41" s="15">
        <f>IFERROR(__xludf.DUMMYFUNCTION("""COMPUTED_VALUE"""),6.0)</f>
        <v>6</v>
      </c>
      <c r="F41" s="15">
        <f t="shared" si="1"/>
        <v>0</v>
      </c>
      <c r="G41" s="15"/>
      <c r="H41" s="15"/>
      <c r="I41" s="15" t="str">
        <f>IFERROR(__xludf.DUMMYFUNCTION("""COMPUTED_VALUE"""),"MID")</f>
        <v>MID</v>
      </c>
      <c r="J41" s="15" t="str">
        <f>IFERROR(__xludf.DUMMYFUNCTION("""COMPUTED_VALUE"""),"Alex Mansfield")</f>
        <v>Alex Mansfield</v>
      </c>
      <c r="K41" s="15">
        <f>IFERROR(__xludf.DUMMYFUNCTION("""COMPUTED_VALUE"""),4.0)</f>
        <v>4</v>
      </c>
      <c r="L41" s="15">
        <f>IFERROR(__xludf.DUMMYFUNCTION("""COMPUTED_VALUE"""),7.0)</f>
        <v>7</v>
      </c>
      <c r="M41" s="15">
        <f>IFERROR(__xludf.DUMMYFUNCTION("""COMPUTED_VALUE"""),3.0)</f>
        <v>3</v>
      </c>
      <c r="N41" s="15">
        <f>IFERROR(__xludf.DUMMYFUNCTION("""COMPUTED_VALUE"""),0.0)</f>
        <v>0</v>
      </c>
      <c r="O41" s="25">
        <f t="shared" si="2"/>
        <v>2</v>
      </c>
      <c r="P41" s="15"/>
      <c r="Q41" s="15"/>
      <c r="R41" s="15"/>
      <c r="S41" s="15"/>
      <c r="T41" s="15"/>
      <c r="U41" s="15"/>
      <c r="V41" s="15"/>
      <c r="W41" s="15"/>
      <c r="X41" s="15"/>
      <c r="Y41" s="15"/>
      <c r="Z41" s="15"/>
    </row>
    <row r="42" hidden="1">
      <c r="A42" s="23" t="s">
        <v>10</v>
      </c>
      <c r="B42" s="15" t="str">
        <f>IFERROR(__xludf.DUMMYFUNCTION("""COMPUTED_VALUE"""),"Alex Mansfield")</f>
        <v>Alex Mansfield</v>
      </c>
      <c r="C42" s="15">
        <f>IFERROR(__xludf.DUMMYFUNCTION("""COMPUTED_VALUE"""),4.0)</f>
        <v>4</v>
      </c>
      <c r="D42" s="15">
        <f>IFERROR(__xludf.DUMMYFUNCTION("""COMPUTED_VALUE"""),7.0)</f>
        <v>7</v>
      </c>
      <c r="E42" s="15">
        <f>IFERROR(__xludf.DUMMYFUNCTION("""COMPUTED_VALUE"""),3.0)</f>
        <v>3</v>
      </c>
      <c r="F42" s="15">
        <f t="shared" si="1"/>
        <v>0</v>
      </c>
      <c r="G42" s="15"/>
      <c r="H42" s="15"/>
      <c r="I42" s="15" t="str">
        <f>IFERROR(__xludf.DUMMYFUNCTION("""COMPUTED_VALUE"""),"MID")</f>
        <v>MID</v>
      </c>
      <c r="J42" s="15" t="str">
        <f>IFERROR(__xludf.DUMMYFUNCTION("""COMPUTED_VALUE"""),"Will French")</f>
        <v>Will French</v>
      </c>
      <c r="K42" s="15">
        <f>IFERROR(__xludf.DUMMYFUNCTION("""COMPUTED_VALUE"""),4.0)</f>
        <v>4</v>
      </c>
      <c r="L42" s="15">
        <f>IFERROR(__xludf.DUMMYFUNCTION("""COMPUTED_VALUE"""),6.0)</f>
        <v>6</v>
      </c>
      <c r="M42" s="15">
        <f>IFERROR(__xludf.DUMMYFUNCTION("""COMPUTED_VALUE"""),3.0)</f>
        <v>3</v>
      </c>
      <c r="N42" s="15">
        <f>IFERROR(__xludf.DUMMYFUNCTION("""COMPUTED_VALUE"""),0.0)</f>
        <v>0</v>
      </c>
      <c r="O42" s="25">
        <f t="shared" si="2"/>
        <v>2</v>
      </c>
      <c r="P42" s="15"/>
      <c r="Q42" s="15"/>
      <c r="R42" s="15"/>
      <c r="S42" s="15"/>
      <c r="T42" s="15"/>
      <c r="U42" s="15"/>
      <c r="V42" s="15"/>
      <c r="W42" s="15"/>
      <c r="X42" s="15"/>
      <c r="Y42" s="15"/>
      <c r="Z42" s="15"/>
    </row>
    <row r="43" hidden="1">
      <c r="A43" s="23" t="s">
        <v>10</v>
      </c>
      <c r="B43" s="15" t="str">
        <f>IFERROR(__xludf.DUMMYFUNCTION("""COMPUTED_VALUE"""),"Will French")</f>
        <v>Will French</v>
      </c>
      <c r="C43" s="15">
        <f>IFERROR(__xludf.DUMMYFUNCTION("""COMPUTED_VALUE"""),4.0)</f>
        <v>4</v>
      </c>
      <c r="D43" s="15">
        <f>IFERROR(__xludf.DUMMYFUNCTION("""COMPUTED_VALUE"""),6.0)</f>
        <v>6</v>
      </c>
      <c r="E43" s="15">
        <f>IFERROR(__xludf.DUMMYFUNCTION("""COMPUTED_VALUE"""),3.0)</f>
        <v>3</v>
      </c>
      <c r="F43" s="15">
        <f t="shared" si="1"/>
        <v>0</v>
      </c>
      <c r="G43" s="15"/>
      <c r="H43" s="15"/>
      <c r="I43" s="15"/>
      <c r="J43" s="15"/>
      <c r="K43" s="15"/>
      <c r="L43" s="15"/>
      <c r="M43" s="15"/>
      <c r="N43" s="15"/>
      <c r="O43" s="15"/>
      <c r="P43" s="15"/>
      <c r="Q43" s="15"/>
      <c r="R43" s="15"/>
      <c r="S43" s="15"/>
      <c r="T43" s="15"/>
      <c r="U43" s="15"/>
      <c r="V43" s="15"/>
      <c r="W43" s="15"/>
      <c r="X43" s="15"/>
      <c r="Y43" s="15"/>
      <c r="Z43" s="15"/>
    </row>
    <row r="44" hidden="1">
      <c r="A44" s="23" t="s">
        <v>9</v>
      </c>
      <c r="B44" s="15" t="str">
        <f>IFERROR(__xludf.DUMMYFUNCTION("query('OTPI Scores'!$A:$AD, ""select C,AA,U,E where AD='""&amp;A44&amp;""'and A= date '""&amp;text($D$1,""yyyy-mm-dd"")&amp;""' and B!='Friendly' order by AA desc, U desc, E limit 5"",0)"),"Masood Hamidi")</f>
        <v>Masood Hamidi</v>
      </c>
      <c r="C44" s="15">
        <f>IFERROR(__xludf.DUMMYFUNCTION("""COMPUTED_VALUE"""),14.0)</f>
        <v>14</v>
      </c>
      <c r="D44" s="15">
        <f>IFERROR(__xludf.DUMMYFUNCTION("""COMPUTED_VALUE"""),8.0)</f>
        <v>8</v>
      </c>
      <c r="E44" s="15">
        <f>IFERROR(__xludf.DUMMYFUNCTION("""COMPUTED_VALUE"""),4.0)</f>
        <v>4</v>
      </c>
      <c r="F44" s="15">
        <f t="shared" si="1"/>
        <v>6</v>
      </c>
      <c r="G44" s="15"/>
      <c r="H44" s="15"/>
      <c r="I44" s="15"/>
      <c r="J44" s="15"/>
      <c r="K44" s="15"/>
      <c r="L44" s="15"/>
      <c r="M44" s="15"/>
      <c r="N44" s="15"/>
      <c r="O44" s="15"/>
      <c r="P44" s="15"/>
      <c r="Q44" s="15"/>
      <c r="R44" s="15"/>
      <c r="S44" s="15"/>
      <c r="T44" s="15"/>
      <c r="U44" s="15"/>
      <c r="V44" s="15"/>
      <c r="W44" s="15"/>
      <c r="X44" s="15"/>
      <c r="Y44" s="15"/>
      <c r="Z44" s="15"/>
    </row>
    <row r="45" hidden="1">
      <c r="A45" s="23" t="s">
        <v>9</v>
      </c>
      <c r="B45" s="15" t="str">
        <f>IFERROR(__xludf.DUMMYFUNCTION("""COMPUTED_VALUE"""),"Alex Stevens")</f>
        <v>Alex Stevens</v>
      </c>
      <c r="C45" s="15">
        <f>IFERROR(__xludf.DUMMYFUNCTION("""COMPUTED_VALUE"""),10.0)</f>
        <v>10</v>
      </c>
      <c r="D45" s="15">
        <f>IFERROR(__xludf.DUMMYFUNCTION("""COMPUTED_VALUE"""),7.0)</f>
        <v>7</v>
      </c>
      <c r="E45" s="15">
        <f>IFERROR(__xludf.DUMMYFUNCTION("""COMPUTED_VALUE"""),3.0)</f>
        <v>3</v>
      </c>
      <c r="F45" s="15">
        <f t="shared" si="1"/>
        <v>0</v>
      </c>
      <c r="G45" s="15"/>
      <c r="H45" s="15"/>
      <c r="I45" s="15"/>
      <c r="J45" s="15"/>
      <c r="K45" s="15"/>
      <c r="L45" s="15"/>
      <c r="M45" s="15"/>
      <c r="N45" s="15"/>
      <c r="O45" s="15"/>
      <c r="P45" s="15"/>
      <c r="Q45" s="15"/>
      <c r="R45" s="15"/>
      <c r="S45" s="15"/>
      <c r="T45" s="15"/>
      <c r="U45" s="15"/>
      <c r="V45" s="15"/>
      <c r="W45" s="15"/>
      <c r="X45" s="15"/>
      <c r="Y45" s="15"/>
      <c r="Z45" s="15"/>
    </row>
    <row r="46" hidden="1">
      <c r="A46" s="23" t="s">
        <v>9</v>
      </c>
      <c r="B46" s="15" t="str">
        <f>IFERROR(__xludf.DUMMYFUNCTION("""COMPUTED_VALUE"""),"Jarvis Cheek")</f>
        <v>Jarvis Cheek</v>
      </c>
      <c r="C46" s="15">
        <f>IFERROR(__xludf.DUMMYFUNCTION("""COMPUTED_VALUE"""),6.0)</f>
        <v>6</v>
      </c>
      <c r="D46" s="15">
        <f>IFERROR(__xludf.DUMMYFUNCTION("""COMPUTED_VALUE"""),8.5)</f>
        <v>8.5</v>
      </c>
      <c r="E46" s="15">
        <f>IFERROR(__xludf.DUMMYFUNCTION("""COMPUTED_VALUE"""),1.0)</f>
        <v>1</v>
      </c>
      <c r="F46" s="15">
        <f t="shared" si="1"/>
        <v>0</v>
      </c>
      <c r="G46" s="15"/>
      <c r="H46" s="15"/>
      <c r="I46" s="15"/>
      <c r="J46" s="15"/>
      <c r="K46" s="15"/>
      <c r="L46" s="15"/>
      <c r="M46" s="15"/>
      <c r="N46" s="15"/>
      <c r="O46" s="15"/>
      <c r="P46" s="15"/>
      <c r="Q46" s="15"/>
      <c r="R46" s="15"/>
      <c r="S46" s="15"/>
      <c r="T46" s="15"/>
      <c r="U46" s="15"/>
      <c r="V46" s="15"/>
      <c r="W46" s="15"/>
      <c r="X46" s="15"/>
      <c r="Y46" s="15"/>
      <c r="Z46" s="15"/>
    </row>
    <row r="47" hidden="1">
      <c r="A47" s="23" t="s">
        <v>9</v>
      </c>
      <c r="B47" s="15" t="str">
        <f>IFERROR(__xludf.DUMMYFUNCTION("""COMPUTED_VALUE"""),"Dan Klin")</f>
        <v>Dan Klin</v>
      </c>
      <c r="C47" s="15">
        <f>IFERROR(__xludf.DUMMYFUNCTION("""COMPUTED_VALUE"""),6.0)</f>
        <v>6</v>
      </c>
      <c r="D47" s="15">
        <f>IFERROR(__xludf.DUMMYFUNCTION("""COMPUTED_VALUE"""),7.5)</f>
        <v>7.5</v>
      </c>
      <c r="E47" s="15">
        <f>IFERROR(__xludf.DUMMYFUNCTION("""COMPUTED_VALUE"""),4.0)</f>
        <v>4</v>
      </c>
      <c r="F47" s="15">
        <f t="shared" si="1"/>
        <v>0</v>
      </c>
      <c r="G47" s="15"/>
      <c r="H47" s="15"/>
      <c r="I47" s="15"/>
      <c r="J47" s="15"/>
      <c r="K47" s="15"/>
      <c r="L47" s="15"/>
      <c r="M47" s="15"/>
      <c r="N47" s="15"/>
      <c r="O47" s="15"/>
      <c r="P47" s="15"/>
      <c r="Q47" s="15"/>
      <c r="R47" s="15"/>
      <c r="S47" s="15"/>
      <c r="T47" s="15"/>
      <c r="U47" s="15"/>
      <c r="V47" s="15"/>
      <c r="W47" s="15"/>
      <c r="X47" s="15"/>
      <c r="Y47" s="15"/>
      <c r="Z47" s="15"/>
    </row>
    <row r="48" hidden="1">
      <c r="A48" s="23" t="s">
        <v>9</v>
      </c>
      <c r="B48" s="15" t="str">
        <f>IFERROR(__xludf.DUMMYFUNCTION("""COMPUTED_VALUE"""),"Pearl Bakengela")</f>
        <v>Pearl Bakengela</v>
      </c>
      <c r="C48" s="15">
        <f>IFERROR(__xludf.DUMMYFUNCTION("""COMPUTED_VALUE"""),6.0)</f>
        <v>6</v>
      </c>
      <c r="D48" s="15">
        <f>IFERROR(__xludf.DUMMYFUNCTION("""COMPUTED_VALUE"""),7.5)</f>
        <v>7.5</v>
      </c>
      <c r="E48" s="15">
        <f>IFERROR(__xludf.DUMMYFUNCTION("""COMPUTED_VALUE"""),6.0)</f>
        <v>6</v>
      </c>
      <c r="F48" s="15">
        <f t="shared" si="1"/>
        <v>0</v>
      </c>
      <c r="G48" s="15"/>
      <c r="H48" s="15"/>
      <c r="I48" s="15"/>
      <c r="J48" s="15"/>
      <c r="K48" s="15"/>
      <c r="L48" s="15"/>
      <c r="M48" s="15"/>
      <c r="N48" s="15"/>
      <c r="O48" s="15"/>
      <c r="P48" s="15"/>
      <c r="Q48" s="15"/>
      <c r="R48" s="15"/>
      <c r="S48" s="15"/>
      <c r="T48" s="15"/>
      <c r="U48" s="15"/>
      <c r="V48" s="15"/>
      <c r="W48" s="15"/>
      <c r="X48" s="15"/>
      <c r="Y48" s="15"/>
      <c r="Z48" s="15"/>
    </row>
    <row r="49" hidden="1">
      <c r="A49" s="22"/>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idden="1">
      <c r="A50" s="23" t="s">
        <v>35</v>
      </c>
      <c r="B50" s="15"/>
      <c r="C50" s="15"/>
      <c r="D50" s="15"/>
      <c r="E50" s="15"/>
      <c r="F50" s="24" t="s">
        <v>36</v>
      </c>
      <c r="G50" s="24" t="s">
        <v>34</v>
      </c>
      <c r="H50" s="15"/>
      <c r="I50" s="24" t="s">
        <v>37</v>
      </c>
      <c r="J50" s="15"/>
      <c r="K50" s="15"/>
      <c r="L50" s="15"/>
      <c r="M50" s="15"/>
      <c r="N50" s="15"/>
      <c r="O50" s="15"/>
      <c r="P50" s="15"/>
      <c r="Q50" s="15"/>
      <c r="R50" s="15"/>
      <c r="S50" s="15"/>
      <c r="T50" s="15"/>
      <c r="U50" s="15"/>
      <c r="V50" s="15"/>
      <c r="W50" s="15"/>
      <c r="X50" s="15"/>
      <c r="Y50" s="15"/>
      <c r="Z50" s="15"/>
    </row>
    <row r="51" hidden="1">
      <c r="A51" s="23" t="s">
        <v>8</v>
      </c>
      <c r="B51" s="15" t="str">
        <f t="shared" ref="B51:E51" si="3">B33</f>
        <v>Nick Chimonides</v>
      </c>
      <c r="C51" s="15">
        <f t="shared" si="3"/>
        <v>8</v>
      </c>
      <c r="D51" s="15">
        <f t="shared" si="3"/>
        <v>6</v>
      </c>
      <c r="E51" s="15">
        <f t="shared" si="3"/>
        <v>3</v>
      </c>
      <c r="F51" s="24">
        <v>1.0</v>
      </c>
      <c r="G51" s="25">
        <f t="shared" ref="G51:G56" si="5">if(A51="DEF",1,IF(A51="MID",2,IF(A51="GK",0,3)))</f>
        <v>0</v>
      </c>
      <c r="H51" s="15"/>
      <c r="I51" s="15" t="str">
        <f t="array" ref="I51:O61">SORT({A51:G56;I33:O37},7,TRUE)</f>
        <v>GK</v>
      </c>
      <c r="J51" s="15" t="s">
        <v>38</v>
      </c>
      <c r="K51" s="15">
        <v>8.0</v>
      </c>
      <c r="L51" s="15">
        <v>6.0</v>
      </c>
      <c r="M51" s="15">
        <v>3.0</v>
      </c>
      <c r="N51" s="15">
        <v>1.0</v>
      </c>
      <c r="O51" s="15">
        <v>0.0</v>
      </c>
      <c r="P51" s="15"/>
      <c r="Q51" s="15"/>
      <c r="R51" s="15"/>
      <c r="S51" s="15"/>
      <c r="T51" s="15"/>
      <c r="U51" s="15"/>
      <c r="V51" s="15"/>
      <c r="W51" s="15"/>
      <c r="X51" s="15"/>
      <c r="Y51" s="15"/>
      <c r="Z51" s="15"/>
    </row>
    <row r="52" hidden="1">
      <c r="A52" s="23" t="s">
        <v>11</v>
      </c>
      <c r="B52" s="15" t="str">
        <f t="shared" ref="B52:E52" si="4">B34</f>
        <v>Chris Douthwaite</v>
      </c>
      <c r="C52" s="15">
        <f t="shared" si="4"/>
        <v>13</v>
      </c>
      <c r="D52" s="15">
        <f t="shared" si="4"/>
        <v>7.5</v>
      </c>
      <c r="E52" s="15">
        <f t="shared" si="4"/>
        <v>3</v>
      </c>
      <c r="F52" s="24">
        <v>1.0</v>
      </c>
      <c r="G52" s="25">
        <f t="shared" si="5"/>
        <v>1</v>
      </c>
      <c r="H52" s="15"/>
      <c r="I52" s="15" t="s">
        <v>11</v>
      </c>
      <c r="J52" s="15" t="s">
        <v>39</v>
      </c>
      <c r="K52" s="15">
        <v>13.0</v>
      </c>
      <c r="L52" s="15">
        <v>7.5</v>
      </c>
      <c r="M52" s="15">
        <v>3.0</v>
      </c>
      <c r="N52" s="15">
        <v>1.0</v>
      </c>
      <c r="O52" s="15">
        <v>1.0</v>
      </c>
      <c r="P52" s="15"/>
      <c r="Q52" s="15"/>
      <c r="R52" s="15"/>
      <c r="S52" s="15"/>
      <c r="T52" s="15"/>
      <c r="U52" s="15"/>
      <c r="V52" s="15"/>
      <c r="W52" s="15"/>
      <c r="X52" s="15"/>
      <c r="Y52" s="15"/>
      <c r="Z52" s="15"/>
    </row>
    <row r="53" hidden="1">
      <c r="A53" s="23" t="s">
        <v>11</v>
      </c>
      <c r="B53" s="15" t="str">
        <f t="shared" ref="B53:E53" si="6">B35</f>
        <v>Jonny Simmons</v>
      </c>
      <c r="C53" s="15">
        <f t="shared" si="6"/>
        <v>8</v>
      </c>
      <c r="D53" s="15">
        <f t="shared" si="6"/>
        <v>7</v>
      </c>
      <c r="E53" s="15">
        <f t="shared" si="6"/>
        <v>3</v>
      </c>
      <c r="F53" s="24">
        <v>1.0</v>
      </c>
      <c r="G53" s="25">
        <f t="shared" si="5"/>
        <v>1</v>
      </c>
      <c r="H53" s="15"/>
      <c r="I53" s="15" t="s">
        <v>11</v>
      </c>
      <c r="J53" s="15" t="s">
        <v>40</v>
      </c>
      <c r="K53" s="15">
        <v>8.0</v>
      </c>
      <c r="L53" s="15">
        <v>7.0</v>
      </c>
      <c r="M53" s="15">
        <v>3.0</v>
      </c>
      <c r="N53" s="15">
        <v>1.0</v>
      </c>
      <c r="O53" s="15">
        <v>1.0</v>
      </c>
      <c r="P53" s="15"/>
      <c r="Q53" s="15"/>
      <c r="R53" s="15"/>
      <c r="S53" s="15"/>
      <c r="T53" s="15"/>
      <c r="U53" s="15"/>
      <c r="V53" s="15"/>
      <c r="W53" s="15"/>
      <c r="X53" s="15"/>
      <c r="Y53" s="15"/>
      <c r="Z53" s="15"/>
    </row>
    <row r="54" hidden="1">
      <c r="A54" s="23" t="s">
        <v>11</v>
      </c>
      <c r="B54" s="15" t="str">
        <f t="shared" ref="B54:E54" si="7">B36</f>
        <v>Gaz Wheldale</v>
      </c>
      <c r="C54" s="15">
        <f t="shared" si="7"/>
        <v>8</v>
      </c>
      <c r="D54" s="15">
        <f t="shared" si="7"/>
        <v>7</v>
      </c>
      <c r="E54" s="15">
        <f t="shared" si="7"/>
        <v>3</v>
      </c>
      <c r="F54" s="24">
        <v>1.0</v>
      </c>
      <c r="G54" s="25">
        <f t="shared" si="5"/>
        <v>1</v>
      </c>
      <c r="H54" s="15"/>
      <c r="I54" s="15" t="s">
        <v>11</v>
      </c>
      <c r="J54" s="15" t="s">
        <v>41</v>
      </c>
      <c r="K54" s="15">
        <v>8.0</v>
      </c>
      <c r="L54" s="15">
        <v>7.0</v>
      </c>
      <c r="M54" s="15">
        <v>3.0</v>
      </c>
      <c r="N54" s="15">
        <v>1.0</v>
      </c>
      <c r="O54" s="15">
        <v>1.0</v>
      </c>
      <c r="P54" s="15"/>
      <c r="Q54" s="15"/>
      <c r="R54" s="15"/>
      <c r="S54" s="15"/>
      <c r="T54" s="15"/>
      <c r="U54" s="15"/>
      <c r="V54" s="15"/>
      <c r="W54" s="15"/>
      <c r="X54" s="15"/>
      <c r="Y54" s="15"/>
      <c r="Z54" s="15"/>
    </row>
    <row r="55" hidden="1">
      <c r="A55" s="23" t="s">
        <v>10</v>
      </c>
      <c r="B55" s="15" t="str">
        <f t="shared" ref="B55:E55" si="8">B39</f>
        <v>Sean Rowlett</v>
      </c>
      <c r="C55" s="15">
        <f t="shared" si="8"/>
        <v>7</v>
      </c>
      <c r="D55" s="15">
        <f t="shared" si="8"/>
        <v>8</v>
      </c>
      <c r="E55" s="15">
        <f t="shared" si="8"/>
        <v>4</v>
      </c>
      <c r="F55" s="24">
        <v>1.0</v>
      </c>
      <c r="G55" s="25">
        <f t="shared" si="5"/>
        <v>2</v>
      </c>
      <c r="H55" s="15"/>
      <c r="I55" s="15" t="s">
        <v>11</v>
      </c>
      <c r="J55" s="15" t="s">
        <v>42</v>
      </c>
      <c r="K55" s="15">
        <v>8.0</v>
      </c>
      <c r="L55" s="15">
        <v>6.0</v>
      </c>
      <c r="M55" s="15">
        <v>3.0</v>
      </c>
      <c r="N55" s="15">
        <v>0.0</v>
      </c>
      <c r="O55" s="15">
        <v>1.0</v>
      </c>
      <c r="P55" s="15"/>
      <c r="Q55" s="15"/>
      <c r="R55" s="15"/>
      <c r="S55" s="15"/>
      <c r="T55" s="15"/>
      <c r="U55" s="15"/>
      <c r="V55" s="15"/>
      <c r="W55" s="15"/>
      <c r="X55" s="15"/>
      <c r="Y55" s="15"/>
      <c r="Z55" s="15"/>
    </row>
    <row r="56" hidden="1">
      <c r="A56" s="23" t="s">
        <v>9</v>
      </c>
      <c r="B56" s="15" t="str">
        <f t="shared" ref="B56:E56" si="9">B44</f>
        <v>Masood Hamidi</v>
      </c>
      <c r="C56" s="15">
        <f t="shared" si="9"/>
        <v>14</v>
      </c>
      <c r="D56" s="15">
        <f t="shared" si="9"/>
        <v>8</v>
      </c>
      <c r="E56" s="15">
        <f t="shared" si="9"/>
        <v>4</v>
      </c>
      <c r="F56" s="24">
        <v>1.0</v>
      </c>
      <c r="G56" s="25">
        <f t="shared" si="5"/>
        <v>3</v>
      </c>
      <c r="H56" s="15"/>
      <c r="I56" s="15" t="s">
        <v>11</v>
      </c>
      <c r="J56" s="15" t="s">
        <v>43</v>
      </c>
      <c r="K56" s="15">
        <v>8.0</v>
      </c>
      <c r="L56" s="15">
        <v>6.0</v>
      </c>
      <c r="M56" s="15">
        <v>3.0</v>
      </c>
      <c r="N56" s="15">
        <v>0.0</v>
      </c>
      <c r="O56" s="15">
        <v>1.0</v>
      </c>
      <c r="P56" s="15"/>
      <c r="Q56" s="15"/>
      <c r="R56" s="15"/>
      <c r="S56" s="15"/>
      <c r="T56" s="15"/>
      <c r="U56" s="15"/>
      <c r="V56" s="15"/>
      <c r="W56" s="15"/>
      <c r="X56" s="15"/>
      <c r="Y56" s="15"/>
      <c r="Z56" s="15"/>
    </row>
    <row r="57" hidden="1">
      <c r="A57" s="22"/>
      <c r="B57" s="15"/>
      <c r="C57" s="15"/>
      <c r="D57" s="15"/>
      <c r="E57" s="15"/>
      <c r="F57" s="15"/>
      <c r="G57" s="15"/>
      <c r="H57" s="15"/>
      <c r="I57" s="15" t="s">
        <v>10</v>
      </c>
      <c r="J57" s="15" t="s">
        <v>44</v>
      </c>
      <c r="K57" s="15">
        <v>7.0</v>
      </c>
      <c r="L57" s="15">
        <v>8.0</v>
      </c>
      <c r="M57" s="15">
        <v>4.0</v>
      </c>
      <c r="N57" s="15">
        <v>1.0</v>
      </c>
      <c r="O57" s="15">
        <v>2.0</v>
      </c>
      <c r="P57" s="15"/>
      <c r="Q57" s="15"/>
      <c r="R57" s="15"/>
      <c r="S57" s="15"/>
      <c r="T57" s="15"/>
      <c r="U57" s="15"/>
      <c r="V57" s="15"/>
      <c r="W57" s="15"/>
      <c r="X57" s="15"/>
      <c r="Y57" s="15"/>
      <c r="Z57" s="15"/>
    </row>
    <row r="58" hidden="1">
      <c r="A58" s="22"/>
      <c r="B58" s="15"/>
      <c r="C58" s="15"/>
      <c r="D58" s="15"/>
      <c r="E58" s="15"/>
      <c r="F58" s="15"/>
      <c r="G58" s="15"/>
      <c r="H58" s="15"/>
      <c r="I58" s="15" t="s">
        <v>9</v>
      </c>
      <c r="J58" s="15" t="s">
        <v>45</v>
      </c>
      <c r="K58" s="15">
        <v>14.0</v>
      </c>
      <c r="L58" s="15">
        <v>8.0</v>
      </c>
      <c r="M58" s="15">
        <v>4.0</v>
      </c>
      <c r="N58" s="15">
        <v>1.0</v>
      </c>
      <c r="O58" s="15">
        <v>3.0</v>
      </c>
      <c r="P58" s="15"/>
      <c r="Q58" s="15"/>
      <c r="R58" s="15"/>
      <c r="S58" s="15"/>
      <c r="T58" s="15"/>
      <c r="U58" s="15"/>
      <c r="V58" s="15"/>
      <c r="W58" s="15"/>
      <c r="X58" s="15"/>
      <c r="Y58" s="15"/>
      <c r="Z58" s="15"/>
    </row>
    <row r="59" hidden="1">
      <c r="A59" s="22"/>
      <c r="B59" s="15"/>
      <c r="C59" s="15"/>
      <c r="D59" s="15"/>
      <c r="E59" s="15"/>
      <c r="F59" s="15"/>
      <c r="G59" s="15"/>
      <c r="H59" s="15"/>
      <c r="I59" s="15" t="s">
        <v>9</v>
      </c>
      <c r="J59" s="15" t="s">
        <v>46</v>
      </c>
      <c r="K59" s="15">
        <v>10.0</v>
      </c>
      <c r="L59" s="15">
        <v>7.0</v>
      </c>
      <c r="M59" s="15">
        <v>3.0</v>
      </c>
      <c r="N59" s="15">
        <v>0.0</v>
      </c>
      <c r="O59" s="15">
        <v>3.0</v>
      </c>
      <c r="P59" s="15"/>
      <c r="Q59" s="15"/>
      <c r="R59" s="15"/>
      <c r="S59" s="15"/>
      <c r="T59" s="15"/>
      <c r="U59" s="15"/>
      <c r="V59" s="15"/>
      <c r="W59" s="15"/>
      <c r="X59" s="15"/>
      <c r="Y59" s="15"/>
      <c r="Z59" s="15"/>
    </row>
    <row r="60" hidden="1">
      <c r="A60" s="22"/>
      <c r="B60" s="15"/>
      <c r="C60" s="15"/>
      <c r="D60" s="15"/>
      <c r="E60" s="15"/>
      <c r="F60" s="15"/>
      <c r="G60" s="15"/>
      <c r="H60" s="15"/>
      <c r="I60" s="15" t="s">
        <v>9</v>
      </c>
      <c r="J60" s="15" t="s">
        <v>47</v>
      </c>
      <c r="K60" s="15">
        <v>6.0</v>
      </c>
      <c r="L60" s="15">
        <v>8.5</v>
      </c>
      <c r="M60" s="15">
        <v>1.0</v>
      </c>
      <c r="N60" s="15">
        <v>0.0</v>
      </c>
      <c r="O60" s="15">
        <v>3.0</v>
      </c>
      <c r="P60" s="15"/>
      <c r="Q60" s="15"/>
      <c r="R60" s="15"/>
      <c r="S60" s="15"/>
      <c r="T60" s="15"/>
      <c r="U60" s="15"/>
      <c r="V60" s="15"/>
      <c r="W60" s="15"/>
      <c r="X60" s="15"/>
      <c r="Y60" s="15"/>
      <c r="Z60" s="15"/>
    </row>
    <row r="61" hidden="1">
      <c r="A61" s="22"/>
      <c r="B61" s="15"/>
      <c r="C61" s="15"/>
      <c r="D61" s="15"/>
      <c r="E61" s="15"/>
      <c r="F61" s="15"/>
      <c r="G61" s="15"/>
      <c r="H61" s="15"/>
      <c r="I61" s="15" t="s">
        <v>9</v>
      </c>
      <c r="J61" s="15" t="s">
        <v>48</v>
      </c>
      <c r="K61" s="15">
        <v>6.0</v>
      </c>
      <c r="L61" s="15">
        <v>7.5</v>
      </c>
      <c r="M61" s="15">
        <v>4.0</v>
      </c>
      <c r="N61" s="15">
        <v>0.0</v>
      </c>
      <c r="O61" s="15">
        <v>3.0</v>
      </c>
      <c r="P61" s="15"/>
      <c r="Q61" s="15"/>
      <c r="R61" s="15"/>
      <c r="S61" s="15"/>
      <c r="T61" s="15"/>
      <c r="U61" s="15"/>
      <c r="V61" s="15"/>
      <c r="W61" s="15"/>
      <c r="X61" s="15"/>
      <c r="Y61" s="15"/>
      <c r="Z61" s="15"/>
    </row>
    <row r="62" hidden="1">
      <c r="A62" s="22"/>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idden="1">
      <c r="A63" s="22"/>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idden="1">
      <c r="A64" s="22"/>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idden="1">
      <c r="A65" s="22"/>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idden="1">
      <c r="A66" s="22"/>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idden="1">
      <c r="A67" s="22"/>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idden="1">
      <c r="A68" s="22"/>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26"/>
      <c r="B69" s="27"/>
      <c r="C69" s="27"/>
      <c r="D69" s="27"/>
      <c r="E69" s="27"/>
      <c r="F69" s="27"/>
      <c r="G69" s="15"/>
      <c r="H69" s="15"/>
      <c r="I69" s="15"/>
      <c r="J69" s="15"/>
      <c r="K69" s="15"/>
      <c r="L69" s="15"/>
      <c r="M69" s="15"/>
      <c r="N69" s="15"/>
      <c r="O69" s="15"/>
      <c r="P69" s="15"/>
      <c r="Q69" s="15"/>
      <c r="R69" s="15"/>
      <c r="S69" s="15"/>
      <c r="T69" s="15"/>
      <c r="U69" s="15"/>
      <c r="V69" s="15"/>
      <c r="W69" s="15"/>
      <c r="X69" s="15"/>
      <c r="Y69" s="15"/>
      <c r="Z69" s="15"/>
    </row>
    <row r="70">
      <c r="A70" s="13" t="s">
        <v>49</v>
      </c>
      <c r="D70" s="20"/>
      <c r="E70" s="21"/>
      <c r="F70" s="21"/>
      <c r="G70" s="15"/>
      <c r="H70" s="15"/>
      <c r="I70" s="15"/>
      <c r="J70" s="15"/>
      <c r="K70" s="15"/>
      <c r="L70" s="15"/>
      <c r="M70" s="15"/>
      <c r="N70" s="15"/>
      <c r="O70" s="15"/>
      <c r="P70" s="15"/>
      <c r="Q70" s="15"/>
      <c r="R70" s="15"/>
      <c r="S70" s="15"/>
      <c r="T70" s="15"/>
      <c r="U70" s="15"/>
      <c r="V70" s="15"/>
      <c r="W70" s="15"/>
      <c r="X70" s="15"/>
      <c r="Y70" s="15"/>
      <c r="Z70" s="15"/>
    </row>
    <row r="71">
      <c r="A71" s="5" t="s">
        <v>28</v>
      </c>
      <c r="B71" s="5" t="s">
        <v>50</v>
      </c>
      <c r="C71" s="5" t="s">
        <v>51</v>
      </c>
      <c r="D71" s="22"/>
      <c r="E71" s="15"/>
      <c r="F71" s="15"/>
      <c r="G71" s="15"/>
      <c r="H71" s="15"/>
      <c r="I71" s="15"/>
      <c r="J71" s="15"/>
      <c r="K71" s="15"/>
      <c r="L71" s="15"/>
      <c r="M71" s="15"/>
      <c r="N71" s="15"/>
      <c r="O71" s="15"/>
      <c r="P71" s="15"/>
      <c r="Q71" s="15"/>
      <c r="R71" s="15"/>
      <c r="S71" s="15"/>
      <c r="T71" s="15"/>
      <c r="U71" s="15"/>
      <c r="V71" s="15"/>
      <c r="W71" s="15"/>
      <c r="X71" s="15"/>
      <c r="Y71" s="15"/>
      <c r="Z71" s="15"/>
    </row>
    <row r="72">
      <c r="A72" s="3" t="str">
        <f t="shared" ref="A72:A82" si="11">VLOOKUP(B72, $A$5:$B$24, 2, FALSE)</f>
        <v>GK</v>
      </c>
      <c r="B72" s="3" t="str">
        <f t="shared" ref="B72:C72" si="10">J51</f>
        <v>Nick Chimonides</v>
      </c>
      <c r="C72" s="3">
        <f t="shared" si="10"/>
        <v>8</v>
      </c>
      <c r="D72" s="28">
        <f t="shared" ref="D72:D82" si="13">IFERROR(VLOOKUP(B72,$B$85:$B$97,1,FALSE),0)</f>
        <v>0</v>
      </c>
      <c r="E72" s="15"/>
      <c r="F72" s="15"/>
      <c r="G72" s="15"/>
      <c r="H72" s="15"/>
      <c r="I72" s="15"/>
      <c r="J72" s="15"/>
      <c r="K72" s="15"/>
      <c r="L72" s="15"/>
      <c r="M72" s="15"/>
      <c r="N72" s="15"/>
      <c r="O72" s="15"/>
      <c r="P72" s="15"/>
      <c r="Q72" s="15"/>
      <c r="R72" s="15"/>
      <c r="S72" s="15"/>
      <c r="T72" s="15"/>
      <c r="U72" s="15"/>
      <c r="V72" s="15"/>
      <c r="W72" s="15"/>
      <c r="X72" s="15"/>
      <c r="Y72" s="15"/>
      <c r="Z72" s="15"/>
    </row>
    <row r="73">
      <c r="A73" s="3" t="str">
        <f t="shared" si="11"/>
        <v>CB</v>
      </c>
      <c r="B73" s="3" t="str">
        <f t="shared" ref="B73:C73" si="12">J52</f>
        <v>Chris Douthwaite</v>
      </c>
      <c r="C73" s="3">
        <f t="shared" si="12"/>
        <v>13</v>
      </c>
      <c r="D73" s="28">
        <f t="shared" si="13"/>
        <v>0</v>
      </c>
      <c r="E73" s="15"/>
      <c r="F73" s="15"/>
      <c r="G73" s="15"/>
      <c r="H73" s="15"/>
      <c r="I73" s="15"/>
      <c r="J73" s="15"/>
      <c r="K73" s="15"/>
      <c r="L73" s="15"/>
      <c r="M73" s="15"/>
      <c r="N73" s="15"/>
      <c r="O73" s="15"/>
      <c r="P73" s="15"/>
      <c r="Q73" s="15"/>
      <c r="R73" s="15"/>
      <c r="S73" s="15"/>
      <c r="T73" s="15"/>
      <c r="U73" s="15"/>
      <c r="V73" s="15"/>
      <c r="W73" s="15"/>
      <c r="X73" s="15"/>
      <c r="Y73" s="15"/>
      <c r="Z73" s="15"/>
    </row>
    <row r="74">
      <c r="A74" s="3" t="str">
        <f t="shared" si="11"/>
        <v>CB</v>
      </c>
      <c r="B74" s="3" t="str">
        <f t="shared" ref="B74:C74" si="14">J53</f>
        <v>Jonny Simmons</v>
      </c>
      <c r="C74" s="3">
        <f t="shared" si="14"/>
        <v>8</v>
      </c>
      <c r="D74" s="28">
        <f t="shared" si="13"/>
        <v>0</v>
      </c>
      <c r="E74" s="15"/>
      <c r="F74" s="15"/>
      <c r="G74" s="15"/>
      <c r="H74" s="15"/>
      <c r="I74" s="15"/>
      <c r="J74" s="15"/>
      <c r="K74" s="15"/>
      <c r="L74" s="15"/>
      <c r="M74" s="15"/>
      <c r="N74" s="15"/>
      <c r="O74" s="15"/>
      <c r="P74" s="15"/>
      <c r="Q74" s="15"/>
      <c r="R74" s="15"/>
      <c r="S74" s="15"/>
      <c r="T74" s="15"/>
      <c r="U74" s="15"/>
      <c r="V74" s="15"/>
      <c r="W74" s="15"/>
      <c r="X74" s="15"/>
      <c r="Y74" s="15"/>
      <c r="Z74" s="15"/>
    </row>
    <row r="75">
      <c r="A75" s="3" t="str">
        <f t="shared" si="11"/>
        <v>RB</v>
      </c>
      <c r="B75" s="3" t="str">
        <f t="shared" ref="B75:C75" si="15">J54</f>
        <v>Gaz Wheldale</v>
      </c>
      <c r="C75" s="3">
        <f t="shared" si="15"/>
        <v>8</v>
      </c>
      <c r="D75" s="28">
        <f t="shared" si="13"/>
        <v>0</v>
      </c>
      <c r="E75" s="15"/>
      <c r="F75" s="15"/>
      <c r="G75" s="15"/>
      <c r="H75" s="15"/>
      <c r="I75" s="15"/>
      <c r="J75" s="15"/>
      <c r="K75" s="15"/>
      <c r="L75" s="15"/>
      <c r="M75" s="15"/>
      <c r="N75" s="15"/>
      <c r="O75" s="15"/>
      <c r="P75" s="15"/>
      <c r="Q75" s="15"/>
      <c r="R75" s="15"/>
      <c r="S75" s="15"/>
      <c r="T75" s="15"/>
      <c r="U75" s="15"/>
      <c r="V75" s="15"/>
      <c r="W75" s="15"/>
      <c r="X75" s="15"/>
      <c r="Y75" s="15"/>
      <c r="Z75" s="15"/>
    </row>
    <row r="76">
      <c r="A76" s="3" t="str">
        <f t="shared" si="11"/>
        <v>RB</v>
      </c>
      <c r="B76" s="3" t="str">
        <f t="shared" ref="B76:C76" si="16">J55</f>
        <v>Joe Vincent</v>
      </c>
      <c r="C76" s="3">
        <f t="shared" si="16"/>
        <v>8</v>
      </c>
      <c r="D76" s="28">
        <f t="shared" si="13"/>
        <v>0</v>
      </c>
      <c r="E76" s="15"/>
      <c r="F76" s="15"/>
      <c r="G76" s="15"/>
      <c r="H76" s="15"/>
      <c r="I76" s="15"/>
      <c r="J76" s="15"/>
      <c r="K76" s="15"/>
      <c r="L76" s="15"/>
      <c r="M76" s="15"/>
      <c r="N76" s="15"/>
      <c r="O76" s="15"/>
      <c r="P76" s="15"/>
      <c r="Q76" s="15"/>
      <c r="R76" s="15"/>
      <c r="S76" s="15"/>
      <c r="T76" s="15"/>
      <c r="U76" s="15"/>
      <c r="V76" s="15"/>
      <c r="W76" s="15"/>
      <c r="X76" s="15"/>
      <c r="Y76" s="15"/>
      <c r="Z76" s="15"/>
    </row>
    <row r="77">
      <c r="A77" s="3" t="str">
        <f t="shared" si="11"/>
        <v>LB</v>
      </c>
      <c r="B77" s="3" t="str">
        <f t="shared" ref="B77:C77" si="17">J56</f>
        <v>Tam de Lacey</v>
      </c>
      <c r="C77" s="3">
        <f t="shared" si="17"/>
        <v>8</v>
      </c>
      <c r="D77" s="28">
        <f t="shared" si="13"/>
        <v>0</v>
      </c>
      <c r="E77" s="15"/>
      <c r="F77" s="15"/>
      <c r="G77" s="15"/>
      <c r="H77" s="15"/>
      <c r="I77" s="15"/>
      <c r="J77" s="15"/>
      <c r="K77" s="15"/>
      <c r="L77" s="15"/>
      <c r="M77" s="15"/>
      <c r="N77" s="15"/>
      <c r="O77" s="15"/>
      <c r="P77" s="15"/>
      <c r="Q77" s="15"/>
      <c r="R77" s="15"/>
      <c r="S77" s="15"/>
      <c r="T77" s="15"/>
      <c r="U77" s="15"/>
      <c r="V77" s="15"/>
      <c r="W77" s="15"/>
      <c r="X77" s="15"/>
      <c r="Y77" s="15"/>
      <c r="Z77" s="15"/>
    </row>
    <row r="78">
      <c r="A78" s="3" t="str">
        <f t="shared" si="11"/>
        <v>DCM</v>
      </c>
      <c r="B78" s="3" t="str">
        <f t="shared" ref="B78:C78" si="18">J57</f>
        <v>Sean Rowlett</v>
      </c>
      <c r="C78" s="3">
        <f t="shared" si="18"/>
        <v>7</v>
      </c>
      <c r="D78" s="28">
        <f t="shared" si="13"/>
        <v>0</v>
      </c>
      <c r="E78" s="15"/>
      <c r="F78" s="15"/>
      <c r="G78" s="15"/>
      <c r="H78" s="15"/>
      <c r="I78" s="15"/>
      <c r="J78" s="15"/>
      <c r="K78" s="15"/>
      <c r="L78" s="15"/>
      <c r="M78" s="15"/>
      <c r="N78" s="15"/>
      <c r="O78" s="15"/>
      <c r="P78" s="15"/>
      <c r="Q78" s="15"/>
      <c r="R78" s="15"/>
      <c r="S78" s="15"/>
      <c r="T78" s="15"/>
      <c r="U78" s="15"/>
      <c r="V78" s="15"/>
      <c r="W78" s="15"/>
      <c r="X78" s="15"/>
      <c r="Y78" s="15"/>
      <c r="Z78" s="15"/>
    </row>
    <row r="79">
      <c r="A79" s="3" t="str">
        <f t="shared" si="11"/>
        <v>RW</v>
      </c>
      <c r="B79" s="3" t="str">
        <f t="shared" ref="B79:C79" si="19">J58</f>
        <v>Masood Hamidi</v>
      </c>
      <c r="C79" s="3">
        <f t="shared" si="19"/>
        <v>14</v>
      </c>
      <c r="D79" s="28" t="str">
        <f t="shared" si="13"/>
        <v>Masood Hamidi</v>
      </c>
      <c r="E79" s="15"/>
      <c r="F79" s="15"/>
      <c r="G79" s="15"/>
      <c r="H79" s="15"/>
      <c r="I79" s="15"/>
      <c r="J79" s="15"/>
      <c r="K79" s="15"/>
      <c r="L79" s="15"/>
      <c r="M79" s="15"/>
      <c r="N79" s="15"/>
      <c r="O79" s="15"/>
      <c r="P79" s="15"/>
      <c r="Q79" s="15"/>
      <c r="R79" s="15"/>
      <c r="S79" s="15"/>
      <c r="T79" s="15"/>
      <c r="U79" s="15"/>
      <c r="V79" s="15"/>
      <c r="W79" s="15"/>
      <c r="X79" s="15"/>
      <c r="Y79" s="15"/>
      <c r="Z79" s="15"/>
    </row>
    <row r="80">
      <c r="A80" s="3" t="str">
        <f t="shared" si="11"/>
        <v>CF</v>
      </c>
      <c r="B80" s="3" t="str">
        <f t="shared" ref="B80:C80" si="20">J59</f>
        <v>Alex Stevens</v>
      </c>
      <c r="C80" s="3">
        <f t="shared" si="20"/>
        <v>10</v>
      </c>
      <c r="D80" s="28">
        <f t="shared" si="13"/>
        <v>0</v>
      </c>
      <c r="E80" s="15"/>
      <c r="F80" s="15"/>
      <c r="G80" s="15"/>
      <c r="H80" s="15"/>
      <c r="I80" s="15"/>
      <c r="J80" s="15"/>
      <c r="K80" s="15"/>
      <c r="L80" s="15"/>
      <c r="M80" s="15"/>
      <c r="N80" s="15"/>
      <c r="O80" s="15"/>
      <c r="P80" s="15"/>
      <c r="Q80" s="15"/>
      <c r="R80" s="15"/>
      <c r="S80" s="15"/>
      <c r="T80" s="15"/>
      <c r="U80" s="15"/>
      <c r="V80" s="15"/>
      <c r="W80" s="15"/>
      <c r="X80" s="15"/>
      <c r="Y80" s="15"/>
      <c r="Z80" s="15"/>
    </row>
    <row r="81">
      <c r="A81" s="3" t="str">
        <f t="shared" si="11"/>
        <v>LW</v>
      </c>
      <c r="B81" s="3" t="str">
        <f t="shared" ref="B81:C81" si="21">J60</f>
        <v>Jarvis Cheek</v>
      </c>
      <c r="C81" s="3">
        <f t="shared" si="21"/>
        <v>6</v>
      </c>
      <c r="D81" s="28">
        <f t="shared" si="13"/>
        <v>0</v>
      </c>
      <c r="E81" s="15"/>
      <c r="F81" s="15"/>
      <c r="G81" s="15"/>
      <c r="H81" s="15"/>
      <c r="I81" s="15"/>
      <c r="J81" s="15"/>
      <c r="K81" s="15"/>
      <c r="L81" s="15"/>
      <c r="M81" s="15"/>
      <c r="N81" s="15"/>
      <c r="O81" s="15"/>
      <c r="P81" s="15"/>
      <c r="Q81" s="15"/>
      <c r="R81" s="15"/>
      <c r="S81" s="15"/>
      <c r="T81" s="15"/>
      <c r="U81" s="15"/>
      <c r="V81" s="15"/>
      <c r="W81" s="15"/>
      <c r="X81" s="15"/>
      <c r="Y81" s="15"/>
      <c r="Z81" s="15"/>
    </row>
    <row r="82">
      <c r="A82" s="3" t="str">
        <f t="shared" si="11"/>
        <v>LW</v>
      </c>
      <c r="B82" s="3" t="str">
        <f t="shared" ref="B82:C82" si="22">J61</f>
        <v>Dan Klin</v>
      </c>
      <c r="C82" s="3">
        <f t="shared" si="22"/>
        <v>6</v>
      </c>
      <c r="D82" s="28">
        <f t="shared" si="13"/>
        <v>0</v>
      </c>
      <c r="E82" s="15"/>
      <c r="F82" s="15"/>
      <c r="G82" s="15"/>
      <c r="H82" s="15"/>
      <c r="I82" s="15"/>
      <c r="J82" s="15"/>
      <c r="K82" s="15"/>
      <c r="L82" s="15"/>
      <c r="M82" s="15"/>
      <c r="N82" s="15"/>
      <c r="O82" s="15"/>
      <c r="P82" s="15"/>
      <c r="Q82" s="15"/>
      <c r="R82" s="15"/>
      <c r="S82" s="15"/>
      <c r="T82" s="15"/>
      <c r="U82" s="15"/>
      <c r="V82" s="15"/>
      <c r="W82" s="15"/>
      <c r="X82" s="15"/>
      <c r="Y82" s="15"/>
      <c r="Z82" s="15"/>
    </row>
    <row r="83">
      <c r="A83" s="20" t="str">
        <f t="shared" ref="A83:B83" si="23">I62</f>
        <v/>
      </c>
      <c r="B83" s="21" t="str">
        <f t="shared" si="23"/>
        <v/>
      </c>
      <c r="C83" s="21"/>
      <c r="D83" s="15"/>
      <c r="E83" s="15"/>
      <c r="F83" s="15"/>
      <c r="G83" s="15"/>
      <c r="H83" s="15"/>
      <c r="I83" s="15"/>
      <c r="J83" s="15"/>
      <c r="K83" s="15"/>
      <c r="L83" s="15"/>
      <c r="M83" s="15"/>
      <c r="N83" s="15"/>
      <c r="O83" s="15"/>
      <c r="P83" s="15"/>
      <c r="Q83" s="15"/>
      <c r="R83" s="15"/>
      <c r="S83" s="15"/>
      <c r="T83" s="15"/>
      <c r="U83" s="15"/>
      <c r="V83" s="15"/>
      <c r="W83" s="15"/>
      <c r="X83" s="15"/>
      <c r="Y83" s="15"/>
      <c r="Z83" s="15"/>
    </row>
    <row r="84">
      <c r="A84" s="13" t="s">
        <v>52</v>
      </c>
      <c r="D84" s="15"/>
      <c r="E84" s="15"/>
      <c r="F84" s="15"/>
      <c r="G84" s="15"/>
      <c r="H84" s="15"/>
      <c r="I84" s="15"/>
      <c r="J84" s="15"/>
      <c r="K84" s="15"/>
      <c r="L84" s="15"/>
      <c r="M84" s="15"/>
      <c r="N84" s="15"/>
      <c r="O84" s="15"/>
      <c r="P84" s="15"/>
      <c r="Q84" s="15"/>
      <c r="R84" s="15"/>
      <c r="S84" s="15"/>
      <c r="T84" s="15"/>
      <c r="U84" s="15"/>
      <c r="V84" s="15"/>
      <c r="W84" s="15"/>
      <c r="X84" s="15"/>
      <c r="Y84" s="15"/>
      <c r="Z84" s="15"/>
    </row>
    <row r="85">
      <c r="A85" s="3" t="str">
        <f t="shared" ref="A85:A87" si="24">VLOOKUP(B85,$A$4:$B$44,2,FALSE)</f>
        <v>#N/A</v>
      </c>
      <c r="B85" s="3" t="s">
        <v>53</v>
      </c>
      <c r="C85" s="3" t="str">
        <f t="shared" ref="C85:C87" si="25">VLOOKUP(B85,$A$4:$D$24,4,FALSE)</f>
        <v>#N/A</v>
      </c>
      <c r="D85" s="15"/>
      <c r="E85" s="15"/>
      <c r="F85" s="15"/>
      <c r="G85" s="15"/>
      <c r="H85" s="15"/>
      <c r="I85" s="15"/>
      <c r="J85" s="15"/>
      <c r="K85" s="15"/>
      <c r="L85" s="15"/>
      <c r="M85" s="15"/>
      <c r="N85" s="15"/>
      <c r="O85" s="15"/>
      <c r="P85" s="15"/>
      <c r="Q85" s="15"/>
      <c r="R85" s="15"/>
      <c r="S85" s="15"/>
      <c r="T85" s="15"/>
      <c r="U85" s="15"/>
      <c r="V85" s="15"/>
      <c r="W85" s="15"/>
      <c r="X85" s="15"/>
      <c r="Y85" s="15"/>
      <c r="Z85" s="15"/>
    </row>
    <row r="86">
      <c r="A86" s="3" t="str">
        <f t="shared" si="24"/>
        <v>#N/A</v>
      </c>
      <c r="B86" s="3" t="s">
        <v>54</v>
      </c>
      <c r="C86" s="3" t="str">
        <f t="shared" si="25"/>
        <v>#N/A</v>
      </c>
      <c r="D86" s="15"/>
      <c r="E86" s="15"/>
      <c r="F86" s="15"/>
      <c r="G86" s="15"/>
      <c r="H86" s="15"/>
      <c r="I86" s="15"/>
      <c r="J86" s="15"/>
      <c r="K86" s="15"/>
      <c r="L86" s="15"/>
      <c r="M86" s="15"/>
      <c r="N86" s="15"/>
      <c r="O86" s="15"/>
      <c r="P86" s="15"/>
      <c r="Q86" s="15"/>
      <c r="R86" s="15"/>
      <c r="S86" s="15"/>
      <c r="T86" s="15"/>
      <c r="U86" s="15"/>
      <c r="V86" s="15"/>
      <c r="W86" s="15"/>
      <c r="X86" s="15"/>
      <c r="Y86" s="15"/>
      <c r="Z86" s="15"/>
    </row>
    <row r="87">
      <c r="A87" s="3" t="str">
        <f t="shared" si="24"/>
        <v>#N/A</v>
      </c>
      <c r="B87" s="3" t="s">
        <v>55</v>
      </c>
      <c r="C87" s="3" t="str">
        <f t="shared" si="25"/>
        <v>#N/A</v>
      </c>
      <c r="D87" s="15"/>
      <c r="E87" s="15"/>
      <c r="F87" s="15"/>
      <c r="G87" s="15"/>
      <c r="H87" s="15"/>
      <c r="I87" s="15"/>
      <c r="J87" s="15"/>
      <c r="K87" s="15"/>
      <c r="L87" s="15"/>
      <c r="M87" s="15"/>
      <c r="N87" s="15"/>
      <c r="O87" s="15"/>
      <c r="P87" s="15"/>
      <c r="Q87" s="15"/>
      <c r="R87" s="15"/>
      <c r="S87" s="15"/>
      <c r="T87" s="15"/>
      <c r="U87" s="15"/>
      <c r="V87" s="15"/>
      <c r="W87" s="15"/>
      <c r="X87" s="15"/>
      <c r="Y87" s="15"/>
      <c r="Z87" s="15"/>
    </row>
    <row r="88">
      <c r="A88" s="5" t="s">
        <v>14</v>
      </c>
      <c r="B88" s="5" t="s">
        <v>56</v>
      </c>
      <c r="C88" s="5">
        <v>2.0</v>
      </c>
      <c r="D88" s="15"/>
      <c r="E88" s="15"/>
      <c r="F88" s="15"/>
      <c r="G88" s="15"/>
      <c r="H88" s="15"/>
      <c r="I88" s="15"/>
      <c r="J88" s="15"/>
      <c r="K88" s="15"/>
      <c r="L88" s="15"/>
      <c r="M88" s="15"/>
      <c r="N88" s="15"/>
      <c r="O88" s="15"/>
      <c r="P88" s="15"/>
      <c r="Q88" s="15"/>
      <c r="R88" s="15"/>
      <c r="S88" s="15"/>
      <c r="T88" s="15"/>
      <c r="U88" s="15"/>
      <c r="V88" s="15"/>
      <c r="W88" s="15"/>
      <c r="X88" s="15"/>
      <c r="Y88" s="15"/>
      <c r="Z88" s="15"/>
    </row>
    <row r="89">
      <c r="A89" s="5" t="s">
        <v>12</v>
      </c>
      <c r="B89" s="3" t="s">
        <v>57</v>
      </c>
      <c r="C89" s="5">
        <v>2.0</v>
      </c>
      <c r="D89" s="15"/>
      <c r="E89" s="15"/>
      <c r="F89" s="15"/>
      <c r="G89" s="15"/>
      <c r="H89" s="15"/>
      <c r="I89" s="15"/>
      <c r="J89" s="15"/>
      <c r="K89" s="15"/>
      <c r="L89" s="15"/>
      <c r="M89" s="15"/>
      <c r="N89" s="15"/>
      <c r="O89" s="15"/>
      <c r="P89" s="15"/>
      <c r="Q89" s="15"/>
      <c r="R89" s="15"/>
      <c r="S89" s="15"/>
      <c r="T89" s="15"/>
      <c r="U89" s="15"/>
      <c r="V89" s="15"/>
      <c r="W89" s="15"/>
      <c r="X89" s="15"/>
      <c r="Y89" s="15"/>
      <c r="Z89" s="15"/>
    </row>
    <row r="90">
      <c r="A90" s="3" t="str">
        <f t="shared" ref="A90:A95" si="26">VLOOKUP(B90,$A$4:$B$44,2,FALSE)</f>
        <v>#N/A</v>
      </c>
      <c r="B90" s="3" t="s">
        <v>58</v>
      </c>
      <c r="C90" s="3" t="str">
        <f t="shared" ref="C90:C95" si="27">VLOOKUP(B90,$A$4:$D$24,4,FALSE)</f>
        <v>#N/A</v>
      </c>
      <c r="D90" s="15"/>
      <c r="E90" s="15"/>
      <c r="F90" s="15"/>
      <c r="G90" s="15"/>
      <c r="H90" s="15"/>
      <c r="I90" s="15"/>
      <c r="J90" s="15"/>
      <c r="K90" s="15"/>
      <c r="L90" s="15"/>
      <c r="M90" s="15"/>
      <c r="N90" s="15"/>
      <c r="O90" s="15"/>
      <c r="P90" s="15"/>
      <c r="Q90" s="15"/>
      <c r="R90" s="15"/>
      <c r="S90" s="15"/>
      <c r="T90" s="15"/>
      <c r="U90" s="15"/>
      <c r="V90" s="15"/>
      <c r="W90" s="15"/>
      <c r="X90" s="15"/>
      <c r="Y90" s="15"/>
      <c r="Z90" s="15"/>
    </row>
    <row r="91">
      <c r="A91" s="3" t="str">
        <f t="shared" si="26"/>
        <v>#N/A</v>
      </c>
      <c r="B91" s="3" t="s">
        <v>59</v>
      </c>
      <c r="C91" s="3" t="str">
        <f t="shared" si="27"/>
        <v>#N/A</v>
      </c>
      <c r="D91" s="15"/>
      <c r="E91" s="15"/>
      <c r="F91" s="15"/>
      <c r="G91" s="15"/>
      <c r="H91" s="15"/>
      <c r="I91" s="15"/>
      <c r="J91" s="15"/>
      <c r="K91" s="15"/>
      <c r="L91" s="15"/>
      <c r="M91" s="15"/>
      <c r="N91" s="15"/>
      <c r="O91" s="15"/>
      <c r="P91" s="15"/>
      <c r="Q91" s="15"/>
      <c r="R91" s="15"/>
      <c r="S91" s="15"/>
      <c r="T91" s="15"/>
      <c r="U91" s="15"/>
      <c r="V91" s="15"/>
      <c r="W91" s="15"/>
      <c r="X91" s="15"/>
      <c r="Y91" s="15"/>
      <c r="Z91" s="15"/>
    </row>
    <row r="92">
      <c r="A92" s="3" t="str">
        <f t="shared" si="26"/>
        <v>#N/A</v>
      </c>
      <c r="B92" s="3" t="s">
        <v>60</v>
      </c>
      <c r="C92" s="3" t="str">
        <f t="shared" si="27"/>
        <v>#N/A</v>
      </c>
      <c r="D92" s="15"/>
      <c r="E92" s="15"/>
      <c r="F92" s="15"/>
      <c r="G92" s="15"/>
      <c r="H92" s="15"/>
      <c r="I92" s="15"/>
      <c r="J92" s="15"/>
      <c r="K92" s="15"/>
      <c r="L92" s="15"/>
      <c r="M92" s="15"/>
      <c r="N92" s="15"/>
      <c r="O92" s="15"/>
      <c r="P92" s="15"/>
      <c r="Q92" s="15"/>
      <c r="R92" s="15"/>
      <c r="S92" s="15"/>
      <c r="T92" s="15"/>
      <c r="U92" s="15"/>
      <c r="V92" s="15"/>
      <c r="W92" s="15"/>
      <c r="X92" s="15"/>
      <c r="Y92" s="15"/>
      <c r="Z92" s="15"/>
    </row>
    <row r="93">
      <c r="A93" s="3" t="str">
        <f t="shared" si="26"/>
        <v>#N/A</v>
      </c>
      <c r="B93" s="3" t="s">
        <v>61</v>
      </c>
      <c r="C93" s="3" t="str">
        <f t="shared" si="27"/>
        <v>#N/A</v>
      </c>
      <c r="D93" s="15"/>
      <c r="E93" s="15"/>
      <c r="F93" s="15"/>
      <c r="G93" s="15"/>
      <c r="H93" s="15"/>
      <c r="I93" s="15"/>
      <c r="J93" s="15"/>
      <c r="K93" s="15"/>
      <c r="L93" s="15"/>
      <c r="M93" s="15"/>
      <c r="N93" s="15"/>
      <c r="O93" s="15"/>
      <c r="P93" s="15"/>
      <c r="Q93" s="15"/>
      <c r="R93" s="15"/>
      <c r="S93" s="15"/>
      <c r="T93" s="15"/>
      <c r="U93" s="15"/>
      <c r="V93" s="15"/>
      <c r="W93" s="15"/>
      <c r="X93" s="15"/>
      <c r="Y93" s="15"/>
      <c r="Z93" s="15"/>
    </row>
    <row r="94">
      <c r="A94" s="3" t="str">
        <f t="shared" si="26"/>
        <v>#N/A</v>
      </c>
      <c r="B94" s="3" t="s">
        <v>62</v>
      </c>
      <c r="C94" s="3" t="str">
        <f t="shared" si="27"/>
        <v>#N/A</v>
      </c>
      <c r="D94" s="15"/>
      <c r="E94" s="15"/>
      <c r="F94" s="15"/>
      <c r="G94" s="15"/>
      <c r="H94" s="15"/>
      <c r="I94" s="15"/>
      <c r="J94" s="15"/>
      <c r="K94" s="15"/>
      <c r="L94" s="15"/>
      <c r="M94" s="15"/>
      <c r="N94" s="15"/>
      <c r="O94" s="15"/>
      <c r="P94" s="15"/>
      <c r="Q94" s="15"/>
      <c r="R94" s="15"/>
      <c r="S94" s="15"/>
      <c r="T94" s="15"/>
      <c r="U94" s="15"/>
      <c r="V94" s="15"/>
      <c r="W94" s="15"/>
      <c r="X94" s="15"/>
      <c r="Y94" s="15"/>
      <c r="Z94" s="15"/>
    </row>
    <row r="95">
      <c r="A95" s="3" t="str">
        <f t="shared" si="26"/>
        <v>RW</v>
      </c>
      <c r="B95" s="3" t="s">
        <v>45</v>
      </c>
      <c r="C95" s="3">
        <f t="shared" si="27"/>
        <v>14</v>
      </c>
      <c r="D95" s="15"/>
      <c r="E95" s="15"/>
      <c r="F95" s="15"/>
      <c r="G95" s="15"/>
      <c r="H95" s="15"/>
      <c r="I95" s="15"/>
      <c r="J95" s="15"/>
      <c r="K95" s="15"/>
      <c r="L95" s="15"/>
      <c r="M95" s="15"/>
      <c r="N95" s="15"/>
      <c r="O95" s="15"/>
      <c r="P95" s="15"/>
      <c r="Q95" s="15"/>
      <c r="R95" s="15"/>
      <c r="S95" s="15"/>
      <c r="T95" s="15"/>
      <c r="U95" s="15"/>
      <c r="V95" s="15"/>
      <c r="W95" s="15"/>
      <c r="X95" s="15"/>
      <c r="Y95" s="15"/>
      <c r="Z95" s="15"/>
    </row>
    <row r="96">
      <c r="D96" s="15"/>
      <c r="E96" s="15"/>
      <c r="F96" s="15"/>
      <c r="G96" s="15"/>
      <c r="H96" s="15"/>
      <c r="I96" s="15"/>
      <c r="J96" s="15"/>
      <c r="K96" s="15"/>
      <c r="L96" s="15"/>
      <c r="M96" s="15"/>
      <c r="N96" s="15"/>
      <c r="O96" s="15"/>
      <c r="P96" s="15"/>
      <c r="Q96" s="15"/>
      <c r="R96" s="15"/>
      <c r="S96" s="15"/>
      <c r="T96" s="15"/>
      <c r="U96" s="15"/>
      <c r="V96" s="15"/>
      <c r="W96" s="15"/>
      <c r="X96" s="15"/>
      <c r="Y96" s="15"/>
      <c r="Z96" s="15"/>
    </row>
    <row r="97">
      <c r="D97" s="15"/>
      <c r="E97" s="15"/>
      <c r="F97" s="15"/>
      <c r="G97" s="15"/>
      <c r="H97" s="15"/>
      <c r="I97" s="15"/>
      <c r="J97" s="15"/>
      <c r="K97" s="15"/>
      <c r="L97" s="15"/>
      <c r="M97" s="15"/>
      <c r="N97" s="15"/>
      <c r="O97" s="15"/>
      <c r="P97" s="15"/>
      <c r="Q97" s="15"/>
      <c r="R97" s="15"/>
      <c r="S97" s="15"/>
      <c r="T97" s="15"/>
      <c r="U97" s="15"/>
      <c r="V97" s="15"/>
      <c r="W97" s="15"/>
      <c r="X97" s="15"/>
      <c r="Y97" s="15"/>
      <c r="Z97" s="15"/>
    </row>
    <row r="98">
      <c r="A98" s="29"/>
      <c r="B98" s="30"/>
      <c r="C98" s="30"/>
      <c r="D98" s="15"/>
      <c r="E98" s="15"/>
      <c r="F98" s="15"/>
      <c r="G98" s="15"/>
      <c r="H98" s="15"/>
      <c r="I98" s="15"/>
      <c r="J98" s="15"/>
      <c r="K98" s="15"/>
      <c r="L98" s="15"/>
      <c r="M98" s="15"/>
      <c r="N98" s="15"/>
      <c r="O98" s="15"/>
      <c r="P98" s="15"/>
      <c r="Q98" s="15"/>
      <c r="R98" s="15"/>
      <c r="S98" s="15"/>
      <c r="T98" s="15"/>
      <c r="U98" s="15"/>
      <c r="V98" s="15"/>
      <c r="W98" s="15"/>
      <c r="X98" s="15"/>
      <c r="Y98" s="15"/>
      <c r="Z98" s="15"/>
    </row>
    <row r="99">
      <c r="A99" s="29"/>
      <c r="B99" s="30"/>
      <c r="C99" s="30"/>
      <c r="D99" s="15"/>
      <c r="E99" s="15"/>
      <c r="F99" s="15"/>
      <c r="G99" s="15"/>
      <c r="H99" s="15"/>
      <c r="I99" s="15"/>
      <c r="J99" s="15"/>
      <c r="K99" s="15"/>
      <c r="L99" s="15"/>
      <c r="M99" s="15"/>
      <c r="N99" s="15"/>
      <c r="O99" s="15"/>
      <c r="P99" s="15"/>
      <c r="Q99" s="15"/>
      <c r="R99" s="15"/>
      <c r="S99" s="15"/>
      <c r="T99" s="15"/>
      <c r="U99" s="15"/>
      <c r="V99" s="15"/>
      <c r="W99" s="15"/>
      <c r="X99" s="15"/>
      <c r="Y99" s="15"/>
      <c r="Z99" s="15"/>
    </row>
    <row r="100">
      <c r="A100" s="29"/>
      <c r="B100" s="30"/>
      <c r="C100" s="30"/>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22"/>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22"/>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22"/>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22"/>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22"/>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22"/>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22"/>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22"/>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22"/>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22"/>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22"/>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22"/>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22"/>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2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2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2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2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2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2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2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2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2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2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2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2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2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2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2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2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2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2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2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2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2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2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2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2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2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2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2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2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2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2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2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2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2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2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2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2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2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2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2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2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2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2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2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2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2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2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2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2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2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2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2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2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2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2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2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2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2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2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2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2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2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2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2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2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2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2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2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2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2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2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2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2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2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2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2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2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2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2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2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2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2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2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2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2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2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2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2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2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2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2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2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2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2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2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2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2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2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2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2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2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2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2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2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2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2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2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2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2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2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2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2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2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2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2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2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2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2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2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2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2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2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2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2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2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2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2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2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2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2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2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2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2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2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2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2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2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2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2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2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2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2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2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2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2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2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2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2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2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2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2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2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2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2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2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2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2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2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2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2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2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2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2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2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2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2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2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2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2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2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2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2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2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2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2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2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2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2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2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2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2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2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2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2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2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2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2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2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2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2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2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2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2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2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2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2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2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2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2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2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2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2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2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2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2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2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2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2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2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2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2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2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2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2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2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2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2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2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2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2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2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2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2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2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2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2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2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2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2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2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2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2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2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2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2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2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2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2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2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2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2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2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2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2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2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2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2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2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2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2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2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2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2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2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2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2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2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2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2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2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2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2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2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2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2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2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2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2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2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2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2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2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2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2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2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2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2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2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2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2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2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2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2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2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2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2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2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2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2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2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2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2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2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2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2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2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2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2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2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2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2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2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2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2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2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2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2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2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2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2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2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2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2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2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2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2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2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2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2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2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2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2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2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2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2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2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2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2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2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2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2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2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2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2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2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2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2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2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2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2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2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2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2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2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2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2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2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2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2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2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2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2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2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2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2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2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2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2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2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2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2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2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2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2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2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2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2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2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2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2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2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2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2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2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2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2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2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2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2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2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2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2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2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2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2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2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2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2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2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2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2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2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2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2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2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2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2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2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2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2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2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2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2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2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2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2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2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2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2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2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2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2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2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2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2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2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2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2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2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2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2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2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2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2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2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2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2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2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2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2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2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2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2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2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2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2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2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2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2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2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2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2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2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2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2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2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2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2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2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2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2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2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2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2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2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2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2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2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2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2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2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2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2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2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2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2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2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2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2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2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2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2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2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2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2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2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2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2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2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2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2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2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2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2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2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2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2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2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2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2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2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2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2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2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2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2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2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2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2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2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2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2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2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2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2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2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2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2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2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2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2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2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2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2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2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2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2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2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2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2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2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2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2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2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2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2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2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2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2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2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2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2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2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2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2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2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2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2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2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2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2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2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2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2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2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2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2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2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2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2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2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2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2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2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2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2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2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2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2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2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2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2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2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2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2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2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2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2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2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2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2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2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2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2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2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2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2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2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2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2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2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2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2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2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2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2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2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2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2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2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2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2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2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2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2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2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2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2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2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2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2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2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2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2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2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2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2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2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2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2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2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2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2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2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2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2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2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2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2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2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2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2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2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2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2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2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2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2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2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2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2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2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2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2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2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2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2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2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2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2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2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2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2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2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2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2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2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2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2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2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2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2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2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2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2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2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2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2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2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2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2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2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2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2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2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2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2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2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2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2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2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2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2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2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2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2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2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2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2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2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2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2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2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2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2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2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2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2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2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2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2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2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2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2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2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2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2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2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2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2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2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2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2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2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2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2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2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2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2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2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2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2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2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2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2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2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2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2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2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2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2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2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2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2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2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2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2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2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2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2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2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2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2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2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2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2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2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2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2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2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2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2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2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2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2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2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2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2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2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2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2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2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2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2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2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2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2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2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2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2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2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2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2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2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2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2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2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2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2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2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2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2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2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2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2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2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2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2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2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2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2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2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2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2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2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2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2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2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2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2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2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2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2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2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2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2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2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2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2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2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2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2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2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2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2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2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2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2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2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2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2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2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2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2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2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2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2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2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2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2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2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2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2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2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2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2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2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2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2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2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2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2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2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2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2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2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2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2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2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2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2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2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2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2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2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2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2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2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2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2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2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2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2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2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2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2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2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2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2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2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2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2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2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2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2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2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2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2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2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2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2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2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2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2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2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2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2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2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2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2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2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2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2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2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2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22"/>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22"/>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22"/>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c r="A1004" s="22"/>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c r="A1005" s="22"/>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c r="A1006" s="22"/>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7">
      <c r="A1007" s="22"/>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row>
    <row r="1008">
      <c r="A1008" s="22"/>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row>
    <row r="1009">
      <c r="A1009" s="22"/>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row>
    <row r="1010">
      <c r="A1010" s="22"/>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row>
    <row r="1011">
      <c r="A1011" s="22"/>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c r="A1012" s="22"/>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c r="A1013" s="22"/>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c r="A1014" s="22"/>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c r="A1015" s="22"/>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c r="A1016" s="22"/>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c r="A1017" s="22"/>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c r="A1018" s="26"/>
      <c r="B1018" s="27"/>
      <c r="C1018" s="27"/>
      <c r="D1018" s="27"/>
      <c r="E1018" s="27"/>
      <c r="F1018" s="27"/>
      <c r="G1018" s="15"/>
      <c r="H1018" s="15"/>
      <c r="I1018" s="15"/>
      <c r="J1018" s="15"/>
      <c r="K1018" s="15"/>
      <c r="L1018" s="15"/>
      <c r="M1018" s="15"/>
      <c r="N1018" s="15"/>
      <c r="O1018" s="15"/>
      <c r="P1018" s="15"/>
      <c r="Q1018" s="15"/>
      <c r="R1018" s="15"/>
      <c r="S1018" s="15"/>
      <c r="T1018" s="15"/>
      <c r="U1018" s="15"/>
      <c r="V1018" s="15"/>
      <c r="W1018" s="15"/>
      <c r="X1018" s="15"/>
      <c r="Y1018" s="15"/>
      <c r="Z1018" s="15"/>
    </row>
  </sheetData>
  <mergeCells count="4">
    <mergeCell ref="A1:C1"/>
    <mergeCell ref="D1:F1"/>
    <mergeCell ref="A70:C70"/>
    <mergeCell ref="A84:C84"/>
  </mergeCells>
  <conditionalFormatting sqref="A5:F24">
    <cfRule type="expression" dxfId="0" priority="1">
      <formula>Vlookup($A5,$J$51:$J$61,1,FALSE)=$A5</formula>
    </cfRule>
  </conditionalFormatting>
  <conditionalFormatting sqref="A5:F24">
    <cfRule type="expression" dxfId="1" priority="2">
      <formula>IFERROR(Vlookup($A5,$J$51:$J$61,1,FALSE),0)=0</formula>
    </cfRule>
  </conditionalFormatting>
  <conditionalFormatting sqref="A72:C82 B89 B94">
    <cfRule type="expression" dxfId="0" priority="3">
      <formula>$D72=$B72</formula>
    </cfRule>
  </conditionalFormatting>
  <dataValidations>
    <dataValidation type="list" allowBlank="1" showErrorMessage="1" sqref="D1">
      <formula1>'OTPI Scores'!$A$2:$A1018</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63"/>
  </cols>
  <sheetData>
    <row r="1">
      <c r="A1" s="5" t="s">
        <v>63</v>
      </c>
      <c r="B1" s="5" t="s">
        <v>64</v>
      </c>
      <c r="C1" s="5" t="s">
        <v>65</v>
      </c>
      <c r="H1" s="5" t="s">
        <v>65</v>
      </c>
      <c r="I1" s="5" t="s">
        <v>66</v>
      </c>
    </row>
    <row r="2">
      <c r="A2" s="31">
        <v>45178.0</v>
      </c>
      <c r="B2" s="5" t="s">
        <v>8</v>
      </c>
      <c r="C2" s="5" t="s">
        <v>53</v>
      </c>
      <c r="D2" s="5">
        <v>8.0</v>
      </c>
      <c r="H2" s="3" t="str">
        <f>IFERROR(__xludf.DUMMYFUNCTION("query(A3:C967,""SELECT C, count(C) where C!='' group by C ORDER BY count(C) desc label count(C) ''"", 0)"),"Jarvis Cheek")</f>
        <v>Jarvis Cheek</v>
      </c>
      <c r="I2" s="3">
        <f>IFERROR(__xludf.DUMMYFUNCTION("""COMPUTED_VALUE"""),9.0)</f>
        <v>9</v>
      </c>
    </row>
    <row r="3">
      <c r="A3" s="31">
        <v>45178.0</v>
      </c>
      <c r="B3" s="5" t="s">
        <v>11</v>
      </c>
      <c r="C3" s="5" t="s">
        <v>67</v>
      </c>
      <c r="D3" s="5">
        <v>11.0</v>
      </c>
      <c r="H3" s="3" t="str">
        <f>IFERROR(__xludf.DUMMYFUNCTION("""COMPUTED_VALUE"""),"Josh Sherriff-Jolly")</f>
        <v>Josh Sherriff-Jolly</v>
      </c>
      <c r="I3" s="3">
        <f>IFERROR(__xludf.DUMMYFUNCTION("""COMPUTED_VALUE"""),8.0)</f>
        <v>8</v>
      </c>
    </row>
    <row r="4">
      <c r="A4" s="31">
        <v>45178.0</v>
      </c>
      <c r="B4" s="5" t="s">
        <v>11</v>
      </c>
      <c r="C4" s="5" t="s">
        <v>68</v>
      </c>
      <c r="D4" s="5">
        <v>8.0</v>
      </c>
      <c r="H4" s="3" t="str">
        <f>IFERROR(__xludf.DUMMYFUNCTION("""COMPUTED_VALUE"""),"John Harrison")</f>
        <v>John Harrison</v>
      </c>
      <c r="I4" s="3">
        <f>IFERROR(__xludf.DUMMYFUNCTION("""COMPUTED_VALUE"""),7.0)</f>
        <v>7</v>
      </c>
    </row>
    <row r="5">
      <c r="A5" s="31">
        <v>45178.0</v>
      </c>
      <c r="B5" s="5" t="s">
        <v>11</v>
      </c>
      <c r="C5" s="5" t="s">
        <v>69</v>
      </c>
      <c r="D5" s="5">
        <v>8.0</v>
      </c>
      <c r="H5" s="3" t="str">
        <f>IFERROR(__xludf.DUMMYFUNCTION("""COMPUTED_VALUE"""),"Matt Crowe")</f>
        <v>Matt Crowe</v>
      </c>
      <c r="I5" s="3">
        <f>IFERROR(__xludf.DUMMYFUNCTION("""COMPUTED_VALUE"""),7.0)</f>
        <v>7</v>
      </c>
    </row>
    <row r="6">
      <c r="A6" s="31">
        <v>45178.0</v>
      </c>
      <c r="B6" s="5" t="s">
        <v>10</v>
      </c>
      <c r="C6" s="5" t="s">
        <v>70</v>
      </c>
      <c r="D6" s="5">
        <v>27.0</v>
      </c>
      <c r="H6" s="3" t="str">
        <f>IFERROR(__xludf.DUMMYFUNCTION("""COMPUTED_VALUE"""),"Ade Lawal")</f>
        <v>Ade Lawal</v>
      </c>
      <c r="I6" s="3">
        <f>IFERROR(__xludf.DUMMYFUNCTION("""COMPUTED_VALUE"""),6.0)</f>
        <v>6</v>
      </c>
    </row>
    <row r="7">
      <c r="A7" s="31">
        <v>45178.0</v>
      </c>
      <c r="B7" s="5" t="s">
        <v>10</v>
      </c>
      <c r="C7" s="5" t="s">
        <v>71</v>
      </c>
      <c r="D7" s="5">
        <v>12.0</v>
      </c>
      <c r="H7" s="3" t="str">
        <f>IFERROR(__xludf.DUMMYFUNCTION("""COMPUTED_VALUE"""),"Alex Scott-Ruddock")</f>
        <v>Alex Scott-Ruddock</v>
      </c>
      <c r="I7" s="3">
        <f>IFERROR(__xludf.DUMMYFUNCTION("""COMPUTED_VALUE"""),6.0)</f>
        <v>6</v>
      </c>
    </row>
    <row r="8">
      <c r="A8" s="31">
        <v>45178.0</v>
      </c>
      <c r="B8" s="5" t="s">
        <v>10</v>
      </c>
      <c r="C8" s="5" t="s">
        <v>72</v>
      </c>
      <c r="D8" s="5">
        <v>17.0</v>
      </c>
      <c r="H8" s="3" t="str">
        <f>IFERROR(__xludf.DUMMYFUNCTION("""COMPUTED_VALUE"""),"Ollie Sewell")</f>
        <v>Ollie Sewell</v>
      </c>
      <c r="I8" s="3">
        <f>IFERROR(__xludf.DUMMYFUNCTION("""COMPUTED_VALUE"""),6.0)</f>
        <v>6</v>
      </c>
    </row>
    <row r="9">
      <c r="A9" s="31">
        <v>45178.0</v>
      </c>
      <c r="B9" s="5" t="s">
        <v>10</v>
      </c>
      <c r="C9" s="5" t="s">
        <v>48</v>
      </c>
      <c r="D9" s="5">
        <v>15.0</v>
      </c>
      <c r="H9" s="3" t="str">
        <f>IFERROR(__xludf.DUMMYFUNCTION("""COMPUTED_VALUE"""),"Adam Platten")</f>
        <v>Adam Platten</v>
      </c>
      <c r="I9" s="3">
        <f>IFERROR(__xludf.DUMMYFUNCTION("""COMPUTED_VALUE"""),5.0)</f>
        <v>5</v>
      </c>
    </row>
    <row r="10">
      <c r="A10" s="31">
        <v>45178.0</v>
      </c>
      <c r="B10" s="5" t="s">
        <v>10</v>
      </c>
      <c r="C10" s="5" t="s">
        <v>60</v>
      </c>
      <c r="D10" s="5">
        <v>14.0</v>
      </c>
      <c r="H10" s="3" t="str">
        <f>IFERROR(__xludf.DUMMYFUNCTION("""COMPUTED_VALUE"""),"Alex Dockerill")</f>
        <v>Alex Dockerill</v>
      </c>
      <c r="I10" s="3">
        <f>IFERROR(__xludf.DUMMYFUNCTION("""COMPUTED_VALUE"""),5.0)</f>
        <v>5</v>
      </c>
    </row>
    <row r="11">
      <c r="A11" s="31">
        <v>45178.0</v>
      </c>
      <c r="B11" s="5" t="s">
        <v>9</v>
      </c>
      <c r="C11" s="5" t="s">
        <v>73</v>
      </c>
      <c r="D11" s="5">
        <v>15.0</v>
      </c>
      <c r="H11" s="3" t="str">
        <f>IFERROR(__xludf.DUMMYFUNCTION("""COMPUTED_VALUE"""),"Theo Horton")</f>
        <v>Theo Horton</v>
      </c>
      <c r="I11" s="3">
        <f>IFERROR(__xludf.DUMMYFUNCTION("""COMPUTED_VALUE"""),5.0)</f>
        <v>5</v>
      </c>
    </row>
    <row r="12">
      <c r="A12" s="31">
        <v>45178.0</v>
      </c>
      <c r="B12" s="5" t="s">
        <v>9</v>
      </c>
      <c r="C12" s="5" t="s">
        <v>74</v>
      </c>
      <c r="D12" s="5">
        <v>10.0</v>
      </c>
      <c r="H12" s="3" t="str">
        <f>IFERROR(__xludf.DUMMYFUNCTION("""COMPUTED_VALUE"""),"Yemi Oviosu")</f>
        <v>Yemi Oviosu</v>
      </c>
      <c r="I12" s="3">
        <f>IFERROR(__xludf.DUMMYFUNCTION("""COMPUTED_VALUE"""),5.0)</f>
        <v>5</v>
      </c>
    </row>
    <row r="13">
      <c r="A13" s="32">
        <v>45185.0</v>
      </c>
      <c r="B13" s="5" t="s">
        <v>8</v>
      </c>
      <c r="C13" s="5" t="s">
        <v>53</v>
      </c>
      <c r="D13" s="5">
        <v>8.0</v>
      </c>
      <c r="H13" s="3" t="str">
        <f>IFERROR(__xludf.DUMMYFUNCTION("""COMPUTED_VALUE"""),"Alex Stevens")</f>
        <v>Alex Stevens</v>
      </c>
      <c r="I13" s="3">
        <f>IFERROR(__xludf.DUMMYFUNCTION("""COMPUTED_VALUE"""),4.0)</f>
        <v>4</v>
      </c>
    </row>
    <row r="14">
      <c r="A14" s="32">
        <v>45185.0</v>
      </c>
      <c r="B14" s="5" t="s">
        <v>18</v>
      </c>
      <c r="C14" s="5" t="s">
        <v>75</v>
      </c>
      <c r="D14" s="5">
        <v>14.0</v>
      </c>
      <c r="H14" s="3" t="str">
        <f>IFERROR(__xludf.DUMMYFUNCTION("""COMPUTED_VALUE"""),"George Connolly")</f>
        <v>George Connolly</v>
      </c>
      <c r="I14" s="3">
        <f>IFERROR(__xludf.DUMMYFUNCTION("""COMPUTED_VALUE"""),4.0)</f>
        <v>4</v>
      </c>
    </row>
    <row r="15">
      <c r="A15" s="32">
        <v>45185.0</v>
      </c>
      <c r="B15" s="5" t="s">
        <v>14</v>
      </c>
      <c r="C15" s="5" t="s">
        <v>69</v>
      </c>
      <c r="D15" s="5">
        <v>8.0</v>
      </c>
      <c r="H15" s="3" t="str">
        <f>IFERROR(__xludf.DUMMYFUNCTION("""COMPUTED_VALUE"""),"Jamie Wood")</f>
        <v>Jamie Wood</v>
      </c>
      <c r="I15" s="3">
        <f>IFERROR(__xludf.DUMMYFUNCTION("""COMPUTED_VALUE"""),4.0)</f>
        <v>4</v>
      </c>
    </row>
    <row r="16">
      <c r="A16" s="32">
        <v>45185.0</v>
      </c>
      <c r="B16" s="5" t="s">
        <v>14</v>
      </c>
      <c r="C16" s="5" t="s">
        <v>76</v>
      </c>
      <c r="D16" s="5">
        <v>13.0</v>
      </c>
      <c r="H16" s="3" t="str">
        <f>IFERROR(__xludf.DUMMYFUNCTION("""COMPUTED_VALUE"""),"Max Watson")</f>
        <v>Max Watson</v>
      </c>
      <c r="I16" s="3">
        <f>IFERROR(__xludf.DUMMYFUNCTION("""COMPUTED_VALUE"""),4.0)</f>
        <v>4</v>
      </c>
    </row>
    <row r="17">
      <c r="A17" s="32">
        <v>45185.0</v>
      </c>
      <c r="B17" s="5" t="s">
        <v>14</v>
      </c>
      <c r="C17" s="5" t="s">
        <v>67</v>
      </c>
      <c r="D17" s="5">
        <v>8.0</v>
      </c>
      <c r="H17" s="3" t="str">
        <f>IFERROR(__xludf.DUMMYFUNCTION("""COMPUTED_VALUE"""),"Rich Lundie")</f>
        <v>Rich Lundie</v>
      </c>
      <c r="I17" s="3">
        <f>IFERROR(__xludf.DUMMYFUNCTION("""COMPUTED_VALUE"""),4.0)</f>
        <v>4</v>
      </c>
    </row>
    <row r="18">
      <c r="A18" s="32">
        <v>45185.0</v>
      </c>
      <c r="B18" s="5" t="s">
        <v>17</v>
      </c>
      <c r="C18" s="5" t="s">
        <v>77</v>
      </c>
      <c r="D18" s="5">
        <v>8.0</v>
      </c>
      <c r="H18" s="3" t="str">
        <f>IFERROR(__xludf.DUMMYFUNCTION("""COMPUTED_VALUE"""),"Richard Jones")</f>
        <v>Richard Jones</v>
      </c>
      <c r="I18" s="3">
        <f>IFERROR(__xludf.DUMMYFUNCTION("""COMPUTED_VALUE"""),4.0)</f>
        <v>4</v>
      </c>
    </row>
    <row r="19">
      <c r="A19" s="32">
        <v>45185.0</v>
      </c>
      <c r="B19" s="5" t="s">
        <v>10</v>
      </c>
      <c r="C19" s="5" t="s">
        <v>57</v>
      </c>
      <c r="D19" s="5">
        <v>12.0</v>
      </c>
      <c r="H19" s="3" t="str">
        <f>IFERROR(__xludf.DUMMYFUNCTION("""COMPUTED_VALUE"""),"Rob Edmonds")</f>
        <v>Rob Edmonds</v>
      </c>
      <c r="I19" s="3">
        <f>IFERROR(__xludf.DUMMYFUNCTION("""COMPUTED_VALUE"""),4.0)</f>
        <v>4</v>
      </c>
    </row>
    <row r="20">
      <c r="A20" s="32">
        <v>45185.0</v>
      </c>
      <c r="B20" s="5" t="s">
        <v>10</v>
      </c>
      <c r="C20" s="5" t="s">
        <v>78</v>
      </c>
      <c r="D20" s="5">
        <v>8.0</v>
      </c>
      <c r="H20" s="3" t="str">
        <f>IFERROR(__xludf.DUMMYFUNCTION("""COMPUTED_VALUE"""),"Aaron Snelling")</f>
        <v>Aaron Snelling</v>
      </c>
      <c r="I20" s="3">
        <f>IFERROR(__xludf.DUMMYFUNCTION("""COMPUTED_VALUE"""),3.0)</f>
        <v>3</v>
      </c>
    </row>
    <row r="21">
      <c r="A21" s="32">
        <v>45185.0</v>
      </c>
      <c r="B21" s="5" t="s">
        <v>9</v>
      </c>
      <c r="C21" s="5" t="s">
        <v>73</v>
      </c>
      <c r="D21" s="5">
        <v>9.0</v>
      </c>
      <c r="H21" s="3" t="str">
        <f>IFERROR(__xludf.DUMMYFUNCTION("""COMPUTED_VALUE"""),"Ben Dockerill")</f>
        <v>Ben Dockerill</v>
      </c>
      <c r="I21" s="3">
        <f>IFERROR(__xludf.DUMMYFUNCTION("""COMPUTED_VALUE"""),3.0)</f>
        <v>3</v>
      </c>
    </row>
    <row r="22">
      <c r="A22" s="32">
        <v>45185.0</v>
      </c>
      <c r="B22" s="5" t="s">
        <v>9</v>
      </c>
      <c r="C22" s="5" t="s">
        <v>79</v>
      </c>
      <c r="D22" s="5">
        <v>23.0</v>
      </c>
      <c r="H22" s="3" t="str">
        <f>IFERROR(__xludf.DUMMYFUNCTION("""COMPUTED_VALUE"""),"Calum Bennett")</f>
        <v>Calum Bennett</v>
      </c>
      <c r="I22" s="3">
        <f>IFERROR(__xludf.DUMMYFUNCTION("""COMPUTED_VALUE"""),3.0)</f>
        <v>3</v>
      </c>
    </row>
    <row r="23">
      <c r="A23" s="32">
        <v>45185.0</v>
      </c>
      <c r="B23" s="5" t="s">
        <v>9</v>
      </c>
      <c r="C23" s="5" t="s">
        <v>80</v>
      </c>
      <c r="D23" s="5">
        <v>10.0</v>
      </c>
      <c r="H23" s="3" t="str">
        <f>IFERROR(__xludf.DUMMYFUNCTION("""COMPUTED_VALUE"""),"Calum Edwards")</f>
        <v>Calum Edwards</v>
      </c>
      <c r="I23" s="3">
        <f>IFERROR(__xludf.DUMMYFUNCTION("""COMPUTED_VALUE"""),3.0)</f>
        <v>3</v>
      </c>
    </row>
    <row r="24">
      <c r="A24" s="10">
        <v>45192.0</v>
      </c>
      <c r="B24" s="5" t="s">
        <v>8</v>
      </c>
      <c r="C24" s="5" t="s">
        <v>38</v>
      </c>
      <c r="D24" s="5">
        <v>8.0</v>
      </c>
      <c r="H24" s="3" t="str">
        <f>IFERROR(__xludf.DUMMYFUNCTION("""COMPUTED_VALUE"""),"Cameron Pashley")</f>
        <v>Cameron Pashley</v>
      </c>
      <c r="I24" s="3">
        <f>IFERROR(__xludf.DUMMYFUNCTION("""COMPUTED_VALUE"""),3.0)</f>
        <v>3</v>
      </c>
    </row>
    <row r="25">
      <c r="A25" s="10">
        <v>45192.0</v>
      </c>
      <c r="B25" s="5" t="s">
        <v>16</v>
      </c>
      <c r="C25" s="5" t="s">
        <v>81</v>
      </c>
      <c r="D25" s="5">
        <v>8.0</v>
      </c>
      <c r="H25" s="3" t="str">
        <f>IFERROR(__xludf.DUMMYFUNCTION("""COMPUTED_VALUE"""),"Charlie Doe")</f>
        <v>Charlie Doe</v>
      </c>
      <c r="I25" s="3">
        <f>IFERROR(__xludf.DUMMYFUNCTION("""COMPUTED_VALUE"""),3.0)</f>
        <v>3</v>
      </c>
    </row>
    <row r="26">
      <c r="A26" s="10">
        <v>45192.0</v>
      </c>
      <c r="B26" s="5" t="s">
        <v>11</v>
      </c>
      <c r="C26" s="5" t="s">
        <v>40</v>
      </c>
      <c r="D26" s="5">
        <v>13.0</v>
      </c>
      <c r="H26" s="3" t="str">
        <f>IFERROR(__xludf.DUMMYFUNCTION("""COMPUTED_VALUE"""),"Claudien Mwalimu")</f>
        <v>Claudien Mwalimu</v>
      </c>
      <c r="I26" s="3">
        <f>IFERROR(__xludf.DUMMYFUNCTION("""COMPUTED_VALUE"""),3.0)</f>
        <v>3</v>
      </c>
    </row>
    <row r="27">
      <c r="A27" s="10">
        <v>45192.0</v>
      </c>
      <c r="B27" s="5" t="s">
        <v>11</v>
      </c>
      <c r="C27" s="5" t="s">
        <v>82</v>
      </c>
      <c r="D27" s="5">
        <v>8.0</v>
      </c>
      <c r="H27" s="3" t="str">
        <f>IFERROR(__xludf.DUMMYFUNCTION("""COMPUTED_VALUE"""),"Harry Fripp")</f>
        <v>Harry Fripp</v>
      </c>
      <c r="I27" s="3">
        <f>IFERROR(__xludf.DUMMYFUNCTION("""COMPUTED_VALUE"""),3.0)</f>
        <v>3</v>
      </c>
    </row>
    <row r="28">
      <c r="A28" s="10">
        <v>45192.0</v>
      </c>
      <c r="B28" s="5" t="s">
        <v>11</v>
      </c>
      <c r="C28" s="5" t="s">
        <v>83</v>
      </c>
      <c r="D28" s="5">
        <v>8.0</v>
      </c>
      <c r="H28" s="3" t="str">
        <f>IFERROR(__xludf.DUMMYFUNCTION("""COMPUTED_VALUE"""),"Keaton Cohen")</f>
        <v>Keaton Cohen</v>
      </c>
      <c r="I28" s="3">
        <f>IFERROR(__xludf.DUMMYFUNCTION("""COMPUTED_VALUE"""),3.0)</f>
        <v>3</v>
      </c>
    </row>
    <row r="29">
      <c r="A29" s="10">
        <v>45192.0</v>
      </c>
      <c r="B29" s="5" t="s">
        <v>12</v>
      </c>
      <c r="C29" s="5" t="s">
        <v>84</v>
      </c>
      <c r="D29" s="5">
        <v>7.0</v>
      </c>
      <c r="H29" s="3" t="str">
        <f>IFERROR(__xludf.DUMMYFUNCTION("""COMPUTED_VALUE"""),"Nathan Baverstock")</f>
        <v>Nathan Baverstock</v>
      </c>
      <c r="I29" s="3">
        <f>IFERROR(__xludf.DUMMYFUNCTION("""COMPUTED_VALUE"""),3.0)</f>
        <v>3</v>
      </c>
    </row>
    <row r="30">
      <c r="A30" s="10">
        <v>45192.0</v>
      </c>
      <c r="B30" s="5" t="s">
        <v>10</v>
      </c>
      <c r="C30" s="5" t="s">
        <v>85</v>
      </c>
      <c r="D30" s="5">
        <v>7.0</v>
      </c>
      <c r="H30" s="3" t="str">
        <f>IFERROR(__xludf.DUMMYFUNCTION("""COMPUTED_VALUE"""),"Parimal Patel")</f>
        <v>Parimal Patel</v>
      </c>
      <c r="I30" s="3">
        <f>IFERROR(__xludf.DUMMYFUNCTION("""COMPUTED_VALUE"""),3.0)</f>
        <v>3</v>
      </c>
    </row>
    <row r="31">
      <c r="A31" s="10">
        <v>45192.0</v>
      </c>
      <c r="B31" s="5" t="s">
        <v>10</v>
      </c>
      <c r="C31" s="5" t="s">
        <v>86</v>
      </c>
      <c r="D31" s="5">
        <v>7.0</v>
      </c>
      <c r="H31" s="3" t="str">
        <f>IFERROR(__xludf.DUMMYFUNCTION("""COMPUTED_VALUE"""),"Stu Jordan")</f>
        <v>Stu Jordan</v>
      </c>
      <c r="I31" s="3">
        <f>IFERROR(__xludf.DUMMYFUNCTION("""COMPUTED_VALUE"""),3.0)</f>
        <v>3</v>
      </c>
    </row>
    <row r="32">
      <c r="A32" s="10">
        <v>45192.0</v>
      </c>
      <c r="B32" s="5" t="s">
        <v>10</v>
      </c>
      <c r="C32" s="5" t="s">
        <v>87</v>
      </c>
      <c r="D32" s="5">
        <v>7.0</v>
      </c>
      <c r="H32" s="3" t="str">
        <f>IFERROR(__xludf.DUMMYFUNCTION("""COMPUTED_VALUE"""),"Alex Mansfield")</f>
        <v>Alex Mansfield</v>
      </c>
      <c r="I32" s="3">
        <f>IFERROR(__xludf.DUMMYFUNCTION("""COMPUTED_VALUE"""),2.0)</f>
        <v>2</v>
      </c>
    </row>
    <row r="33">
      <c r="A33" s="10">
        <v>45192.0</v>
      </c>
      <c r="B33" s="5" t="s">
        <v>88</v>
      </c>
      <c r="C33" s="5" t="s">
        <v>47</v>
      </c>
      <c r="D33" s="5">
        <v>7.0</v>
      </c>
      <c r="H33" s="3" t="str">
        <f>IFERROR(__xludf.DUMMYFUNCTION("""COMPUTED_VALUE"""),"Andres Ahlgren")</f>
        <v>Andres Ahlgren</v>
      </c>
      <c r="I33" s="3">
        <f>IFERROR(__xludf.DUMMYFUNCTION("""COMPUTED_VALUE"""),2.0)</f>
        <v>2</v>
      </c>
    </row>
    <row r="34">
      <c r="A34" s="10">
        <v>45192.0</v>
      </c>
      <c r="B34" s="5" t="s">
        <v>9</v>
      </c>
      <c r="C34" s="5" t="s">
        <v>89</v>
      </c>
      <c r="D34" s="5">
        <v>8.0</v>
      </c>
      <c r="H34" s="3" t="str">
        <f>IFERROR(__xludf.DUMMYFUNCTION("""COMPUTED_VALUE"""),"Andrew Barclay")</f>
        <v>Andrew Barclay</v>
      </c>
      <c r="I34" s="3">
        <f>IFERROR(__xludf.DUMMYFUNCTION("""COMPUTED_VALUE"""),2.0)</f>
        <v>2</v>
      </c>
    </row>
    <row r="35">
      <c r="A35" s="10">
        <v>45199.0</v>
      </c>
      <c r="B35" s="5" t="s">
        <v>8</v>
      </c>
      <c r="C35" s="5" t="s">
        <v>53</v>
      </c>
      <c r="D35" s="5">
        <v>2.0</v>
      </c>
      <c r="H35" s="3" t="str">
        <f>IFERROR(__xludf.DUMMYFUNCTION("""COMPUTED_VALUE"""),"Chris Claeys")</f>
        <v>Chris Claeys</v>
      </c>
      <c r="I35" s="3">
        <f>IFERROR(__xludf.DUMMYFUNCTION("""COMPUTED_VALUE"""),2.0)</f>
        <v>2</v>
      </c>
    </row>
    <row r="36">
      <c r="A36" s="10">
        <v>45199.0</v>
      </c>
      <c r="B36" s="5" t="s">
        <v>11</v>
      </c>
      <c r="C36" s="5" t="s">
        <v>41</v>
      </c>
      <c r="D36" s="5">
        <v>7.0</v>
      </c>
      <c r="H36" s="3" t="str">
        <f>IFERROR(__xludf.DUMMYFUNCTION("""COMPUTED_VALUE"""),"Ciaran Curran")</f>
        <v>Ciaran Curran</v>
      </c>
      <c r="I36" s="3">
        <f>IFERROR(__xludf.DUMMYFUNCTION("""COMPUTED_VALUE"""),2.0)</f>
        <v>2</v>
      </c>
    </row>
    <row r="37">
      <c r="A37" s="10">
        <v>45199.0</v>
      </c>
      <c r="B37" s="5" t="s">
        <v>11</v>
      </c>
      <c r="C37" s="5" t="s">
        <v>90</v>
      </c>
      <c r="D37" s="5">
        <v>5.0</v>
      </c>
      <c r="H37" s="3" t="str">
        <f>IFERROR(__xludf.DUMMYFUNCTION("""COMPUTED_VALUE"""),"Ellis Forrester")</f>
        <v>Ellis Forrester</v>
      </c>
      <c r="I37" s="3">
        <f>IFERROR(__xludf.DUMMYFUNCTION("""COMPUTED_VALUE"""),2.0)</f>
        <v>2</v>
      </c>
    </row>
    <row r="38">
      <c r="A38" s="10">
        <v>45199.0</v>
      </c>
      <c r="B38" s="5" t="s">
        <v>11</v>
      </c>
      <c r="C38" s="5" t="s">
        <v>91</v>
      </c>
      <c r="D38" s="5">
        <v>4.0</v>
      </c>
      <c r="H38" s="3" t="str">
        <f>IFERROR(__xludf.DUMMYFUNCTION("""COMPUTED_VALUE"""),"Emi Muhadri")</f>
        <v>Emi Muhadri</v>
      </c>
      <c r="I38" s="3">
        <f>IFERROR(__xludf.DUMMYFUNCTION("""COMPUTED_VALUE"""),2.0)</f>
        <v>2</v>
      </c>
    </row>
    <row r="39">
      <c r="A39" s="10">
        <v>45199.0</v>
      </c>
      <c r="B39" s="5" t="s">
        <v>10</v>
      </c>
      <c r="C39" s="5" t="s">
        <v>60</v>
      </c>
      <c r="D39" s="5">
        <v>20.0</v>
      </c>
      <c r="H39" s="3" t="str">
        <f>IFERROR(__xludf.DUMMYFUNCTION("""COMPUTED_VALUE"""),"George Havord")</f>
        <v>George Havord</v>
      </c>
      <c r="I39" s="3">
        <f>IFERROR(__xludf.DUMMYFUNCTION("""COMPUTED_VALUE"""),2.0)</f>
        <v>2</v>
      </c>
    </row>
    <row r="40">
      <c r="A40" s="10">
        <v>45199.0</v>
      </c>
      <c r="B40" s="5" t="s">
        <v>10</v>
      </c>
      <c r="C40" s="5" t="s">
        <v>92</v>
      </c>
      <c r="D40" s="5">
        <v>15.0</v>
      </c>
      <c r="H40" s="3" t="str">
        <f>IFERROR(__xludf.DUMMYFUNCTION("""COMPUTED_VALUE"""),"Henry Pepperell")</f>
        <v>Henry Pepperell</v>
      </c>
      <c r="I40" s="3">
        <f>IFERROR(__xludf.DUMMYFUNCTION("""COMPUTED_VALUE"""),2.0)</f>
        <v>2</v>
      </c>
    </row>
    <row r="41">
      <c r="A41" s="10">
        <v>45199.0</v>
      </c>
      <c r="B41" s="5" t="s">
        <v>10</v>
      </c>
      <c r="C41" s="5" t="s">
        <v>93</v>
      </c>
      <c r="D41" s="5">
        <v>10.0</v>
      </c>
      <c r="H41" s="3" t="str">
        <f>IFERROR(__xludf.DUMMYFUNCTION("""COMPUTED_VALUE"""),"Jack Harris")</f>
        <v>Jack Harris</v>
      </c>
      <c r="I41" s="3">
        <f>IFERROR(__xludf.DUMMYFUNCTION("""COMPUTED_VALUE"""),2.0)</f>
        <v>2</v>
      </c>
    </row>
    <row r="42">
      <c r="A42" s="10">
        <v>45199.0</v>
      </c>
      <c r="B42" s="5" t="s">
        <v>10</v>
      </c>
      <c r="C42" s="5" t="s">
        <v>94</v>
      </c>
      <c r="D42" s="5">
        <v>7.0</v>
      </c>
      <c r="H42" s="3" t="str">
        <f>IFERROR(__xludf.DUMMYFUNCTION("""COMPUTED_VALUE"""),"James Timmins")</f>
        <v>James Timmins</v>
      </c>
      <c r="I42" s="3">
        <f>IFERROR(__xludf.DUMMYFUNCTION("""COMPUTED_VALUE"""),2.0)</f>
        <v>2</v>
      </c>
    </row>
    <row r="43">
      <c r="A43" s="10">
        <v>45199.0</v>
      </c>
      <c r="B43" s="5" t="s">
        <v>10</v>
      </c>
      <c r="C43" s="5" t="s">
        <v>72</v>
      </c>
      <c r="D43" s="5">
        <v>7.0</v>
      </c>
      <c r="H43" s="3" t="str">
        <f>IFERROR(__xludf.DUMMYFUNCTION("""COMPUTED_VALUE"""),"Joe Docherty")</f>
        <v>Joe Docherty</v>
      </c>
      <c r="I43" s="3">
        <f>IFERROR(__xludf.DUMMYFUNCTION("""COMPUTED_VALUE"""),2.0)</f>
        <v>2</v>
      </c>
    </row>
    <row r="44">
      <c r="A44" s="10">
        <v>45199.0</v>
      </c>
      <c r="B44" s="5" t="s">
        <v>9</v>
      </c>
      <c r="C44" s="5" t="s">
        <v>95</v>
      </c>
      <c r="D44" s="5">
        <v>10.0</v>
      </c>
      <c r="H44" s="3" t="str">
        <f>IFERROR(__xludf.DUMMYFUNCTION("""COMPUTED_VALUE"""),"Kai Clack")</f>
        <v>Kai Clack</v>
      </c>
      <c r="I44" s="3">
        <f>IFERROR(__xludf.DUMMYFUNCTION("""COMPUTED_VALUE"""),2.0)</f>
        <v>2</v>
      </c>
    </row>
    <row r="45">
      <c r="A45" s="10">
        <v>45199.0</v>
      </c>
      <c r="B45" s="5" t="s">
        <v>9</v>
      </c>
      <c r="C45" s="5" t="s">
        <v>96</v>
      </c>
      <c r="D45" s="5">
        <v>6.0</v>
      </c>
      <c r="H45" s="3" t="str">
        <f>IFERROR(__xludf.DUMMYFUNCTION("""COMPUTED_VALUE"""),"Kevin Gonzalez")</f>
        <v>Kevin Gonzalez</v>
      </c>
      <c r="I45" s="3">
        <f>IFERROR(__xludf.DUMMYFUNCTION("""COMPUTED_VALUE"""),2.0)</f>
        <v>2</v>
      </c>
    </row>
    <row r="46">
      <c r="A46" s="10">
        <v>45206.0</v>
      </c>
      <c r="B46" s="5" t="s">
        <v>8</v>
      </c>
      <c r="C46" s="5" t="s">
        <v>76</v>
      </c>
      <c r="D46" s="5">
        <v>19.0</v>
      </c>
      <c r="H46" s="3" t="str">
        <f>IFERROR(__xludf.DUMMYFUNCTION("""COMPUTED_VALUE"""),"Lee Clark")</f>
        <v>Lee Clark</v>
      </c>
      <c r="I46" s="3">
        <f>IFERROR(__xludf.DUMMYFUNCTION("""COMPUTED_VALUE"""),2.0)</f>
        <v>2</v>
      </c>
    </row>
    <row r="47">
      <c r="A47" s="10">
        <v>45206.0</v>
      </c>
      <c r="B47" s="5" t="s">
        <v>17</v>
      </c>
      <c r="C47" s="5" t="s">
        <v>97</v>
      </c>
      <c r="D47" s="5">
        <v>8.0</v>
      </c>
      <c r="H47" s="3" t="str">
        <f>IFERROR(__xludf.DUMMYFUNCTION("""COMPUTED_VALUE"""),"Luke Dyges")</f>
        <v>Luke Dyges</v>
      </c>
      <c r="I47" s="3">
        <f>IFERROR(__xludf.DUMMYFUNCTION("""COMPUTED_VALUE"""),2.0)</f>
        <v>2</v>
      </c>
    </row>
    <row r="48">
      <c r="A48" s="10">
        <v>45206.0</v>
      </c>
      <c r="B48" s="5" t="s">
        <v>11</v>
      </c>
      <c r="C48" s="5" t="s">
        <v>98</v>
      </c>
      <c r="D48" s="5">
        <v>8.0</v>
      </c>
      <c r="H48" s="3" t="str">
        <f>IFERROR(__xludf.DUMMYFUNCTION("""COMPUTED_VALUE"""),"Paul Ball")</f>
        <v>Paul Ball</v>
      </c>
      <c r="I48" s="3">
        <f>IFERROR(__xludf.DUMMYFUNCTION("""COMPUTED_VALUE"""),2.0)</f>
        <v>2</v>
      </c>
    </row>
    <row r="49">
      <c r="A49" s="10">
        <v>45206.0</v>
      </c>
      <c r="B49" s="5" t="s">
        <v>11</v>
      </c>
      <c r="C49" s="5" t="s">
        <v>99</v>
      </c>
      <c r="D49" s="5">
        <v>8.0</v>
      </c>
      <c r="H49" s="3" t="str">
        <f>IFERROR(__xludf.DUMMYFUNCTION("""COMPUTED_VALUE"""),"Sean Staunton")</f>
        <v>Sean Staunton</v>
      </c>
      <c r="I49" s="3">
        <f>IFERROR(__xludf.DUMMYFUNCTION("""COMPUTED_VALUE"""),2.0)</f>
        <v>2</v>
      </c>
    </row>
    <row r="50">
      <c r="A50" s="10">
        <v>45206.0</v>
      </c>
      <c r="B50" s="5" t="s">
        <v>11</v>
      </c>
      <c r="C50" s="5" t="s">
        <v>100</v>
      </c>
      <c r="D50" s="5">
        <v>12.0</v>
      </c>
      <c r="H50" s="3" t="str">
        <f>IFERROR(__xludf.DUMMYFUNCTION("""COMPUTED_VALUE"""),"Seb Curle")</f>
        <v>Seb Curle</v>
      </c>
      <c r="I50" s="3">
        <f>IFERROR(__xludf.DUMMYFUNCTION("""COMPUTED_VALUE"""),2.0)</f>
        <v>2</v>
      </c>
    </row>
    <row r="51">
      <c r="A51" s="10">
        <v>45206.0</v>
      </c>
      <c r="B51" s="5" t="s">
        <v>18</v>
      </c>
      <c r="C51" s="5" t="s">
        <v>101</v>
      </c>
      <c r="D51" s="5">
        <v>8.0</v>
      </c>
      <c r="H51" s="3" t="str">
        <f>IFERROR(__xludf.DUMMYFUNCTION("""COMPUTED_VALUE"""),"Tali Kiwanuka")</f>
        <v>Tali Kiwanuka</v>
      </c>
      <c r="I51" s="3">
        <f>IFERROR(__xludf.DUMMYFUNCTION("""COMPUTED_VALUE"""),2.0)</f>
        <v>2</v>
      </c>
    </row>
    <row r="52">
      <c r="A52" s="10">
        <v>45206.0</v>
      </c>
      <c r="B52" s="5" t="s">
        <v>10</v>
      </c>
      <c r="C52" s="5" t="s">
        <v>102</v>
      </c>
      <c r="D52" s="5">
        <v>10.0</v>
      </c>
      <c r="H52" s="3" t="str">
        <f>IFERROR(__xludf.DUMMYFUNCTION("""COMPUTED_VALUE"""),"Tom Love")</f>
        <v>Tom Love</v>
      </c>
      <c r="I52" s="3">
        <f>IFERROR(__xludf.DUMMYFUNCTION("""COMPUTED_VALUE"""),2.0)</f>
        <v>2</v>
      </c>
    </row>
    <row r="53">
      <c r="A53" s="10">
        <v>45206.0</v>
      </c>
      <c r="B53" s="5" t="s">
        <v>10</v>
      </c>
      <c r="C53" s="5" t="s">
        <v>103</v>
      </c>
      <c r="D53" s="5">
        <v>10.0</v>
      </c>
      <c r="H53" s="3" t="str">
        <f>IFERROR(__xludf.DUMMYFUNCTION("""COMPUTED_VALUE"""),"Will Sollory")</f>
        <v>Will Sollory</v>
      </c>
      <c r="I53" s="3">
        <f>IFERROR(__xludf.DUMMYFUNCTION("""COMPUTED_VALUE"""),2.0)</f>
        <v>2</v>
      </c>
    </row>
    <row r="54">
      <c r="A54" s="10">
        <v>45206.0</v>
      </c>
      <c r="B54" s="5" t="s">
        <v>10</v>
      </c>
      <c r="C54" s="5" t="s">
        <v>104</v>
      </c>
      <c r="D54" s="5">
        <v>7.0</v>
      </c>
      <c r="H54" s="3" t="str">
        <f>IFERROR(__xludf.DUMMYFUNCTION("""COMPUTED_VALUE"""),"Aidan Byrne")</f>
        <v>Aidan Byrne</v>
      </c>
      <c r="I54" s="3">
        <f>IFERROR(__xludf.DUMMYFUNCTION("""COMPUTED_VALUE"""),1.0)</f>
        <v>1</v>
      </c>
    </row>
    <row r="55">
      <c r="A55" s="10">
        <v>45206.0</v>
      </c>
      <c r="B55" s="5" t="s">
        <v>9</v>
      </c>
      <c r="C55" s="5" t="s">
        <v>105</v>
      </c>
      <c r="D55" s="5">
        <v>8.0</v>
      </c>
      <c r="H55" s="3" t="str">
        <f>IFERROR(__xludf.DUMMYFUNCTION("""COMPUTED_VALUE"""),"Anish Philips")</f>
        <v>Anish Philips</v>
      </c>
      <c r="I55" s="3">
        <f>IFERROR(__xludf.DUMMYFUNCTION("""COMPUTED_VALUE"""),1.0)</f>
        <v>1</v>
      </c>
    </row>
    <row r="56">
      <c r="A56" s="10">
        <v>45206.0</v>
      </c>
      <c r="B56" s="5" t="s">
        <v>9</v>
      </c>
      <c r="C56" s="5" t="s">
        <v>92</v>
      </c>
      <c r="D56" s="5">
        <v>8.0</v>
      </c>
      <c r="H56" s="3" t="str">
        <f>IFERROR(__xludf.DUMMYFUNCTION("""COMPUTED_VALUE"""),"Anthony Ball")</f>
        <v>Anthony Ball</v>
      </c>
      <c r="I56" s="3">
        <f>IFERROR(__xludf.DUMMYFUNCTION("""COMPUTED_VALUE"""),1.0)</f>
        <v>1</v>
      </c>
    </row>
    <row r="57">
      <c r="A57" s="10">
        <v>45213.0</v>
      </c>
      <c r="B57" s="5" t="s">
        <v>8</v>
      </c>
      <c r="C57" s="5" t="s">
        <v>106</v>
      </c>
      <c r="D57" s="5">
        <v>6.0</v>
      </c>
      <c r="H57" s="3" t="str">
        <f>IFERROR(__xludf.DUMMYFUNCTION("""COMPUTED_VALUE"""),"Billy King")</f>
        <v>Billy King</v>
      </c>
      <c r="I57" s="3">
        <f>IFERROR(__xludf.DUMMYFUNCTION("""COMPUTED_VALUE"""),1.0)</f>
        <v>1</v>
      </c>
    </row>
    <row r="58">
      <c r="A58" s="10">
        <v>45213.0</v>
      </c>
      <c r="B58" s="5" t="s">
        <v>11</v>
      </c>
      <c r="C58" s="5" t="s">
        <v>107</v>
      </c>
      <c r="D58" s="5">
        <v>8.0</v>
      </c>
      <c r="H58" s="3" t="str">
        <f>IFERROR(__xludf.DUMMYFUNCTION("""COMPUTED_VALUE"""),"Chris Douthwaite")</f>
        <v>Chris Douthwaite</v>
      </c>
      <c r="I58" s="3">
        <f>IFERROR(__xludf.DUMMYFUNCTION("""COMPUTED_VALUE"""),1.0)</f>
        <v>1</v>
      </c>
    </row>
    <row r="59">
      <c r="A59" s="10">
        <v>45213.0</v>
      </c>
      <c r="B59" s="5" t="s">
        <v>11</v>
      </c>
      <c r="C59" s="5" t="s">
        <v>108</v>
      </c>
      <c r="D59" s="5">
        <v>6.0</v>
      </c>
      <c r="H59" s="3" t="str">
        <f>IFERROR(__xludf.DUMMYFUNCTION("""COMPUTED_VALUE"""),"Christian King")</f>
        <v>Christian King</v>
      </c>
      <c r="I59" s="3">
        <f>IFERROR(__xludf.DUMMYFUNCTION("""COMPUTED_VALUE"""),1.0)</f>
        <v>1</v>
      </c>
    </row>
    <row r="60">
      <c r="A60" s="10">
        <v>45213.0</v>
      </c>
      <c r="B60" s="5" t="s">
        <v>11</v>
      </c>
      <c r="C60" s="5" t="s">
        <v>82</v>
      </c>
      <c r="D60" s="5">
        <v>6.0</v>
      </c>
      <c r="H60" s="3" t="str">
        <f>IFERROR(__xludf.DUMMYFUNCTION("""COMPUTED_VALUE"""),"Connor White")</f>
        <v>Connor White</v>
      </c>
      <c r="I60" s="3">
        <f>IFERROR(__xludf.DUMMYFUNCTION("""COMPUTED_VALUE"""),1.0)</f>
        <v>1</v>
      </c>
    </row>
    <row r="61">
      <c r="A61" s="10">
        <v>45213.0</v>
      </c>
      <c r="B61" s="5" t="s">
        <v>11</v>
      </c>
      <c r="C61" s="5" t="s">
        <v>77</v>
      </c>
      <c r="D61" s="5">
        <v>5.0</v>
      </c>
      <c r="H61" s="3" t="str">
        <f>IFERROR(__xludf.DUMMYFUNCTION("""COMPUTED_VALUE"""),"Corey Cleave")</f>
        <v>Corey Cleave</v>
      </c>
      <c r="I61" s="3">
        <f>IFERROR(__xludf.DUMMYFUNCTION("""COMPUTED_VALUE"""),1.0)</f>
        <v>1</v>
      </c>
    </row>
    <row r="62">
      <c r="A62" s="10">
        <v>45213.0</v>
      </c>
      <c r="B62" s="5" t="s">
        <v>10</v>
      </c>
      <c r="C62" s="5" t="s">
        <v>67</v>
      </c>
      <c r="D62" s="5">
        <v>7.0</v>
      </c>
      <c r="H62" s="3" t="str">
        <f>IFERROR(__xludf.DUMMYFUNCTION("""COMPUTED_VALUE"""),"Dan Klin")</f>
        <v>Dan Klin</v>
      </c>
      <c r="I62" s="3">
        <f>IFERROR(__xludf.DUMMYFUNCTION("""COMPUTED_VALUE"""),1.0)</f>
        <v>1</v>
      </c>
    </row>
    <row r="63">
      <c r="A63" s="10">
        <v>45213.0</v>
      </c>
      <c r="B63" s="5" t="s">
        <v>10</v>
      </c>
      <c r="C63" s="5" t="s">
        <v>75</v>
      </c>
      <c r="D63" s="5">
        <v>7.0</v>
      </c>
      <c r="H63" s="3" t="str">
        <f>IFERROR(__xludf.DUMMYFUNCTION("""COMPUTED_VALUE"""),"Dan Russell")</f>
        <v>Dan Russell</v>
      </c>
      <c r="I63" s="3">
        <f>IFERROR(__xludf.DUMMYFUNCTION("""COMPUTED_VALUE"""),1.0)</f>
        <v>1</v>
      </c>
    </row>
    <row r="64">
      <c r="A64" s="10">
        <v>45213.0</v>
      </c>
      <c r="B64" s="5" t="s">
        <v>22</v>
      </c>
      <c r="C64" s="5" t="s">
        <v>109</v>
      </c>
      <c r="D64" s="5">
        <v>15.0</v>
      </c>
      <c r="H64" s="3" t="str">
        <f>IFERROR(__xludf.DUMMYFUNCTION("""COMPUTED_VALUE"""),"Deji Ogunyemi")</f>
        <v>Deji Ogunyemi</v>
      </c>
      <c r="I64" s="3">
        <f>IFERROR(__xludf.DUMMYFUNCTION("""COMPUTED_VALUE"""),1.0)</f>
        <v>1</v>
      </c>
    </row>
    <row r="65">
      <c r="A65" s="10">
        <v>45213.0</v>
      </c>
      <c r="B65" s="5" t="s">
        <v>9</v>
      </c>
      <c r="C65" s="5" t="s">
        <v>62</v>
      </c>
      <c r="D65" s="5">
        <v>13.0</v>
      </c>
      <c r="H65" s="3" t="str">
        <f>IFERROR(__xludf.DUMMYFUNCTION("""COMPUTED_VALUE"""),"Dereece Pinder")</f>
        <v>Dereece Pinder</v>
      </c>
      <c r="I65" s="3">
        <f>IFERROR(__xludf.DUMMYFUNCTION("""COMPUTED_VALUE"""),1.0)</f>
        <v>1</v>
      </c>
    </row>
    <row r="66">
      <c r="A66" s="10">
        <v>45213.0</v>
      </c>
      <c r="B66" s="5" t="s">
        <v>9</v>
      </c>
      <c r="C66" s="5" t="s">
        <v>47</v>
      </c>
      <c r="D66" s="5">
        <v>20.0</v>
      </c>
      <c r="H66" s="3" t="str">
        <f>IFERROR(__xludf.DUMMYFUNCTION("""COMPUTED_VALUE"""),"Ed Wightman")</f>
        <v>Ed Wightman</v>
      </c>
      <c r="I66" s="3">
        <f>IFERROR(__xludf.DUMMYFUNCTION("""COMPUTED_VALUE"""),1.0)</f>
        <v>1</v>
      </c>
    </row>
    <row r="67">
      <c r="A67" s="10">
        <v>45213.0</v>
      </c>
      <c r="B67" s="5" t="s">
        <v>23</v>
      </c>
      <c r="C67" s="5" t="s">
        <v>110</v>
      </c>
      <c r="D67" s="5">
        <v>13.0</v>
      </c>
      <c r="H67" s="3" t="str">
        <f>IFERROR(__xludf.DUMMYFUNCTION("""COMPUTED_VALUE"""),"Ewan Harris")</f>
        <v>Ewan Harris</v>
      </c>
      <c r="I67" s="3">
        <f>IFERROR(__xludf.DUMMYFUNCTION("""COMPUTED_VALUE"""),1.0)</f>
        <v>1</v>
      </c>
    </row>
    <row r="68">
      <c r="A68" s="10">
        <v>45220.0</v>
      </c>
      <c r="B68" s="5" t="s">
        <v>8</v>
      </c>
      <c r="C68" s="5" t="s">
        <v>53</v>
      </c>
      <c r="D68" s="5">
        <v>8.0</v>
      </c>
      <c r="H68" s="3" t="str">
        <f>IFERROR(__xludf.DUMMYFUNCTION("""COMPUTED_VALUE"""),"Finn Coolen")</f>
        <v>Finn Coolen</v>
      </c>
      <c r="I68" s="3">
        <f>IFERROR(__xludf.DUMMYFUNCTION("""COMPUTED_VALUE"""),1.0)</f>
        <v>1</v>
      </c>
    </row>
    <row r="69">
      <c r="A69" s="10">
        <v>45220.0</v>
      </c>
      <c r="B69" s="5" t="s">
        <v>14</v>
      </c>
      <c r="C69" s="5" t="s">
        <v>56</v>
      </c>
      <c r="D69" s="5">
        <v>8.0</v>
      </c>
      <c r="H69" s="3" t="str">
        <f>IFERROR(__xludf.DUMMYFUNCTION("""COMPUTED_VALUE"""),"Gaz Wheldale")</f>
        <v>Gaz Wheldale</v>
      </c>
      <c r="I69" s="3">
        <f>IFERROR(__xludf.DUMMYFUNCTION("""COMPUTED_VALUE"""),1.0)</f>
        <v>1</v>
      </c>
    </row>
    <row r="70">
      <c r="A70" s="10">
        <v>45220.0</v>
      </c>
      <c r="B70" s="5" t="s">
        <v>12</v>
      </c>
      <c r="C70" s="5" t="s">
        <v>81</v>
      </c>
      <c r="D70" s="5">
        <v>8.0</v>
      </c>
      <c r="H70" s="3" t="str">
        <f>IFERROR(__xludf.DUMMYFUNCTION("""COMPUTED_VALUE"""),"Harold Kiyingi")</f>
        <v>Harold Kiyingi</v>
      </c>
      <c r="I70" s="3">
        <f>IFERROR(__xludf.DUMMYFUNCTION("""COMPUTED_VALUE"""),1.0)</f>
        <v>1</v>
      </c>
    </row>
    <row r="71">
      <c r="A71" s="10">
        <v>45220.0</v>
      </c>
      <c r="B71" s="5" t="s">
        <v>16</v>
      </c>
      <c r="C71" s="5" t="s">
        <v>111</v>
      </c>
      <c r="D71" s="5">
        <v>8.0</v>
      </c>
      <c r="H71" s="3" t="str">
        <f>IFERROR(__xludf.DUMMYFUNCTION("""COMPUTED_VALUE"""),"Jabari Dixon")</f>
        <v>Jabari Dixon</v>
      </c>
      <c r="I71" s="3">
        <f>IFERROR(__xludf.DUMMYFUNCTION("""COMPUTED_VALUE"""),1.0)</f>
        <v>1</v>
      </c>
    </row>
    <row r="72">
      <c r="A72" s="10">
        <v>45220.0</v>
      </c>
      <c r="B72" s="5" t="s">
        <v>14</v>
      </c>
      <c r="C72" s="5" t="s">
        <v>91</v>
      </c>
      <c r="D72" s="5">
        <v>8.0</v>
      </c>
      <c r="H72" s="3" t="str">
        <f>IFERROR(__xludf.DUMMYFUNCTION("""COMPUTED_VALUE"""),"Jack Hind")</f>
        <v>Jack Hind</v>
      </c>
      <c r="I72" s="3">
        <f>IFERROR(__xludf.DUMMYFUNCTION("""COMPUTED_VALUE"""),1.0)</f>
        <v>1</v>
      </c>
    </row>
    <row r="73">
      <c r="A73" s="10">
        <v>45220.0</v>
      </c>
      <c r="B73" s="5" t="s">
        <v>10</v>
      </c>
      <c r="C73" s="5" t="s">
        <v>112</v>
      </c>
      <c r="D73" s="5">
        <v>10.0</v>
      </c>
      <c r="H73" s="3" t="str">
        <f>IFERROR(__xludf.DUMMYFUNCTION("""COMPUTED_VALUE"""),"James Rodriguez")</f>
        <v>James Rodriguez</v>
      </c>
      <c r="I73" s="3">
        <f>IFERROR(__xludf.DUMMYFUNCTION("""COMPUTED_VALUE"""),1.0)</f>
        <v>1</v>
      </c>
    </row>
    <row r="74">
      <c r="A74" s="10">
        <v>45220.0</v>
      </c>
      <c r="B74" s="5" t="s">
        <v>10</v>
      </c>
      <c r="C74" s="5" t="s">
        <v>58</v>
      </c>
      <c r="D74" s="5">
        <v>10.0</v>
      </c>
      <c r="H74" s="3" t="str">
        <f>IFERROR(__xludf.DUMMYFUNCTION("""COMPUTED_VALUE"""),"Jamie Arkell")</f>
        <v>Jamie Arkell</v>
      </c>
      <c r="I74" s="3">
        <f>IFERROR(__xludf.DUMMYFUNCTION("""COMPUTED_VALUE"""),1.0)</f>
        <v>1</v>
      </c>
    </row>
    <row r="75">
      <c r="A75" s="10">
        <v>45220.0</v>
      </c>
      <c r="B75" s="5" t="s">
        <v>10</v>
      </c>
      <c r="C75" s="5" t="s">
        <v>113</v>
      </c>
      <c r="D75" s="5">
        <v>7.0</v>
      </c>
      <c r="H75" s="3" t="str">
        <f>IFERROR(__xludf.DUMMYFUNCTION("""COMPUTED_VALUE"""),"Jason Heath")</f>
        <v>Jason Heath</v>
      </c>
      <c r="I75" s="3">
        <f>IFERROR(__xludf.DUMMYFUNCTION("""COMPUTED_VALUE"""),1.0)</f>
        <v>1</v>
      </c>
    </row>
    <row r="76">
      <c r="A76" s="10">
        <v>45220.0</v>
      </c>
      <c r="B76" s="5" t="s">
        <v>23</v>
      </c>
      <c r="C76" s="5" t="s">
        <v>114</v>
      </c>
      <c r="D76" s="5">
        <v>11.0</v>
      </c>
      <c r="H76" s="3" t="str">
        <f>IFERROR(__xludf.DUMMYFUNCTION("""COMPUTED_VALUE"""),"Jerome Goncalves")</f>
        <v>Jerome Goncalves</v>
      </c>
      <c r="I76" s="3">
        <f>IFERROR(__xludf.DUMMYFUNCTION("""COMPUTED_VALUE"""),1.0)</f>
        <v>1</v>
      </c>
    </row>
    <row r="77">
      <c r="A77" s="10">
        <v>45220.0</v>
      </c>
      <c r="B77" s="5" t="s">
        <v>115</v>
      </c>
      <c r="C77" s="5" t="s">
        <v>74</v>
      </c>
      <c r="D77" s="5">
        <v>10.0</v>
      </c>
      <c r="H77" s="3" t="str">
        <f>IFERROR(__xludf.DUMMYFUNCTION("""COMPUTED_VALUE"""),"Joe France")</f>
        <v>Joe France</v>
      </c>
      <c r="I77" s="3">
        <f>IFERROR(__xludf.DUMMYFUNCTION("""COMPUTED_VALUE"""),1.0)</f>
        <v>1</v>
      </c>
    </row>
    <row r="78">
      <c r="A78" s="10">
        <v>45220.0</v>
      </c>
      <c r="B78" s="5" t="s">
        <v>22</v>
      </c>
      <c r="C78" s="5" t="s">
        <v>95</v>
      </c>
      <c r="D78" s="5">
        <v>9.0</v>
      </c>
      <c r="H78" s="3" t="str">
        <f>IFERROR(__xludf.DUMMYFUNCTION("""COMPUTED_VALUE"""),"Joel Wright")</f>
        <v>Joel Wright</v>
      </c>
      <c r="I78" s="3">
        <f>IFERROR(__xludf.DUMMYFUNCTION("""COMPUTED_VALUE"""),1.0)</f>
        <v>1</v>
      </c>
    </row>
    <row r="79">
      <c r="A79" s="10">
        <v>45227.0</v>
      </c>
      <c r="B79" s="5" t="s">
        <v>8</v>
      </c>
      <c r="C79" s="5" t="s">
        <v>106</v>
      </c>
      <c r="D79" s="5">
        <v>13.0</v>
      </c>
      <c r="H79" s="3" t="str">
        <f>IFERROR(__xludf.DUMMYFUNCTION("""COMPUTED_VALUE"""),"Jonny Simmons")</f>
        <v>Jonny Simmons</v>
      </c>
      <c r="I79" s="3">
        <f>IFERROR(__xludf.DUMMYFUNCTION("""COMPUTED_VALUE"""),1.0)</f>
        <v>1</v>
      </c>
    </row>
    <row r="80">
      <c r="A80" s="10">
        <v>45227.0</v>
      </c>
      <c r="B80" s="5" t="s">
        <v>16</v>
      </c>
      <c r="C80" s="5" t="s">
        <v>97</v>
      </c>
      <c r="D80" s="5">
        <v>8.0</v>
      </c>
      <c r="H80" s="3" t="str">
        <f>IFERROR(__xludf.DUMMYFUNCTION("""COMPUTED_VALUE"""),"Josh Billings")</f>
        <v>Josh Billings</v>
      </c>
      <c r="I80" s="3">
        <f>IFERROR(__xludf.DUMMYFUNCTION("""COMPUTED_VALUE"""),1.0)</f>
        <v>1</v>
      </c>
    </row>
    <row r="81">
      <c r="A81" s="10">
        <v>45227.0</v>
      </c>
      <c r="B81" s="5" t="s">
        <v>14</v>
      </c>
      <c r="C81" s="5" t="s">
        <v>68</v>
      </c>
      <c r="D81" s="5">
        <v>19.0</v>
      </c>
      <c r="H81" s="3" t="str">
        <f>IFERROR(__xludf.DUMMYFUNCTION("""COMPUTED_VALUE"""),"Lawrence Asante")</f>
        <v>Lawrence Asante</v>
      </c>
      <c r="I81" s="3">
        <f>IFERROR(__xludf.DUMMYFUNCTION("""COMPUTED_VALUE"""),1.0)</f>
        <v>1</v>
      </c>
    </row>
    <row r="82">
      <c r="A82" s="10">
        <v>45227.0</v>
      </c>
      <c r="B82" s="5" t="s">
        <v>14</v>
      </c>
      <c r="C82" s="5" t="s">
        <v>116</v>
      </c>
      <c r="D82" s="5">
        <v>8.0</v>
      </c>
      <c r="H82" s="3" t="str">
        <f>IFERROR(__xludf.DUMMYFUNCTION("""COMPUTED_VALUE"""),"Mark Roberts")</f>
        <v>Mark Roberts</v>
      </c>
      <c r="I82" s="3">
        <f>IFERROR(__xludf.DUMMYFUNCTION("""COMPUTED_VALUE"""),1.0)</f>
        <v>1</v>
      </c>
    </row>
    <row r="83">
      <c r="A83" s="10">
        <v>45227.0</v>
      </c>
      <c r="B83" s="5" t="s">
        <v>12</v>
      </c>
      <c r="C83" s="5" t="s">
        <v>117</v>
      </c>
      <c r="D83" s="5">
        <v>8.0</v>
      </c>
      <c r="H83" s="3" t="str">
        <f>IFERROR(__xludf.DUMMYFUNCTION("""COMPUTED_VALUE"""),"Masood Hamidi")</f>
        <v>Masood Hamidi</v>
      </c>
      <c r="I83" s="3">
        <f>IFERROR(__xludf.DUMMYFUNCTION("""COMPUTED_VALUE"""),1.0)</f>
        <v>1</v>
      </c>
    </row>
    <row r="84">
      <c r="A84" s="10">
        <v>45227.0</v>
      </c>
      <c r="B84" s="5" t="s">
        <v>10</v>
      </c>
      <c r="C84" s="5" t="s">
        <v>44</v>
      </c>
      <c r="D84" s="5">
        <v>12.0</v>
      </c>
      <c r="H84" s="3" t="str">
        <f>IFERROR(__xludf.DUMMYFUNCTION("""COMPUTED_VALUE"""),"Matt Price")</f>
        <v>Matt Price</v>
      </c>
      <c r="I84" s="3">
        <f>IFERROR(__xludf.DUMMYFUNCTION("""COMPUTED_VALUE"""),1.0)</f>
        <v>1</v>
      </c>
    </row>
    <row r="85">
      <c r="A85" s="10">
        <v>45227.0</v>
      </c>
      <c r="B85" s="5" t="s">
        <v>10</v>
      </c>
      <c r="C85" s="5" t="s">
        <v>60</v>
      </c>
      <c r="D85" s="5">
        <v>10.0</v>
      </c>
      <c r="H85" s="3" t="str">
        <f>IFERROR(__xludf.DUMMYFUNCTION("""COMPUTED_VALUE"""),"Matthew Thomas")</f>
        <v>Matthew Thomas</v>
      </c>
      <c r="I85" s="3">
        <f>IFERROR(__xludf.DUMMYFUNCTION("""COMPUTED_VALUE"""),1.0)</f>
        <v>1</v>
      </c>
    </row>
    <row r="86">
      <c r="A86" s="10">
        <v>45227.0</v>
      </c>
      <c r="B86" s="5" t="s">
        <v>10</v>
      </c>
      <c r="C86" s="5" t="s">
        <v>58</v>
      </c>
      <c r="D86" s="5">
        <v>8.0</v>
      </c>
      <c r="H86" s="3" t="str">
        <f>IFERROR(__xludf.DUMMYFUNCTION("""COMPUTED_VALUE"""),"Max Miles")</f>
        <v>Max Miles</v>
      </c>
      <c r="I86" s="3">
        <f>IFERROR(__xludf.DUMMYFUNCTION("""COMPUTED_VALUE"""),1.0)</f>
        <v>1</v>
      </c>
    </row>
    <row r="87">
      <c r="A87" s="10">
        <v>45227.0</v>
      </c>
      <c r="B87" s="5" t="s">
        <v>9</v>
      </c>
      <c r="C87" s="5" t="s">
        <v>73</v>
      </c>
      <c r="D87" s="5">
        <v>18.0</v>
      </c>
      <c r="H87" s="3" t="str">
        <f>IFERROR(__xludf.DUMMYFUNCTION("""COMPUTED_VALUE"""),"Nathan Nzau")</f>
        <v>Nathan Nzau</v>
      </c>
      <c r="I87" s="3">
        <f>IFERROR(__xludf.DUMMYFUNCTION("""COMPUTED_VALUE"""),1.0)</f>
        <v>1</v>
      </c>
    </row>
    <row r="88">
      <c r="A88" s="10">
        <v>45227.0</v>
      </c>
      <c r="B88" s="5" t="s">
        <v>9</v>
      </c>
      <c r="C88" s="5" t="s">
        <v>79</v>
      </c>
      <c r="D88" s="5">
        <v>14.0</v>
      </c>
      <c r="H88" s="3" t="str">
        <f>IFERROR(__xludf.DUMMYFUNCTION("""COMPUTED_VALUE"""),"Nick Chimonides")</f>
        <v>Nick Chimonides</v>
      </c>
      <c r="I88" s="3">
        <f>IFERROR(__xludf.DUMMYFUNCTION("""COMPUTED_VALUE"""),1.0)</f>
        <v>1</v>
      </c>
    </row>
    <row r="89">
      <c r="A89" s="10">
        <v>45227.0</v>
      </c>
      <c r="B89" s="5" t="s">
        <v>9</v>
      </c>
      <c r="C89" s="5" t="s">
        <v>46</v>
      </c>
      <c r="D89" s="5">
        <v>9.0</v>
      </c>
      <c r="H89" s="3" t="str">
        <f>IFERROR(__xludf.DUMMYFUNCTION("""COMPUTED_VALUE"""),"Nima Naghdi")</f>
        <v>Nima Naghdi</v>
      </c>
      <c r="I89" s="3">
        <f>IFERROR(__xludf.DUMMYFUNCTION("""COMPUTED_VALUE"""),1.0)</f>
        <v>1</v>
      </c>
    </row>
    <row r="90">
      <c r="A90" s="10">
        <v>45241.0</v>
      </c>
      <c r="B90" s="5" t="s">
        <v>8</v>
      </c>
      <c r="C90" s="5" t="s">
        <v>118</v>
      </c>
      <c r="D90" s="5">
        <v>12.0</v>
      </c>
      <c r="H90" s="3" t="str">
        <f>IFERROR(__xludf.DUMMYFUNCTION("""COMPUTED_VALUE"""),"Oli Barton")</f>
        <v>Oli Barton</v>
      </c>
      <c r="I90" s="3">
        <f>IFERROR(__xludf.DUMMYFUNCTION("""COMPUTED_VALUE"""),1.0)</f>
        <v>1</v>
      </c>
    </row>
    <row r="91">
      <c r="A91" s="10">
        <v>45241.0</v>
      </c>
      <c r="B91" s="5" t="s">
        <v>11</v>
      </c>
      <c r="C91" s="5" t="s">
        <v>119</v>
      </c>
      <c r="D91" s="5">
        <v>14.0</v>
      </c>
      <c r="H91" s="3" t="str">
        <f>IFERROR(__xludf.DUMMYFUNCTION("""COMPUTED_VALUE"""),"Oliver Golzari")</f>
        <v>Oliver Golzari</v>
      </c>
      <c r="I91" s="3">
        <f>IFERROR(__xludf.DUMMYFUNCTION("""COMPUTED_VALUE"""),1.0)</f>
        <v>1</v>
      </c>
    </row>
    <row r="92">
      <c r="A92" s="10">
        <v>45241.0</v>
      </c>
      <c r="B92" s="5" t="s">
        <v>11</v>
      </c>
      <c r="C92" s="5" t="s">
        <v>120</v>
      </c>
      <c r="D92" s="5">
        <v>11.0</v>
      </c>
      <c r="H92" s="3" t="str">
        <f>IFERROR(__xludf.DUMMYFUNCTION("""COMPUTED_VALUE"""),"Pearl Bakengela")</f>
        <v>Pearl Bakengela</v>
      </c>
      <c r="I92" s="3">
        <f>IFERROR(__xludf.DUMMYFUNCTION("""COMPUTED_VALUE"""),1.0)</f>
        <v>1</v>
      </c>
    </row>
    <row r="93">
      <c r="A93" s="10">
        <v>45241.0</v>
      </c>
      <c r="B93" s="5" t="s">
        <v>11</v>
      </c>
      <c r="C93" s="5" t="s">
        <v>39</v>
      </c>
      <c r="D93" s="5">
        <v>8.0</v>
      </c>
      <c r="H93" s="3" t="str">
        <f>IFERROR(__xludf.DUMMYFUNCTION("""COMPUTED_VALUE"""),"Peter Green")</f>
        <v>Peter Green</v>
      </c>
      <c r="I93" s="3">
        <f>IFERROR(__xludf.DUMMYFUNCTION("""COMPUTED_VALUE"""),1.0)</f>
        <v>1</v>
      </c>
    </row>
    <row r="94">
      <c r="A94" s="10">
        <v>45241.0</v>
      </c>
      <c r="B94" s="5" t="s">
        <v>121</v>
      </c>
      <c r="C94" s="5" t="s">
        <v>47</v>
      </c>
      <c r="D94" s="5">
        <v>16.0</v>
      </c>
      <c r="H94" s="3" t="str">
        <f>IFERROR(__xludf.DUMMYFUNCTION("""COMPUTED_VALUE"""),"Pierce Bennett")</f>
        <v>Pierce Bennett</v>
      </c>
      <c r="I94" s="3">
        <f>IFERROR(__xludf.DUMMYFUNCTION("""COMPUTED_VALUE"""),1.0)</f>
        <v>1</v>
      </c>
    </row>
    <row r="95">
      <c r="A95" s="10">
        <v>45241.0</v>
      </c>
      <c r="B95" s="5" t="s">
        <v>10</v>
      </c>
      <c r="C95" s="5" t="s">
        <v>112</v>
      </c>
      <c r="D95" s="5">
        <v>19.0</v>
      </c>
      <c r="H95" s="3" t="str">
        <f>IFERROR(__xludf.DUMMYFUNCTION("""COMPUTED_VALUE"""),"Richard Scott")</f>
        <v>Richard Scott</v>
      </c>
      <c r="I95" s="3">
        <f>IFERROR(__xludf.DUMMYFUNCTION("""COMPUTED_VALUE"""),1.0)</f>
        <v>1</v>
      </c>
    </row>
    <row r="96">
      <c r="A96" s="10">
        <v>45241.0</v>
      </c>
      <c r="B96" s="5" t="s">
        <v>10</v>
      </c>
      <c r="C96" s="5" t="s">
        <v>122</v>
      </c>
      <c r="D96" s="5">
        <v>12.0</v>
      </c>
      <c r="H96" s="3" t="str">
        <f>IFERROR(__xludf.DUMMYFUNCTION("""COMPUTED_VALUE"""),"Sam Laidler")</f>
        <v>Sam Laidler</v>
      </c>
      <c r="I96" s="3">
        <f>IFERROR(__xludf.DUMMYFUNCTION("""COMPUTED_VALUE"""),1.0)</f>
        <v>1</v>
      </c>
    </row>
    <row r="97">
      <c r="A97" s="10">
        <v>45241.0</v>
      </c>
      <c r="B97" s="5" t="s">
        <v>10</v>
      </c>
      <c r="C97" s="5" t="s">
        <v>60</v>
      </c>
      <c r="D97" s="5">
        <v>9.0</v>
      </c>
      <c r="H97" s="3" t="str">
        <f>IFERROR(__xludf.DUMMYFUNCTION("""COMPUTED_VALUE"""),"Sean Rowlett")</f>
        <v>Sean Rowlett</v>
      </c>
      <c r="I97" s="3">
        <f>IFERROR(__xludf.DUMMYFUNCTION("""COMPUTED_VALUE"""),1.0)</f>
        <v>1</v>
      </c>
    </row>
    <row r="98">
      <c r="A98" s="10">
        <v>45241.0</v>
      </c>
      <c r="B98" s="5" t="s">
        <v>121</v>
      </c>
      <c r="C98" s="5" t="s">
        <v>62</v>
      </c>
      <c r="D98" s="5">
        <v>9.0</v>
      </c>
      <c r="H98" s="3" t="str">
        <f>IFERROR(__xludf.DUMMYFUNCTION("""COMPUTED_VALUE"""),"Shavon Muir")</f>
        <v>Shavon Muir</v>
      </c>
      <c r="I98" s="3">
        <f>IFERROR(__xludf.DUMMYFUNCTION("""COMPUTED_VALUE"""),1.0)</f>
        <v>1</v>
      </c>
    </row>
    <row r="99">
      <c r="A99" s="10">
        <v>45241.0</v>
      </c>
      <c r="B99" s="5" t="s">
        <v>9</v>
      </c>
      <c r="C99" s="5" t="s">
        <v>46</v>
      </c>
      <c r="D99" s="5">
        <v>12.0</v>
      </c>
      <c r="H99" s="3" t="str">
        <f>IFERROR(__xludf.DUMMYFUNCTION("""COMPUTED_VALUE"""),"Sidney Hopper-Kelly")</f>
        <v>Sidney Hopper-Kelly</v>
      </c>
      <c r="I99" s="3">
        <f>IFERROR(__xludf.DUMMYFUNCTION("""COMPUTED_VALUE"""),1.0)</f>
        <v>1</v>
      </c>
    </row>
    <row r="100">
      <c r="A100" s="10">
        <v>45241.0</v>
      </c>
      <c r="B100" s="5" t="s">
        <v>9</v>
      </c>
      <c r="C100" s="5" t="s">
        <v>123</v>
      </c>
      <c r="D100" s="5">
        <v>10.0</v>
      </c>
      <c r="H100" s="3" t="str">
        <f>IFERROR(__xludf.DUMMYFUNCTION("""COMPUTED_VALUE"""),"Stanley Timms")</f>
        <v>Stanley Timms</v>
      </c>
      <c r="I100" s="3">
        <f>IFERROR(__xludf.DUMMYFUNCTION("""COMPUTED_VALUE"""),1.0)</f>
        <v>1</v>
      </c>
    </row>
    <row r="101">
      <c r="A101" s="10">
        <v>45248.0</v>
      </c>
      <c r="B101" s="3" t="s">
        <v>8</v>
      </c>
      <c r="C101" s="3" t="s">
        <v>124</v>
      </c>
      <c r="D101" s="3">
        <v>8.0</v>
      </c>
      <c r="H101" s="3" t="str">
        <f>IFERROR(__xludf.DUMMYFUNCTION("""COMPUTED_VALUE"""),"Ste Calder")</f>
        <v>Ste Calder</v>
      </c>
      <c r="I101" s="3">
        <f>IFERROR(__xludf.DUMMYFUNCTION("""COMPUTED_VALUE"""),1.0)</f>
        <v>1</v>
      </c>
    </row>
    <row r="102">
      <c r="A102" s="10">
        <v>45248.0</v>
      </c>
      <c r="B102" s="3" t="s">
        <v>11</v>
      </c>
      <c r="C102" s="3" t="s">
        <v>125</v>
      </c>
      <c r="D102" s="3">
        <v>13.0</v>
      </c>
      <c r="H102" s="3" t="str">
        <f>IFERROR(__xludf.DUMMYFUNCTION("""COMPUTED_VALUE"""),"Steve Francis")</f>
        <v>Steve Francis</v>
      </c>
      <c r="I102" s="3">
        <f>IFERROR(__xludf.DUMMYFUNCTION("""COMPUTED_VALUE"""),1.0)</f>
        <v>1</v>
      </c>
    </row>
    <row r="103">
      <c r="A103" s="10">
        <v>45248.0</v>
      </c>
      <c r="B103" s="3" t="s">
        <v>11</v>
      </c>
      <c r="C103" s="3" t="s">
        <v>126</v>
      </c>
      <c r="D103" s="3">
        <v>8.0</v>
      </c>
      <c r="H103" s="3" t="str">
        <f>IFERROR(__xludf.DUMMYFUNCTION("""COMPUTED_VALUE"""),"Tom Riley")</f>
        <v>Tom Riley</v>
      </c>
      <c r="I103" s="3">
        <f>IFERROR(__xludf.DUMMYFUNCTION("""COMPUTED_VALUE"""),1.0)</f>
        <v>1</v>
      </c>
    </row>
    <row r="104">
      <c r="A104" s="10">
        <v>45248.0</v>
      </c>
      <c r="B104" s="3" t="s">
        <v>11</v>
      </c>
      <c r="C104" s="3" t="s">
        <v>108</v>
      </c>
      <c r="D104" s="3">
        <v>8.0</v>
      </c>
      <c r="H104" s="3" t="str">
        <f>IFERROR(__xludf.DUMMYFUNCTION("""COMPUTED_VALUE"""),"Tom Taylor")</f>
        <v>Tom Taylor</v>
      </c>
      <c r="I104" s="3">
        <f>IFERROR(__xludf.DUMMYFUNCTION("""COMPUTED_VALUE"""),1.0)</f>
        <v>1</v>
      </c>
    </row>
    <row r="105">
      <c r="A105" s="10">
        <v>45248.0</v>
      </c>
      <c r="B105" s="3" t="s">
        <v>11</v>
      </c>
      <c r="C105" s="3" t="s">
        <v>127</v>
      </c>
      <c r="D105" s="3">
        <v>8.0</v>
      </c>
      <c r="H105" s="3" t="str">
        <f>IFERROR(__xludf.DUMMYFUNCTION("""COMPUTED_VALUE"""),"Wayne Ebanks")</f>
        <v>Wayne Ebanks</v>
      </c>
      <c r="I105" s="3">
        <f>IFERROR(__xludf.DUMMYFUNCTION("""COMPUTED_VALUE"""),1.0)</f>
        <v>1</v>
      </c>
    </row>
    <row r="106">
      <c r="A106" s="10">
        <v>45248.0</v>
      </c>
      <c r="B106" s="3" t="s">
        <v>10</v>
      </c>
      <c r="C106" s="3" t="s">
        <v>47</v>
      </c>
      <c r="D106" s="3">
        <v>17.0</v>
      </c>
      <c r="H106" s="3" t="str">
        <f>IFERROR(__xludf.DUMMYFUNCTION("""COMPUTED_VALUE"""),"Will French")</f>
        <v>Will French</v>
      </c>
      <c r="I106" s="3">
        <f>IFERROR(__xludf.DUMMYFUNCTION("""COMPUTED_VALUE"""),1.0)</f>
        <v>1</v>
      </c>
    </row>
    <row r="107">
      <c r="A107" s="10">
        <v>45248.0</v>
      </c>
      <c r="B107" s="3" t="s">
        <v>10</v>
      </c>
      <c r="C107" s="3" t="s">
        <v>59</v>
      </c>
      <c r="D107" s="5">
        <v>7.0</v>
      </c>
    </row>
    <row r="108">
      <c r="A108" s="10">
        <v>45248.0</v>
      </c>
      <c r="B108" s="3" t="s">
        <v>10</v>
      </c>
      <c r="C108" s="3" t="s">
        <v>60</v>
      </c>
      <c r="D108" s="5">
        <v>7.0</v>
      </c>
    </row>
    <row r="109">
      <c r="A109" s="10">
        <v>45248.0</v>
      </c>
      <c r="B109" s="3" t="s">
        <v>9</v>
      </c>
      <c r="C109" s="3" t="s">
        <v>73</v>
      </c>
      <c r="D109" s="3">
        <v>18.0</v>
      </c>
    </row>
    <row r="110">
      <c r="A110" s="10">
        <v>45248.0</v>
      </c>
      <c r="B110" s="3" t="s">
        <v>9</v>
      </c>
      <c r="C110" s="3" t="s">
        <v>70</v>
      </c>
      <c r="D110" s="3">
        <v>15.0</v>
      </c>
    </row>
    <row r="111">
      <c r="A111" s="10">
        <v>45248.0</v>
      </c>
      <c r="B111" s="3" t="s">
        <v>9</v>
      </c>
      <c r="C111" s="3" t="s">
        <v>74</v>
      </c>
      <c r="D111" s="3">
        <v>10.0</v>
      </c>
    </row>
    <row r="112">
      <c r="A112" s="10">
        <f t="shared" ref="A112:A133" si="1">A101+7</f>
        <v>45255</v>
      </c>
      <c r="B112" s="5" t="s">
        <v>8</v>
      </c>
      <c r="C112" s="5" t="s">
        <v>118</v>
      </c>
      <c r="D112" s="5">
        <v>5.0</v>
      </c>
    </row>
    <row r="113">
      <c r="A113" s="10">
        <f t="shared" si="1"/>
        <v>45255</v>
      </c>
      <c r="B113" s="5" t="s">
        <v>11</v>
      </c>
      <c r="C113" s="5" t="s">
        <v>68</v>
      </c>
      <c r="D113" s="5">
        <v>8.0</v>
      </c>
    </row>
    <row r="114">
      <c r="A114" s="10">
        <f t="shared" si="1"/>
        <v>45255</v>
      </c>
      <c r="B114" s="5" t="s">
        <v>11</v>
      </c>
      <c r="C114" s="5" t="s">
        <v>128</v>
      </c>
      <c r="D114" s="5">
        <v>6.0</v>
      </c>
    </row>
    <row r="115">
      <c r="A115" s="10">
        <f t="shared" si="1"/>
        <v>45255</v>
      </c>
      <c r="B115" s="5" t="s">
        <v>11</v>
      </c>
      <c r="C115" s="5" t="s">
        <v>77</v>
      </c>
      <c r="D115" s="5">
        <v>5.0</v>
      </c>
    </row>
    <row r="116">
      <c r="A116" s="10">
        <f t="shared" si="1"/>
        <v>45255</v>
      </c>
      <c r="B116" s="5" t="s">
        <v>10</v>
      </c>
      <c r="C116" s="5" t="s">
        <v>125</v>
      </c>
      <c r="D116" s="5">
        <v>15.0</v>
      </c>
    </row>
    <row r="117">
      <c r="A117" s="10">
        <f t="shared" si="1"/>
        <v>45255</v>
      </c>
      <c r="B117" s="5" t="s">
        <v>10</v>
      </c>
      <c r="C117" s="5" t="s">
        <v>129</v>
      </c>
      <c r="D117" s="5">
        <v>13.0</v>
      </c>
    </row>
    <row r="118">
      <c r="A118" s="10">
        <f t="shared" si="1"/>
        <v>45255</v>
      </c>
      <c r="B118" s="5" t="s">
        <v>10</v>
      </c>
      <c r="C118" s="5" t="s">
        <v>130</v>
      </c>
      <c r="D118" s="5">
        <v>12.0</v>
      </c>
    </row>
    <row r="119">
      <c r="A119" s="10">
        <f t="shared" si="1"/>
        <v>45255</v>
      </c>
      <c r="B119" s="5" t="s">
        <v>10</v>
      </c>
      <c r="C119" s="5" t="s">
        <v>94</v>
      </c>
      <c r="D119" s="5">
        <v>12.0</v>
      </c>
    </row>
    <row r="120">
      <c r="A120" s="10">
        <f t="shared" si="1"/>
        <v>45255</v>
      </c>
      <c r="B120" s="5" t="s">
        <v>9</v>
      </c>
      <c r="C120" s="5" t="s">
        <v>131</v>
      </c>
      <c r="D120" s="5">
        <v>27.0</v>
      </c>
    </row>
    <row r="121">
      <c r="A121" s="10">
        <f t="shared" si="1"/>
        <v>45255</v>
      </c>
      <c r="B121" s="5" t="s">
        <v>9</v>
      </c>
      <c r="C121" s="5" t="s">
        <v>132</v>
      </c>
      <c r="D121" s="5">
        <v>11.0</v>
      </c>
    </row>
    <row r="122">
      <c r="A122" s="10">
        <f t="shared" si="1"/>
        <v>45255</v>
      </c>
      <c r="B122" s="5" t="s">
        <v>9</v>
      </c>
      <c r="C122" s="5" t="s">
        <v>47</v>
      </c>
      <c r="D122" s="5">
        <v>10.0</v>
      </c>
    </row>
    <row r="123">
      <c r="A123" s="10">
        <f t="shared" si="1"/>
        <v>45262</v>
      </c>
      <c r="B123" s="5" t="s">
        <v>8</v>
      </c>
      <c r="C123" s="5" t="s">
        <v>106</v>
      </c>
      <c r="D123" s="5">
        <v>8.0</v>
      </c>
    </row>
    <row r="124">
      <c r="A124" s="10">
        <f t="shared" si="1"/>
        <v>45262</v>
      </c>
      <c r="B124" s="5" t="s">
        <v>11</v>
      </c>
      <c r="C124" s="5" t="s">
        <v>133</v>
      </c>
      <c r="D124" s="5">
        <v>19.0</v>
      </c>
    </row>
    <row r="125">
      <c r="A125" s="10">
        <f t="shared" si="1"/>
        <v>45262</v>
      </c>
      <c r="B125" s="5" t="s">
        <v>11</v>
      </c>
      <c r="C125" s="5" t="s">
        <v>134</v>
      </c>
      <c r="D125" s="5">
        <v>13.0</v>
      </c>
    </row>
    <row r="126">
      <c r="A126" s="10">
        <f t="shared" si="1"/>
        <v>45262</v>
      </c>
      <c r="B126" s="5" t="s">
        <v>11</v>
      </c>
      <c r="C126" s="5" t="s">
        <v>57</v>
      </c>
      <c r="D126" s="5">
        <v>8.0</v>
      </c>
    </row>
    <row r="127">
      <c r="A127" s="10">
        <f t="shared" si="1"/>
        <v>45262</v>
      </c>
      <c r="B127" s="5" t="s">
        <v>11</v>
      </c>
      <c r="C127" s="5" t="s">
        <v>116</v>
      </c>
      <c r="D127" s="5">
        <v>8.0</v>
      </c>
    </row>
    <row r="128">
      <c r="A128" s="10">
        <f t="shared" si="1"/>
        <v>45262</v>
      </c>
      <c r="B128" s="5" t="s">
        <v>11</v>
      </c>
      <c r="C128" s="5" t="s">
        <v>135</v>
      </c>
      <c r="D128" s="5">
        <v>8.0</v>
      </c>
    </row>
    <row r="129">
      <c r="A129" s="10">
        <f t="shared" si="1"/>
        <v>45262</v>
      </c>
      <c r="B129" s="5" t="s">
        <v>10</v>
      </c>
      <c r="C129" s="5" t="s">
        <v>60</v>
      </c>
      <c r="D129" s="5">
        <v>10.0</v>
      </c>
    </row>
    <row r="130">
      <c r="A130" s="10">
        <f t="shared" si="1"/>
        <v>45262</v>
      </c>
      <c r="B130" s="5" t="s">
        <v>10</v>
      </c>
      <c r="C130" s="5" t="s">
        <v>136</v>
      </c>
      <c r="D130" s="5">
        <v>10.0</v>
      </c>
    </row>
    <row r="131">
      <c r="A131" s="10">
        <f t="shared" si="1"/>
        <v>45262</v>
      </c>
      <c r="B131" s="5" t="s">
        <v>9</v>
      </c>
      <c r="C131" s="5" t="s">
        <v>46</v>
      </c>
      <c r="D131" s="5">
        <v>17.0</v>
      </c>
    </row>
    <row r="132">
      <c r="A132" s="10">
        <f t="shared" si="1"/>
        <v>45262</v>
      </c>
      <c r="B132" s="5" t="s">
        <v>9</v>
      </c>
      <c r="C132" s="5" t="s">
        <v>47</v>
      </c>
      <c r="D132" s="5">
        <v>9.0</v>
      </c>
    </row>
    <row r="133">
      <c r="A133" s="10">
        <f t="shared" si="1"/>
        <v>45262</v>
      </c>
      <c r="B133" s="5" t="s">
        <v>9</v>
      </c>
      <c r="C133" s="5" t="s">
        <v>110</v>
      </c>
      <c r="D133" s="5">
        <v>9.0</v>
      </c>
    </row>
    <row r="134">
      <c r="A134" s="10">
        <v>45276.0</v>
      </c>
      <c r="B134" s="3" t="s">
        <v>8</v>
      </c>
      <c r="C134" s="3" t="s">
        <v>106</v>
      </c>
      <c r="D134" s="3">
        <v>13.0</v>
      </c>
    </row>
    <row r="135">
      <c r="A135" s="10">
        <v>45276.0</v>
      </c>
      <c r="B135" s="3" t="s">
        <v>11</v>
      </c>
      <c r="C135" s="3" t="s">
        <v>137</v>
      </c>
      <c r="D135" s="3">
        <v>8.0</v>
      </c>
    </row>
    <row r="136">
      <c r="A136" s="10">
        <v>45276.0</v>
      </c>
      <c r="B136" s="3" t="s">
        <v>11</v>
      </c>
      <c r="C136" s="3" t="s">
        <v>57</v>
      </c>
      <c r="D136" s="3">
        <v>8.0</v>
      </c>
    </row>
    <row r="137">
      <c r="A137" s="10">
        <v>45276.0</v>
      </c>
      <c r="B137" s="3" t="s">
        <v>11</v>
      </c>
      <c r="C137" s="3" t="s">
        <v>138</v>
      </c>
      <c r="D137" s="3">
        <v>8.0</v>
      </c>
    </row>
    <row r="138">
      <c r="A138" s="10">
        <v>45276.0</v>
      </c>
      <c r="B138" s="3" t="s">
        <v>11</v>
      </c>
      <c r="C138" s="3" t="s">
        <v>135</v>
      </c>
      <c r="D138" s="3">
        <v>8.0</v>
      </c>
    </row>
    <row r="139">
      <c r="A139" s="10">
        <v>45276.0</v>
      </c>
      <c r="B139" s="3" t="s">
        <v>10</v>
      </c>
      <c r="C139" s="3" t="s">
        <v>86</v>
      </c>
      <c r="D139" s="3">
        <v>17.0</v>
      </c>
    </row>
    <row r="140">
      <c r="A140" s="10">
        <v>45276.0</v>
      </c>
      <c r="B140" s="3" t="s">
        <v>10</v>
      </c>
      <c r="C140" s="3" t="s">
        <v>60</v>
      </c>
      <c r="D140" s="3">
        <v>10.0</v>
      </c>
    </row>
    <row r="141">
      <c r="A141" s="10">
        <v>45276.0</v>
      </c>
      <c r="B141" s="3" t="s">
        <v>9</v>
      </c>
      <c r="C141" s="3" t="s">
        <v>46</v>
      </c>
      <c r="D141" s="3">
        <v>9.0</v>
      </c>
    </row>
    <row r="142">
      <c r="A142" s="10">
        <v>45276.0</v>
      </c>
      <c r="B142" s="3" t="s">
        <v>9</v>
      </c>
      <c r="C142" s="3" t="s">
        <v>74</v>
      </c>
      <c r="D142" s="3">
        <v>9.0</v>
      </c>
    </row>
    <row r="143">
      <c r="A143" s="10">
        <v>45276.0</v>
      </c>
      <c r="B143" s="3" t="s">
        <v>9</v>
      </c>
      <c r="C143" s="3" t="s">
        <v>73</v>
      </c>
      <c r="D143" s="3">
        <v>19.0</v>
      </c>
    </row>
    <row r="144">
      <c r="A144" s="10">
        <v>45276.0</v>
      </c>
      <c r="B144" s="3" t="s">
        <v>9</v>
      </c>
      <c r="C144" s="3" t="s">
        <v>139</v>
      </c>
      <c r="D144" s="3">
        <v>10.0</v>
      </c>
    </row>
    <row r="145">
      <c r="A145" s="10">
        <v>45297.0</v>
      </c>
      <c r="B145" s="5" t="s">
        <v>8</v>
      </c>
      <c r="C145" s="5" t="s">
        <v>53</v>
      </c>
      <c r="D145" s="5">
        <v>8.0</v>
      </c>
    </row>
    <row r="146">
      <c r="A146" s="10">
        <v>45297.0</v>
      </c>
      <c r="B146" s="5" t="s">
        <v>18</v>
      </c>
      <c r="C146" s="5" t="s">
        <v>75</v>
      </c>
      <c r="D146" s="5">
        <v>8.0</v>
      </c>
    </row>
    <row r="147">
      <c r="A147" s="10">
        <v>45297.0</v>
      </c>
      <c r="B147" s="5" t="s">
        <v>15</v>
      </c>
      <c r="C147" s="5" t="s">
        <v>68</v>
      </c>
      <c r="D147" s="5">
        <v>13.0</v>
      </c>
    </row>
    <row r="148">
      <c r="A148" s="10">
        <v>45297.0</v>
      </c>
      <c r="B148" s="5" t="s">
        <v>14</v>
      </c>
      <c r="C148" s="5" t="s">
        <v>69</v>
      </c>
      <c r="D148" s="5">
        <v>8.0</v>
      </c>
    </row>
    <row r="149">
      <c r="A149" s="10">
        <v>45297.0</v>
      </c>
      <c r="B149" s="5" t="s">
        <v>13</v>
      </c>
      <c r="C149" s="5" t="s">
        <v>76</v>
      </c>
      <c r="D149" s="5">
        <v>8.0</v>
      </c>
    </row>
    <row r="150">
      <c r="A150" s="10">
        <v>45297.0</v>
      </c>
      <c r="B150" s="5" t="s">
        <v>17</v>
      </c>
      <c r="C150" s="5" t="s">
        <v>107</v>
      </c>
      <c r="D150" s="5">
        <v>8.0</v>
      </c>
    </row>
    <row r="151">
      <c r="A151" s="10">
        <v>45297.0</v>
      </c>
      <c r="B151" s="5" t="s">
        <v>20</v>
      </c>
      <c r="C151" s="5" t="s">
        <v>112</v>
      </c>
      <c r="D151" s="5">
        <v>17.0</v>
      </c>
    </row>
    <row r="152">
      <c r="A152" s="10">
        <v>45297.0</v>
      </c>
      <c r="B152" s="5" t="s">
        <v>20</v>
      </c>
      <c r="C152" s="5" t="s">
        <v>140</v>
      </c>
      <c r="D152" s="5">
        <v>7.0</v>
      </c>
    </row>
    <row r="153">
      <c r="A153" s="10">
        <v>45297.0</v>
      </c>
      <c r="B153" s="5" t="s">
        <v>20</v>
      </c>
      <c r="C153" s="5" t="s">
        <v>141</v>
      </c>
      <c r="D153" s="5">
        <v>7.0</v>
      </c>
    </row>
    <row r="154">
      <c r="A154" s="10">
        <v>45297.0</v>
      </c>
      <c r="B154" s="5" t="s">
        <v>9</v>
      </c>
      <c r="C154" s="5" t="s">
        <v>79</v>
      </c>
      <c r="D154" s="5">
        <v>6.0</v>
      </c>
    </row>
    <row r="155">
      <c r="A155" s="10">
        <v>45297.0</v>
      </c>
      <c r="B155" s="5" t="s">
        <v>9</v>
      </c>
      <c r="C155" s="5" t="s">
        <v>47</v>
      </c>
      <c r="D155" s="5">
        <v>6.0</v>
      </c>
    </row>
    <row r="156">
      <c r="A156" s="10">
        <v>45304.0</v>
      </c>
      <c r="B156" s="3" t="s">
        <v>8</v>
      </c>
      <c r="C156" s="3" t="s">
        <v>55</v>
      </c>
      <c r="D156" s="3">
        <v>8.0</v>
      </c>
    </row>
    <row r="157">
      <c r="A157" s="10">
        <v>45304.0</v>
      </c>
      <c r="B157" s="5" t="s">
        <v>16</v>
      </c>
      <c r="C157" s="3" t="s">
        <v>142</v>
      </c>
      <c r="D157" s="3">
        <v>8.0</v>
      </c>
    </row>
    <row r="158">
      <c r="A158" s="10">
        <v>45304.0</v>
      </c>
      <c r="B158" s="3" t="s">
        <v>11</v>
      </c>
      <c r="C158" s="3" t="s">
        <v>68</v>
      </c>
      <c r="D158" s="3">
        <v>17.0</v>
      </c>
    </row>
    <row r="159">
      <c r="A159" s="10">
        <v>45304.0</v>
      </c>
      <c r="B159" s="3" t="s">
        <v>11</v>
      </c>
      <c r="C159" s="3" t="s">
        <v>128</v>
      </c>
      <c r="D159" s="3">
        <v>13.0</v>
      </c>
    </row>
    <row r="160">
      <c r="A160" s="10">
        <v>45304.0</v>
      </c>
      <c r="B160" s="3" t="s">
        <v>11</v>
      </c>
      <c r="C160" s="3" t="s">
        <v>120</v>
      </c>
      <c r="D160" s="3">
        <v>8.0</v>
      </c>
    </row>
    <row r="161">
      <c r="A161" s="10">
        <v>45304.0</v>
      </c>
      <c r="B161" s="5" t="s">
        <v>12</v>
      </c>
      <c r="C161" s="3" t="s">
        <v>56</v>
      </c>
      <c r="D161" s="3">
        <v>8.0</v>
      </c>
    </row>
    <row r="162">
      <c r="A162" s="10">
        <v>45304.0</v>
      </c>
      <c r="B162" s="3" t="s">
        <v>10</v>
      </c>
      <c r="C162" s="3" t="s">
        <v>93</v>
      </c>
      <c r="D162" s="3">
        <v>14.0</v>
      </c>
    </row>
    <row r="163">
      <c r="A163" s="10">
        <v>45304.0</v>
      </c>
      <c r="B163" s="3" t="s">
        <v>10</v>
      </c>
      <c r="C163" s="3" t="s">
        <v>140</v>
      </c>
      <c r="D163" s="3">
        <v>7.0</v>
      </c>
    </row>
    <row r="164">
      <c r="A164" s="10">
        <v>45304.0</v>
      </c>
      <c r="B164" s="3" t="s">
        <v>9</v>
      </c>
      <c r="C164" s="3" t="s">
        <v>143</v>
      </c>
      <c r="D164" s="3">
        <v>10.0</v>
      </c>
    </row>
    <row r="165">
      <c r="A165" s="10">
        <v>45304.0</v>
      </c>
      <c r="B165" s="3" t="s">
        <v>9</v>
      </c>
      <c r="C165" s="3" t="s">
        <v>109</v>
      </c>
      <c r="D165" s="3">
        <v>9.0</v>
      </c>
    </row>
    <row r="166">
      <c r="A166" s="10">
        <v>45304.0</v>
      </c>
      <c r="B166" s="3" t="s">
        <v>9</v>
      </c>
      <c r="C166" s="3" t="s">
        <v>139</v>
      </c>
      <c r="D166" s="3">
        <v>15.0</v>
      </c>
    </row>
    <row r="167">
      <c r="A167" s="32">
        <v>45311.0</v>
      </c>
      <c r="B167" s="3" t="s">
        <v>8</v>
      </c>
      <c r="C167" s="3" t="s">
        <v>108</v>
      </c>
      <c r="D167" s="3">
        <v>8.0</v>
      </c>
    </row>
    <row r="168">
      <c r="A168" s="32">
        <v>45311.0</v>
      </c>
      <c r="B168" s="3" t="s">
        <v>16</v>
      </c>
      <c r="C168" s="3" t="s">
        <v>144</v>
      </c>
      <c r="D168" s="3">
        <v>8.0</v>
      </c>
    </row>
    <row r="169">
      <c r="A169" s="32">
        <v>45311.0</v>
      </c>
      <c r="B169" s="3" t="s">
        <v>14</v>
      </c>
      <c r="C169" s="3" t="s">
        <v>145</v>
      </c>
      <c r="D169" s="3">
        <v>11.0</v>
      </c>
    </row>
    <row r="170">
      <c r="A170" s="32">
        <v>45311.0</v>
      </c>
      <c r="B170" s="3" t="s">
        <v>14</v>
      </c>
      <c r="C170" s="3" t="s">
        <v>146</v>
      </c>
      <c r="D170" s="3">
        <v>8.0</v>
      </c>
    </row>
    <row r="171">
      <c r="A171" s="32">
        <v>45311.0</v>
      </c>
      <c r="B171" s="3" t="s">
        <v>14</v>
      </c>
      <c r="C171" s="3" t="s">
        <v>128</v>
      </c>
      <c r="D171" s="3">
        <v>8.0</v>
      </c>
    </row>
    <row r="172">
      <c r="A172" s="32">
        <v>45311.0</v>
      </c>
      <c r="B172" s="3" t="s">
        <v>12</v>
      </c>
      <c r="C172" s="3" t="s">
        <v>126</v>
      </c>
      <c r="D172" s="3">
        <v>8.0</v>
      </c>
    </row>
    <row r="173">
      <c r="A173" s="32">
        <v>45311.0</v>
      </c>
      <c r="B173" s="3" t="s">
        <v>20</v>
      </c>
      <c r="C173" s="3" t="s">
        <v>72</v>
      </c>
      <c r="D173" s="3">
        <v>9.0</v>
      </c>
    </row>
    <row r="174">
      <c r="A174" s="32">
        <v>45311.0</v>
      </c>
      <c r="B174" s="5" t="s">
        <v>20</v>
      </c>
      <c r="C174" s="3" t="s">
        <v>147</v>
      </c>
      <c r="D174" s="3">
        <v>8.0</v>
      </c>
    </row>
    <row r="175">
      <c r="A175" s="32">
        <v>45311.0</v>
      </c>
      <c r="B175" s="3" t="s">
        <v>24</v>
      </c>
      <c r="C175" s="3" t="s">
        <v>55</v>
      </c>
      <c r="D175" s="3">
        <v>19.0</v>
      </c>
    </row>
    <row r="176">
      <c r="A176" s="32">
        <v>45311.0</v>
      </c>
      <c r="B176" s="5" t="s">
        <v>24</v>
      </c>
      <c r="C176" s="3" t="s">
        <v>114</v>
      </c>
      <c r="D176" s="3">
        <v>13.0</v>
      </c>
    </row>
    <row r="177">
      <c r="A177" s="32">
        <v>45311.0</v>
      </c>
      <c r="B177" s="3" t="s">
        <v>24</v>
      </c>
      <c r="C177" s="3" t="s">
        <v>148</v>
      </c>
      <c r="D177" s="3">
        <v>11.0</v>
      </c>
    </row>
    <row r="178">
      <c r="A178" s="32">
        <v>45318.0</v>
      </c>
      <c r="B178" s="5" t="s">
        <v>8</v>
      </c>
      <c r="C178" s="5" t="s">
        <v>106</v>
      </c>
      <c r="D178" s="5">
        <v>8.0</v>
      </c>
    </row>
    <row r="179">
      <c r="A179" s="32">
        <v>45318.0</v>
      </c>
      <c r="B179" s="5" t="s">
        <v>16</v>
      </c>
      <c r="C179" s="5" t="s">
        <v>149</v>
      </c>
      <c r="D179" s="5">
        <v>8.0</v>
      </c>
    </row>
    <row r="180">
      <c r="A180" s="32">
        <v>45318.0</v>
      </c>
      <c r="B180" s="5" t="s">
        <v>14</v>
      </c>
      <c r="C180" s="5" t="s">
        <v>116</v>
      </c>
      <c r="D180" s="5">
        <v>8.0</v>
      </c>
    </row>
    <row r="181">
      <c r="A181" s="32">
        <v>45318.0</v>
      </c>
      <c r="B181" s="5" t="s">
        <v>14</v>
      </c>
      <c r="C181" s="5" t="s">
        <v>56</v>
      </c>
      <c r="D181" s="5">
        <v>8.0</v>
      </c>
    </row>
    <row r="182">
      <c r="A182" s="32">
        <v>45318.0</v>
      </c>
      <c r="B182" s="5" t="s">
        <v>12</v>
      </c>
      <c r="C182" s="5" t="s">
        <v>138</v>
      </c>
      <c r="D182" s="5">
        <v>8.0</v>
      </c>
    </row>
    <row r="183">
      <c r="A183" s="32">
        <v>45318.0</v>
      </c>
      <c r="B183" s="5" t="s">
        <v>20</v>
      </c>
      <c r="C183" s="5" t="s">
        <v>150</v>
      </c>
      <c r="D183" s="5">
        <v>20.0</v>
      </c>
    </row>
    <row r="184">
      <c r="A184" s="32">
        <v>45318.0</v>
      </c>
      <c r="B184" s="5" t="s">
        <v>20</v>
      </c>
      <c r="C184" s="5" t="s">
        <v>151</v>
      </c>
      <c r="D184" s="5">
        <v>10.0</v>
      </c>
    </row>
    <row r="185">
      <c r="A185" s="32">
        <v>45318.0</v>
      </c>
      <c r="B185" s="5" t="s">
        <v>20</v>
      </c>
      <c r="C185" s="5" t="s">
        <v>71</v>
      </c>
      <c r="D185" s="5">
        <v>9.0</v>
      </c>
    </row>
    <row r="186">
      <c r="A186" s="32">
        <v>45318.0</v>
      </c>
      <c r="B186" s="5" t="s">
        <v>24</v>
      </c>
      <c r="C186" s="5" t="s">
        <v>152</v>
      </c>
      <c r="D186" s="5">
        <v>14.0</v>
      </c>
    </row>
    <row r="187">
      <c r="A187" s="32">
        <v>45318.0</v>
      </c>
      <c r="B187" s="5" t="s">
        <v>24</v>
      </c>
      <c r="C187" s="5" t="s">
        <v>55</v>
      </c>
      <c r="D187" s="5">
        <v>14.0</v>
      </c>
    </row>
    <row r="188">
      <c r="A188" s="32">
        <v>45318.0</v>
      </c>
      <c r="B188" s="5" t="s">
        <v>24</v>
      </c>
      <c r="C188" s="5" t="s">
        <v>153</v>
      </c>
      <c r="D188" s="5">
        <v>10.0</v>
      </c>
    </row>
    <row r="189">
      <c r="A189" s="32">
        <v>45325.0</v>
      </c>
      <c r="B189" s="3" t="s">
        <v>8</v>
      </c>
      <c r="C189" s="3" t="s">
        <v>53</v>
      </c>
      <c r="D189" s="3">
        <v>8.0</v>
      </c>
    </row>
    <row r="190">
      <c r="A190" s="32">
        <v>45325.0</v>
      </c>
      <c r="B190" s="3" t="s">
        <v>18</v>
      </c>
      <c r="C190" s="3" t="s">
        <v>57</v>
      </c>
      <c r="D190" s="3">
        <v>8.0</v>
      </c>
    </row>
    <row r="191">
      <c r="A191" s="32">
        <v>45325.0</v>
      </c>
      <c r="B191" s="3" t="s">
        <v>15</v>
      </c>
      <c r="C191" s="3" t="s">
        <v>68</v>
      </c>
      <c r="D191" s="3">
        <v>14.0</v>
      </c>
    </row>
    <row r="192">
      <c r="A192" s="32">
        <v>45325.0</v>
      </c>
      <c r="B192" s="3" t="s">
        <v>14</v>
      </c>
      <c r="C192" s="3" t="s">
        <v>116</v>
      </c>
      <c r="D192" s="3">
        <v>13.0</v>
      </c>
    </row>
    <row r="193">
      <c r="A193" s="32">
        <v>45325.0</v>
      </c>
      <c r="B193" s="3" t="s">
        <v>13</v>
      </c>
      <c r="C193" s="3" t="s">
        <v>76</v>
      </c>
      <c r="D193" s="3">
        <v>8.0</v>
      </c>
    </row>
    <row r="194">
      <c r="A194" s="32">
        <v>45325.0</v>
      </c>
      <c r="B194" s="3" t="s">
        <v>17</v>
      </c>
      <c r="C194" s="3" t="s">
        <v>107</v>
      </c>
      <c r="D194" s="3">
        <v>8.0</v>
      </c>
    </row>
    <row r="195">
      <c r="A195" s="32">
        <v>45325.0</v>
      </c>
      <c r="B195" s="3" t="s">
        <v>20</v>
      </c>
      <c r="C195" s="3" t="s">
        <v>67</v>
      </c>
      <c r="D195" s="3">
        <v>9.0</v>
      </c>
    </row>
    <row r="196">
      <c r="A196" s="32">
        <v>45325.0</v>
      </c>
      <c r="B196" s="3" t="s">
        <v>21</v>
      </c>
      <c r="C196" s="3" t="s">
        <v>62</v>
      </c>
      <c r="D196" s="3">
        <v>9.0</v>
      </c>
    </row>
    <row r="197">
      <c r="A197" s="32">
        <v>45325.0</v>
      </c>
      <c r="B197" s="3" t="s">
        <v>24</v>
      </c>
      <c r="C197" s="3" t="s">
        <v>47</v>
      </c>
      <c r="D197" s="3">
        <v>8.0</v>
      </c>
    </row>
    <row r="198">
      <c r="A198" s="32">
        <v>45325.0</v>
      </c>
      <c r="B198" s="3" t="s">
        <v>24</v>
      </c>
      <c r="C198" s="3" t="s">
        <v>148</v>
      </c>
      <c r="D198" s="3">
        <v>7.0</v>
      </c>
    </row>
    <row r="199">
      <c r="A199" s="32">
        <v>45325.0</v>
      </c>
      <c r="B199" s="3" t="s">
        <v>24</v>
      </c>
      <c r="C199" s="3" t="s">
        <v>109</v>
      </c>
      <c r="D199" s="3">
        <v>6.0</v>
      </c>
    </row>
    <row r="200">
      <c r="A200" s="32">
        <v>45332.0</v>
      </c>
      <c r="B200" s="5" t="s">
        <v>8</v>
      </c>
      <c r="C200" s="5" t="s">
        <v>53</v>
      </c>
      <c r="D200" s="5">
        <v>8.0</v>
      </c>
    </row>
    <row r="201">
      <c r="A201" s="32">
        <v>45332.0</v>
      </c>
      <c r="B201" s="5" t="s">
        <v>18</v>
      </c>
      <c r="C201" s="5" t="s">
        <v>57</v>
      </c>
      <c r="D201" s="5">
        <v>8.0</v>
      </c>
    </row>
    <row r="202">
      <c r="A202" s="32">
        <v>45332.0</v>
      </c>
      <c r="B202" s="5" t="s">
        <v>15</v>
      </c>
      <c r="C202" s="5" t="s">
        <v>68</v>
      </c>
      <c r="D202" s="5">
        <v>14.0</v>
      </c>
    </row>
    <row r="203">
      <c r="A203" s="32">
        <v>45332.0</v>
      </c>
      <c r="B203" s="5" t="s">
        <v>14</v>
      </c>
      <c r="C203" s="5" t="s">
        <v>116</v>
      </c>
      <c r="D203" s="5">
        <v>13.0</v>
      </c>
    </row>
    <row r="204">
      <c r="A204" s="32">
        <v>45332.0</v>
      </c>
      <c r="B204" s="5" t="s">
        <v>13</v>
      </c>
      <c r="C204" s="5" t="s">
        <v>76</v>
      </c>
      <c r="D204" s="5">
        <v>8.0</v>
      </c>
    </row>
    <row r="205">
      <c r="A205" s="32">
        <v>45332.0</v>
      </c>
      <c r="B205" s="5" t="s">
        <v>17</v>
      </c>
      <c r="C205" s="5" t="s">
        <v>107</v>
      </c>
      <c r="D205" s="5">
        <v>8.0</v>
      </c>
    </row>
    <row r="206">
      <c r="A206" s="32">
        <v>45332.0</v>
      </c>
      <c r="B206" s="5" t="s">
        <v>20</v>
      </c>
      <c r="C206" s="5" t="s">
        <v>67</v>
      </c>
      <c r="D206" s="5">
        <v>9.0</v>
      </c>
    </row>
    <row r="207">
      <c r="A207" s="32">
        <v>45332.0</v>
      </c>
      <c r="B207" s="5" t="s">
        <v>21</v>
      </c>
      <c r="C207" s="5" t="s">
        <v>62</v>
      </c>
      <c r="D207" s="5">
        <v>9.0</v>
      </c>
    </row>
    <row r="208">
      <c r="A208" s="32">
        <v>45332.0</v>
      </c>
      <c r="B208" s="5" t="s">
        <v>24</v>
      </c>
      <c r="C208" s="5" t="s">
        <v>47</v>
      </c>
      <c r="D208" s="5">
        <v>8.0</v>
      </c>
    </row>
    <row r="209">
      <c r="A209" s="32">
        <v>45332.0</v>
      </c>
      <c r="B209" s="5" t="s">
        <v>24</v>
      </c>
      <c r="C209" s="5" t="s">
        <v>148</v>
      </c>
      <c r="D209" s="5">
        <v>7.0</v>
      </c>
    </row>
    <row r="210">
      <c r="A210" s="32">
        <v>45332.0</v>
      </c>
      <c r="B210" s="5" t="s">
        <v>24</v>
      </c>
      <c r="C210" s="5" t="s">
        <v>109</v>
      </c>
      <c r="D210" s="5">
        <v>6.0</v>
      </c>
    </row>
    <row r="211">
      <c r="A211" s="32">
        <v>45339.0</v>
      </c>
      <c r="B211" s="3" t="s">
        <v>8</v>
      </c>
      <c r="C211" s="3" t="s">
        <v>106</v>
      </c>
      <c r="D211" s="3">
        <v>8.0</v>
      </c>
    </row>
    <row r="212">
      <c r="A212" s="32">
        <v>45339.0</v>
      </c>
      <c r="B212" s="3" t="s">
        <v>18</v>
      </c>
      <c r="C212" s="3" t="s">
        <v>133</v>
      </c>
      <c r="D212" s="3">
        <v>8.0</v>
      </c>
    </row>
    <row r="213">
      <c r="A213" s="32">
        <v>45339.0</v>
      </c>
      <c r="B213" s="3" t="s">
        <v>14</v>
      </c>
      <c r="C213" s="3" t="s">
        <v>116</v>
      </c>
      <c r="D213" s="3">
        <v>13.0</v>
      </c>
    </row>
    <row r="214">
      <c r="A214" s="32">
        <v>45339.0</v>
      </c>
      <c r="B214" s="3" t="s">
        <v>14</v>
      </c>
      <c r="C214" s="3" t="s">
        <v>138</v>
      </c>
      <c r="D214" s="3">
        <v>8.0</v>
      </c>
    </row>
    <row r="215">
      <c r="A215" s="32">
        <v>45339.0</v>
      </c>
      <c r="B215" s="3" t="s">
        <v>14</v>
      </c>
      <c r="C215" s="3" t="s">
        <v>154</v>
      </c>
      <c r="D215" s="3">
        <v>8.0</v>
      </c>
    </row>
    <row r="216">
      <c r="A216" s="32">
        <v>45339.0</v>
      </c>
      <c r="B216" s="3" t="s">
        <v>17</v>
      </c>
      <c r="C216" s="3" t="s">
        <v>117</v>
      </c>
      <c r="D216" s="3">
        <v>8.0</v>
      </c>
    </row>
    <row r="217">
      <c r="A217" s="32">
        <v>45339.0</v>
      </c>
      <c r="B217" s="3" t="s">
        <v>20</v>
      </c>
      <c r="C217" s="3" t="s">
        <v>59</v>
      </c>
      <c r="D217" s="3">
        <v>10.0</v>
      </c>
    </row>
    <row r="218">
      <c r="A218" s="32">
        <v>45339.0</v>
      </c>
      <c r="B218" s="3" t="s">
        <v>20</v>
      </c>
      <c r="C218" s="3" t="s">
        <v>155</v>
      </c>
      <c r="D218" s="3">
        <v>7.0</v>
      </c>
    </row>
    <row r="219">
      <c r="A219" s="32">
        <v>45339.0</v>
      </c>
      <c r="B219" s="3" t="s">
        <v>20</v>
      </c>
      <c r="C219" s="3" t="s">
        <v>93</v>
      </c>
      <c r="D219" s="3">
        <v>7.0</v>
      </c>
    </row>
    <row r="220">
      <c r="A220" s="32">
        <v>45339.0</v>
      </c>
      <c r="B220" s="5" t="s">
        <v>156</v>
      </c>
      <c r="C220" s="3" t="s">
        <v>90</v>
      </c>
      <c r="D220" s="3">
        <v>7.0</v>
      </c>
    </row>
    <row r="221">
      <c r="A221" s="32">
        <v>45339.0</v>
      </c>
      <c r="B221" s="3" t="s">
        <v>24</v>
      </c>
      <c r="C221" s="3" t="s">
        <v>79</v>
      </c>
      <c r="D221" s="3">
        <v>13.0</v>
      </c>
    </row>
    <row r="222">
      <c r="A222" s="10">
        <v>45360.0</v>
      </c>
      <c r="B222" s="3" t="s">
        <v>8</v>
      </c>
      <c r="C222" s="3" t="s">
        <v>53</v>
      </c>
      <c r="D222" s="3">
        <v>7.0</v>
      </c>
    </row>
    <row r="223">
      <c r="A223" s="10">
        <v>45360.0</v>
      </c>
      <c r="B223" s="3" t="s">
        <v>16</v>
      </c>
      <c r="C223" s="3" t="s">
        <v>54</v>
      </c>
      <c r="D223" s="3">
        <v>7.0</v>
      </c>
    </row>
    <row r="224">
      <c r="A224" s="10">
        <v>45360.0</v>
      </c>
      <c r="B224" s="3" t="s">
        <v>14</v>
      </c>
      <c r="C224" s="3" t="s">
        <v>55</v>
      </c>
      <c r="D224" s="3">
        <v>10.0</v>
      </c>
    </row>
    <row r="225">
      <c r="A225" s="10">
        <v>45360.0</v>
      </c>
      <c r="B225" s="5" t="s">
        <v>14</v>
      </c>
      <c r="C225" s="5" t="s">
        <v>56</v>
      </c>
      <c r="D225" s="5">
        <v>2.0</v>
      </c>
    </row>
    <row r="226">
      <c r="A226" s="10">
        <v>45360.0</v>
      </c>
      <c r="B226" s="5" t="s">
        <v>12</v>
      </c>
      <c r="C226" s="3" t="s">
        <v>57</v>
      </c>
      <c r="D226" s="5">
        <v>2.0</v>
      </c>
    </row>
    <row r="227">
      <c r="A227" s="10">
        <v>45360.0</v>
      </c>
      <c r="B227" s="3" t="s">
        <v>20</v>
      </c>
      <c r="C227" s="3" t="s">
        <v>58</v>
      </c>
      <c r="D227" s="3">
        <v>7.0</v>
      </c>
    </row>
    <row r="228">
      <c r="A228" s="10">
        <v>45360.0</v>
      </c>
      <c r="B228" s="3" t="s">
        <v>20</v>
      </c>
      <c r="C228" s="3" t="s">
        <v>59</v>
      </c>
      <c r="D228" s="3">
        <v>7.0</v>
      </c>
    </row>
    <row r="229">
      <c r="A229" s="10">
        <v>45360.0</v>
      </c>
      <c r="B229" s="3" t="s">
        <v>21</v>
      </c>
      <c r="C229" s="3" t="s">
        <v>60</v>
      </c>
      <c r="D229" s="3">
        <v>8.0</v>
      </c>
    </row>
    <row r="230">
      <c r="A230" s="10">
        <v>45360.0</v>
      </c>
      <c r="B230" s="3" t="s">
        <v>23</v>
      </c>
      <c r="C230" s="3" t="s">
        <v>61</v>
      </c>
      <c r="D230" s="3">
        <v>19.0</v>
      </c>
    </row>
    <row r="231">
      <c r="A231" s="10">
        <v>45360.0</v>
      </c>
      <c r="B231" s="3" t="s">
        <v>24</v>
      </c>
      <c r="C231" s="3" t="s">
        <v>62</v>
      </c>
      <c r="D231" s="3">
        <v>18.0</v>
      </c>
    </row>
    <row r="232">
      <c r="A232" s="10">
        <v>45360.0</v>
      </c>
      <c r="B232" s="3" t="s">
        <v>22</v>
      </c>
      <c r="C232" s="3" t="s">
        <v>45</v>
      </c>
      <c r="D232" s="3">
        <v>17.0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63"/>
    <col customWidth="1" min="2" max="4" width="6.88"/>
    <col customWidth="1" min="5" max="5" width="20.25"/>
  </cols>
  <sheetData>
    <row r="1">
      <c r="A1" s="13" t="s">
        <v>25</v>
      </c>
      <c r="D1" s="33">
        <v>45367.0</v>
      </c>
      <c r="E1" s="34"/>
      <c r="F1" s="35"/>
      <c r="G1" s="21"/>
      <c r="H1" s="36"/>
      <c r="I1" s="15"/>
      <c r="J1" s="15"/>
      <c r="K1" s="15"/>
      <c r="L1" s="15"/>
      <c r="M1" s="15"/>
      <c r="N1" s="15"/>
      <c r="O1" s="15"/>
      <c r="P1" s="15"/>
      <c r="Q1" s="15"/>
      <c r="R1" s="15"/>
      <c r="S1" s="15"/>
      <c r="T1" s="15"/>
      <c r="U1" s="15"/>
      <c r="V1" s="15"/>
      <c r="W1" s="15"/>
      <c r="X1" s="15"/>
      <c r="Y1" s="15"/>
      <c r="Z1" s="15"/>
      <c r="AA1" s="15"/>
      <c r="AB1" s="15"/>
      <c r="AC1" s="15"/>
      <c r="AD1" s="15"/>
      <c r="AE1" s="37"/>
      <c r="AF1" s="37"/>
      <c r="AG1" s="37"/>
      <c r="AH1" s="37"/>
      <c r="AI1" s="37"/>
    </row>
    <row r="2">
      <c r="G2" s="15"/>
      <c r="H2" s="15"/>
      <c r="I2" s="15"/>
      <c r="J2" s="15"/>
      <c r="K2" s="15"/>
      <c r="L2" s="15"/>
      <c r="M2" s="15"/>
      <c r="N2" s="15"/>
      <c r="O2" s="15"/>
      <c r="P2" s="15"/>
      <c r="Q2" s="15"/>
      <c r="R2" s="15"/>
      <c r="S2" s="15"/>
      <c r="T2" s="15"/>
      <c r="U2" s="15"/>
      <c r="V2" s="15"/>
      <c r="W2" s="15"/>
      <c r="X2" s="15"/>
      <c r="Y2" s="15"/>
      <c r="Z2" s="15"/>
      <c r="AA2" s="15"/>
      <c r="AB2" s="15"/>
      <c r="AC2" s="15"/>
      <c r="AD2" s="15"/>
      <c r="AE2" s="37"/>
      <c r="AF2" s="37"/>
      <c r="AG2" s="37"/>
      <c r="AH2" s="37"/>
      <c r="AI2" s="37"/>
    </row>
    <row r="3" hidden="1">
      <c r="A3" s="5">
        <v>1.0</v>
      </c>
      <c r="F3" s="5">
        <v>2.0</v>
      </c>
      <c r="G3" s="15"/>
      <c r="H3" s="15"/>
      <c r="I3" s="15"/>
      <c r="J3" s="15"/>
      <c r="K3" s="24">
        <v>3.0</v>
      </c>
      <c r="L3" s="15"/>
      <c r="M3" s="15"/>
      <c r="N3" s="15"/>
      <c r="O3" s="15"/>
      <c r="P3" s="24">
        <v>4.0</v>
      </c>
      <c r="Q3" s="15"/>
      <c r="R3" s="15"/>
      <c r="S3" s="15"/>
      <c r="T3" s="15"/>
      <c r="U3" s="24">
        <v>5.0</v>
      </c>
      <c r="V3" s="15"/>
      <c r="W3" s="15"/>
      <c r="X3" s="15"/>
      <c r="Y3" s="15"/>
      <c r="Z3" s="24">
        <v>6.0</v>
      </c>
      <c r="AA3" s="15"/>
      <c r="AB3" s="15"/>
      <c r="AC3" s="15"/>
      <c r="AD3" s="15"/>
      <c r="AE3" s="24" t="s">
        <v>157</v>
      </c>
      <c r="AF3" s="15"/>
      <c r="AG3" s="15"/>
      <c r="AH3" s="15"/>
      <c r="AI3" s="15"/>
    </row>
    <row r="4" hidden="1">
      <c r="A4" s="5" t="str">
        <f>"Old Thorns " &amp;A3&amp;"s"</f>
        <v>Old Thorns 1s</v>
      </c>
      <c r="B4" s="3">
        <f>IFERROR(__xludf.DUMMYFUNCTION("query('OTPI Scores'!$A:$Z,""SELECT Y,F,Z where A= date '""&amp;text($D$1,""yyyy-mm-dd"")&amp;""' and E=""&amp;A3&amp;"" Limit 1"",0)"),2.0)</f>
        <v>2</v>
      </c>
      <c r="C4" s="3" t="str">
        <f>IFERROR(__xludf.DUMMYFUNCTION("""COMPUTED_VALUE"""),"Honourable Artillery Company 1s")</f>
        <v>Honourable Artillery Company 1s</v>
      </c>
      <c r="D4" s="3">
        <f>IFERROR(__xludf.DUMMYFUNCTION("""COMPUTED_VALUE"""),2.0)</f>
        <v>2</v>
      </c>
      <c r="F4" s="5" t="str">
        <f>"Old Thorns " &amp;F3&amp;"s"</f>
        <v>Old Thorns 2s</v>
      </c>
      <c r="G4" s="15" t="str">
        <f>IFERROR(__xludf.DUMMYFUNCTION("query('OTPI Scores'!$A:$Z,""SELECT Y,F,Z where A= date '""&amp;text($D$1,""yyyy-mm-dd"")&amp;""' and E=""&amp;F3&amp;"" Limit 1"",0)"),"#N/A")</f>
        <v>#N/A</v>
      </c>
      <c r="H4" s="15"/>
      <c r="I4" s="15"/>
      <c r="J4" s="15"/>
      <c r="K4" s="24" t="str">
        <f>"Old Thorns " &amp;K3&amp;"s"</f>
        <v>Old Thorns 3s</v>
      </c>
      <c r="L4" s="15">
        <f>IFERROR(__xludf.DUMMYFUNCTION("query('OTPI Scores'!$A:$Z,""SELECT Y,F,Z where A= date '""&amp;text($D$1,""yyyy-mm-dd"")&amp;""' and E=""&amp;K3&amp;"" Limit 1"",0)"),2.0)</f>
        <v>2</v>
      </c>
      <c r="M4" s="15" t="str">
        <f>IFERROR(__xludf.DUMMYFUNCTION("""COMPUTED_VALUE"""),"Witan 1s")</f>
        <v>Witan 1s</v>
      </c>
      <c r="N4" s="15">
        <f>IFERROR(__xludf.DUMMYFUNCTION("""COMPUTED_VALUE"""),0.0)</f>
        <v>0</v>
      </c>
      <c r="O4" s="15"/>
      <c r="P4" s="24" t="str">
        <f>"Old Thorns " &amp;P3&amp;"s"</f>
        <v>Old Thorns 4s</v>
      </c>
      <c r="Q4" s="15">
        <f>IFERROR(__xludf.DUMMYFUNCTION("query('OTPI Scores'!$A:$Z,""SELECT Y,F,Z where A= date '""&amp;text($D$1,""yyyy-mm-dd"")&amp;""' and E=""&amp;P3&amp;"" Limit 1"",0)"),4.0)</f>
        <v>4</v>
      </c>
      <c r="R4" s="15" t="str">
        <f>IFERROR(__xludf.DUMMYFUNCTION("""COMPUTED_VALUE"""),"Witan 2s")</f>
        <v>Witan 2s</v>
      </c>
      <c r="S4" s="15">
        <f>IFERROR(__xludf.DUMMYFUNCTION("""COMPUTED_VALUE"""),1.0)</f>
        <v>1</v>
      </c>
      <c r="T4" s="15"/>
      <c r="U4" s="24" t="str">
        <f>"Old Thorns " &amp;U3&amp;"s"</f>
        <v>Old Thorns 5s</v>
      </c>
      <c r="V4" s="15" t="str">
        <f>IFERROR(__xludf.DUMMYFUNCTION("query('OTPI Scores'!$A:$Z,""SELECT Y,F,Z where A= date '""&amp;text($D$1,""yyyy-mm-dd"")&amp;""' and E=""&amp;U3&amp;"" Limit 1"",0)"),"#N/A")</f>
        <v>#N/A</v>
      </c>
      <c r="W4" s="15"/>
      <c r="X4" s="15"/>
      <c r="Y4" s="15"/>
      <c r="Z4" s="24" t="str">
        <f>"Old Thorns " &amp;Z3&amp;"s"</f>
        <v>Old Thorns 6s</v>
      </c>
      <c r="AA4" s="15">
        <f>IFERROR(__xludf.DUMMYFUNCTION("query('OTPI Scores'!$A:$Z,""SELECT Y,F,Z where A= date '""&amp;text($D$1,""yyyy-mm-dd"")&amp;""' and E=""&amp;Z3&amp;"" Limit 1"",0)"),1.0)</f>
        <v>1</v>
      </c>
      <c r="AB4" s="15" t="str">
        <f>IFERROR(__xludf.DUMMYFUNCTION("""COMPUTED_VALUE"""),"Old Guildfordians 2s")</f>
        <v>Old Guildfordians 2s</v>
      </c>
      <c r="AC4" s="15">
        <f>IFERROR(__xludf.DUMMYFUNCTION("""COMPUTED_VALUE"""),1.0)</f>
        <v>1</v>
      </c>
      <c r="AD4" s="15"/>
      <c r="AE4" s="24" t="str">
        <f>"Old Thorns " &amp;AE3</f>
        <v>Old Thorns Vets</v>
      </c>
      <c r="AF4" s="15" t="str">
        <f>IFERROR(__xludf.DUMMYFUNCTION("query('OTPI Scores'!$A:$Z,""SELECT Y,F,Z where A= date '""&amp;text($D$1,""yyyy-mm-dd"")&amp;""' and E!=1 and E!=2 and E!=3 and E!=4 and E!=5  and E!=6 Limit 1"",0)"),"#N/A")</f>
        <v>#N/A</v>
      </c>
      <c r="AG4" s="15"/>
      <c r="AH4" s="15"/>
      <c r="AI4" s="15"/>
    </row>
    <row r="5" hidden="1">
      <c r="A5" s="5" t="s">
        <v>158</v>
      </c>
      <c r="C5" s="5" t="s">
        <v>159</v>
      </c>
      <c r="E5" s="5" t="s">
        <v>160</v>
      </c>
      <c r="F5" s="5" t="s">
        <v>158</v>
      </c>
      <c r="G5" s="15"/>
      <c r="H5" s="24" t="s">
        <v>159</v>
      </c>
      <c r="I5" s="15"/>
      <c r="J5" s="24" t="s">
        <v>160</v>
      </c>
      <c r="K5" s="24" t="s">
        <v>158</v>
      </c>
      <c r="L5" s="15"/>
      <c r="M5" s="24" t="s">
        <v>159</v>
      </c>
      <c r="N5" s="15"/>
      <c r="O5" s="24" t="s">
        <v>160</v>
      </c>
      <c r="P5" s="24" t="s">
        <v>158</v>
      </c>
      <c r="Q5" s="15"/>
      <c r="R5" s="24" t="s">
        <v>159</v>
      </c>
      <c r="S5" s="15"/>
      <c r="T5" s="24" t="s">
        <v>160</v>
      </c>
      <c r="U5" s="24" t="s">
        <v>158</v>
      </c>
      <c r="V5" s="15"/>
      <c r="W5" s="24" t="s">
        <v>159</v>
      </c>
      <c r="X5" s="15"/>
      <c r="Y5" s="24" t="s">
        <v>160</v>
      </c>
      <c r="Z5" s="24" t="s">
        <v>158</v>
      </c>
      <c r="AA5" s="15"/>
      <c r="AB5" s="24" t="s">
        <v>159</v>
      </c>
      <c r="AC5" s="15"/>
      <c r="AD5" s="24" t="s">
        <v>160</v>
      </c>
      <c r="AE5" s="24" t="s">
        <v>158</v>
      </c>
      <c r="AF5" s="15"/>
      <c r="AG5" s="24" t="s">
        <v>159</v>
      </c>
      <c r="AH5" s="15"/>
      <c r="AI5" s="24" t="s">
        <v>160</v>
      </c>
    </row>
    <row r="6" hidden="1">
      <c r="A6" s="3" t="str">
        <f>IFERROR(__xludf.DUMMYFUNCTION("query('OTPI Scores'!$A:$Z,""SELECT C,H where A= date '""&amp;text($D$1,""yyyy-mm-dd"")&amp;""' and E=""&amp;A3&amp;"" and H&gt;0"",0)"),"Matt Crowe")</f>
        <v>Matt Crowe</v>
      </c>
      <c r="B6" s="3">
        <f>IFERROR(__xludf.DUMMYFUNCTION("""COMPUTED_VALUE"""),1.0)</f>
        <v>1</v>
      </c>
      <c r="C6" s="2" t="str">
        <f>IFERROR(__xludf.DUMMYFUNCTION("query('OTPI Scores'!$A:$Z,""SELECT C,I where A= date '""&amp;text($D$1,""yyyy-mm-dd"")&amp;""' and E=""&amp;A3&amp;"" and I&gt;0"",0)"),"Ben Dockerill")</f>
        <v>Ben Dockerill</v>
      </c>
      <c r="D6" s="3">
        <f>IFERROR(__xludf.DUMMYFUNCTION("""COMPUTED_VALUE"""),1.0)</f>
        <v>1</v>
      </c>
      <c r="E6" s="3" t="str">
        <f>IFERROR(__xludf.DUMMYFUNCTION("query('OTPI Scores'!$A:$Z,""SELECT C where A= date '""&amp;text($D$1,""yyyy-mm-dd"")&amp;""' and E=""&amp;A3&amp;"" and R&gt;0"",0)"),"Yemi Oviosu")</f>
        <v>Yemi Oviosu</v>
      </c>
      <c r="F6" s="3" t="str">
        <f>IFERROR(__xludf.DUMMYFUNCTION("query('OTPI Scores'!$A:$Z,""SELECT C,H where A= date '""&amp;text($D$1,""yyyy-mm-dd"")&amp;""' and E=""&amp;F3&amp;"" and H&gt;0"",0)"),"#N/A")</f>
        <v>#N/A</v>
      </c>
      <c r="G6" s="15"/>
      <c r="H6" s="25" t="str">
        <f>IFERROR(__xludf.DUMMYFUNCTION("query('OTPI Scores'!$A:$Z,""SELECT C,I where A= date '""&amp;text($D$1,""yyyy-mm-dd"")&amp;""' and E=""&amp;F3&amp;"" and I&gt;0"",0)"),"#N/A")</f>
        <v>#N/A</v>
      </c>
      <c r="I6" s="15"/>
      <c r="J6" s="15" t="str">
        <f>IFERROR(__xludf.DUMMYFUNCTION("query('OTPI Scores'!$A:$Z,""SELECT C where A= date '""&amp;text($D$1,""yyyy-mm-dd"")&amp;""' and E=""&amp;F3&amp;"" and R&gt;0"",0)"),"#N/A")</f>
        <v>#N/A</v>
      </c>
      <c r="K6" s="15" t="str">
        <f>IFERROR(__xludf.DUMMYFUNCTION("query('OTPI Scores'!$A:$Z,""SELECT C,H where A= date '""&amp;text($D$1,""yyyy-mm-dd"")&amp;""' and E=""&amp;K3&amp;"" and H&gt;0"",0)"),"Alex Stevens")</f>
        <v>Alex Stevens</v>
      </c>
      <c r="L6" s="15">
        <f>IFERROR(__xludf.DUMMYFUNCTION("""COMPUTED_VALUE"""),2.0)</f>
        <v>2</v>
      </c>
      <c r="M6" s="25" t="str">
        <f>IFERROR(__xludf.DUMMYFUNCTION("query('OTPI Scores'!$A:$Z,""SELECT C,I where A= date '""&amp;text($D$1,""yyyy-mm-dd"")&amp;""' and E=""&amp;K3&amp;"" and I&gt;0"",0)"),"Rob Edmonds")</f>
        <v>Rob Edmonds</v>
      </c>
      <c r="N6" s="15">
        <f>IFERROR(__xludf.DUMMYFUNCTION("""COMPUTED_VALUE"""),1.0)</f>
        <v>1</v>
      </c>
      <c r="O6" s="15" t="str">
        <f>IFERROR(__xludf.DUMMYFUNCTION("query('OTPI Scores'!$A:$Z,""SELECT C where A= date '""&amp;text($D$1,""yyyy-mm-dd"")&amp;""' and E=""&amp;K3&amp;"" and R&gt;0"",0)"),"Chris Douthwaite")</f>
        <v>Chris Douthwaite</v>
      </c>
      <c r="P6" s="15" t="str">
        <f>IFERROR(__xludf.DUMMYFUNCTION("query('OTPI Scores'!$A:$Z,""SELECT C,H where A= date '""&amp;text($D$1,""yyyy-mm-dd"")&amp;""' and E=""&amp;P3&amp;"" and H&gt;0"",0)"),"Sean Rowlett")</f>
        <v>Sean Rowlett</v>
      </c>
      <c r="Q6" s="15">
        <f>IFERROR(__xludf.DUMMYFUNCTION("""COMPUTED_VALUE"""),1.0)</f>
        <v>1</v>
      </c>
      <c r="R6" s="25" t="str">
        <f>IFERROR(__xludf.DUMMYFUNCTION("query('OTPI Scores'!$A:$Z,""SELECT C,I where A= date '""&amp;text($D$1,""yyyy-mm-dd"")&amp;""' and E=""&amp;P3&amp;"" and I&gt;0"",0)"),"Charlie Doe")</f>
        <v>Charlie Doe</v>
      </c>
      <c r="S6" s="15">
        <f>IFERROR(__xludf.DUMMYFUNCTION("""COMPUTED_VALUE"""),1.0)</f>
        <v>1</v>
      </c>
      <c r="T6" s="15" t="str">
        <f>IFERROR(__xludf.DUMMYFUNCTION("query('OTPI Scores'!$A:$Z,""SELECT C where A= date '""&amp;text($D$1,""yyyy-mm-dd"")&amp;""' and E=""&amp;P3&amp;"" and R&gt;0"",0)"),"Masood Hamidi")</f>
        <v>Masood Hamidi</v>
      </c>
      <c r="U6" s="15" t="str">
        <f>IFERROR(__xludf.DUMMYFUNCTION("query('OTPI Scores'!$A:$Z,""SELECT C,H where A= date '""&amp;text($D$1,""yyyy-mm-dd"")&amp;""' and E=""&amp;U3&amp;"" and H&gt;0"",0)"),"#N/A")</f>
        <v>#N/A</v>
      </c>
      <c r="V6" s="15"/>
      <c r="W6" s="25" t="str">
        <f>IFERROR(__xludf.DUMMYFUNCTION("query('OTPI Scores'!$A:$Z,""SELECT C,I where A= date '""&amp;text($D$1,""yyyy-mm-dd"")&amp;""' and E=""&amp;U3&amp;"" and I&gt;0"",0)"),"#N/A")</f>
        <v>#N/A</v>
      </c>
      <c r="X6" s="15"/>
      <c r="Y6" s="15" t="str">
        <f>IFERROR(__xludf.DUMMYFUNCTION("query('OTPI Scores'!$A:$Z,""SELECT C where A= date '""&amp;text($D$1,""yyyy-mm-dd"")&amp;""' and E=""&amp;U3&amp;"" and R&gt;0"",0)"),"#N/A")</f>
        <v>#N/A</v>
      </c>
      <c r="Z6" s="15" t="str">
        <f>IFERROR(__xludf.DUMMYFUNCTION("query('OTPI Scores'!$A:$Z,""SELECT C,H where A= date '""&amp;text($D$1,""yyyy-mm-dd"")&amp;""' and E=""&amp;Z3&amp;"" and H&gt;0"",0)"),"Pearl Bakengela")</f>
        <v>Pearl Bakengela</v>
      </c>
      <c r="AA6" s="15">
        <f>IFERROR(__xludf.DUMMYFUNCTION("""COMPUTED_VALUE"""),1.0)</f>
        <v>1</v>
      </c>
      <c r="AB6" s="25" t="str">
        <f>IFERROR(__xludf.DUMMYFUNCTION("query('OTPI Scores'!$A:$Z,""SELECT C,I where A= date '""&amp;text($D$1,""yyyy-mm-dd"")&amp;""' and E=""&amp;Z3&amp;"" and I&gt;0"",0)"),"Janam Satra")</f>
        <v>Janam Satra</v>
      </c>
      <c r="AC6" s="15">
        <f>IFERROR(__xludf.DUMMYFUNCTION("""COMPUTED_VALUE"""),1.0)</f>
        <v>1</v>
      </c>
      <c r="AD6" s="15" t="str">
        <f>IFERROR(__xludf.DUMMYFUNCTION("query('OTPI Scores'!$A:$Z,""SELECT C where A= date '""&amp;text($D$1,""yyyy-mm-dd"")&amp;""' and E=""&amp;Z3&amp;"" and R&gt;0"",0)"),"Martin Goodson")</f>
        <v>Martin Goodson</v>
      </c>
      <c r="AE6" s="15" t="str">
        <f>IFERROR(__xludf.DUMMYFUNCTION("query('OTPI Scores'!$A:$Z,""SELECT C,H where A= date '""&amp;text($D$1,""yyyy-mm-dd"")&amp;""' and E!=1 and E!=2 and E!=3 and E!=4 and E!=5  and E!=6  and H&gt;0"",0)"),"#N/A")</f>
        <v>#N/A</v>
      </c>
      <c r="AF6" s="15"/>
      <c r="AG6" s="25" t="str">
        <f>IFERROR(__xludf.DUMMYFUNCTION("query('OTPI Scores'!$A:$Z,""SELECT C,I where A= date '""&amp;text($D$1,""yyyy-mm-dd"")&amp;""' and E!=1 and E!=2 and E!=3 and E!=4 and E!=5  and E!=6  and I&gt;0"",0)"),"#N/A")</f>
        <v>#N/A</v>
      </c>
      <c r="AH6" s="15"/>
      <c r="AI6" s="15" t="str">
        <f>IFERROR(__xludf.DUMMYFUNCTION("query('OTPI Scores'!$A:$Z,""SELECT C where A= date '""&amp;text($D$1,""yyyy-mm-dd"")&amp;""' and E!=1 and E!=2 and E!=3 and E!=4 and E!=5  and E!=6  and R&gt;0"",0)"),"#N/A")</f>
        <v>#N/A</v>
      </c>
    </row>
    <row r="7" hidden="1">
      <c r="A7" s="3" t="str">
        <f>IFERROR(__xludf.DUMMYFUNCTION("""COMPUTED_VALUE"""),"Jarvis Cheek")</f>
        <v>Jarvis Cheek</v>
      </c>
      <c r="B7" s="3">
        <f>IFERROR(__xludf.DUMMYFUNCTION("""COMPUTED_VALUE"""),1.0)</f>
        <v>1</v>
      </c>
      <c r="C7" s="3" t="str">
        <f>IFERROR(__xludf.DUMMYFUNCTION("""COMPUTED_VALUE"""),"Billy Mclean")</f>
        <v>Billy Mclean</v>
      </c>
      <c r="D7" s="3">
        <f>IFERROR(__xludf.DUMMYFUNCTION("""COMPUTED_VALUE"""),1.0)</f>
        <v>1</v>
      </c>
      <c r="G7" s="15"/>
      <c r="H7" s="15"/>
      <c r="I7" s="15"/>
      <c r="J7" s="15"/>
      <c r="K7" s="15"/>
      <c r="L7" s="15"/>
      <c r="M7" s="15"/>
      <c r="N7" s="15"/>
      <c r="O7" s="15"/>
      <c r="P7" s="15" t="str">
        <f>IFERROR(__xludf.DUMMYFUNCTION("""COMPUTED_VALUE"""),"Masood Hamidi")</f>
        <v>Masood Hamidi</v>
      </c>
      <c r="Q7" s="15">
        <f>IFERROR(__xludf.DUMMYFUNCTION("""COMPUTED_VALUE"""),1.0)</f>
        <v>1</v>
      </c>
      <c r="R7" s="15" t="str">
        <f>IFERROR(__xludf.DUMMYFUNCTION("""COMPUTED_VALUE"""),"Billy King")</f>
        <v>Billy King</v>
      </c>
      <c r="S7" s="15">
        <f>IFERROR(__xludf.DUMMYFUNCTION("""COMPUTED_VALUE"""),1.0)</f>
        <v>1</v>
      </c>
      <c r="T7" s="15"/>
      <c r="U7" s="15"/>
      <c r="V7" s="15"/>
      <c r="W7" s="15"/>
      <c r="X7" s="15"/>
      <c r="Y7" s="15"/>
      <c r="Z7" s="15"/>
      <c r="AA7" s="15"/>
      <c r="AB7" s="15"/>
      <c r="AC7" s="15"/>
      <c r="AD7" s="15"/>
      <c r="AE7" s="15"/>
      <c r="AF7" s="15"/>
      <c r="AG7" s="15"/>
      <c r="AH7" s="15"/>
      <c r="AI7" s="15"/>
    </row>
    <row r="8" hidden="1">
      <c r="G8" s="15"/>
      <c r="H8" s="15"/>
      <c r="I8" s="15"/>
      <c r="J8" s="15"/>
      <c r="K8" s="15"/>
      <c r="L8" s="15"/>
      <c r="M8" s="15"/>
      <c r="N8" s="15"/>
      <c r="O8" s="15"/>
      <c r="P8" s="15" t="str">
        <f>IFERROR(__xludf.DUMMYFUNCTION("""COMPUTED_VALUE"""),"Dan Klin")</f>
        <v>Dan Klin</v>
      </c>
      <c r="Q8" s="15">
        <f>IFERROR(__xludf.DUMMYFUNCTION("""COMPUTED_VALUE"""),1.0)</f>
        <v>1</v>
      </c>
      <c r="R8" s="15" t="str">
        <f>IFERROR(__xludf.DUMMYFUNCTION("""COMPUTED_VALUE"""),"Masood Hamidi")</f>
        <v>Masood Hamidi</v>
      </c>
      <c r="S8" s="15">
        <f>IFERROR(__xludf.DUMMYFUNCTION("""COMPUTED_VALUE"""),1.0)</f>
        <v>1</v>
      </c>
      <c r="T8" s="15"/>
      <c r="U8" s="15"/>
      <c r="V8" s="15"/>
      <c r="W8" s="15"/>
      <c r="X8" s="15"/>
      <c r="Y8" s="15"/>
      <c r="Z8" s="15"/>
      <c r="AA8" s="15"/>
      <c r="AB8" s="15"/>
      <c r="AC8" s="15"/>
      <c r="AD8" s="15"/>
      <c r="AE8" s="37"/>
      <c r="AF8" s="37"/>
      <c r="AG8" s="37"/>
      <c r="AH8" s="37"/>
      <c r="AI8" s="37"/>
    </row>
    <row r="9" hidden="1">
      <c r="G9" s="15"/>
      <c r="H9" s="15"/>
      <c r="I9" s="15"/>
      <c r="J9" s="15"/>
      <c r="K9" s="15"/>
      <c r="L9" s="15"/>
      <c r="M9" s="15"/>
      <c r="N9" s="15"/>
      <c r="O9" s="15"/>
      <c r="P9" s="15" t="str">
        <f>IFERROR(__xludf.DUMMYFUNCTION("""COMPUTED_VALUE"""),"Chris Claeys")</f>
        <v>Chris Claeys</v>
      </c>
      <c r="Q9" s="15">
        <f>IFERROR(__xludf.DUMMYFUNCTION("""COMPUTED_VALUE"""),1.0)</f>
        <v>1</v>
      </c>
      <c r="R9" s="15"/>
      <c r="S9" s="15"/>
      <c r="T9" s="15"/>
      <c r="U9" s="15"/>
      <c r="V9" s="15"/>
      <c r="W9" s="15"/>
      <c r="X9" s="15"/>
      <c r="Y9" s="15"/>
      <c r="Z9" s="15"/>
      <c r="AA9" s="15"/>
      <c r="AB9" s="15"/>
      <c r="AC9" s="15"/>
      <c r="AD9" s="15"/>
      <c r="AE9" s="37"/>
      <c r="AF9" s="37"/>
      <c r="AG9" s="37"/>
      <c r="AH9" s="37"/>
      <c r="AI9" s="37"/>
    </row>
    <row r="10" hidden="1">
      <c r="G10" s="15"/>
      <c r="H10" s="15"/>
      <c r="I10" s="15"/>
      <c r="J10" s="15"/>
      <c r="K10" s="15"/>
      <c r="L10" s="15"/>
      <c r="M10" s="15"/>
      <c r="N10" s="15"/>
      <c r="O10" s="15"/>
      <c r="P10" s="15"/>
      <c r="Q10" s="15"/>
      <c r="R10" s="15"/>
      <c r="S10" s="15"/>
      <c r="T10" s="15"/>
      <c r="U10" s="15"/>
      <c r="V10" s="15"/>
      <c r="W10" s="15"/>
      <c r="X10" s="15"/>
      <c r="Y10" s="15"/>
      <c r="Z10" s="15"/>
      <c r="AA10" s="15"/>
      <c r="AB10" s="15"/>
      <c r="AC10" s="15"/>
      <c r="AD10" s="15"/>
      <c r="AE10" s="37"/>
      <c r="AF10" s="37"/>
      <c r="AG10" s="37"/>
      <c r="AH10" s="37"/>
      <c r="AI10" s="37"/>
    </row>
    <row r="11" hidden="1">
      <c r="G11" s="15"/>
      <c r="H11" s="15"/>
      <c r="I11" s="15"/>
      <c r="J11" s="15"/>
      <c r="K11" s="15"/>
      <c r="L11" s="15"/>
      <c r="M11" s="15"/>
      <c r="N11" s="15"/>
      <c r="O11" s="15"/>
      <c r="P11" s="15"/>
      <c r="Q11" s="15"/>
      <c r="R11" s="15"/>
      <c r="S11" s="15"/>
      <c r="T11" s="15"/>
      <c r="U11" s="15"/>
      <c r="V11" s="15"/>
      <c r="W11" s="15"/>
      <c r="X11" s="15"/>
      <c r="Y11" s="15"/>
      <c r="Z11" s="15"/>
      <c r="AA11" s="15"/>
      <c r="AB11" s="15"/>
      <c r="AC11" s="15"/>
      <c r="AD11" s="15"/>
      <c r="AE11" s="37"/>
      <c r="AF11" s="37"/>
      <c r="AG11" s="37"/>
      <c r="AH11" s="37"/>
      <c r="AI11" s="37"/>
    </row>
    <row r="12" hidden="1">
      <c r="G12" s="15"/>
      <c r="H12" s="15"/>
      <c r="I12" s="15"/>
      <c r="J12" s="15"/>
      <c r="K12" s="15"/>
      <c r="L12" s="15"/>
      <c r="M12" s="15"/>
      <c r="N12" s="15"/>
      <c r="O12" s="15"/>
      <c r="P12" s="15"/>
      <c r="Q12" s="15"/>
      <c r="R12" s="15"/>
      <c r="S12" s="15"/>
      <c r="T12" s="15"/>
      <c r="U12" s="15"/>
      <c r="V12" s="15"/>
      <c r="W12" s="15"/>
      <c r="X12" s="15"/>
      <c r="Y12" s="15"/>
      <c r="Z12" s="15"/>
      <c r="AA12" s="15"/>
      <c r="AB12" s="15"/>
      <c r="AC12" s="15"/>
      <c r="AD12" s="15"/>
      <c r="AE12" s="37"/>
      <c r="AF12" s="37"/>
      <c r="AG12" s="37"/>
      <c r="AH12" s="37"/>
      <c r="AI12" s="37"/>
    </row>
    <row r="13" hidden="1">
      <c r="G13" s="15"/>
      <c r="H13" s="15"/>
      <c r="I13" s="15"/>
      <c r="J13" s="15"/>
      <c r="K13" s="15"/>
      <c r="L13" s="15"/>
      <c r="M13" s="15"/>
      <c r="N13" s="15"/>
      <c r="O13" s="15"/>
      <c r="P13" s="15"/>
      <c r="Q13" s="15"/>
      <c r="R13" s="15"/>
      <c r="S13" s="15"/>
      <c r="T13" s="15"/>
      <c r="U13" s="15"/>
      <c r="V13" s="15"/>
      <c r="W13" s="15"/>
      <c r="X13" s="15"/>
      <c r="Y13" s="15"/>
      <c r="Z13" s="15"/>
      <c r="AA13" s="15"/>
      <c r="AB13" s="15"/>
      <c r="AC13" s="15"/>
      <c r="AD13" s="15"/>
      <c r="AE13" s="37"/>
      <c r="AF13" s="37"/>
      <c r="AG13" s="37"/>
      <c r="AH13" s="37"/>
      <c r="AI13" s="37"/>
    </row>
    <row r="14" hidden="1">
      <c r="G14" s="15"/>
      <c r="H14" s="15"/>
      <c r="I14" s="15"/>
      <c r="J14" s="15"/>
      <c r="K14" s="15"/>
      <c r="L14" s="15"/>
      <c r="M14" s="15"/>
      <c r="N14" s="15"/>
      <c r="O14" s="15"/>
      <c r="P14" s="15"/>
      <c r="Q14" s="15"/>
      <c r="R14" s="15"/>
      <c r="S14" s="15"/>
      <c r="T14" s="15"/>
      <c r="U14" s="15"/>
      <c r="V14" s="15"/>
      <c r="W14" s="15"/>
      <c r="X14" s="15"/>
      <c r="Y14" s="15"/>
      <c r="Z14" s="15"/>
      <c r="AA14" s="15"/>
      <c r="AB14" s="15"/>
      <c r="AC14" s="15"/>
      <c r="AD14" s="15"/>
      <c r="AE14" s="37"/>
      <c r="AF14" s="37"/>
      <c r="AG14" s="37"/>
      <c r="AH14" s="37"/>
      <c r="AI14" s="37"/>
    </row>
    <row r="15" hidden="1">
      <c r="G15" s="15"/>
      <c r="H15" s="15"/>
      <c r="I15" s="15"/>
      <c r="J15" s="15"/>
      <c r="K15" s="15"/>
      <c r="L15" s="15"/>
      <c r="M15" s="15"/>
      <c r="N15" s="15"/>
      <c r="O15" s="15"/>
      <c r="P15" s="15"/>
      <c r="Q15" s="15"/>
      <c r="R15" s="15"/>
      <c r="S15" s="15"/>
      <c r="T15" s="15"/>
      <c r="U15" s="15"/>
      <c r="V15" s="15"/>
      <c r="W15" s="15"/>
      <c r="X15" s="15"/>
      <c r="Y15" s="15"/>
      <c r="Z15" s="15"/>
      <c r="AA15" s="15"/>
      <c r="AB15" s="15"/>
      <c r="AC15" s="15"/>
      <c r="AD15" s="15"/>
      <c r="AE15" s="37"/>
      <c r="AF15" s="37"/>
      <c r="AG15" s="37"/>
      <c r="AH15" s="37"/>
      <c r="AI15" s="37"/>
    </row>
    <row r="16" hidden="1">
      <c r="G16" s="15"/>
      <c r="H16" s="15"/>
      <c r="I16" s="15"/>
      <c r="J16" s="15"/>
      <c r="K16" s="15"/>
      <c r="L16" s="15"/>
      <c r="M16" s="15"/>
      <c r="N16" s="15"/>
      <c r="O16" s="15"/>
      <c r="P16" s="15"/>
      <c r="Q16" s="15"/>
      <c r="R16" s="15"/>
      <c r="S16" s="15"/>
      <c r="T16" s="15"/>
      <c r="U16" s="15"/>
      <c r="V16" s="15"/>
      <c r="W16" s="15"/>
      <c r="X16" s="15"/>
      <c r="Y16" s="15"/>
      <c r="Z16" s="15"/>
      <c r="AA16" s="15"/>
      <c r="AB16" s="15"/>
      <c r="AC16" s="15"/>
      <c r="AD16" s="15"/>
      <c r="AE16" s="37"/>
      <c r="AF16" s="37"/>
      <c r="AG16" s="37"/>
      <c r="AH16" s="37"/>
      <c r="AI16" s="37"/>
    </row>
    <row r="17" hidden="1">
      <c r="G17" s="15"/>
      <c r="H17" s="15"/>
      <c r="I17" s="15"/>
      <c r="J17" s="15"/>
      <c r="K17" s="15"/>
      <c r="L17" s="15"/>
      <c r="M17" s="15"/>
      <c r="N17" s="15"/>
      <c r="O17" s="15"/>
      <c r="P17" s="15"/>
      <c r="Q17" s="15"/>
      <c r="R17" s="15"/>
      <c r="S17" s="15"/>
      <c r="T17" s="15"/>
      <c r="U17" s="15"/>
      <c r="V17" s="15"/>
      <c r="W17" s="15"/>
      <c r="X17" s="15"/>
      <c r="Y17" s="15"/>
      <c r="Z17" s="15"/>
      <c r="AA17" s="15"/>
      <c r="AB17" s="15"/>
      <c r="AC17" s="15"/>
      <c r="AD17" s="15"/>
      <c r="AE17" s="37"/>
      <c r="AF17" s="37"/>
      <c r="AG17" s="37"/>
      <c r="AH17" s="37"/>
      <c r="AI17" s="37"/>
    </row>
    <row r="18" hidden="1">
      <c r="G18" s="15"/>
      <c r="H18" s="15"/>
      <c r="I18" s="15"/>
      <c r="J18" s="15"/>
      <c r="K18" s="15"/>
      <c r="L18" s="15"/>
      <c r="M18" s="15"/>
      <c r="N18" s="15"/>
      <c r="O18" s="15"/>
      <c r="P18" s="15"/>
      <c r="Q18" s="15"/>
      <c r="R18" s="15"/>
      <c r="S18" s="15"/>
      <c r="T18" s="15"/>
      <c r="U18" s="15"/>
      <c r="V18" s="15"/>
      <c r="W18" s="15"/>
      <c r="X18" s="15"/>
      <c r="Y18" s="15"/>
      <c r="Z18" s="15"/>
      <c r="AA18" s="15"/>
      <c r="AB18" s="15"/>
      <c r="AC18" s="15"/>
      <c r="AD18" s="15"/>
      <c r="AE18" s="37"/>
      <c r="AF18" s="37"/>
      <c r="AG18" s="37"/>
      <c r="AH18" s="37"/>
      <c r="AI18" s="37"/>
    </row>
    <row r="19" hidden="1">
      <c r="A19" s="2"/>
      <c r="G19" s="15"/>
      <c r="H19" s="15"/>
      <c r="I19" s="15"/>
      <c r="J19" s="15"/>
      <c r="K19" s="15"/>
      <c r="L19" s="15"/>
      <c r="M19" s="15"/>
      <c r="N19" s="15"/>
      <c r="O19" s="15"/>
      <c r="P19" s="15"/>
      <c r="Q19" s="15"/>
      <c r="R19" s="15"/>
      <c r="S19" s="15"/>
      <c r="T19" s="15"/>
      <c r="U19" s="15"/>
      <c r="V19" s="15"/>
      <c r="W19" s="15"/>
      <c r="X19" s="15"/>
      <c r="Y19" s="15"/>
      <c r="Z19" s="15"/>
      <c r="AA19" s="15"/>
      <c r="AB19" s="15"/>
      <c r="AC19" s="15"/>
      <c r="AD19" s="15"/>
      <c r="AE19" s="37"/>
      <c r="AF19" s="37"/>
      <c r="AG19" s="37"/>
      <c r="AH19" s="37"/>
      <c r="AI19" s="37"/>
    </row>
    <row r="20" hidden="1">
      <c r="G20" s="15"/>
      <c r="H20" s="15"/>
      <c r="I20" s="15"/>
      <c r="J20" s="15"/>
      <c r="K20" s="15"/>
      <c r="L20" s="15"/>
      <c r="M20" s="15"/>
      <c r="N20" s="15"/>
      <c r="O20" s="15"/>
      <c r="P20" s="15"/>
      <c r="Q20" s="15"/>
      <c r="R20" s="15"/>
      <c r="S20" s="15"/>
      <c r="T20" s="15"/>
      <c r="U20" s="15"/>
      <c r="V20" s="15"/>
      <c r="W20" s="15"/>
      <c r="X20" s="15"/>
      <c r="Y20" s="15"/>
      <c r="Z20" s="15"/>
      <c r="AA20" s="15"/>
      <c r="AB20" s="15"/>
      <c r="AC20" s="15"/>
      <c r="AD20" s="15"/>
      <c r="AE20" s="37"/>
      <c r="AF20" s="37"/>
      <c r="AG20" s="37"/>
      <c r="AH20" s="37"/>
      <c r="AI20" s="37"/>
    </row>
    <row r="21" hidden="1">
      <c r="G21" s="15"/>
      <c r="H21" s="15"/>
      <c r="I21" s="15"/>
      <c r="J21" s="15"/>
      <c r="K21" s="15"/>
      <c r="L21" s="15"/>
      <c r="M21" s="15"/>
      <c r="N21" s="15"/>
      <c r="O21" s="15"/>
      <c r="P21" s="15"/>
      <c r="Q21" s="15"/>
      <c r="R21" s="15"/>
      <c r="S21" s="15"/>
      <c r="T21" s="15"/>
      <c r="U21" s="15"/>
      <c r="V21" s="15"/>
      <c r="W21" s="15"/>
      <c r="X21" s="15"/>
      <c r="Y21" s="15"/>
      <c r="Z21" s="15"/>
      <c r="AA21" s="15"/>
      <c r="AB21" s="15"/>
      <c r="AC21" s="15"/>
      <c r="AD21" s="15"/>
      <c r="AE21" s="37"/>
      <c r="AF21" s="37"/>
      <c r="AG21" s="37"/>
      <c r="AH21" s="37"/>
      <c r="AI21" s="37"/>
    </row>
    <row r="22" hidden="1">
      <c r="A22" s="5" t="s">
        <v>158</v>
      </c>
      <c r="C22" s="5" t="s">
        <v>159</v>
      </c>
      <c r="F22" s="5" t="s">
        <v>158</v>
      </c>
      <c r="G22" s="15"/>
      <c r="H22" s="24" t="s">
        <v>159</v>
      </c>
      <c r="I22" s="15"/>
      <c r="J22" s="15"/>
      <c r="K22" s="24" t="s">
        <v>158</v>
      </c>
      <c r="L22" s="15"/>
      <c r="M22" s="24" t="s">
        <v>159</v>
      </c>
      <c r="N22" s="15"/>
      <c r="O22" s="15"/>
      <c r="P22" s="24" t="s">
        <v>158</v>
      </c>
      <c r="Q22" s="15"/>
      <c r="R22" s="24" t="s">
        <v>159</v>
      </c>
      <c r="S22" s="15"/>
      <c r="T22" s="15"/>
      <c r="U22" s="24" t="s">
        <v>158</v>
      </c>
      <c r="V22" s="15"/>
      <c r="W22" s="24" t="s">
        <v>159</v>
      </c>
      <c r="X22" s="15"/>
      <c r="Y22" s="15"/>
      <c r="Z22" s="24" t="s">
        <v>158</v>
      </c>
      <c r="AA22" s="15"/>
      <c r="AB22" s="24" t="s">
        <v>159</v>
      </c>
      <c r="AC22" s="15"/>
      <c r="AD22" s="15"/>
      <c r="AE22" s="24" t="s">
        <v>158</v>
      </c>
      <c r="AF22" s="15"/>
      <c r="AG22" s="24" t="s">
        <v>159</v>
      </c>
      <c r="AH22" s="15"/>
      <c r="AI22" s="15"/>
    </row>
    <row r="23" hidden="1">
      <c r="A23" s="3" t="str">
        <f t="shared" ref="A23:A38" si="1">IFERROR(IF(LEN(A6)&gt;0,IF(B6&gt;1,A6&amp;" "&amp;"x"&amp;B6&amp;", ", A6&amp;", "),""),"")</f>
        <v>Matt Crowe, </v>
      </c>
      <c r="C23" s="3" t="str">
        <f t="shared" ref="C23:C38" si="2">IFERROR(IF(LEN(C6)&gt;0,IF(D6&gt;1,C6&amp;" "&amp;"x"&amp;D6&amp;", ", C6&amp;", "),""),"")</f>
        <v>Ben Dockerill, </v>
      </c>
      <c r="F23" s="3" t="str">
        <f t="shared" ref="F23:F38" si="3">IFERROR(IF(LEN(F6)&gt;0,IF(G6&gt;1,F6&amp;" "&amp;"x"&amp;G6&amp;", ", F6&amp;", "),""),"")</f>
        <v/>
      </c>
      <c r="G23" s="15"/>
      <c r="H23" s="15" t="str">
        <f t="shared" ref="H23:H38" si="4">IFERROR(IF(LEN(H6)&gt;0,IF(I6&gt;1,H6&amp;" "&amp;"x"&amp;I6&amp;", ", H6&amp;", "),""),"")</f>
        <v/>
      </c>
      <c r="I23" s="15"/>
      <c r="J23" s="15"/>
      <c r="K23" s="15" t="str">
        <f t="shared" ref="K23:K38" si="5">IFERROR(IF(LEN(K6)&gt;0,IF(L6&gt;1,K6&amp;" "&amp;"x"&amp;L6&amp;", ", K6&amp;", "),""),"")</f>
        <v>Alex Stevens x2, </v>
      </c>
      <c r="L23" s="15"/>
      <c r="M23" s="15" t="str">
        <f t="shared" ref="M23:M38" si="6">IFERROR(IF(LEN(M6)&gt;0,IF(N6&gt;1,M6&amp;" "&amp;"x"&amp;N6&amp;", ", M6&amp;", "),""),"")</f>
        <v>Rob Edmonds, </v>
      </c>
      <c r="N23" s="15"/>
      <c r="O23" s="15"/>
      <c r="P23" s="15" t="str">
        <f t="shared" ref="P23:P38" si="7">IFERROR(IF(LEN(P6)&gt;0,IF(Q6&gt;1,P6&amp;" "&amp;"x"&amp;Q6&amp;", ", P6&amp;", "),""),"")</f>
        <v>Sean Rowlett, </v>
      </c>
      <c r="Q23" s="15"/>
      <c r="R23" s="15" t="str">
        <f t="shared" ref="R23:R38" si="8">IFERROR(IF(LEN(R6)&gt;0,IF(S6&gt;1,R6&amp;" "&amp;"x"&amp;S6&amp;", ", R6&amp;", "),""),"")</f>
        <v>Charlie Doe, </v>
      </c>
      <c r="S23" s="15"/>
      <c r="T23" s="15"/>
      <c r="U23" s="15" t="str">
        <f t="shared" ref="U23:U38" si="9">IFERROR(IF(LEN(U6)&gt;0,IF(V6&gt;1,U6&amp;" "&amp;"x"&amp;V6&amp;", ", U6&amp;", "),""),"")</f>
        <v/>
      </c>
      <c r="V23" s="15"/>
      <c r="W23" s="15" t="str">
        <f t="shared" ref="W23:W38" si="10">IFERROR(IF(LEN(W6)&gt;0,IF(X6&gt;1,W6&amp;" "&amp;"x"&amp;X6&amp;", ", W6&amp;", "),""),"")</f>
        <v/>
      </c>
      <c r="X23" s="15"/>
      <c r="Y23" s="15"/>
      <c r="Z23" s="15" t="str">
        <f t="shared" ref="Z23:Z38" si="11">IFERROR(IF(LEN(Z6)&gt;0,IF(AA6&gt;1,Z6&amp;" "&amp;"x"&amp;AA6&amp;", ", Z6&amp;", "),""),"")</f>
        <v>Pearl Bakengela, </v>
      </c>
      <c r="AA23" s="15"/>
      <c r="AB23" s="15" t="str">
        <f t="shared" ref="AB23:AB38" si="12">IFERROR(IF(LEN(AB6)&gt;0,IF(AC6&gt;1,AB6&amp;" "&amp;"x"&amp;AC6&amp;", ", AB6&amp;", "),""),"")</f>
        <v>Janam Satra, </v>
      </c>
      <c r="AC23" s="15"/>
      <c r="AD23" s="15"/>
      <c r="AE23" s="15" t="str">
        <f t="shared" ref="AE23:AE37" si="13">IFERROR(IF(LEN(AE6)&gt;0,IF(AF6&gt;1,AE6&amp;" "&amp;"x"&amp;AF6&amp;", ", AE6&amp;", "),""),"")</f>
        <v/>
      </c>
      <c r="AF23" s="15"/>
      <c r="AG23" s="15" t="str">
        <f t="shared" ref="AG23:AG37" si="14">IFERROR(IF(LEN(AG6)&gt;0,IF(AH6&gt;1,AG6&amp;" "&amp;"x"&amp;AH6&amp;", ", AG6&amp;", "),""),"")</f>
        <v/>
      </c>
      <c r="AH23" s="15"/>
      <c r="AI23" s="15"/>
    </row>
    <row r="24" hidden="1">
      <c r="A24" s="3" t="str">
        <f t="shared" si="1"/>
        <v>Jarvis Cheek, </v>
      </c>
      <c r="C24" s="3" t="str">
        <f t="shared" si="2"/>
        <v>Billy Mclean, </v>
      </c>
      <c r="F24" s="3" t="str">
        <f t="shared" si="3"/>
        <v/>
      </c>
      <c r="G24" s="15"/>
      <c r="H24" s="15" t="str">
        <f t="shared" si="4"/>
        <v/>
      </c>
      <c r="I24" s="15"/>
      <c r="J24" s="15"/>
      <c r="K24" s="15" t="str">
        <f t="shared" si="5"/>
        <v/>
      </c>
      <c r="L24" s="15"/>
      <c r="M24" s="15" t="str">
        <f t="shared" si="6"/>
        <v/>
      </c>
      <c r="N24" s="15"/>
      <c r="O24" s="15"/>
      <c r="P24" s="15" t="str">
        <f t="shared" si="7"/>
        <v>Masood Hamidi, </v>
      </c>
      <c r="Q24" s="15"/>
      <c r="R24" s="15" t="str">
        <f t="shared" si="8"/>
        <v>Billy King, </v>
      </c>
      <c r="S24" s="15"/>
      <c r="T24" s="15"/>
      <c r="U24" s="15" t="str">
        <f t="shared" si="9"/>
        <v/>
      </c>
      <c r="V24" s="15"/>
      <c r="W24" s="15" t="str">
        <f t="shared" si="10"/>
        <v/>
      </c>
      <c r="X24" s="15"/>
      <c r="Y24" s="15"/>
      <c r="Z24" s="15" t="str">
        <f t="shared" si="11"/>
        <v/>
      </c>
      <c r="AA24" s="15"/>
      <c r="AB24" s="15" t="str">
        <f t="shared" si="12"/>
        <v/>
      </c>
      <c r="AC24" s="15"/>
      <c r="AD24" s="15"/>
      <c r="AE24" s="15" t="str">
        <f t="shared" si="13"/>
        <v/>
      </c>
      <c r="AF24" s="15"/>
      <c r="AG24" s="15" t="str">
        <f t="shared" si="14"/>
        <v/>
      </c>
      <c r="AH24" s="15"/>
      <c r="AI24" s="15"/>
    </row>
    <row r="25" hidden="1">
      <c r="A25" s="3" t="str">
        <f t="shared" si="1"/>
        <v/>
      </c>
      <c r="C25" s="3" t="str">
        <f t="shared" si="2"/>
        <v/>
      </c>
      <c r="F25" s="3" t="str">
        <f t="shared" si="3"/>
        <v/>
      </c>
      <c r="G25" s="15"/>
      <c r="H25" s="15" t="str">
        <f t="shared" si="4"/>
        <v/>
      </c>
      <c r="I25" s="15"/>
      <c r="J25" s="15"/>
      <c r="K25" s="15" t="str">
        <f t="shared" si="5"/>
        <v/>
      </c>
      <c r="L25" s="15"/>
      <c r="M25" s="15" t="str">
        <f t="shared" si="6"/>
        <v/>
      </c>
      <c r="N25" s="15"/>
      <c r="O25" s="15"/>
      <c r="P25" s="15" t="str">
        <f t="shared" si="7"/>
        <v>Dan Klin, </v>
      </c>
      <c r="Q25" s="15"/>
      <c r="R25" s="15" t="str">
        <f t="shared" si="8"/>
        <v>Masood Hamidi, </v>
      </c>
      <c r="S25" s="15"/>
      <c r="T25" s="15"/>
      <c r="U25" s="15" t="str">
        <f t="shared" si="9"/>
        <v/>
      </c>
      <c r="V25" s="15"/>
      <c r="W25" s="15" t="str">
        <f t="shared" si="10"/>
        <v/>
      </c>
      <c r="X25" s="15"/>
      <c r="Y25" s="15"/>
      <c r="Z25" s="15" t="str">
        <f t="shared" si="11"/>
        <v/>
      </c>
      <c r="AA25" s="15"/>
      <c r="AB25" s="15" t="str">
        <f t="shared" si="12"/>
        <v/>
      </c>
      <c r="AC25" s="15"/>
      <c r="AD25" s="15"/>
      <c r="AE25" s="15" t="str">
        <f t="shared" si="13"/>
        <v/>
      </c>
      <c r="AF25" s="15"/>
      <c r="AG25" s="15" t="str">
        <f t="shared" si="14"/>
        <v/>
      </c>
      <c r="AH25" s="37"/>
      <c r="AI25" s="37"/>
    </row>
    <row r="26" hidden="1">
      <c r="A26" s="3" t="str">
        <f t="shared" si="1"/>
        <v/>
      </c>
      <c r="C26" s="3" t="str">
        <f t="shared" si="2"/>
        <v/>
      </c>
      <c r="F26" s="3" t="str">
        <f t="shared" si="3"/>
        <v/>
      </c>
      <c r="G26" s="15"/>
      <c r="H26" s="15" t="str">
        <f t="shared" si="4"/>
        <v/>
      </c>
      <c r="I26" s="15"/>
      <c r="J26" s="15"/>
      <c r="K26" s="15" t="str">
        <f t="shared" si="5"/>
        <v/>
      </c>
      <c r="L26" s="15"/>
      <c r="M26" s="15" t="str">
        <f t="shared" si="6"/>
        <v/>
      </c>
      <c r="N26" s="15"/>
      <c r="O26" s="15"/>
      <c r="P26" s="15" t="str">
        <f t="shared" si="7"/>
        <v>Chris Claeys, </v>
      </c>
      <c r="Q26" s="15"/>
      <c r="R26" s="15" t="str">
        <f t="shared" si="8"/>
        <v/>
      </c>
      <c r="S26" s="15"/>
      <c r="T26" s="15"/>
      <c r="U26" s="15" t="str">
        <f t="shared" si="9"/>
        <v/>
      </c>
      <c r="V26" s="15"/>
      <c r="W26" s="15" t="str">
        <f t="shared" si="10"/>
        <v/>
      </c>
      <c r="X26" s="15"/>
      <c r="Y26" s="15"/>
      <c r="Z26" s="15" t="str">
        <f t="shared" si="11"/>
        <v/>
      </c>
      <c r="AA26" s="15"/>
      <c r="AB26" s="15" t="str">
        <f t="shared" si="12"/>
        <v/>
      </c>
      <c r="AC26" s="15"/>
      <c r="AD26" s="15"/>
      <c r="AE26" s="15" t="str">
        <f t="shared" si="13"/>
        <v/>
      </c>
      <c r="AF26" s="15"/>
      <c r="AG26" s="15" t="str">
        <f t="shared" si="14"/>
        <v/>
      </c>
      <c r="AH26" s="37"/>
      <c r="AI26" s="37"/>
    </row>
    <row r="27" hidden="1">
      <c r="A27" s="3" t="str">
        <f t="shared" si="1"/>
        <v/>
      </c>
      <c r="C27" s="3" t="str">
        <f t="shared" si="2"/>
        <v/>
      </c>
      <c r="F27" s="3" t="str">
        <f t="shared" si="3"/>
        <v/>
      </c>
      <c r="G27" s="15"/>
      <c r="H27" s="15" t="str">
        <f t="shared" si="4"/>
        <v/>
      </c>
      <c r="I27" s="15"/>
      <c r="J27" s="15"/>
      <c r="K27" s="15" t="str">
        <f t="shared" si="5"/>
        <v/>
      </c>
      <c r="L27" s="15"/>
      <c r="M27" s="15" t="str">
        <f t="shared" si="6"/>
        <v/>
      </c>
      <c r="N27" s="15"/>
      <c r="O27" s="15"/>
      <c r="P27" s="15" t="str">
        <f t="shared" si="7"/>
        <v/>
      </c>
      <c r="Q27" s="15"/>
      <c r="R27" s="15" t="str">
        <f t="shared" si="8"/>
        <v/>
      </c>
      <c r="S27" s="15"/>
      <c r="T27" s="15"/>
      <c r="U27" s="15" t="str">
        <f t="shared" si="9"/>
        <v/>
      </c>
      <c r="V27" s="15"/>
      <c r="W27" s="15" t="str">
        <f t="shared" si="10"/>
        <v/>
      </c>
      <c r="X27" s="15"/>
      <c r="Y27" s="15"/>
      <c r="Z27" s="15" t="str">
        <f t="shared" si="11"/>
        <v/>
      </c>
      <c r="AA27" s="15"/>
      <c r="AB27" s="15" t="str">
        <f t="shared" si="12"/>
        <v/>
      </c>
      <c r="AC27" s="15"/>
      <c r="AD27" s="15"/>
      <c r="AE27" s="15" t="str">
        <f t="shared" si="13"/>
        <v/>
      </c>
      <c r="AF27" s="15"/>
      <c r="AG27" s="15" t="str">
        <f t="shared" si="14"/>
        <v/>
      </c>
      <c r="AH27" s="37"/>
      <c r="AI27" s="37"/>
    </row>
    <row r="28" hidden="1">
      <c r="A28" s="3" t="str">
        <f t="shared" si="1"/>
        <v/>
      </c>
      <c r="C28" s="3" t="str">
        <f t="shared" si="2"/>
        <v/>
      </c>
      <c r="F28" s="3" t="str">
        <f t="shared" si="3"/>
        <v/>
      </c>
      <c r="G28" s="15"/>
      <c r="H28" s="15" t="str">
        <f t="shared" si="4"/>
        <v/>
      </c>
      <c r="I28" s="15"/>
      <c r="J28" s="15"/>
      <c r="K28" s="15" t="str">
        <f t="shared" si="5"/>
        <v/>
      </c>
      <c r="L28" s="15"/>
      <c r="M28" s="15" t="str">
        <f t="shared" si="6"/>
        <v/>
      </c>
      <c r="N28" s="15"/>
      <c r="O28" s="15"/>
      <c r="P28" s="15" t="str">
        <f t="shared" si="7"/>
        <v/>
      </c>
      <c r="Q28" s="15"/>
      <c r="R28" s="15" t="str">
        <f t="shared" si="8"/>
        <v/>
      </c>
      <c r="S28" s="15"/>
      <c r="T28" s="15"/>
      <c r="U28" s="15" t="str">
        <f t="shared" si="9"/>
        <v/>
      </c>
      <c r="V28" s="15"/>
      <c r="W28" s="15" t="str">
        <f t="shared" si="10"/>
        <v/>
      </c>
      <c r="X28" s="15"/>
      <c r="Y28" s="15"/>
      <c r="Z28" s="15" t="str">
        <f t="shared" si="11"/>
        <v/>
      </c>
      <c r="AA28" s="15"/>
      <c r="AB28" s="15" t="str">
        <f t="shared" si="12"/>
        <v/>
      </c>
      <c r="AC28" s="15"/>
      <c r="AD28" s="15"/>
      <c r="AE28" s="15" t="str">
        <f t="shared" si="13"/>
        <v/>
      </c>
      <c r="AF28" s="15"/>
      <c r="AG28" s="15" t="str">
        <f t="shared" si="14"/>
        <v/>
      </c>
      <c r="AH28" s="37"/>
      <c r="AI28" s="37"/>
    </row>
    <row r="29" hidden="1">
      <c r="A29" s="3" t="str">
        <f t="shared" si="1"/>
        <v/>
      </c>
      <c r="C29" s="3" t="str">
        <f t="shared" si="2"/>
        <v/>
      </c>
      <c r="F29" s="3" t="str">
        <f t="shared" si="3"/>
        <v/>
      </c>
      <c r="G29" s="15"/>
      <c r="H29" s="15" t="str">
        <f t="shared" si="4"/>
        <v/>
      </c>
      <c r="I29" s="15"/>
      <c r="J29" s="15"/>
      <c r="K29" s="15" t="str">
        <f t="shared" si="5"/>
        <v/>
      </c>
      <c r="L29" s="15"/>
      <c r="M29" s="15" t="str">
        <f t="shared" si="6"/>
        <v/>
      </c>
      <c r="N29" s="15"/>
      <c r="O29" s="15"/>
      <c r="P29" s="15" t="str">
        <f t="shared" si="7"/>
        <v/>
      </c>
      <c r="Q29" s="15"/>
      <c r="R29" s="15" t="str">
        <f t="shared" si="8"/>
        <v/>
      </c>
      <c r="S29" s="15"/>
      <c r="T29" s="15"/>
      <c r="U29" s="15" t="str">
        <f t="shared" si="9"/>
        <v/>
      </c>
      <c r="V29" s="15"/>
      <c r="W29" s="15" t="str">
        <f t="shared" si="10"/>
        <v/>
      </c>
      <c r="X29" s="15"/>
      <c r="Y29" s="15"/>
      <c r="Z29" s="15" t="str">
        <f t="shared" si="11"/>
        <v/>
      </c>
      <c r="AA29" s="15"/>
      <c r="AB29" s="15" t="str">
        <f t="shared" si="12"/>
        <v/>
      </c>
      <c r="AC29" s="15"/>
      <c r="AD29" s="15"/>
      <c r="AE29" s="15" t="str">
        <f t="shared" si="13"/>
        <v/>
      </c>
      <c r="AF29" s="15"/>
      <c r="AG29" s="15" t="str">
        <f t="shared" si="14"/>
        <v/>
      </c>
      <c r="AH29" s="37"/>
      <c r="AI29" s="37"/>
    </row>
    <row r="30" hidden="1">
      <c r="A30" s="3" t="str">
        <f t="shared" si="1"/>
        <v/>
      </c>
      <c r="C30" s="3" t="str">
        <f t="shared" si="2"/>
        <v/>
      </c>
      <c r="F30" s="3" t="str">
        <f t="shared" si="3"/>
        <v/>
      </c>
      <c r="G30" s="15"/>
      <c r="H30" s="15" t="str">
        <f t="shared" si="4"/>
        <v/>
      </c>
      <c r="I30" s="15"/>
      <c r="J30" s="15"/>
      <c r="K30" s="15" t="str">
        <f t="shared" si="5"/>
        <v/>
      </c>
      <c r="L30" s="15"/>
      <c r="M30" s="15" t="str">
        <f t="shared" si="6"/>
        <v/>
      </c>
      <c r="N30" s="15"/>
      <c r="O30" s="15"/>
      <c r="P30" s="15" t="str">
        <f t="shared" si="7"/>
        <v/>
      </c>
      <c r="Q30" s="15"/>
      <c r="R30" s="15" t="str">
        <f t="shared" si="8"/>
        <v/>
      </c>
      <c r="S30" s="15"/>
      <c r="T30" s="15"/>
      <c r="U30" s="15" t="str">
        <f t="shared" si="9"/>
        <v/>
      </c>
      <c r="V30" s="15"/>
      <c r="W30" s="15" t="str">
        <f t="shared" si="10"/>
        <v/>
      </c>
      <c r="X30" s="15"/>
      <c r="Y30" s="15"/>
      <c r="Z30" s="15" t="str">
        <f t="shared" si="11"/>
        <v/>
      </c>
      <c r="AA30" s="15"/>
      <c r="AB30" s="15" t="str">
        <f t="shared" si="12"/>
        <v/>
      </c>
      <c r="AC30" s="15"/>
      <c r="AD30" s="15"/>
      <c r="AE30" s="15" t="str">
        <f t="shared" si="13"/>
        <v/>
      </c>
      <c r="AF30" s="15"/>
      <c r="AG30" s="15" t="str">
        <f t="shared" si="14"/>
        <v/>
      </c>
      <c r="AH30" s="37"/>
      <c r="AI30" s="37"/>
    </row>
    <row r="31" hidden="1">
      <c r="A31" s="3" t="str">
        <f t="shared" si="1"/>
        <v/>
      </c>
      <c r="C31" s="3" t="str">
        <f t="shared" si="2"/>
        <v/>
      </c>
      <c r="F31" s="3" t="str">
        <f t="shared" si="3"/>
        <v/>
      </c>
      <c r="G31" s="15"/>
      <c r="H31" s="15" t="str">
        <f t="shared" si="4"/>
        <v/>
      </c>
      <c r="I31" s="15"/>
      <c r="J31" s="15"/>
      <c r="K31" s="15" t="str">
        <f t="shared" si="5"/>
        <v/>
      </c>
      <c r="L31" s="15"/>
      <c r="M31" s="15" t="str">
        <f t="shared" si="6"/>
        <v/>
      </c>
      <c r="N31" s="15"/>
      <c r="O31" s="15"/>
      <c r="P31" s="15" t="str">
        <f t="shared" si="7"/>
        <v/>
      </c>
      <c r="Q31" s="15"/>
      <c r="R31" s="15" t="str">
        <f t="shared" si="8"/>
        <v/>
      </c>
      <c r="S31" s="15"/>
      <c r="T31" s="15"/>
      <c r="U31" s="15" t="str">
        <f t="shared" si="9"/>
        <v/>
      </c>
      <c r="V31" s="15"/>
      <c r="W31" s="15" t="str">
        <f t="shared" si="10"/>
        <v/>
      </c>
      <c r="X31" s="15"/>
      <c r="Y31" s="15"/>
      <c r="Z31" s="15" t="str">
        <f t="shared" si="11"/>
        <v/>
      </c>
      <c r="AA31" s="15"/>
      <c r="AB31" s="15" t="str">
        <f t="shared" si="12"/>
        <v/>
      </c>
      <c r="AC31" s="15"/>
      <c r="AD31" s="15"/>
      <c r="AE31" s="15" t="str">
        <f t="shared" si="13"/>
        <v/>
      </c>
      <c r="AF31" s="15"/>
      <c r="AG31" s="15" t="str">
        <f t="shared" si="14"/>
        <v/>
      </c>
      <c r="AH31" s="37"/>
      <c r="AI31" s="37"/>
    </row>
    <row r="32" hidden="1">
      <c r="A32" s="3" t="str">
        <f t="shared" si="1"/>
        <v/>
      </c>
      <c r="C32" s="3" t="str">
        <f t="shared" si="2"/>
        <v/>
      </c>
      <c r="F32" s="3" t="str">
        <f t="shared" si="3"/>
        <v/>
      </c>
      <c r="G32" s="15"/>
      <c r="H32" s="15" t="str">
        <f t="shared" si="4"/>
        <v/>
      </c>
      <c r="I32" s="15"/>
      <c r="J32" s="15"/>
      <c r="K32" s="15" t="str">
        <f t="shared" si="5"/>
        <v/>
      </c>
      <c r="L32" s="15"/>
      <c r="M32" s="15" t="str">
        <f t="shared" si="6"/>
        <v/>
      </c>
      <c r="N32" s="15"/>
      <c r="O32" s="15"/>
      <c r="P32" s="15" t="str">
        <f t="shared" si="7"/>
        <v/>
      </c>
      <c r="Q32" s="15"/>
      <c r="R32" s="15" t="str">
        <f t="shared" si="8"/>
        <v/>
      </c>
      <c r="S32" s="15"/>
      <c r="T32" s="15"/>
      <c r="U32" s="15" t="str">
        <f t="shared" si="9"/>
        <v/>
      </c>
      <c r="V32" s="15"/>
      <c r="W32" s="15" t="str">
        <f t="shared" si="10"/>
        <v/>
      </c>
      <c r="X32" s="15"/>
      <c r="Y32" s="15"/>
      <c r="Z32" s="15" t="str">
        <f t="shared" si="11"/>
        <v/>
      </c>
      <c r="AA32" s="15"/>
      <c r="AB32" s="15" t="str">
        <f t="shared" si="12"/>
        <v/>
      </c>
      <c r="AC32" s="15"/>
      <c r="AD32" s="15"/>
      <c r="AE32" s="15" t="str">
        <f t="shared" si="13"/>
        <v/>
      </c>
      <c r="AF32" s="15"/>
      <c r="AG32" s="15" t="str">
        <f t="shared" si="14"/>
        <v/>
      </c>
      <c r="AH32" s="37"/>
      <c r="AI32" s="37"/>
    </row>
    <row r="33" hidden="1">
      <c r="A33" s="3" t="str">
        <f t="shared" si="1"/>
        <v/>
      </c>
      <c r="C33" s="3" t="str">
        <f t="shared" si="2"/>
        <v/>
      </c>
      <c r="F33" s="3" t="str">
        <f t="shared" si="3"/>
        <v/>
      </c>
      <c r="G33" s="15"/>
      <c r="H33" s="15" t="str">
        <f t="shared" si="4"/>
        <v/>
      </c>
      <c r="I33" s="15"/>
      <c r="J33" s="15"/>
      <c r="K33" s="15" t="str">
        <f t="shared" si="5"/>
        <v/>
      </c>
      <c r="L33" s="15"/>
      <c r="M33" s="15" t="str">
        <f t="shared" si="6"/>
        <v/>
      </c>
      <c r="N33" s="15"/>
      <c r="O33" s="15"/>
      <c r="P33" s="15" t="str">
        <f t="shared" si="7"/>
        <v/>
      </c>
      <c r="Q33" s="15"/>
      <c r="R33" s="15" t="str">
        <f t="shared" si="8"/>
        <v/>
      </c>
      <c r="S33" s="15"/>
      <c r="T33" s="15"/>
      <c r="U33" s="15" t="str">
        <f t="shared" si="9"/>
        <v/>
      </c>
      <c r="V33" s="15"/>
      <c r="W33" s="15" t="str">
        <f t="shared" si="10"/>
        <v/>
      </c>
      <c r="X33" s="15"/>
      <c r="Y33" s="15"/>
      <c r="Z33" s="15" t="str">
        <f t="shared" si="11"/>
        <v/>
      </c>
      <c r="AA33" s="15"/>
      <c r="AB33" s="15" t="str">
        <f t="shared" si="12"/>
        <v/>
      </c>
      <c r="AC33" s="15"/>
      <c r="AD33" s="15"/>
      <c r="AE33" s="15" t="str">
        <f t="shared" si="13"/>
        <v/>
      </c>
      <c r="AF33" s="15"/>
      <c r="AG33" s="15" t="str">
        <f t="shared" si="14"/>
        <v/>
      </c>
      <c r="AH33" s="37"/>
      <c r="AI33" s="37"/>
    </row>
    <row r="34" hidden="1">
      <c r="A34" s="3" t="str">
        <f t="shared" si="1"/>
        <v/>
      </c>
      <c r="C34" s="3" t="str">
        <f t="shared" si="2"/>
        <v/>
      </c>
      <c r="F34" s="3" t="str">
        <f t="shared" si="3"/>
        <v/>
      </c>
      <c r="G34" s="15"/>
      <c r="H34" s="15" t="str">
        <f t="shared" si="4"/>
        <v/>
      </c>
      <c r="I34" s="15"/>
      <c r="J34" s="15"/>
      <c r="K34" s="15" t="str">
        <f t="shared" si="5"/>
        <v/>
      </c>
      <c r="L34" s="15"/>
      <c r="M34" s="15" t="str">
        <f t="shared" si="6"/>
        <v/>
      </c>
      <c r="N34" s="15"/>
      <c r="O34" s="15"/>
      <c r="P34" s="15" t="str">
        <f t="shared" si="7"/>
        <v/>
      </c>
      <c r="Q34" s="15"/>
      <c r="R34" s="15" t="str">
        <f t="shared" si="8"/>
        <v/>
      </c>
      <c r="S34" s="15"/>
      <c r="T34" s="15"/>
      <c r="U34" s="15" t="str">
        <f t="shared" si="9"/>
        <v/>
      </c>
      <c r="V34" s="15"/>
      <c r="W34" s="15" t="str">
        <f t="shared" si="10"/>
        <v/>
      </c>
      <c r="X34" s="15"/>
      <c r="Y34" s="15"/>
      <c r="Z34" s="15" t="str">
        <f t="shared" si="11"/>
        <v/>
      </c>
      <c r="AA34" s="15"/>
      <c r="AB34" s="15" t="str">
        <f t="shared" si="12"/>
        <v/>
      </c>
      <c r="AC34" s="15"/>
      <c r="AD34" s="15"/>
      <c r="AE34" s="15" t="str">
        <f t="shared" si="13"/>
        <v/>
      </c>
      <c r="AF34" s="15"/>
      <c r="AG34" s="15" t="str">
        <f t="shared" si="14"/>
        <v/>
      </c>
      <c r="AH34" s="37"/>
      <c r="AI34" s="37"/>
    </row>
    <row r="35" hidden="1">
      <c r="A35" s="3" t="str">
        <f t="shared" si="1"/>
        <v/>
      </c>
      <c r="C35" s="3" t="str">
        <f t="shared" si="2"/>
        <v/>
      </c>
      <c r="F35" s="3" t="str">
        <f t="shared" si="3"/>
        <v/>
      </c>
      <c r="G35" s="15"/>
      <c r="H35" s="15" t="str">
        <f t="shared" si="4"/>
        <v/>
      </c>
      <c r="I35" s="15"/>
      <c r="J35" s="15"/>
      <c r="K35" s="15" t="str">
        <f t="shared" si="5"/>
        <v/>
      </c>
      <c r="L35" s="15"/>
      <c r="M35" s="15" t="str">
        <f t="shared" si="6"/>
        <v/>
      </c>
      <c r="N35" s="15"/>
      <c r="O35" s="15"/>
      <c r="P35" s="15" t="str">
        <f t="shared" si="7"/>
        <v/>
      </c>
      <c r="Q35" s="15"/>
      <c r="R35" s="15" t="str">
        <f t="shared" si="8"/>
        <v/>
      </c>
      <c r="S35" s="15"/>
      <c r="T35" s="15"/>
      <c r="U35" s="15" t="str">
        <f t="shared" si="9"/>
        <v/>
      </c>
      <c r="V35" s="15"/>
      <c r="W35" s="15" t="str">
        <f t="shared" si="10"/>
        <v/>
      </c>
      <c r="X35" s="15"/>
      <c r="Y35" s="15"/>
      <c r="Z35" s="15" t="str">
        <f t="shared" si="11"/>
        <v/>
      </c>
      <c r="AA35" s="15"/>
      <c r="AB35" s="15" t="str">
        <f t="shared" si="12"/>
        <v/>
      </c>
      <c r="AC35" s="15"/>
      <c r="AD35" s="15"/>
      <c r="AE35" s="15" t="str">
        <f t="shared" si="13"/>
        <v/>
      </c>
      <c r="AF35" s="15"/>
      <c r="AG35" s="15" t="str">
        <f t="shared" si="14"/>
        <v/>
      </c>
      <c r="AH35" s="37"/>
      <c r="AI35" s="37"/>
    </row>
    <row r="36" hidden="1">
      <c r="A36" s="3" t="str">
        <f t="shared" si="1"/>
        <v/>
      </c>
      <c r="C36" s="3" t="str">
        <f t="shared" si="2"/>
        <v/>
      </c>
      <c r="F36" s="3" t="str">
        <f t="shared" si="3"/>
        <v/>
      </c>
      <c r="G36" s="15"/>
      <c r="H36" s="15" t="str">
        <f t="shared" si="4"/>
        <v/>
      </c>
      <c r="I36" s="15"/>
      <c r="J36" s="15"/>
      <c r="K36" s="15" t="str">
        <f t="shared" si="5"/>
        <v/>
      </c>
      <c r="L36" s="15"/>
      <c r="M36" s="15" t="str">
        <f t="shared" si="6"/>
        <v/>
      </c>
      <c r="N36" s="15"/>
      <c r="O36" s="15"/>
      <c r="P36" s="15" t="str">
        <f t="shared" si="7"/>
        <v/>
      </c>
      <c r="Q36" s="15"/>
      <c r="R36" s="15" t="str">
        <f t="shared" si="8"/>
        <v/>
      </c>
      <c r="S36" s="15"/>
      <c r="T36" s="15"/>
      <c r="U36" s="15" t="str">
        <f t="shared" si="9"/>
        <v/>
      </c>
      <c r="V36" s="15"/>
      <c r="W36" s="15" t="str">
        <f t="shared" si="10"/>
        <v/>
      </c>
      <c r="X36" s="15"/>
      <c r="Y36" s="15"/>
      <c r="Z36" s="15" t="str">
        <f t="shared" si="11"/>
        <v/>
      </c>
      <c r="AA36" s="15"/>
      <c r="AB36" s="15" t="str">
        <f t="shared" si="12"/>
        <v/>
      </c>
      <c r="AC36" s="15"/>
      <c r="AD36" s="15"/>
      <c r="AE36" s="15" t="str">
        <f t="shared" si="13"/>
        <v/>
      </c>
      <c r="AF36" s="15"/>
      <c r="AG36" s="15" t="str">
        <f t="shared" si="14"/>
        <v/>
      </c>
      <c r="AH36" s="37"/>
      <c r="AI36" s="37"/>
    </row>
    <row r="37" hidden="1">
      <c r="A37" s="3" t="str">
        <f t="shared" si="1"/>
        <v/>
      </c>
      <c r="C37" s="3" t="str">
        <f t="shared" si="2"/>
        <v/>
      </c>
      <c r="F37" s="3" t="str">
        <f t="shared" si="3"/>
        <v/>
      </c>
      <c r="G37" s="15"/>
      <c r="H37" s="15" t="str">
        <f t="shared" si="4"/>
        <v/>
      </c>
      <c r="I37" s="15"/>
      <c r="J37" s="15"/>
      <c r="K37" s="15" t="str">
        <f t="shared" si="5"/>
        <v/>
      </c>
      <c r="L37" s="15"/>
      <c r="M37" s="15" t="str">
        <f t="shared" si="6"/>
        <v/>
      </c>
      <c r="N37" s="15"/>
      <c r="O37" s="15"/>
      <c r="P37" s="15" t="str">
        <f t="shared" si="7"/>
        <v/>
      </c>
      <c r="Q37" s="15"/>
      <c r="R37" s="15" t="str">
        <f t="shared" si="8"/>
        <v/>
      </c>
      <c r="S37" s="15"/>
      <c r="T37" s="15"/>
      <c r="U37" s="15" t="str">
        <f t="shared" si="9"/>
        <v/>
      </c>
      <c r="V37" s="15"/>
      <c r="W37" s="15" t="str">
        <f t="shared" si="10"/>
        <v/>
      </c>
      <c r="X37" s="15"/>
      <c r="Y37" s="15"/>
      <c r="Z37" s="15" t="str">
        <f t="shared" si="11"/>
        <v/>
      </c>
      <c r="AA37" s="15"/>
      <c r="AB37" s="15" t="str">
        <f t="shared" si="12"/>
        <v/>
      </c>
      <c r="AC37" s="15"/>
      <c r="AD37" s="15"/>
      <c r="AE37" s="15" t="str">
        <f t="shared" si="13"/>
        <v/>
      </c>
      <c r="AF37" s="15"/>
      <c r="AG37" s="15" t="str">
        <f t="shared" si="14"/>
        <v/>
      </c>
      <c r="AH37" s="37"/>
      <c r="AI37" s="37"/>
    </row>
    <row r="38" hidden="1">
      <c r="A38" s="3" t="str">
        <f t="shared" si="1"/>
        <v/>
      </c>
      <c r="C38" s="3" t="str">
        <f t="shared" si="2"/>
        <v/>
      </c>
      <c r="F38" s="3" t="str">
        <f t="shared" si="3"/>
        <v/>
      </c>
      <c r="G38" s="15"/>
      <c r="H38" s="15" t="str">
        <f t="shared" si="4"/>
        <v/>
      </c>
      <c r="I38" s="15"/>
      <c r="J38" s="15"/>
      <c r="K38" s="15" t="str">
        <f t="shared" si="5"/>
        <v/>
      </c>
      <c r="L38" s="15"/>
      <c r="M38" s="15" t="str">
        <f t="shared" si="6"/>
        <v/>
      </c>
      <c r="N38" s="15"/>
      <c r="O38" s="15"/>
      <c r="P38" s="15" t="str">
        <f t="shared" si="7"/>
        <v/>
      </c>
      <c r="Q38" s="15"/>
      <c r="R38" s="15" t="str">
        <f t="shared" si="8"/>
        <v/>
      </c>
      <c r="S38" s="15"/>
      <c r="T38" s="15"/>
      <c r="U38" s="15" t="str">
        <f t="shared" si="9"/>
        <v/>
      </c>
      <c r="V38" s="15"/>
      <c r="W38" s="15" t="str">
        <f t="shared" si="10"/>
        <v/>
      </c>
      <c r="X38" s="15"/>
      <c r="Y38" s="15"/>
      <c r="Z38" s="15" t="str">
        <f t="shared" si="11"/>
        <v/>
      </c>
      <c r="AA38" s="15"/>
      <c r="AB38" s="15" t="str">
        <f t="shared" si="12"/>
        <v/>
      </c>
      <c r="AC38" s="15"/>
      <c r="AD38" s="15"/>
      <c r="AE38" s="37"/>
      <c r="AF38" s="37"/>
      <c r="AG38" s="37"/>
      <c r="AH38" s="37"/>
      <c r="AI38" s="37"/>
    </row>
    <row r="39" hidden="1">
      <c r="A39" s="3" t="str">
        <f>A4&amp;": "</f>
        <v>Old Thorns 1s: </v>
      </c>
      <c r="B39" s="3">
        <f t="shared" ref="B39:D39" si="15">B4</f>
        <v>2</v>
      </c>
      <c r="C39" s="3" t="str">
        <f t="shared" si="15"/>
        <v>Honourable Artillery Company 1s</v>
      </c>
      <c r="D39" s="3">
        <f t="shared" si="15"/>
        <v>2</v>
      </c>
      <c r="F39" s="3" t="str">
        <f>F4&amp;": "</f>
        <v>Old Thorns 2s: </v>
      </c>
      <c r="G39" s="15" t="str">
        <f t="shared" ref="G39:I39" si="16">G4</f>
        <v>#N/A</v>
      </c>
      <c r="H39" s="3" t="str">
        <f t="shared" si="16"/>
        <v/>
      </c>
      <c r="I39" s="15" t="str">
        <f t="shared" si="16"/>
        <v/>
      </c>
      <c r="J39" s="15"/>
      <c r="K39" s="15" t="str">
        <f>K4&amp;": "</f>
        <v>Old Thorns 3s: </v>
      </c>
      <c r="L39" s="15">
        <f t="shared" ref="L39:N39" si="17">L4</f>
        <v>2</v>
      </c>
      <c r="M39" s="3" t="str">
        <f t="shared" si="17"/>
        <v>Witan 1s</v>
      </c>
      <c r="N39" s="15">
        <f t="shared" si="17"/>
        <v>0</v>
      </c>
      <c r="O39" s="15"/>
      <c r="P39" s="15" t="str">
        <f>P4&amp;": "</f>
        <v>Old Thorns 4s: </v>
      </c>
      <c r="Q39" s="15">
        <f t="shared" ref="Q39:S39" si="18">Q4</f>
        <v>4</v>
      </c>
      <c r="R39" s="3" t="str">
        <f t="shared" si="18"/>
        <v>Witan 2s</v>
      </c>
      <c r="S39" s="15">
        <f t="shared" si="18"/>
        <v>1</v>
      </c>
      <c r="T39" s="15"/>
      <c r="U39" s="15" t="str">
        <f>U4&amp;": "</f>
        <v>Old Thorns 5s: </v>
      </c>
      <c r="V39" s="15" t="str">
        <f t="shared" ref="V39:X39" si="19">V4</f>
        <v>#N/A</v>
      </c>
      <c r="W39" s="3" t="str">
        <f t="shared" si="19"/>
        <v/>
      </c>
      <c r="X39" s="15" t="str">
        <f t="shared" si="19"/>
        <v/>
      </c>
      <c r="Y39" s="15"/>
      <c r="Z39" s="15" t="str">
        <f>Z4&amp;": "</f>
        <v>Old Thorns 6s: </v>
      </c>
      <c r="AA39" s="15">
        <f t="shared" ref="AA39:AC39" si="20">AA4</f>
        <v>1</v>
      </c>
      <c r="AB39" s="3" t="str">
        <f t="shared" si="20"/>
        <v>Old Guildfordians 2s</v>
      </c>
      <c r="AC39" s="15">
        <f t="shared" si="20"/>
        <v>1</v>
      </c>
      <c r="AD39" s="15"/>
      <c r="AE39" s="15" t="str">
        <f>AE4&amp;": "</f>
        <v>Old Thorns Vets: </v>
      </c>
      <c r="AF39" s="15" t="str">
        <f t="shared" ref="AF39:AH39" si="21">AF4</f>
        <v>#N/A</v>
      </c>
      <c r="AG39" s="3" t="str">
        <f t="shared" si="21"/>
        <v/>
      </c>
      <c r="AH39" s="15" t="str">
        <f t="shared" si="21"/>
        <v/>
      </c>
      <c r="AI39" s="37"/>
    </row>
    <row r="40" hidden="1">
      <c r="A40" s="5" t="str">
        <f>IFERROR("Goals: "&amp;LEFT(CONCATENATE(A23:A38),len(CONCATENATE(A23:A38))-2),"")</f>
        <v>Goals: Matt Crowe, Jarvis Cheek</v>
      </c>
      <c r="F40" s="5" t="str">
        <f>IFERROR("Goals: "&amp;LEFT(CONCATENATE(F23:F38),len(CONCATENATE(F23:F38))-2),"")</f>
        <v/>
      </c>
      <c r="G40" s="15"/>
      <c r="H40" s="15"/>
      <c r="I40" s="15"/>
      <c r="J40" s="15"/>
      <c r="K40" s="24" t="str">
        <f>IFERROR("Goals: "&amp;LEFT(CONCATENATE(K23:K38),len(CONCATENATE(K23:K38))-2),"")</f>
        <v>Goals: Alex Stevens x2</v>
      </c>
      <c r="L40" s="15"/>
      <c r="M40" s="15"/>
      <c r="N40" s="15"/>
      <c r="O40" s="15"/>
      <c r="P40" s="24" t="str">
        <f>IFERROR("Goals: "&amp;LEFT(CONCATENATE(P23:P38),len(CONCATENATE(P23:P38))-2),"")</f>
        <v>Goals: Sean Rowlett, Masood Hamidi, Dan Klin, Chris Claeys</v>
      </c>
      <c r="Q40" s="15"/>
      <c r="R40" s="15"/>
      <c r="S40" s="15"/>
      <c r="T40" s="15"/>
      <c r="U40" s="24" t="str">
        <f>IFERROR("Goals: "&amp;LEFT(CONCATENATE(U23:U38),len(CONCATENATE(U23:U38))-2),"")</f>
        <v/>
      </c>
      <c r="V40" s="15"/>
      <c r="W40" s="15"/>
      <c r="X40" s="15"/>
      <c r="Y40" s="15"/>
      <c r="Z40" s="24" t="str">
        <f>IFERROR("Goals: "&amp;LEFT(CONCATENATE(Z23:Z38),len(CONCATENATE(Z23:Z38))-2),"")</f>
        <v>Goals: Pearl Bakengela</v>
      </c>
      <c r="AA40" s="15"/>
      <c r="AB40" s="15"/>
      <c r="AC40" s="15"/>
      <c r="AD40" s="15"/>
      <c r="AE40" s="24" t="str">
        <f>IFERROR("Goals: "&amp;LEFT(CONCATENATE(AE23:AE38),len(CONCATENATE(AE23:AE38))-2),"")</f>
        <v/>
      </c>
      <c r="AF40" s="15"/>
      <c r="AG40" s="15"/>
      <c r="AH40" s="15"/>
      <c r="AI40" s="37"/>
    </row>
    <row r="41" hidden="1">
      <c r="A41" s="5" t="str">
        <f>IFERROR("Assists: "&amp;LEFT(CONCATENATE(C23:C38),len(CONCATENATE(C23:C38))-2),"")</f>
        <v>Assists: Ben Dockerill, Billy Mclean</v>
      </c>
      <c r="F41" s="5" t="str">
        <f>IFERROR("Assists: "&amp;LEFT(CONCATENATE(H23:H38),len(CONCATENATE(H23:H38))-2),"")</f>
        <v/>
      </c>
      <c r="G41" s="15"/>
      <c r="H41" s="15"/>
      <c r="I41" s="15"/>
      <c r="J41" s="15"/>
      <c r="K41" s="24" t="str">
        <f>IFERROR("Assists: "&amp;LEFT(CONCATENATE(M23:M38),len(CONCATENATE(M23:M38))-2),"")</f>
        <v>Assists: Rob Edmonds</v>
      </c>
      <c r="L41" s="15"/>
      <c r="M41" s="15"/>
      <c r="N41" s="15"/>
      <c r="O41" s="15"/>
      <c r="P41" s="24" t="str">
        <f>IFERROR("Assists: "&amp;LEFT(CONCATENATE(R23:R38),len(CONCATENATE(R23:R38))-2),"")</f>
        <v>Assists: Charlie Doe, Billy King, Masood Hamidi</v>
      </c>
      <c r="Q41" s="15"/>
      <c r="R41" s="15"/>
      <c r="S41" s="15"/>
      <c r="T41" s="15"/>
      <c r="U41" s="24" t="str">
        <f>IFERROR("Assists: "&amp;LEFT(CONCATENATE(W23:W38),len(CONCATENATE(W23:W38))-2),"")</f>
        <v/>
      </c>
      <c r="V41" s="15"/>
      <c r="W41" s="15"/>
      <c r="X41" s="15"/>
      <c r="Y41" s="15"/>
      <c r="Z41" s="24" t="str">
        <f>IFERROR("Assists: "&amp;LEFT(CONCATENATE(AB23:AB38),len(CONCATENATE(AB23:AB38))-2),"")</f>
        <v>Assists: Janam Satra</v>
      </c>
      <c r="AA41" s="15"/>
      <c r="AB41" s="15"/>
      <c r="AC41" s="15"/>
      <c r="AD41" s="15"/>
      <c r="AE41" s="24" t="str">
        <f>IFERROR("Assists: "&amp;LEFT(CONCATENATE(AG23:AG38),len(CONCATENATE(AG23:AG38))-2),"")</f>
        <v/>
      </c>
      <c r="AF41" s="15"/>
      <c r="AG41" s="15"/>
      <c r="AH41" s="15"/>
      <c r="AI41" s="37"/>
    </row>
    <row r="42" hidden="1">
      <c r="A42" s="5" t="str">
        <f>"MOM: "&amp;E6</f>
        <v>MOM: Yemi Oviosu</v>
      </c>
      <c r="F42" s="5" t="str">
        <f>"MOM: "&amp;J6</f>
        <v>#N/A</v>
      </c>
      <c r="G42" s="15"/>
      <c r="H42" s="15"/>
      <c r="I42" s="15"/>
      <c r="J42" s="15"/>
      <c r="K42" s="24" t="str">
        <f>"MOM: "&amp;O6</f>
        <v>MOM: Chris Douthwaite</v>
      </c>
      <c r="L42" s="15"/>
      <c r="M42" s="15"/>
      <c r="N42" s="15"/>
      <c r="O42" s="15"/>
      <c r="P42" s="24" t="str">
        <f>"MOM: "&amp;T6</f>
        <v>MOM: Masood Hamidi</v>
      </c>
      <c r="Q42" s="15"/>
      <c r="R42" s="15"/>
      <c r="S42" s="15"/>
      <c r="T42" s="15"/>
      <c r="U42" s="24" t="str">
        <f>"MOM: "&amp;Y6</f>
        <v>#N/A</v>
      </c>
      <c r="V42" s="15"/>
      <c r="W42" s="15"/>
      <c r="X42" s="15"/>
      <c r="Y42" s="15"/>
      <c r="Z42" s="24" t="str">
        <f>"MOM: "&amp;AD6</f>
        <v>MOM: Martin Goodson</v>
      </c>
      <c r="AA42" s="15"/>
      <c r="AB42" s="15"/>
      <c r="AC42" s="15"/>
      <c r="AD42" s="15"/>
      <c r="AE42" s="24" t="str">
        <f>"MOM: "&amp;AI6</f>
        <v>#N/A</v>
      </c>
      <c r="AF42" s="15"/>
      <c r="AG42" s="15"/>
      <c r="AH42" s="15"/>
      <c r="AI42" s="37"/>
    </row>
    <row r="43" hidden="1">
      <c r="G43" s="15"/>
      <c r="H43" s="15"/>
      <c r="I43" s="15"/>
      <c r="J43" s="15"/>
      <c r="K43" s="15"/>
      <c r="L43" s="15"/>
      <c r="M43" s="15"/>
      <c r="N43" s="15"/>
      <c r="O43" s="15"/>
      <c r="P43" s="15"/>
      <c r="Q43" s="15"/>
      <c r="R43" s="15"/>
      <c r="S43" s="15"/>
      <c r="T43" s="15"/>
      <c r="U43" s="15"/>
      <c r="V43" s="15"/>
      <c r="W43" s="15"/>
      <c r="X43" s="15"/>
      <c r="Y43" s="15"/>
      <c r="Z43" s="15"/>
      <c r="AA43" s="15"/>
      <c r="AB43" s="15"/>
      <c r="AC43" s="15"/>
      <c r="AD43" s="15"/>
      <c r="AE43" s="37"/>
      <c r="AF43" s="37"/>
      <c r="AG43" s="37"/>
      <c r="AH43" s="37"/>
      <c r="AI43" s="37"/>
    </row>
    <row r="44" hidden="1">
      <c r="G44" s="15"/>
      <c r="H44" s="15"/>
      <c r="I44" s="15"/>
      <c r="J44" s="15"/>
      <c r="K44" s="15"/>
      <c r="L44" s="15"/>
      <c r="M44" s="15"/>
      <c r="N44" s="15"/>
      <c r="O44" s="15"/>
      <c r="P44" s="15"/>
      <c r="Q44" s="15"/>
      <c r="R44" s="15"/>
      <c r="S44" s="15"/>
      <c r="T44" s="15"/>
      <c r="U44" s="15"/>
      <c r="V44" s="15"/>
      <c r="W44" s="15"/>
      <c r="X44" s="15"/>
      <c r="Y44" s="15"/>
      <c r="Z44" s="15"/>
      <c r="AA44" s="15"/>
      <c r="AB44" s="15"/>
      <c r="AC44" s="15"/>
      <c r="AD44" s="15"/>
      <c r="AE44" s="37"/>
      <c r="AF44" s="37"/>
      <c r="AG44" s="37"/>
      <c r="AH44" s="37"/>
      <c r="AI44" s="37"/>
    </row>
    <row r="45" hidden="1">
      <c r="G45" s="15"/>
      <c r="H45" s="15"/>
      <c r="I45" s="15"/>
      <c r="J45" s="15"/>
      <c r="K45" s="15"/>
      <c r="L45" s="15"/>
      <c r="M45" s="15"/>
      <c r="N45" s="15"/>
      <c r="O45" s="15"/>
      <c r="P45" s="15"/>
      <c r="Q45" s="15"/>
      <c r="R45" s="15"/>
      <c r="S45" s="15"/>
      <c r="T45" s="15"/>
      <c r="U45" s="15"/>
      <c r="V45" s="15"/>
      <c r="W45" s="15"/>
      <c r="X45" s="15"/>
      <c r="Y45" s="15"/>
      <c r="Z45" s="15"/>
      <c r="AA45" s="15"/>
      <c r="AB45" s="15"/>
      <c r="AC45" s="15"/>
      <c r="AD45" s="15"/>
      <c r="AE45" s="37"/>
      <c r="AF45" s="37"/>
      <c r="AG45" s="37"/>
      <c r="AH45" s="37"/>
      <c r="AI45" s="37"/>
    </row>
    <row r="46" hidden="1">
      <c r="A46" s="38"/>
      <c r="B46" s="17"/>
      <c r="C46" s="39"/>
      <c r="D46" s="17"/>
      <c r="E46" s="17"/>
      <c r="F46" s="40"/>
      <c r="G46" s="15"/>
      <c r="H46" s="15"/>
      <c r="I46" s="15"/>
      <c r="J46" s="15"/>
      <c r="K46" s="15"/>
      <c r="L46" s="15"/>
      <c r="M46" s="15"/>
      <c r="N46" s="15"/>
      <c r="O46" s="15"/>
      <c r="P46" s="15"/>
      <c r="Q46" s="15"/>
      <c r="R46" s="15"/>
      <c r="S46" s="15"/>
      <c r="T46" s="15"/>
      <c r="U46" s="15"/>
      <c r="V46" s="15"/>
      <c r="W46" s="15"/>
      <c r="X46" s="15"/>
      <c r="Y46" s="15"/>
      <c r="Z46" s="15"/>
      <c r="AA46" s="15"/>
      <c r="AB46" s="15"/>
      <c r="AC46" s="15"/>
      <c r="AD46" s="15"/>
      <c r="AE46" s="37"/>
      <c r="AF46" s="37"/>
      <c r="AG46" s="37"/>
      <c r="AH46" s="37"/>
      <c r="AI46" s="37"/>
    </row>
    <row r="47">
      <c r="A47" s="41" t="str">
        <f t="shared" ref="A47:B47" si="22">A39</f>
        <v>Old Thorns 1s: </v>
      </c>
      <c r="B47" s="41">
        <f t="shared" si="22"/>
        <v>2</v>
      </c>
      <c r="C47" s="42" t="s">
        <v>161</v>
      </c>
      <c r="D47" s="41">
        <f>D39</f>
        <v>2</v>
      </c>
      <c r="E47" s="41" t="str">
        <f>C39</f>
        <v>Honourable Artillery Company 1s</v>
      </c>
      <c r="F47" s="41"/>
      <c r="G47" s="15"/>
      <c r="H47" s="15"/>
      <c r="I47" s="15"/>
      <c r="J47" s="15"/>
      <c r="K47" s="15"/>
      <c r="L47" s="15"/>
      <c r="M47" s="15"/>
      <c r="N47" s="15"/>
      <c r="O47" s="15"/>
      <c r="P47" s="15"/>
      <c r="Q47" s="15"/>
      <c r="R47" s="15"/>
      <c r="S47" s="15"/>
      <c r="T47" s="15"/>
      <c r="U47" s="15"/>
      <c r="V47" s="15"/>
      <c r="W47" s="15"/>
      <c r="X47" s="15"/>
      <c r="Y47" s="15"/>
      <c r="Z47" s="15"/>
      <c r="AA47" s="15"/>
      <c r="AB47" s="15"/>
      <c r="AC47" s="15"/>
      <c r="AD47" s="15"/>
      <c r="AE47" s="37"/>
      <c r="AF47" s="37"/>
      <c r="AG47" s="37"/>
      <c r="AH47" s="37"/>
      <c r="AI47" s="37"/>
    </row>
    <row r="48">
      <c r="A48" s="41" t="str">
        <f t="shared" ref="A48:B48" si="23">A40</f>
        <v>Goals: Matt Crowe, Jarvis Cheek</v>
      </c>
      <c r="B48" s="41" t="str">
        <f t="shared" si="23"/>
        <v/>
      </c>
      <c r="C48" s="41"/>
      <c r="D48" s="41" t="str">
        <f t="shared" ref="D48:E48" si="24">C40</f>
        <v/>
      </c>
      <c r="E48" s="41" t="str">
        <f t="shared" si="24"/>
        <v/>
      </c>
      <c r="G48" s="15"/>
      <c r="H48" s="15"/>
      <c r="I48" s="15"/>
      <c r="J48" s="15"/>
      <c r="K48" s="15"/>
      <c r="L48" s="15"/>
      <c r="M48" s="15"/>
      <c r="N48" s="15"/>
      <c r="O48" s="15"/>
      <c r="P48" s="15"/>
      <c r="Q48" s="15"/>
      <c r="R48" s="15"/>
      <c r="S48" s="15"/>
      <c r="T48" s="15"/>
      <c r="U48" s="15"/>
      <c r="V48" s="15"/>
      <c r="W48" s="15"/>
      <c r="X48" s="15"/>
      <c r="Y48" s="15"/>
      <c r="Z48" s="15"/>
      <c r="AA48" s="15"/>
      <c r="AB48" s="15"/>
      <c r="AC48" s="15"/>
      <c r="AD48" s="15"/>
      <c r="AE48" s="37"/>
      <c r="AF48" s="37"/>
      <c r="AG48" s="37"/>
      <c r="AH48" s="37"/>
      <c r="AI48" s="37"/>
    </row>
    <row r="49">
      <c r="A49" s="41" t="str">
        <f t="shared" ref="A49:B49" si="25">A41</f>
        <v>Assists: Ben Dockerill, Billy Mclean</v>
      </c>
      <c r="B49" s="41" t="str">
        <f t="shared" si="25"/>
        <v/>
      </c>
      <c r="C49" s="41"/>
      <c r="D49" s="41" t="str">
        <f t="shared" ref="D49:E49" si="26">C41</f>
        <v/>
      </c>
      <c r="E49" s="41" t="str">
        <f t="shared" si="26"/>
        <v/>
      </c>
      <c r="G49" s="15"/>
      <c r="H49" s="15"/>
      <c r="I49" s="15"/>
      <c r="J49" s="15"/>
      <c r="K49" s="15"/>
      <c r="L49" s="15"/>
      <c r="M49" s="15"/>
      <c r="N49" s="15"/>
      <c r="O49" s="15"/>
      <c r="P49" s="15"/>
      <c r="Q49" s="15"/>
      <c r="R49" s="15"/>
      <c r="S49" s="15"/>
      <c r="T49" s="15"/>
      <c r="U49" s="15"/>
      <c r="V49" s="15"/>
      <c r="W49" s="15"/>
      <c r="X49" s="15"/>
      <c r="Y49" s="15"/>
      <c r="Z49" s="15"/>
      <c r="AA49" s="15"/>
      <c r="AB49" s="15"/>
      <c r="AC49" s="15"/>
      <c r="AD49" s="15"/>
      <c r="AE49" s="37"/>
      <c r="AF49" s="37"/>
      <c r="AG49" s="37"/>
      <c r="AH49" s="37"/>
      <c r="AI49" s="37"/>
    </row>
    <row r="50">
      <c r="A50" s="41" t="str">
        <f t="shared" ref="A50:B50" si="27">A42</f>
        <v>MOM: Yemi Oviosu</v>
      </c>
      <c r="B50" s="41" t="str">
        <f t="shared" si="27"/>
        <v/>
      </c>
      <c r="C50" s="41"/>
      <c r="D50" s="41" t="str">
        <f t="shared" ref="D50:E50" si="28">C42</f>
        <v/>
      </c>
      <c r="E50" s="41" t="str">
        <f t="shared" si="28"/>
        <v/>
      </c>
      <c r="G50" s="15"/>
      <c r="H50" s="15"/>
      <c r="I50" s="15"/>
      <c r="J50" s="15"/>
      <c r="K50" s="15"/>
      <c r="L50" s="15"/>
      <c r="M50" s="15"/>
      <c r="N50" s="15"/>
      <c r="O50" s="15"/>
      <c r="P50" s="15"/>
      <c r="Q50" s="15"/>
      <c r="R50" s="15"/>
      <c r="S50" s="15"/>
      <c r="T50" s="15"/>
      <c r="U50" s="15"/>
      <c r="V50" s="15"/>
      <c r="W50" s="15"/>
      <c r="X50" s="15"/>
      <c r="Y50" s="15"/>
      <c r="Z50" s="15"/>
      <c r="AA50" s="15"/>
      <c r="AB50" s="15"/>
      <c r="AC50" s="15"/>
      <c r="AD50" s="15"/>
      <c r="AE50" s="37"/>
      <c r="AF50" s="37"/>
      <c r="AG50" s="37"/>
      <c r="AH50" s="37"/>
      <c r="AI50" s="37"/>
    </row>
    <row r="51">
      <c r="A51" s="41"/>
      <c r="B51" s="41"/>
      <c r="C51" s="41"/>
      <c r="D51" s="41"/>
      <c r="E51" s="41"/>
      <c r="G51" s="15"/>
      <c r="H51" s="15"/>
      <c r="I51" s="15"/>
      <c r="J51" s="15"/>
      <c r="K51" s="15"/>
      <c r="L51" s="15"/>
      <c r="M51" s="15"/>
      <c r="N51" s="15"/>
      <c r="O51" s="15"/>
      <c r="P51" s="15"/>
      <c r="Q51" s="15"/>
      <c r="R51" s="15"/>
      <c r="S51" s="15"/>
      <c r="T51" s="15"/>
      <c r="U51" s="15"/>
      <c r="V51" s="15"/>
      <c r="W51" s="15"/>
      <c r="X51" s="15"/>
      <c r="Y51" s="15"/>
      <c r="Z51" s="15"/>
      <c r="AA51" s="15"/>
      <c r="AB51" s="15"/>
      <c r="AC51" s="15"/>
      <c r="AD51" s="15"/>
      <c r="AE51" s="37"/>
      <c r="AF51" s="37"/>
      <c r="AG51" s="37"/>
      <c r="AH51" s="37"/>
      <c r="AI51" s="37"/>
    </row>
    <row r="52">
      <c r="A52" s="41" t="str">
        <f t="shared" ref="A52:B52" si="29">F39</f>
        <v>Old Thorns 2s: </v>
      </c>
      <c r="B52" s="41" t="str">
        <f t="shared" si="29"/>
        <v>#N/A</v>
      </c>
      <c r="C52" s="42" t="s">
        <v>161</v>
      </c>
      <c r="D52" s="41" t="str">
        <f>I39</f>
        <v/>
      </c>
      <c r="E52" s="41" t="str">
        <f>H39</f>
        <v/>
      </c>
      <c r="F52" s="41"/>
      <c r="G52" s="43"/>
      <c r="H52" s="43"/>
      <c r="I52" s="43"/>
      <c r="J52" s="43"/>
      <c r="K52" s="43"/>
      <c r="L52" s="43"/>
      <c r="M52" s="43"/>
      <c r="N52" s="43"/>
      <c r="O52" s="43"/>
      <c r="P52" s="43"/>
      <c r="Q52" s="43"/>
      <c r="R52" s="43"/>
      <c r="S52" s="43"/>
      <c r="T52" s="43"/>
      <c r="U52" s="43"/>
      <c r="V52" s="43"/>
      <c r="W52" s="43"/>
      <c r="X52" s="43"/>
      <c r="Y52" s="43"/>
      <c r="Z52" s="43"/>
      <c r="AA52" s="43"/>
      <c r="AB52" s="43"/>
      <c r="AC52" s="43"/>
      <c r="AD52" s="43"/>
      <c r="AE52" s="44"/>
      <c r="AF52" s="44"/>
      <c r="AG52" s="44"/>
      <c r="AH52" s="44"/>
      <c r="AI52" s="44"/>
    </row>
    <row r="53">
      <c r="A53" s="41" t="str">
        <f t="shared" ref="A53:B53" si="30">F40</f>
        <v/>
      </c>
      <c r="B53" s="41" t="str">
        <f t="shared" si="30"/>
        <v/>
      </c>
      <c r="C53" s="41"/>
      <c r="D53" s="41" t="str">
        <f t="shared" ref="D53:E53" si="31">H40</f>
        <v/>
      </c>
      <c r="E53" s="41" t="str">
        <f t="shared" si="31"/>
        <v/>
      </c>
      <c r="G53" s="15"/>
      <c r="H53" s="15"/>
      <c r="I53" s="15"/>
      <c r="J53" s="15"/>
      <c r="K53" s="15"/>
      <c r="L53" s="15"/>
      <c r="M53" s="15"/>
      <c r="N53" s="15"/>
      <c r="O53" s="15"/>
      <c r="P53" s="15"/>
      <c r="Q53" s="15"/>
      <c r="R53" s="15"/>
      <c r="S53" s="15"/>
      <c r="T53" s="15"/>
      <c r="U53" s="15"/>
      <c r="V53" s="15"/>
      <c r="W53" s="15"/>
      <c r="X53" s="15"/>
      <c r="Y53" s="15"/>
      <c r="Z53" s="15"/>
      <c r="AA53" s="15"/>
      <c r="AB53" s="15"/>
      <c r="AC53" s="15"/>
      <c r="AD53" s="15"/>
      <c r="AE53" s="37"/>
      <c r="AF53" s="37"/>
      <c r="AG53" s="37"/>
      <c r="AH53" s="37"/>
      <c r="AI53" s="37"/>
    </row>
    <row r="54">
      <c r="A54" s="41" t="str">
        <f t="shared" ref="A54:B54" si="32">F41</f>
        <v/>
      </c>
      <c r="B54" s="41" t="str">
        <f t="shared" si="32"/>
        <v/>
      </c>
      <c r="C54" s="41"/>
      <c r="D54" s="41" t="str">
        <f t="shared" ref="D54:E54" si="33">H41</f>
        <v/>
      </c>
      <c r="E54" s="41" t="str">
        <f t="shared" si="33"/>
        <v/>
      </c>
      <c r="G54" s="15"/>
      <c r="H54" s="15"/>
      <c r="I54" s="15"/>
      <c r="J54" s="15"/>
      <c r="K54" s="15"/>
      <c r="L54" s="15"/>
      <c r="M54" s="15"/>
      <c r="N54" s="15"/>
      <c r="O54" s="15"/>
      <c r="P54" s="15"/>
      <c r="Q54" s="15"/>
      <c r="R54" s="15"/>
      <c r="S54" s="15"/>
      <c r="T54" s="15"/>
      <c r="U54" s="15"/>
      <c r="V54" s="15"/>
      <c r="W54" s="15"/>
      <c r="X54" s="15"/>
      <c r="Y54" s="15"/>
      <c r="Z54" s="15"/>
      <c r="AA54" s="15"/>
      <c r="AB54" s="15"/>
      <c r="AC54" s="15"/>
      <c r="AD54" s="15"/>
      <c r="AE54" s="37"/>
      <c r="AF54" s="37"/>
      <c r="AG54" s="37"/>
      <c r="AH54" s="37"/>
      <c r="AI54" s="37"/>
    </row>
    <row r="55">
      <c r="A55" s="41" t="str">
        <f>F42</f>
        <v>#N/A</v>
      </c>
      <c r="B55" s="41"/>
      <c r="C55" s="41"/>
      <c r="D55" s="41"/>
      <c r="E55" s="41"/>
      <c r="G55" s="15"/>
      <c r="H55" s="15"/>
      <c r="I55" s="15"/>
      <c r="J55" s="15"/>
      <c r="K55" s="15"/>
      <c r="L55" s="15"/>
      <c r="M55" s="15"/>
      <c r="N55" s="15"/>
      <c r="O55" s="15"/>
      <c r="P55" s="15"/>
      <c r="Q55" s="15"/>
      <c r="R55" s="15"/>
      <c r="S55" s="15"/>
      <c r="T55" s="15"/>
      <c r="U55" s="15"/>
      <c r="V55" s="15"/>
      <c r="W55" s="15"/>
      <c r="X55" s="15"/>
      <c r="Y55" s="15"/>
      <c r="Z55" s="15"/>
      <c r="AA55" s="15"/>
      <c r="AB55" s="15"/>
      <c r="AC55" s="15"/>
      <c r="AD55" s="15"/>
      <c r="AE55" s="37"/>
      <c r="AF55" s="37"/>
      <c r="AG55" s="37"/>
      <c r="AH55" s="37"/>
      <c r="AI55" s="37"/>
    </row>
    <row r="56">
      <c r="A56" s="41"/>
      <c r="B56" s="41"/>
      <c r="C56" s="41"/>
      <c r="D56" s="41"/>
      <c r="E56" s="41"/>
      <c r="G56" s="15"/>
      <c r="H56" s="15"/>
      <c r="I56" s="15"/>
      <c r="J56" s="15"/>
      <c r="K56" s="15"/>
      <c r="L56" s="15"/>
      <c r="M56" s="15"/>
      <c r="N56" s="15"/>
      <c r="O56" s="15"/>
      <c r="P56" s="15"/>
      <c r="Q56" s="15"/>
      <c r="R56" s="15"/>
      <c r="S56" s="15"/>
      <c r="T56" s="15"/>
      <c r="U56" s="15"/>
      <c r="V56" s="15"/>
      <c r="W56" s="15"/>
      <c r="X56" s="15"/>
      <c r="Y56" s="15"/>
      <c r="Z56" s="15"/>
      <c r="AA56" s="15"/>
      <c r="AB56" s="15"/>
      <c r="AC56" s="15"/>
      <c r="AD56" s="15"/>
      <c r="AE56" s="37"/>
      <c r="AF56" s="37"/>
      <c r="AG56" s="37"/>
      <c r="AH56" s="37"/>
      <c r="AI56" s="37"/>
    </row>
    <row r="57">
      <c r="A57" s="41" t="str">
        <f t="shared" ref="A57:B57" si="34">K39</f>
        <v>Old Thorns 3s: </v>
      </c>
      <c r="B57" s="41">
        <f t="shared" si="34"/>
        <v>2</v>
      </c>
      <c r="C57" s="42" t="s">
        <v>161</v>
      </c>
      <c r="D57" s="41">
        <f>N39</f>
        <v>0</v>
      </c>
      <c r="E57" s="41" t="str">
        <f>M39</f>
        <v>Witan 1s</v>
      </c>
      <c r="F57" s="41"/>
      <c r="G57" s="43"/>
      <c r="H57" s="43"/>
      <c r="I57" s="43"/>
      <c r="J57" s="43"/>
      <c r="K57" s="43"/>
      <c r="L57" s="43"/>
      <c r="M57" s="43"/>
      <c r="N57" s="43"/>
      <c r="O57" s="43"/>
      <c r="P57" s="43"/>
      <c r="Q57" s="43"/>
      <c r="R57" s="43"/>
      <c r="S57" s="43"/>
      <c r="T57" s="43"/>
      <c r="U57" s="43"/>
      <c r="V57" s="43"/>
      <c r="W57" s="43"/>
      <c r="X57" s="43"/>
      <c r="Y57" s="43"/>
      <c r="Z57" s="43"/>
      <c r="AA57" s="43"/>
      <c r="AB57" s="43"/>
      <c r="AC57" s="43"/>
      <c r="AD57" s="43"/>
      <c r="AE57" s="44"/>
      <c r="AF57" s="44"/>
      <c r="AG57" s="44"/>
      <c r="AH57" s="44"/>
      <c r="AI57" s="44"/>
    </row>
    <row r="58">
      <c r="A58" s="41" t="str">
        <f t="shared" ref="A58:B58" si="35">K40</f>
        <v>Goals: Alex Stevens x2</v>
      </c>
      <c r="B58" s="41" t="str">
        <f t="shared" si="35"/>
        <v/>
      </c>
      <c r="C58" s="41"/>
      <c r="D58" s="41" t="str">
        <f t="shared" ref="D58:E58" si="36">M40</f>
        <v/>
      </c>
      <c r="E58" s="41" t="str">
        <f t="shared" si="36"/>
        <v/>
      </c>
      <c r="G58" s="15"/>
      <c r="H58" s="15"/>
      <c r="I58" s="15"/>
      <c r="J58" s="15"/>
      <c r="K58" s="15"/>
      <c r="L58" s="15"/>
      <c r="M58" s="15"/>
      <c r="N58" s="15"/>
      <c r="O58" s="15"/>
      <c r="P58" s="15"/>
      <c r="Q58" s="15"/>
      <c r="R58" s="15"/>
      <c r="S58" s="15"/>
      <c r="T58" s="15"/>
      <c r="U58" s="15"/>
      <c r="V58" s="15"/>
      <c r="W58" s="15"/>
      <c r="X58" s="15"/>
      <c r="Y58" s="15"/>
      <c r="Z58" s="15"/>
      <c r="AA58" s="15"/>
      <c r="AB58" s="15"/>
      <c r="AC58" s="15"/>
      <c r="AD58" s="15"/>
      <c r="AE58" s="37"/>
      <c r="AF58" s="37"/>
      <c r="AG58" s="37"/>
      <c r="AH58" s="37"/>
      <c r="AI58" s="37"/>
    </row>
    <row r="59">
      <c r="A59" s="41" t="str">
        <f t="shared" ref="A59:B59" si="37">K41</f>
        <v>Assists: Rob Edmonds</v>
      </c>
      <c r="B59" s="41" t="str">
        <f t="shared" si="37"/>
        <v/>
      </c>
      <c r="C59" s="41"/>
      <c r="D59" s="41" t="str">
        <f t="shared" ref="D59:E59" si="38">M41</f>
        <v/>
      </c>
      <c r="E59" s="41" t="str">
        <f t="shared" si="38"/>
        <v/>
      </c>
      <c r="G59" s="15"/>
      <c r="H59" s="15"/>
      <c r="I59" s="15"/>
      <c r="J59" s="15"/>
      <c r="K59" s="15"/>
      <c r="L59" s="15"/>
      <c r="M59" s="15"/>
      <c r="N59" s="15"/>
      <c r="O59" s="15"/>
      <c r="P59" s="15"/>
      <c r="Q59" s="15"/>
      <c r="R59" s="15"/>
      <c r="S59" s="15"/>
      <c r="T59" s="15"/>
      <c r="U59" s="15"/>
      <c r="V59" s="15"/>
      <c r="W59" s="15"/>
      <c r="X59" s="15"/>
      <c r="Y59" s="15"/>
      <c r="Z59" s="15"/>
      <c r="AA59" s="15"/>
      <c r="AB59" s="15"/>
      <c r="AC59" s="15"/>
      <c r="AD59" s="15"/>
      <c r="AE59" s="37"/>
      <c r="AF59" s="37"/>
      <c r="AG59" s="37"/>
      <c r="AH59" s="37"/>
      <c r="AI59" s="37"/>
    </row>
    <row r="60">
      <c r="A60" s="41" t="str">
        <f>K42</f>
        <v>MOM: Chris Douthwaite</v>
      </c>
      <c r="B60" s="41"/>
      <c r="C60" s="41"/>
      <c r="D60" s="41"/>
      <c r="E60" s="41"/>
      <c r="G60" s="15"/>
      <c r="H60" s="15"/>
      <c r="I60" s="15"/>
      <c r="J60" s="15"/>
      <c r="K60" s="15"/>
      <c r="L60" s="15"/>
      <c r="M60" s="15"/>
      <c r="N60" s="15"/>
      <c r="O60" s="15"/>
      <c r="P60" s="15"/>
      <c r="Q60" s="15"/>
      <c r="R60" s="15"/>
      <c r="S60" s="15"/>
      <c r="T60" s="15"/>
      <c r="U60" s="15"/>
      <c r="V60" s="15"/>
      <c r="W60" s="15"/>
      <c r="X60" s="15"/>
      <c r="Y60" s="15"/>
      <c r="Z60" s="15"/>
      <c r="AA60" s="15"/>
      <c r="AB60" s="15"/>
      <c r="AC60" s="15"/>
      <c r="AD60" s="15"/>
      <c r="AE60" s="37"/>
      <c r="AF60" s="37"/>
      <c r="AG60" s="37"/>
      <c r="AH60" s="37"/>
      <c r="AI60" s="37"/>
    </row>
    <row r="61">
      <c r="A61" s="41"/>
      <c r="B61" s="41"/>
      <c r="C61" s="41"/>
      <c r="D61" s="41"/>
      <c r="E61" s="41"/>
      <c r="G61" s="15"/>
      <c r="H61" s="15"/>
      <c r="I61" s="15"/>
      <c r="J61" s="15"/>
      <c r="K61" s="15"/>
      <c r="L61" s="15"/>
      <c r="M61" s="15"/>
      <c r="N61" s="15"/>
      <c r="O61" s="15"/>
      <c r="P61" s="15"/>
      <c r="Q61" s="15"/>
      <c r="R61" s="15"/>
      <c r="S61" s="15"/>
      <c r="T61" s="15"/>
      <c r="U61" s="15"/>
      <c r="V61" s="15"/>
      <c r="W61" s="15"/>
      <c r="X61" s="15"/>
      <c r="Y61" s="15"/>
      <c r="Z61" s="15"/>
      <c r="AA61" s="15"/>
      <c r="AB61" s="15"/>
      <c r="AC61" s="15"/>
      <c r="AD61" s="15"/>
      <c r="AE61" s="37"/>
      <c r="AF61" s="37"/>
      <c r="AG61" s="37"/>
      <c r="AH61" s="37"/>
      <c r="AI61" s="37"/>
    </row>
    <row r="62">
      <c r="A62" s="41" t="str">
        <f t="shared" ref="A62:B62" si="39">P39</f>
        <v>Old Thorns 4s: </v>
      </c>
      <c r="B62" s="41">
        <f t="shared" si="39"/>
        <v>4</v>
      </c>
      <c r="C62" s="42" t="s">
        <v>161</v>
      </c>
      <c r="D62" s="41">
        <f>S39</f>
        <v>1</v>
      </c>
      <c r="E62" s="41" t="str">
        <f>R39</f>
        <v>Witan 2s</v>
      </c>
      <c r="G62" s="15"/>
      <c r="H62" s="15"/>
      <c r="I62" s="15"/>
      <c r="J62" s="15"/>
      <c r="K62" s="15"/>
      <c r="L62" s="15"/>
      <c r="M62" s="15"/>
      <c r="N62" s="15"/>
      <c r="O62" s="15"/>
      <c r="P62" s="15"/>
      <c r="Q62" s="15"/>
      <c r="R62" s="15"/>
      <c r="S62" s="15"/>
      <c r="T62" s="15"/>
      <c r="U62" s="15"/>
      <c r="V62" s="15"/>
      <c r="W62" s="15"/>
      <c r="X62" s="15"/>
      <c r="Y62" s="15"/>
      <c r="Z62" s="15"/>
      <c r="AA62" s="15"/>
      <c r="AB62" s="15"/>
      <c r="AC62" s="15"/>
      <c r="AD62" s="15"/>
      <c r="AE62" s="37"/>
      <c r="AF62" s="37"/>
      <c r="AG62" s="37"/>
      <c r="AH62" s="37"/>
      <c r="AI62" s="37"/>
    </row>
    <row r="63">
      <c r="A63" s="41" t="str">
        <f t="shared" ref="A63:B63" si="40">P40</f>
        <v>Goals: Sean Rowlett, Masood Hamidi, Dan Klin, Chris Claeys</v>
      </c>
      <c r="B63" s="41" t="str">
        <f t="shared" si="40"/>
        <v/>
      </c>
      <c r="C63" s="41"/>
      <c r="D63" s="41" t="str">
        <f t="shared" ref="D63:E63" si="41">R40</f>
        <v/>
      </c>
      <c r="E63" s="41" t="str">
        <f t="shared" si="41"/>
        <v/>
      </c>
      <c r="G63" s="15"/>
      <c r="H63" s="15"/>
      <c r="I63" s="15"/>
      <c r="J63" s="15"/>
      <c r="K63" s="15"/>
      <c r="L63" s="15"/>
      <c r="M63" s="15"/>
      <c r="N63" s="15"/>
      <c r="O63" s="15"/>
      <c r="P63" s="15"/>
      <c r="Q63" s="15"/>
      <c r="R63" s="15"/>
      <c r="S63" s="15"/>
      <c r="T63" s="15"/>
      <c r="U63" s="15"/>
      <c r="V63" s="15"/>
      <c r="W63" s="15"/>
      <c r="X63" s="15"/>
      <c r="Y63" s="15"/>
      <c r="Z63" s="15"/>
      <c r="AA63" s="15"/>
      <c r="AB63" s="15"/>
      <c r="AC63" s="15"/>
      <c r="AD63" s="15"/>
      <c r="AE63" s="37"/>
      <c r="AF63" s="37"/>
      <c r="AG63" s="37"/>
      <c r="AH63" s="37"/>
      <c r="AI63" s="37"/>
    </row>
    <row r="64">
      <c r="A64" s="41" t="str">
        <f t="shared" ref="A64:B64" si="42">P41</f>
        <v>Assists: Charlie Doe, Billy King, Masood Hamidi</v>
      </c>
      <c r="B64" s="41" t="str">
        <f t="shared" si="42"/>
        <v/>
      </c>
      <c r="C64" s="41"/>
      <c r="D64" s="41" t="str">
        <f t="shared" ref="D64:E64" si="43">R41</f>
        <v/>
      </c>
      <c r="E64" s="41" t="str">
        <f t="shared" si="43"/>
        <v/>
      </c>
      <c r="G64" s="15"/>
      <c r="H64" s="15"/>
      <c r="I64" s="15"/>
      <c r="J64" s="15"/>
      <c r="K64" s="15"/>
      <c r="L64" s="15"/>
      <c r="M64" s="15"/>
      <c r="N64" s="15"/>
      <c r="O64" s="15"/>
      <c r="P64" s="15"/>
      <c r="Q64" s="15"/>
      <c r="R64" s="15"/>
      <c r="S64" s="15"/>
      <c r="T64" s="15"/>
      <c r="U64" s="15"/>
      <c r="V64" s="15"/>
      <c r="W64" s="15"/>
      <c r="X64" s="15"/>
      <c r="Y64" s="15"/>
      <c r="Z64" s="15"/>
      <c r="AA64" s="15"/>
      <c r="AB64" s="15"/>
      <c r="AC64" s="15"/>
      <c r="AD64" s="15"/>
      <c r="AE64" s="37"/>
      <c r="AF64" s="37"/>
      <c r="AG64" s="37"/>
      <c r="AH64" s="37"/>
      <c r="AI64" s="37"/>
    </row>
    <row r="65">
      <c r="A65" s="41" t="str">
        <f>P42</f>
        <v>MOM: Masood Hamidi</v>
      </c>
      <c r="B65" s="41"/>
      <c r="C65" s="41"/>
      <c r="D65" s="41"/>
      <c r="E65" s="41"/>
      <c r="G65" s="15"/>
      <c r="H65" s="15"/>
      <c r="I65" s="15"/>
      <c r="J65" s="15"/>
      <c r="K65" s="15"/>
      <c r="L65" s="15"/>
      <c r="M65" s="15"/>
      <c r="N65" s="15"/>
      <c r="O65" s="15"/>
      <c r="P65" s="15"/>
      <c r="Q65" s="15"/>
      <c r="R65" s="15"/>
      <c r="S65" s="15"/>
      <c r="T65" s="15"/>
      <c r="U65" s="15"/>
      <c r="V65" s="15"/>
      <c r="W65" s="15"/>
      <c r="X65" s="15"/>
      <c r="Y65" s="15"/>
      <c r="Z65" s="15"/>
      <c r="AA65" s="15"/>
      <c r="AB65" s="15"/>
      <c r="AC65" s="15"/>
      <c r="AD65" s="15"/>
      <c r="AE65" s="37"/>
      <c r="AF65" s="37"/>
      <c r="AG65" s="37"/>
      <c r="AH65" s="37"/>
      <c r="AI65" s="37"/>
    </row>
    <row r="66">
      <c r="A66" s="41"/>
      <c r="B66" s="41"/>
      <c r="C66" s="41"/>
      <c r="D66" s="41"/>
      <c r="E66" s="41"/>
      <c r="G66" s="15"/>
      <c r="H66" s="15"/>
      <c r="I66" s="15"/>
      <c r="J66" s="15"/>
      <c r="K66" s="15"/>
      <c r="L66" s="15"/>
      <c r="M66" s="15"/>
      <c r="N66" s="15"/>
      <c r="O66" s="15"/>
      <c r="P66" s="15"/>
      <c r="Q66" s="15"/>
      <c r="R66" s="15"/>
      <c r="S66" s="15"/>
      <c r="T66" s="15"/>
      <c r="U66" s="15"/>
      <c r="V66" s="15"/>
      <c r="W66" s="15"/>
      <c r="X66" s="15"/>
      <c r="Y66" s="15"/>
      <c r="Z66" s="15"/>
      <c r="AA66" s="15"/>
      <c r="AB66" s="15"/>
      <c r="AC66" s="15"/>
      <c r="AD66" s="15"/>
      <c r="AE66" s="37"/>
      <c r="AF66" s="37"/>
      <c r="AG66" s="37"/>
      <c r="AH66" s="37"/>
      <c r="AI66" s="37"/>
    </row>
    <row r="67">
      <c r="A67" s="41" t="str">
        <f t="shared" ref="A67:B67" si="44">U39</f>
        <v>Old Thorns 5s: </v>
      </c>
      <c r="B67" s="41" t="str">
        <f t="shared" si="44"/>
        <v>#N/A</v>
      </c>
      <c r="C67" s="42" t="s">
        <v>161</v>
      </c>
      <c r="D67" s="41" t="str">
        <f>X39</f>
        <v/>
      </c>
      <c r="E67" s="41" t="str">
        <f>W39</f>
        <v/>
      </c>
      <c r="G67" s="15"/>
      <c r="H67" s="15"/>
      <c r="I67" s="15"/>
      <c r="J67" s="15"/>
      <c r="K67" s="15"/>
      <c r="L67" s="15"/>
      <c r="M67" s="15"/>
      <c r="N67" s="15"/>
      <c r="O67" s="15"/>
      <c r="P67" s="15"/>
      <c r="Q67" s="15"/>
      <c r="R67" s="15"/>
      <c r="S67" s="15"/>
      <c r="T67" s="15"/>
      <c r="U67" s="15"/>
      <c r="V67" s="15"/>
      <c r="W67" s="15"/>
      <c r="X67" s="15"/>
      <c r="Y67" s="15"/>
      <c r="Z67" s="15"/>
      <c r="AA67" s="15"/>
      <c r="AB67" s="15"/>
      <c r="AC67" s="15"/>
      <c r="AD67" s="15"/>
      <c r="AE67" s="37"/>
      <c r="AF67" s="37"/>
      <c r="AG67" s="37"/>
      <c r="AH67" s="37"/>
      <c r="AI67" s="37"/>
    </row>
    <row r="68">
      <c r="A68" s="41" t="str">
        <f t="shared" ref="A68:B68" si="45">U40</f>
        <v/>
      </c>
      <c r="B68" s="41" t="str">
        <f t="shared" si="45"/>
        <v/>
      </c>
      <c r="C68" s="41"/>
      <c r="D68" s="41" t="str">
        <f t="shared" ref="D68:E68" si="46">W40</f>
        <v/>
      </c>
      <c r="E68" s="41" t="str">
        <f t="shared" si="46"/>
        <v/>
      </c>
      <c r="G68" s="15"/>
      <c r="H68" s="15"/>
      <c r="I68" s="15"/>
      <c r="J68" s="15"/>
      <c r="K68" s="15"/>
      <c r="L68" s="15"/>
      <c r="M68" s="15"/>
      <c r="N68" s="15"/>
      <c r="O68" s="15"/>
      <c r="P68" s="15"/>
      <c r="Q68" s="15"/>
      <c r="R68" s="15"/>
      <c r="S68" s="15"/>
      <c r="T68" s="15"/>
      <c r="U68" s="15"/>
      <c r="V68" s="15"/>
      <c r="W68" s="15"/>
      <c r="X68" s="15"/>
      <c r="Y68" s="15"/>
      <c r="Z68" s="15"/>
      <c r="AA68" s="15"/>
      <c r="AB68" s="15"/>
      <c r="AC68" s="15"/>
      <c r="AD68" s="15"/>
      <c r="AE68" s="37"/>
      <c r="AF68" s="37"/>
      <c r="AG68" s="37"/>
      <c r="AH68" s="37"/>
      <c r="AI68" s="37"/>
    </row>
    <row r="69">
      <c r="A69" s="41" t="str">
        <f t="shared" ref="A69:B69" si="47">U41</f>
        <v/>
      </c>
      <c r="B69" s="41" t="str">
        <f t="shared" si="47"/>
        <v/>
      </c>
      <c r="C69" s="41"/>
      <c r="D69" s="41" t="str">
        <f t="shared" ref="D69:E69" si="48">W41</f>
        <v/>
      </c>
      <c r="E69" s="41" t="str">
        <f t="shared" si="48"/>
        <v/>
      </c>
      <c r="G69" s="15"/>
      <c r="H69" s="15"/>
      <c r="I69" s="15"/>
      <c r="J69" s="15"/>
      <c r="K69" s="15"/>
      <c r="L69" s="15"/>
      <c r="M69" s="15"/>
      <c r="N69" s="15"/>
      <c r="O69" s="15"/>
      <c r="P69" s="15"/>
      <c r="Q69" s="15"/>
      <c r="R69" s="15"/>
      <c r="S69" s="15"/>
      <c r="T69" s="15"/>
      <c r="U69" s="15"/>
      <c r="V69" s="15"/>
      <c r="W69" s="15"/>
      <c r="X69" s="15"/>
      <c r="Y69" s="15"/>
      <c r="Z69" s="15"/>
      <c r="AA69" s="15"/>
      <c r="AB69" s="15"/>
      <c r="AC69" s="15"/>
      <c r="AD69" s="15"/>
      <c r="AE69" s="37"/>
      <c r="AF69" s="37"/>
      <c r="AG69" s="37"/>
      <c r="AH69" s="37"/>
      <c r="AI69" s="37"/>
    </row>
    <row r="70">
      <c r="A70" s="41" t="str">
        <f>U42</f>
        <v>#N/A</v>
      </c>
      <c r="B70" s="41"/>
      <c r="C70" s="41"/>
      <c r="D70" s="41"/>
      <c r="E70" s="41"/>
      <c r="G70" s="15"/>
      <c r="H70" s="15"/>
      <c r="I70" s="15"/>
      <c r="J70" s="15"/>
      <c r="K70" s="15"/>
      <c r="L70" s="15"/>
      <c r="M70" s="15"/>
      <c r="N70" s="15"/>
      <c r="O70" s="15"/>
      <c r="P70" s="15"/>
      <c r="Q70" s="15"/>
      <c r="R70" s="15"/>
      <c r="S70" s="15"/>
      <c r="T70" s="15"/>
      <c r="U70" s="15"/>
      <c r="V70" s="15"/>
      <c r="W70" s="15"/>
      <c r="X70" s="15"/>
      <c r="Y70" s="15"/>
      <c r="Z70" s="15"/>
      <c r="AA70" s="15"/>
      <c r="AB70" s="15"/>
      <c r="AC70" s="15"/>
      <c r="AD70" s="15"/>
      <c r="AE70" s="37"/>
      <c r="AF70" s="37"/>
      <c r="AG70" s="37"/>
      <c r="AH70" s="37"/>
      <c r="AI70" s="37"/>
    </row>
    <row r="71">
      <c r="A71" s="41"/>
      <c r="B71" s="41"/>
      <c r="C71" s="42"/>
      <c r="D71" s="41"/>
      <c r="E71" s="41"/>
      <c r="G71" s="15"/>
      <c r="H71" s="15"/>
      <c r="I71" s="15"/>
      <c r="J71" s="15"/>
      <c r="K71" s="15"/>
      <c r="L71" s="15"/>
      <c r="M71" s="15"/>
      <c r="N71" s="15"/>
      <c r="O71" s="15"/>
      <c r="P71" s="15"/>
      <c r="Q71" s="15"/>
      <c r="R71" s="15"/>
      <c r="S71" s="15"/>
      <c r="T71" s="15"/>
      <c r="U71" s="15"/>
      <c r="V71" s="15"/>
      <c r="W71" s="15"/>
      <c r="X71" s="15"/>
      <c r="Y71" s="15"/>
      <c r="Z71" s="15"/>
      <c r="AA71" s="15"/>
      <c r="AB71" s="15"/>
      <c r="AC71" s="15"/>
      <c r="AD71" s="15"/>
      <c r="AE71" s="37"/>
      <c r="AF71" s="37"/>
      <c r="AG71" s="37"/>
      <c r="AH71" s="37"/>
      <c r="AI71" s="37"/>
    </row>
    <row r="72">
      <c r="A72" s="41" t="str">
        <f t="shared" ref="A72:B72" si="49">Z39</f>
        <v>Old Thorns 6s: </v>
      </c>
      <c r="B72" s="41">
        <f t="shared" si="49"/>
        <v>1</v>
      </c>
      <c r="C72" s="42" t="s">
        <v>161</v>
      </c>
      <c r="D72" s="41">
        <f>AC39</f>
        <v>1</v>
      </c>
      <c r="E72" s="41" t="str">
        <f>AB39</f>
        <v>Old Guildfordians 2s</v>
      </c>
      <c r="F72" s="41" t="str">
        <f>AJ39</f>
        <v/>
      </c>
      <c r="G72" s="15"/>
      <c r="H72" s="15"/>
      <c r="I72" s="15"/>
      <c r="J72" s="15"/>
      <c r="K72" s="15"/>
      <c r="L72" s="15"/>
      <c r="M72" s="15"/>
      <c r="N72" s="15"/>
      <c r="O72" s="15"/>
      <c r="P72" s="15"/>
      <c r="Q72" s="15"/>
      <c r="R72" s="15"/>
      <c r="S72" s="15"/>
      <c r="T72" s="15"/>
      <c r="U72" s="15"/>
      <c r="V72" s="15"/>
      <c r="W72" s="15"/>
      <c r="X72" s="15"/>
      <c r="Y72" s="15"/>
      <c r="Z72" s="15"/>
      <c r="AA72" s="15"/>
      <c r="AB72" s="15"/>
      <c r="AC72" s="15"/>
      <c r="AD72" s="15"/>
      <c r="AE72" s="37"/>
      <c r="AF72" s="37"/>
      <c r="AG72" s="37"/>
      <c r="AH72" s="37"/>
      <c r="AI72" s="37"/>
    </row>
    <row r="73">
      <c r="A73" s="41" t="str">
        <f t="shared" ref="A73:B73" si="50">Z40</f>
        <v>Goals: Pearl Bakengela</v>
      </c>
      <c r="B73" s="41" t="str">
        <f t="shared" si="50"/>
        <v/>
      </c>
      <c r="C73" s="41"/>
      <c r="D73" s="41" t="str">
        <f t="shared" ref="D73:E73" si="51">AB40</f>
        <v/>
      </c>
      <c r="E73" s="41" t="str">
        <f t="shared" si="51"/>
        <v/>
      </c>
      <c r="G73" s="15"/>
      <c r="H73" s="15"/>
      <c r="I73" s="15"/>
      <c r="J73" s="15"/>
      <c r="K73" s="15"/>
      <c r="L73" s="15"/>
      <c r="M73" s="15"/>
      <c r="N73" s="15"/>
      <c r="O73" s="15"/>
      <c r="P73" s="15"/>
      <c r="Q73" s="15"/>
      <c r="R73" s="15"/>
      <c r="S73" s="15"/>
      <c r="T73" s="15"/>
      <c r="U73" s="15"/>
      <c r="V73" s="15"/>
      <c r="W73" s="15"/>
      <c r="X73" s="15"/>
      <c r="Y73" s="15"/>
      <c r="Z73" s="15"/>
      <c r="AA73" s="15"/>
      <c r="AB73" s="15"/>
      <c r="AC73" s="15"/>
      <c r="AD73" s="15"/>
      <c r="AE73" s="37"/>
      <c r="AF73" s="37"/>
      <c r="AG73" s="37"/>
      <c r="AH73" s="37"/>
      <c r="AI73" s="37"/>
    </row>
    <row r="74">
      <c r="A74" s="41" t="str">
        <f t="shared" ref="A74:B74" si="52">Z41</f>
        <v>Assists: Janam Satra</v>
      </c>
      <c r="B74" s="41" t="str">
        <f t="shared" si="52"/>
        <v/>
      </c>
      <c r="C74" s="41"/>
      <c r="D74" s="41" t="str">
        <f t="shared" ref="D74:E74" si="53">AB41</f>
        <v/>
      </c>
      <c r="E74" s="41" t="str">
        <f t="shared" si="53"/>
        <v/>
      </c>
      <c r="G74" s="15"/>
      <c r="H74" s="15"/>
      <c r="I74" s="15"/>
      <c r="J74" s="15"/>
      <c r="K74" s="15"/>
      <c r="L74" s="15"/>
      <c r="M74" s="15"/>
      <c r="N74" s="15"/>
      <c r="O74" s="15"/>
      <c r="P74" s="15"/>
      <c r="Q74" s="15"/>
      <c r="R74" s="15"/>
      <c r="S74" s="15"/>
      <c r="T74" s="15"/>
      <c r="U74" s="15"/>
      <c r="V74" s="15"/>
      <c r="W74" s="15"/>
      <c r="X74" s="15"/>
      <c r="Y74" s="15"/>
      <c r="Z74" s="15"/>
      <c r="AA74" s="15"/>
      <c r="AB74" s="15"/>
      <c r="AC74" s="15"/>
      <c r="AD74" s="15"/>
      <c r="AE74" s="37"/>
      <c r="AF74" s="37"/>
      <c r="AG74" s="37"/>
      <c r="AH74" s="37"/>
      <c r="AI74" s="37"/>
    </row>
    <row r="75">
      <c r="A75" s="41" t="str">
        <f>Z42</f>
        <v>MOM: Martin Goodson</v>
      </c>
      <c r="B75" s="41"/>
      <c r="C75" s="41"/>
      <c r="D75" s="41"/>
      <c r="E75" s="41"/>
      <c r="G75" s="15"/>
      <c r="H75" s="15"/>
      <c r="I75" s="15"/>
      <c r="J75" s="15"/>
      <c r="K75" s="15"/>
      <c r="L75" s="15"/>
      <c r="M75" s="15"/>
      <c r="N75" s="15"/>
      <c r="O75" s="15"/>
      <c r="P75" s="15"/>
      <c r="Q75" s="15"/>
      <c r="R75" s="15"/>
      <c r="S75" s="15"/>
      <c r="T75" s="15"/>
      <c r="U75" s="15"/>
      <c r="V75" s="15"/>
      <c r="W75" s="15"/>
      <c r="X75" s="15"/>
      <c r="Y75" s="15"/>
      <c r="Z75" s="15"/>
      <c r="AA75" s="15"/>
      <c r="AB75" s="15"/>
      <c r="AC75" s="15"/>
      <c r="AD75" s="15"/>
      <c r="AE75" s="37"/>
      <c r="AF75" s="37"/>
      <c r="AG75" s="37"/>
      <c r="AH75" s="37"/>
      <c r="AI75" s="37"/>
    </row>
    <row r="76">
      <c r="A76" s="41"/>
      <c r="B76" s="41"/>
      <c r="C76" s="41"/>
      <c r="D76" s="41"/>
      <c r="E76" s="41"/>
      <c r="G76" s="15"/>
      <c r="H76" s="15"/>
      <c r="I76" s="15"/>
      <c r="J76" s="15"/>
      <c r="K76" s="15"/>
      <c r="L76" s="15"/>
      <c r="M76" s="15"/>
      <c r="N76" s="15"/>
      <c r="O76" s="15"/>
      <c r="P76" s="15"/>
      <c r="Q76" s="15"/>
      <c r="R76" s="15"/>
      <c r="S76" s="15"/>
      <c r="T76" s="15"/>
      <c r="U76" s="15"/>
      <c r="V76" s="15"/>
      <c r="W76" s="15"/>
      <c r="X76" s="15"/>
      <c r="Y76" s="15"/>
      <c r="Z76" s="15"/>
      <c r="AA76" s="15"/>
      <c r="AB76" s="15"/>
      <c r="AC76" s="15"/>
      <c r="AD76" s="15"/>
      <c r="AE76" s="37"/>
      <c r="AF76" s="37"/>
      <c r="AG76" s="37"/>
      <c r="AH76" s="37"/>
      <c r="AI76" s="37"/>
    </row>
    <row r="77">
      <c r="A77" s="41" t="str">
        <f t="shared" ref="A77:B77" si="54">Z44</f>
        <v/>
      </c>
      <c r="B77" s="41" t="str">
        <f t="shared" si="54"/>
        <v/>
      </c>
      <c r="D77" s="41" t="str">
        <f>AC44</f>
        <v/>
      </c>
      <c r="E77" s="41" t="str">
        <f>AB44</f>
        <v/>
      </c>
      <c r="G77" s="15"/>
      <c r="H77" s="15"/>
      <c r="I77" s="15"/>
      <c r="J77" s="15"/>
      <c r="K77" s="15"/>
      <c r="L77" s="15"/>
      <c r="M77" s="15"/>
      <c r="N77" s="15"/>
      <c r="O77" s="15"/>
      <c r="P77" s="15"/>
      <c r="Q77" s="15"/>
      <c r="R77" s="15"/>
      <c r="S77" s="15"/>
      <c r="T77" s="15"/>
      <c r="U77" s="15"/>
      <c r="V77" s="15"/>
      <c r="W77" s="15"/>
      <c r="X77" s="15"/>
      <c r="Y77" s="15"/>
      <c r="Z77" s="15"/>
      <c r="AA77" s="15"/>
      <c r="AB77" s="15"/>
      <c r="AC77" s="15"/>
      <c r="AD77" s="15"/>
      <c r="AE77" s="37"/>
      <c r="AF77" s="37"/>
      <c r="AG77" s="37"/>
      <c r="AH77" s="37"/>
      <c r="AI77" s="37"/>
    </row>
    <row r="78">
      <c r="A78" s="41" t="str">
        <f t="shared" ref="A78:B78" si="55">AE39</f>
        <v>Old Thorns Vets: </v>
      </c>
      <c r="B78" s="41" t="str">
        <f t="shared" si="55"/>
        <v>#N/A</v>
      </c>
      <c r="C78" s="42" t="s">
        <v>161</v>
      </c>
      <c r="D78" s="41" t="str">
        <f>AH39</f>
        <v/>
      </c>
      <c r="E78" s="41" t="str">
        <f>AG39</f>
        <v/>
      </c>
      <c r="F78" s="41" t="str">
        <f>AJ45</f>
        <v/>
      </c>
      <c r="G78" s="15"/>
      <c r="H78" s="15"/>
      <c r="I78" s="15"/>
      <c r="J78" s="15"/>
      <c r="K78" s="15"/>
      <c r="L78" s="15"/>
      <c r="M78" s="15"/>
      <c r="N78" s="15"/>
      <c r="O78" s="15"/>
      <c r="P78" s="15"/>
      <c r="Q78" s="15"/>
      <c r="R78" s="15"/>
      <c r="S78" s="15"/>
      <c r="T78" s="15"/>
      <c r="U78" s="15"/>
      <c r="V78" s="15"/>
      <c r="W78" s="15"/>
      <c r="X78" s="15"/>
      <c r="Y78" s="15"/>
      <c r="Z78" s="15"/>
      <c r="AA78" s="15"/>
      <c r="AB78" s="15"/>
      <c r="AC78" s="15"/>
      <c r="AD78" s="15"/>
      <c r="AE78" s="37"/>
      <c r="AF78" s="37"/>
      <c r="AG78" s="37"/>
      <c r="AH78" s="37"/>
      <c r="AI78" s="37"/>
    </row>
    <row r="79">
      <c r="A79" s="41" t="str">
        <f t="shared" ref="A79:A81" si="57">AE40</f>
        <v/>
      </c>
      <c r="B79" s="41" t="str">
        <f t="shared" ref="B79:B80" si="58">AA46</f>
        <v/>
      </c>
      <c r="C79" s="41"/>
      <c r="D79" s="41" t="str">
        <f t="shared" ref="D79:E79" si="56">AB46</f>
        <v/>
      </c>
      <c r="E79" s="41" t="str">
        <f t="shared" si="56"/>
        <v/>
      </c>
      <c r="G79" s="15"/>
      <c r="H79" s="15"/>
      <c r="I79" s="15"/>
      <c r="J79" s="15"/>
      <c r="K79" s="15"/>
      <c r="L79" s="15"/>
      <c r="M79" s="15"/>
      <c r="N79" s="15"/>
      <c r="O79" s="15"/>
      <c r="P79" s="15"/>
      <c r="Q79" s="15"/>
      <c r="R79" s="15"/>
      <c r="S79" s="15"/>
      <c r="T79" s="15"/>
      <c r="U79" s="15"/>
      <c r="V79" s="15"/>
      <c r="W79" s="15"/>
      <c r="X79" s="15"/>
      <c r="Y79" s="15"/>
      <c r="Z79" s="15"/>
      <c r="AA79" s="15"/>
      <c r="AB79" s="15"/>
      <c r="AC79" s="15"/>
      <c r="AD79" s="15"/>
      <c r="AE79" s="37"/>
      <c r="AF79" s="37"/>
      <c r="AG79" s="37"/>
      <c r="AH79" s="37"/>
      <c r="AI79" s="37"/>
    </row>
    <row r="80">
      <c r="A80" s="41" t="str">
        <f t="shared" si="57"/>
        <v/>
      </c>
      <c r="B80" s="41" t="str">
        <f t="shared" si="58"/>
        <v/>
      </c>
      <c r="C80" s="41"/>
      <c r="D80" s="41" t="str">
        <f t="shared" ref="D80:E80" si="59">AB47</f>
        <v/>
      </c>
      <c r="E80" s="41" t="str">
        <f t="shared" si="59"/>
        <v/>
      </c>
      <c r="G80" s="15"/>
      <c r="H80" s="15"/>
      <c r="I80" s="15"/>
      <c r="J80" s="15"/>
      <c r="K80" s="15"/>
      <c r="L80" s="15"/>
      <c r="M80" s="15"/>
      <c r="N80" s="15"/>
      <c r="O80" s="15"/>
      <c r="P80" s="15"/>
      <c r="Q80" s="15"/>
      <c r="R80" s="15"/>
      <c r="S80" s="15"/>
      <c r="T80" s="15"/>
      <c r="U80" s="15"/>
      <c r="V80" s="15"/>
      <c r="W80" s="15"/>
      <c r="X80" s="15"/>
      <c r="Y80" s="15"/>
      <c r="Z80" s="15"/>
      <c r="AA80" s="15"/>
      <c r="AB80" s="15"/>
      <c r="AC80" s="15"/>
      <c r="AD80" s="15"/>
      <c r="AE80" s="37"/>
      <c r="AF80" s="37"/>
      <c r="AG80" s="37"/>
      <c r="AH80" s="37"/>
      <c r="AI80" s="37"/>
    </row>
    <row r="81">
      <c r="A81" s="41" t="str">
        <f t="shared" si="57"/>
        <v>#N/A</v>
      </c>
      <c r="B81" s="41"/>
      <c r="C81" s="41"/>
      <c r="D81" s="41"/>
      <c r="E81" s="41"/>
      <c r="G81" s="15"/>
      <c r="H81" s="15"/>
      <c r="I81" s="15"/>
      <c r="J81" s="15"/>
      <c r="K81" s="15"/>
      <c r="L81" s="15"/>
      <c r="M81" s="15"/>
      <c r="N81" s="15"/>
      <c r="O81" s="15"/>
      <c r="P81" s="15"/>
      <c r="Q81" s="15"/>
      <c r="R81" s="15"/>
      <c r="S81" s="15"/>
      <c r="T81" s="15"/>
      <c r="U81" s="15"/>
      <c r="V81" s="15"/>
      <c r="W81" s="15"/>
      <c r="X81" s="15"/>
      <c r="Y81" s="15"/>
      <c r="Z81" s="15"/>
      <c r="AA81" s="15"/>
      <c r="AB81" s="15"/>
      <c r="AC81" s="15"/>
      <c r="AD81" s="15"/>
      <c r="AE81" s="37"/>
      <c r="AF81" s="37"/>
      <c r="AG81" s="37"/>
      <c r="AH81" s="37"/>
      <c r="AI81" s="37"/>
    </row>
    <row r="82">
      <c r="A82" s="41"/>
      <c r="B82" s="41"/>
      <c r="C82" s="41"/>
      <c r="D82" s="41"/>
      <c r="E82" s="41"/>
      <c r="G82" s="15"/>
      <c r="H82" s="15"/>
      <c r="I82" s="15"/>
      <c r="J82" s="15"/>
      <c r="K82" s="15"/>
      <c r="L82" s="15"/>
      <c r="M82" s="15"/>
      <c r="N82" s="15"/>
      <c r="O82" s="15"/>
      <c r="P82" s="15"/>
      <c r="Q82" s="15"/>
      <c r="R82" s="15"/>
      <c r="S82" s="15"/>
      <c r="T82" s="15"/>
      <c r="U82" s="15"/>
      <c r="V82" s="15"/>
      <c r="W82" s="15"/>
      <c r="X82" s="15"/>
      <c r="Y82" s="15"/>
      <c r="Z82" s="15"/>
      <c r="AA82" s="15"/>
      <c r="AB82" s="15"/>
      <c r="AC82" s="15"/>
      <c r="AD82" s="15"/>
      <c r="AE82" s="37"/>
      <c r="AF82" s="37"/>
      <c r="AG82" s="37"/>
      <c r="AH82" s="37"/>
      <c r="AI82" s="37"/>
    </row>
    <row r="83">
      <c r="A83" s="41"/>
      <c r="B83" s="41"/>
      <c r="C83" s="41"/>
      <c r="D83" s="41"/>
      <c r="E83" s="41"/>
      <c r="G83" s="15"/>
      <c r="H83" s="15"/>
      <c r="I83" s="15"/>
      <c r="J83" s="15"/>
      <c r="K83" s="15"/>
      <c r="L83" s="15"/>
      <c r="M83" s="15"/>
      <c r="N83" s="15"/>
      <c r="O83" s="15"/>
      <c r="P83" s="15"/>
      <c r="Q83" s="15"/>
      <c r="R83" s="15"/>
      <c r="S83" s="15"/>
      <c r="T83" s="15"/>
      <c r="U83" s="15"/>
      <c r="V83" s="15"/>
      <c r="W83" s="15"/>
      <c r="X83" s="15"/>
      <c r="Y83" s="15"/>
      <c r="Z83" s="15"/>
      <c r="AA83" s="15"/>
      <c r="AB83" s="15"/>
      <c r="AC83" s="15"/>
      <c r="AD83" s="15"/>
      <c r="AE83" s="37"/>
      <c r="AF83" s="37"/>
      <c r="AG83" s="37"/>
      <c r="AH83" s="37"/>
      <c r="AI83" s="37"/>
    </row>
    <row r="84">
      <c r="A84" s="41"/>
      <c r="B84" s="41"/>
      <c r="C84" s="41"/>
      <c r="D84" s="41"/>
      <c r="E84" s="41"/>
      <c r="G84" s="15"/>
      <c r="H84" s="15"/>
      <c r="I84" s="15"/>
      <c r="J84" s="15"/>
      <c r="K84" s="15"/>
      <c r="L84" s="15"/>
      <c r="M84" s="15"/>
      <c r="N84" s="15"/>
      <c r="O84" s="15"/>
      <c r="P84" s="15"/>
      <c r="Q84" s="15"/>
      <c r="R84" s="15"/>
      <c r="S84" s="15"/>
      <c r="T84" s="15"/>
      <c r="U84" s="15"/>
      <c r="V84" s="15"/>
      <c r="W84" s="15"/>
      <c r="X84" s="15"/>
      <c r="Y84" s="15"/>
      <c r="Z84" s="15"/>
      <c r="AA84" s="15"/>
      <c r="AB84" s="15"/>
      <c r="AC84" s="15"/>
      <c r="AD84" s="15"/>
      <c r="AE84" s="37"/>
      <c r="AF84" s="37"/>
      <c r="AG84" s="37"/>
      <c r="AH84" s="37"/>
      <c r="AI84" s="37"/>
    </row>
    <row r="85">
      <c r="A85" s="41"/>
      <c r="B85" s="41"/>
      <c r="C85" s="41"/>
      <c r="D85" s="41"/>
      <c r="E85" s="41"/>
      <c r="G85" s="15"/>
      <c r="H85" s="15"/>
      <c r="I85" s="15"/>
      <c r="J85" s="15"/>
      <c r="K85" s="15"/>
      <c r="L85" s="15"/>
      <c r="M85" s="15"/>
      <c r="N85" s="15"/>
      <c r="O85" s="15"/>
      <c r="P85" s="15"/>
      <c r="Q85" s="15"/>
      <c r="R85" s="15"/>
      <c r="S85" s="15"/>
      <c r="T85" s="15"/>
      <c r="U85" s="15"/>
      <c r="V85" s="15"/>
      <c r="W85" s="15"/>
      <c r="X85" s="15"/>
      <c r="Y85" s="15"/>
      <c r="Z85" s="15"/>
      <c r="AA85" s="15"/>
      <c r="AB85" s="15"/>
      <c r="AC85" s="15"/>
      <c r="AD85" s="15"/>
      <c r="AE85" s="37"/>
      <c r="AF85" s="37"/>
      <c r="AG85" s="37"/>
      <c r="AH85" s="37"/>
      <c r="AI85" s="37"/>
    </row>
    <row r="86">
      <c r="A86" s="41"/>
      <c r="B86" s="41"/>
      <c r="C86" s="41"/>
      <c r="D86" s="41"/>
      <c r="E86" s="41"/>
      <c r="G86" s="15"/>
      <c r="H86" s="15"/>
      <c r="I86" s="15"/>
      <c r="J86" s="15"/>
      <c r="K86" s="15"/>
      <c r="L86" s="15"/>
      <c r="M86" s="15"/>
      <c r="N86" s="15"/>
      <c r="O86" s="15"/>
      <c r="P86" s="15"/>
      <c r="Q86" s="15"/>
      <c r="R86" s="15"/>
      <c r="S86" s="15"/>
      <c r="T86" s="15"/>
      <c r="U86" s="15"/>
      <c r="V86" s="15"/>
      <c r="W86" s="15"/>
      <c r="X86" s="15"/>
      <c r="Y86" s="15"/>
      <c r="Z86" s="15"/>
      <c r="AA86" s="15"/>
      <c r="AB86" s="15"/>
      <c r="AC86" s="15"/>
      <c r="AD86" s="15"/>
      <c r="AE86" s="37"/>
      <c r="AF86" s="37"/>
      <c r="AG86" s="37"/>
      <c r="AH86" s="37"/>
      <c r="AI86" s="37"/>
    </row>
    <row r="87">
      <c r="A87" s="41"/>
      <c r="B87" s="41"/>
      <c r="C87" s="41"/>
      <c r="D87" s="41"/>
      <c r="E87" s="41"/>
      <c r="G87" s="15"/>
      <c r="H87" s="15"/>
      <c r="I87" s="15"/>
      <c r="J87" s="15"/>
      <c r="K87" s="15"/>
      <c r="L87" s="15"/>
      <c r="M87" s="15"/>
      <c r="N87" s="15"/>
      <c r="O87" s="15"/>
      <c r="P87" s="15"/>
      <c r="Q87" s="15"/>
      <c r="R87" s="15"/>
      <c r="S87" s="15"/>
      <c r="T87" s="15"/>
      <c r="U87" s="15"/>
      <c r="V87" s="15"/>
      <c r="W87" s="15"/>
      <c r="X87" s="15"/>
      <c r="Y87" s="15"/>
      <c r="Z87" s="15"/>
      <c r="AA87" s="15"/>
      <c r="AB87" s="15"/>
      <c r="AC87" s="15"/>
      <c r="AD87" s="15"/>
      <c r="AE87" s="37"/>
      <c r="AF87" s="37"/>
      <c r="AG87" s="37"/>
      <c r="AH87" s="37"/>
      <c r="AI87" s="37"/>
    </row>
    <row r="88">
      <c r="A88" s="41"/>
      <c r="B88" s="41"/>
      <c r="C88" s="41"/>
      <c r="D88" s="41"/>
      <c r="E88" s="41"/>
      <c r="G88" s="15"/>
      <c r="H88" s="15"/>
      <c r="I88" s="15"/>
      <c r="J88" s="15"/>
      <c r="K88" s="15"/>
      <c r="L88" s="15"/>
      <c r="M88" s="15"/>
      <c r="N88" s="15"/>
      <c r="O88" s="15"/>
      <c r="P88" s="15"/>
      <c r="Q88" s="15"/>
      <c r="R88" s="15"/>
      <c r="S88" s="15"/>
      <c r="T88" s="15"/>
      <c r="U88" s="15"/>
      <c r="V88" s="15"/>
      <c r="W88" s="15"/>
      <c r="X88" s="15"/>
      <c r="Y88" s="15"/>
      <c r="Z88" s="15"/>
      <c r="AA88" s="15"/>
      <c r="AB88" s="15"/>
      <c r="AC88" s="15"/>
      <c r="AD88" s="15"/>
      <c r="AE88" s="37"/>
      <c r="AF88" s="37"/>
      <c r="AG88" s="37"/>
      <c r="AH88" s="37"/>
      <c r="AI88" s="37"/>
    </row>
    <row r="89">
      <c r="A89" s="41"/>
      <c r="B89" s="41"/>
      <c r="C89" s="41"/>
      <c r="D89" s="41"/>
      <c r="E89" s="41"/>
      <c r="G89" s="15"/>
      <c r="H89" s="15"/>
      <c r="I89" s="15"/>
      <c r="J89" s="15"/>
      <c r="K89" s="15"/>
      <c r="L89" s="15"/>
      <c r="M89" s="15"/>
      <c r="N89" s="15"/>
      <c r="O89" s="15"/>
      <c r="P89" s="15"/>
      <c r="Q89" s="15"/>
      <c r="R89" s="15"/>
      <c r="S89" s="15"/>
      <c r="T89" s="15"/>
      <c r="U89" s="15"/>
      <c r="V89" s="15"/>
      <c r="W89" s="15"/>
      <c r="X89" s="15"/>
      <c r="Y89" s="15"/>
      <c r="Z89" s="15"/>
      <c r="AA89" s="15"/>
      <c r="AB89" s="15"/>
      <c r="AC89" s="15"/>
      <c r="AD89" s="15"/>
      <c r="AE89" s="37"/>
      <c r="AF89" s="37"/>
      <c r="AG89" s="37"/>
      <c r="AH89" s="37"/>
      <c r="AI89" s="37"/>
    </row>
    <row r="90">
      <c r="A90" s="41"/>
      <c r="B90" s="41"/>
      <c r="C90" s="41"/>
      <c r="D90" s="41"/>
      <c r="E90" s="41"/>
      <c r="G90" s="15"/>
      <c r="H90" s="15"/>
      <c r="I90" s="15"/>
      <c r="J90" s="15"/>
      <c r="K90" s="15"/>
      <c r="L90" s="15"/>
      <c r="M90" s="15"/>
      <c r="N90" s="15"/>
      <c r="O90" s="15"/>
      <c r="P90" s="15"/>
      <c r="Q90" s="15"/>
      <c r="R90" s="15"/>
      <c r="S90" s="15"/>
      <c r="T90" s="15"/>
      <c r="U90" s="15"/>
      <c r="V90" s="15"/>
      <c r="W90" s="15"/>
      <c r="X90" s="15"/>
      <c r="Y90" s="15"/>
      <c r="Z90" s="15"/>
      <c r="AA90" s="15"/>
      <c r="AB90" s="15"/>
      <c r="AC90" s="15"/>
      <c r="AD90" s="15"/>
      <c r="AE90" s="37"/>
      <c r="AF90" s="37"/>
      <c r="AG90" s="37"/>
      <c r="AH90" s="37"/>
      <c r="AI90" s="37"/>
    </row>
    <row r="91">
      <c r="A91" s="41"/>
      <c r="B91" s="41"/>
      <c r="C91" s="41"/>
      <c r="D91" s="41"/>
      <c r="E91" s="41"/>
      <c r="G91" s="15"/>
      <c r="H91" s="15"/>
      <c r="I91" s="15"/>
      <c r="J91" s="15"/>
      <c r="K91" s="15"/>
      <c r="L91" s="15"/>
      <c r="M91" s="15"/>
      <c r="N91" s="15"/>
      <c r="O91" s="15"/>
      <c r="P91" s="15"/>
      <c r="Q91" s="15"/>
      <c r="R91" s="15"/>
      <c r="S91" s="15"/>
      <c r="T91" s="15"/>
      <c r="U91" s="15"/>
      <c r="V91" s="15"/>
      <c r="W91" s="15"/>
      <c r="X91" s="15"/>
      <c r="Y91" s="15"/>
      <c r="Z91" s="15"/>
      <c r="AA91" s="15"/>
      <c r="AB91" s="15"/>
      <c r="AC91" s="15"/>
      <c r="AD91" s="15"/>
      <c r="AE91" s="37"/>
      <c r="AF91" s="37"/>
      <c r="AG91" s="37"/>
      <c r="AH91" s="37"/>
      <c r="AI91" s="37"/>
    </row>
    <row r="92">
      <c r="A92" s="41"/>
      <c r="B92" s="41"/>
      <c r="C92" s="41"/>
      <c r="D92" s="41"/>
      <c r="E92" s="41"/>
      <c r="G92" s="15"/>
      <c r="H92" s="15"/>
      <c r="I92" s="15"/>
      <c r="J92" s="15"/>
      <c r="K92" s="15"/>
      <c r="L92" s="15"/>
      <c r="M92" s="15"/>
      <c r="N92" s="15"/>
      <c r="O92" s="15"/>
      <c r="P92" s="15"/>
      <c r="Q92" s="15"/>
      <c r="R92" s="15"/>
      <c r="S92" s="15"/>
      <c r="T92" s="15"/>
      <c r="U92" s="15"/>
      <c r="V92" s="15"/>
      <c r="W92" s="15"/>
      <c r="X92" s="15"/>
      <c r="Y92" s="15"/>
      <c r="Z92" s="15"/>
      <c r="AA92" s="15"/>
      <c r="AB92" s="15"/>
      <c r="AC92" s="15"/>
      <c r="AD92" s="15"/>
      <c r="AE92" s="37"/>
      <c r="AF92" s="37"/>
      <c r="AG92" s="37"/>
      <c r="AH92" s="37"/>
      <c r="AI92" s="37"/>
    </row>
    <row r="93">
      <c r="A93" s="41"/>
      <c r="B93" s="41"/>
      <c r="C93" s="41"/>
      <c r="D93" s="41"/>
      <c r="E93" s="41"/>
      <c r="G93" s="15"/>
      <c r="H93" s="15"/>
      <c r="I93" s="15"/>
      <c r="J93" s="15"/>
      <c r="K93" s="15"/>
      <c r="L93" s="15"/>
      <c r="M93" s="15"/>
      <c r="N93" s="15"/>
      <c r="O93" s="15"/>
      <c r="P93" s="15"/>
      <c r="Q93" s="15"/>
      <c r="R93" s="15"/>
      <c r="S93" s="15"/>
      <c r="T93" s="15"/>
      <c r="U93" s="15"/>
      <c r="V93" s="15"/>
      <c r="W93" s="15"/>
      <c r="X93" s="15"/>
      <c r="Y93" s="15"/>
      <c r="Z93" s="15"/>
      <c r="AA93" s="15"/>
      <c r="AB93" s="15"/>
      <c r="AC93" s="15"/>
      <c r="AD93" s="15"/>
      <c r="AE93" s="37"/>
      <c r="AF93" s="37"/>
      <c r="AG93" s="37"/>
      <c r="AH93" s="37"/>
      <c r="AI93" s="37"/>
    </row>
    <row r="94">
      <c r="A94" s="41"/>
      <c r="B94" s="41"/>
      <c r="C94" s="41"/>
      <c r="D94" s="41"/>
      <c r="E94" s="41"/>
      <c r="G94" s="15"/>
      <c r="H94" s="15"/>
      <c r="I94" s="15"/>
      <c r="J94" s="15"/>
      <c r="K94" s="15"/>
      <c r="L94" s="15"/>
      <c r="M94" s="15"/>
      <c r="N94" s="15"/>
      <c r="O94" s="15"/>
      <c r="P94" s="15"/>
      <c r="Q94" s="15"/>
      <c r="R94" s="15"/>
      <c r="S94" s="15"/>
      <c r="T94" s="15"/>
      <c r="U94" s="15"/>
      <c r="V94" s="15"/>
      <c r="W94" s="15"/>
      <c r="X94" s="15"/>
      <c r="Y94" s="15"/>
      <c r="Z94" s="15"/>
      <c r="AA94" s="15"/>
      <c r="AB94" s="15"/>
      <c r="AC94" s="15"/>
      <c r="AD94" s="15"/>
      <c r="AE94" s="37"/>
      <c r="AF94" s="37"/>
      <c r="AG94" s="37"/>
      <c r="AH94" s="37"/>
      <c r="AI94" s="37"/>
    </row>
    <row r="95">
      <c r="A95" s="41"/>
      <c r="B95" s="41"/>
      <c r="C95" s="41"/>
      <c r="D95" s="41"/>
      <c r="E95" s="41"/>
      <c r="G95" s="15"/>
      <c r="H95" s="15"/>
      <c r="I95" s="15"/>
      <c r="J95" s="15"/>
      <c r="K95" s="15"/>
      <c r="L95" s="15"/>
      <c r="M95" s="15"/>
      <c r="N95" s="15"/>
      <c r="O95" s="15"/>
      <c r="P95" s="15"/>
      <c r="Q95" s="15"/>
      <c r="R95" s="15"/>
      <c r="S95" s="15"/>
      <c r="T95" s="15"/>
      <c r="U95" s="15"/>
      <c r="V95" s="15"/>
      <c r="W95" s="15"/>
      <c r="X95" s="15"/>
      <c r="Y95" s="15"/>
      <c r="Z95" s="15"/>
      <c r="AA95" s="15"/>
      <c r="AB95" s="15"/>
      <c r="AC95" s="15"/>
      <c r="AD95" s="15"/>
      <c r="AE95" s="37"/>
      <c r="AF95" s="37"/>
      <c r="AG95" s="37"/>
      <c r="AH95" s="37"/>
      <c r="AI95" s="37"/>
    </row>
    <row r="96">
      <c r="A96" s="41"/>
      <c r="B96" s="41"/>
      <c r="C96" s="41"/>
      <c r="D96" s="41"/>
      <c r="E96" s="41"/>
      <c r="G96" s="15"/>
      <c r="H96" s="15"/>
      <c r="I96" s="15"/>
      <c r="J96" s="15"/>
      <c r="K96" s="15"/>
      <c r="L96" s="15"/>
      <c r="M96" s="15"/>
      <c r="N96" s="15"/>
      <c r="O96" s="15"/>
      <c r="P96" s="15"/>
      <c r="Q96" s="15"/>
      <c r="R96" s="15"/>
      <c r="S96" s="15"/>
      <c r="T96" s="15"/>
      <c r="U96" s="15"/>
      <c r="V96" s="15"/>
      <c r="W96" s="15"/>
      <c r="X96" s="15"/>
      <c r="Y96" s="15"/>
      <c r="Z96" s="15"/>
      <c r="AA96" s="15"/>
      <c r="AB96" s="15"/>
      <c r="AC96" s="15"/>
      <c r="AD96" s="15"/>
      <c r="AE96" s="37"/>
      <c r="AF96" s="37"/>
      <c r="AG96" s="37"/>
      <c r="AH96" s="37"/>
      <c r="AI96" s="37"/>
    </row>
    <row r="97">
      <c r="A97" s="41"/>
      <c r="B97" s="41"/>
      <c r="C97" s="41"/>
      <c r="D97" s="41"/>
      <c r="E97" s="41"/>
      <c r="G97" s="15"/>
      <c r="H97" s="15"/>
      <c r="I97" s="15"/>
      <c r="J97" s="15"/>
      <c r="K97" s="15"/>
      <c r="L97" s="15"/>
      <c r="M97" s="15"/>
      <c r="N97" s="15"/>
      <c r="O97" s="15"/>
      <c r="P97" s="15"/>
      <c r="Q97" s="15"/>
      <c r="R97" s="15"/>
      <c r="S97" s="15"/>
      <c r="T97" s="15"/>
      <c r="U97" s="15"/>
      <c r="V97" s="15"/>
      <c r="W97" s="15"/>
      <c r="X97" s="15"/>
      <c r="Y97" s="15"/>
      <c r="Z97" s="15"/>
      <c r="AA97" s="15"/>
      <c r="AB97" s="15"/>
      <c r="AC97" s="15"/>
      <c r="AD97" s="15"/>
      <c r="AE97" s="37"/>
      <c r="AF97" s="37"/>
      <c r="AG97" s="37"/>
      <c r="AH97" s="37"/>
      <c r="AI97" s="37"/>
    </row>
    <row r="98">
      <c r="A98" s="41"/>
      <c r="B98" s="41"/>
      <c r="C98" s="41"/>
      <c r="D98" s="41"/>
      <c r="E98" s="41"/>
      <c r="G98" s="15"/>
      <c r="H98" s="15"/>
      <c r="I98" s="15"/>
      <c r="J98" s="15"/>
      <c r="K98" s="15"/>
      <c r="L98" s="15"/>
      <c r="M98" s="15"/>
      <c r="N98" s="15"/>
      <c r="O98" s="15"/>
      <c r="P98" s="15"/>
      <c r="Q98" s="15"/>
      <c r="R98" s="15"/>
      <c r="S98" s="15"/>
      <c r="T98" s="15"/>
      <c r="U98" s="15"/>
      <c r="V98" s="15"/>
      <c r="W98" s="15"/>
      <c r="X98" s="15"/>
      <c r="Y98" s="15"/>
      <c r="Z98" s="15"/>
      <c r="AA98" s="15"/>
      <c r="AB98" s="15"/>
      <c r="AC98" s="15"/>
      <c r="AD98" s="15"/>
      <c r="AE98" s="37"/>
      <c r="AF98" s="37"/>
      <c r="AG98" s="37"/>
      <c r="AH98" s="37"/>
      <c r="AI98" s="37"/>
    </row>
    <row r="99">
      <c r="A99" s="41"/>
      <c r="B99" s="41"/>
      <c r="C99" s="41"/>
      <c r="D99" s="41"/>
      <c r="E99" s="41"/>
      <c r="G99" s="15"/>
      <c r="H99" s="15"/>
      <c r="I99" s="15"/>
      <c r="J99" s="15"/>
      <c r="K99" s="15"/>
      <c r="L99" s="15"/>
      <c r="M99" s="15"/>
      <c r="N99" s="15"/>
      <c r="O99" s="15"/>
      <c r="P99" s="15"/>
      <c r="Q99" s="15"/>
      <c r="R99" s="15"/>
      <c r="S99" s="15"/>
      <c r="T99" s="15"/>
      <c r="U99" s="15"/>
      <c r="V99" s="15"/>
      <c r="W99" s="15"/>
      <c r="X99" s="15"/>
      <c r="Y99" s="15"/>
      <c r="Z99" s="15"/>
      <c r="AA99" s="15"/>
      <c r="AB99" s="15"/>
      <c r="AC99" s="15"/>
      <c r="AD99" s="15"/>
      <c r="AE99" s="37"/>
      <c r="AF99" s="37"/>
      <c r="AG99" s="37"/>
      <c r="AH99" s="37"/>
      <c r="AI99" s="37"/>
    </row>
    <row r="100">
      <c r="A100" s="41"/>
      <c r="B100" s="41"/>
      <c r="C100" s="41"/>
      <c r="D100" s="41"/>
      <c r="E100" s="41"/>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37"/>
      <c r="AF100" s="37"/>
      <c r="AG100" s="37"/>
      <c r="AH100" s="37"/>
      <c r="AI100" s="37"/>
    </row>
    <row r="101">
      <c r="A101" s="41"/>
      <c r="B101" s="41"/>
      <c r="C101" s="41"/>
      <c r="D101" s="41"/>
      <c r="E101" s="41"/>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37"/>
      <c r="AF101" s="37"/>
      <c r="AG101" s="37"/>
      <c r="AH101" s="37"/>
      <c r="AI101" s="37"/>
    </row>
    <row r="102">
      <c r="A102" s="41"/>
      <c r="B102" s="41"/>
      <c r="C102" s="41"/>
      <c r="D102" s="41"/>
      <c r="E102" s="41"/>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37"/>
      <c r="AF102" s="37"/>
      <c r="AG102" s="37"/>
      <c r="AH102" s="37"/>
      <c r="AI102" s="37"/>
    </row>
    <row r="103">
      <c r="A103" s="41"/>
      <c r="B103" s="41"/>
      <c r="C103" s="41"/>
      <c r="D103" s="41"/>
      <c r="E103" s="41"/>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37"/>
      <c r="AF103" s="37"/>
      <c r="AG103" s="37"/>
      <c r="AH103" s="37"/>
      <c r="AI103" s="37"/>
    </row>
    <row r="104">
      <c r="A104" s="41"/>
      <c r="B104" s="41"/>
      <c r="C104" s="41"/>
      <c r="D104" s="41"/>
      <c r="E104" s="41"/>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37"/>
      <c r="AF104" s="37"/>
      <c r="AG104" s="37"/>
      <c r="AH104" s="37"/>
      <c r="AI104" s="37"/>
    </row>
    <row r="105">
      <c r="A105" s="41"/>
      <c r="B105" s="41"/>
      <c r="C105" s="41"/>
      <c r="D105" s="41"/>
      <c r="E105" s="41"/>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37"/>
      <c r="AF105" s="37"/>
      <c r="AG105" s="37"/>
      <c r="AH105" s="37"/>
      <c r="AI105" s="37"/>
    </row>
    <row r="106">
      <c r="A106" s="41"/>
      <c r="B106" s="41"/>
      <c r="C106" s="41"/>
      <c r="D106" s="41"/>
      <c r="E106" s="41"/>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37"/>
      <c r="AF106" s="37"/>
      <c r="AG106" s="37"/>
      <c r="AH106" s="37"/>
      <c r="AI106" s="37"/>
    </row>
    <row r="107">
      <c r="A107" s="41"/>
      <c r="B107" s="41"/>
      <c r="C107" s="41"/>
      <c r="D107" s="41"/>
      <c r="E107" s="41"/>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37"/>
      <c r="AF107" s="37"/>
      <c r="AG107" s="37"/>
      <c r="AH107" s="37"/>
      <c r="AI107" s="37"/>
    </row>
    <row r="108">
      <c r="A108" s="41"/>
      <c r="B108" s="41"/>
      <c r="C108" s="41"/>
      <c r="D108" s="41"/>
      <c r="E108" s="41"/>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37"/>
      <c r="AF108" s="37"/>
      <c r="AG108" s="37"/>
      <c r="AH108" s="37"/>
      <c r="AI108" s="37"/>
    </row>
    <row r="109">
      <c r="A109" s="41"/>
      <c r="B109" s="41"/>
      <c r="C109" s="41"/>
      <c r="D109" s="41"/>
      <c r="E109" s="41"/>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37"/>
      <c r="AF109" s="37"/>
      <c r="AG109" s="37"/>
      <c r="AH109" s="37"/>
      <c r="AI109" s="37"/>
    </row>
    <row r="110">
      <c r="A110" s="41"/>
      <c r="B110" s="41"/>
      <c r="C110" s="41"/>
      <c r="D110" s="41"/>
      <c r="E110" s="41"/>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37"/>
      <c r="AF110" s="37"/>
      <c r="AG110" s="37"/>
      <c r="AH110" s="37"/>
      <c r="AI110" s="37"/>
    </row>
    <row r="111">
      <c r="A111" s="41"/>
      <c r="B111" s="41"/>
      <c r="C111" s="41"/>
      <c r="D111" s="41"/>
      <c r="E111" s="41"/>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37"/>
      <c r="AF111" s="37"/>
      <c r="AG111" s="37"/>
      <c r="AH111" s="37"/>
      <c r="AI111" s="37"/>
    </row>
    <row r="112">
      <c r="A112" s="41"/>
      <c r="B112" s="41"/>
      <c r="C112" s="41"/>
      <c r="D112" s="41"/>
      <c r="E112" s="41"/>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37"/>
      <c r="AF112" s="37"/>
      <c r="AG112" s="37"/>
      <c r="AH112" s="37"/>
      <c r="AI112" s="37"/>
    </row>
    <row r="113">
      <c r="A113" s="41"/>
      <c r="B113" s="41"/>
      <c r="C113" s="41"/>
      <c r="D113" s="41"/>
      <c r="E113" s="41"/>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37"/>
      <c r="AF113" s="37"/>
      <c r="AG113" s="37"/>
      <c r="AH113" s="37"/>
      <c r="AI113" s="37"/>
    </row>
    <row r="114">
      <c r="A114" s="41"/>
      <c r="B114" s="41"/>
      <c r="C114" s="41"/>
      <c r="D114" s="41"/>
      <c r="E114" s="41"/>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37"/>
      <c r="AF114" s="37"/>
      <c r="AG114" s="37"/>
      <c r="AH114" s="37"/>
      <c r="AI114" s="37"/>
    </row>
    <row r="115">
      <c r="A115" s="41"/>
      <c r="B115" s="41"/>
      <c r="C115" s="41"/>
      <c r="D115" s="41"/>
      <c r="E115" s="41"/>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37"/>
      <c r="AF115" s="37"/>
      <c r="AG115" s="37"/>
      <c r="AH115" s="37"/>
      <c r="AI115" s="37"/>
    </row>
    <row r="116">
      <c r="A116" s="41"/>
      <c r="B116" s="41"/>
      <c r="C116" s="41"/>
      <c r="D116" s="41"/>
      <c r="E116" s="41"/>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37"/>
      <c r="AF116" s="37"/>
      <c r="AG116" s="37"/>
      <c r="AH116" s="37"/>
      <c r="AI116" s="37"/>
    </row>
    <row r="117">
      <c r="A117" s="41"/>
      <c r="B117" s="41"/>
      <c r="C117" s="41"/>
      <c r="D117" s="41"/>
      <c r="E117" s="41"/>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37"/>
      <c r="AF117" s="37"/>
      <c r="AG117" s="37"/>
      <c r="AH117" s="37"/>
      <c r="AI117" s="37"/>
    </row>
    <row r="118">
      <c r="A118" s="41"/>
      <c r="B118" s="41"/>
      <c r="C118" s="41"/>
      <c r="D118" s="41"/>
      <c r="E118" s="41"/>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37"/>
      <c r="AF118" s="37"/>
      <c r="AG118" s="37"/>
      <c r="AH118" s="37"/>
      <c r="AI118" s="37"/>
    </row>
    <row r="119">
      <c r="A119" s="41"/>
      <c r="B119" s="41"/>
      <c r="C119" s="41"/>
      <c r="D119" s="41"/>
      <c r="E119" s="41"/>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37"/>
      <c r="AF119" s="37"/>
      <c r="AG119" s="37"/>
      <c r="AH119" s="37"/>
      <c r="AI119" s="37"/>
    </row>
    <row r="120">
      <c r="A120" s="41"/>
      <c r="B120" s="41"/>
      <c r="C120" s="41"/>
      <c r="D120" s="41"/>
      <c r="E120" s="41"/>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37"/>
      <c r="AF120" s="37"/>
      <c r="AG120" s="37"/>
      <c r="AH120" s="37"/>
      <c r="AI120" s="37"/>
    </row>
    <row r="121">
      <c r="A121" s="41"/>
      <c r="B121" s="41"/>
      <c r="C121" s="41"/>
      <c r="D121" s="41"/>
      <c r="E121" s="41"/>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37"/>
      <c r="AF121" s="37"/>
      <c r="AG121" s="37"/>
      <c r="AH121" s="37"/>
      <c r="AI121" s="37"/>
    </row>
    <row r="122">
      <c r="A122" s="41"/>
      <c r="B122" s="41"/>
      <c r="C122" s="41"/>
      <c r="D122" s="41"/>
      <c r="E122" s="41"/>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37"/>
      <c r="AF122" s="37"/>
      <c r="AG122" s="37"/>
      <c r="AH122" s="37"/>
      <c r="AI122" s="37"/>
    </row>
    <row r="123">
      <c r="A123" s="41"/>
      <c r="B123" s="41"/>
      <c r="C123" s="41"/>
      <c r="D123" s="41"/>
      <c r="E123" s="41"/>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37"/>
      <c r="AF123" s="37"/>
      <c r="AG123" s="37"/>
      <c r="AH123" s="37"/>
      <c r="AI123" s="37"/>
    </row>
    <row r="124">
      <c r="A124" s="41"/>
      <c r="B124" s="41"/>
      <c r="C124" s="41"/>
      <c r="D124" s="41"/>
      <c r="E124" s="41"/>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37"/>
      <c r="AF124" s="37"/>
      <c r="AG124" s="37"/>
      <c r="AH124" s="37"/>
      <c r="AI124" s="37"/>
    </row>
    <row r="125">
      <c r="A125" s="41"/>
      <c r="B125" s="41"/>
      <c r="C125" s="41"/>
      <c r="D125" s="41"/>
      <c r="E125" s="41"/>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37"/>
      <c r="AF125" s="37"/>
      <c r="AG125" s="37"/>
      <c r="AH125" s="37"/>
      <c r="AI125" s="37"/>
    </row>
    <row r="126">
      <c r="A126" s="41"/>
      <c r="B126" s="41"/>
      <c r="C126" s="41"/>
      <c r="D126" s="41"/>
      <c r="E126" s="41"/>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37"/>
      <c r="AF126" s="37"/>
      <c r="AG126" s="37"/>
      <c r="AH126" s="37"/>
      <c r="AI126" s="37"/>
    </row>
    <row r="127">
      <c r="A127" s="41"/>
      <c r="B127" s="41"/>
      <c r="C127" s="41"/>
      <c r="D127" s="41"/>
      <c r="E127" s="41"/>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37"/>
      <c r="AF127" s="37"/>
      <c r="AG127" s="37"/>
      <c r="AH127" s="37"/>
      <c r="AI127" s="37"/>
    </row>
    <row r="128">
      <c r="A128" s="41"/>
      <c r="B128" s="41"/>
      <c r="C128" s="41"/>
      <c r="D128" s="41"/>
      <c r="E128" s="41"/>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37"/>
      <c r="AF128" s="37"/>
      <c r="AG128" s="37"/>
      <c r="AH128" s="37"/>
      <c r="AI128" s="37"/>
    </row>
    <row r="129">
      <c r="A129" s="41"/>
      <c r="B129" s="41"/>
      <c r="C129" s="41"/>
      <c r="D129" s="41"/>
      <c r="E129" s="41"/>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37"/>
      <c r="AF129" s="37"/>
      <c r="AG129" s="37"/>
      <c r="AH129" s="37"/>
      <c r="AI129" s="37"/>
    </row>
    <row r="130">
      <c r="A130" s="41"/>
      <c r="B130" s="41"/>
      <c r="C130" s="41"/>
      <c r="D130" s="41"/>
      <c r="E130" s="41"/>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37"/>
      <c r="AF130" s="37"/>
      <c r="AG130" s="37"/>
      <c r="AH130" s="37"/>
      <c r="AI130" s="37"/>
    </row>
    <row r="131">
      <c r="A131" s="41"/>
      <c r="B131" s="41"/>
      <c r="C131" s="41"/>
      <c r="D131" s="41"/>
      <c r="E131" s="41"/>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37"/>
      <c r="AF131" s="37"/>
      <c r="AG131" s="37"/>
      <c r="AH131" s="37"/>
      <c r="AI131" s="37"/>
    </row>
    <row r="132">
      <c r="A132" s="41"/>
      <c r="B132" s="41"/>
      <c r="C132" s="41"/>
      <c r="D132" s="41"/>
      <c r="E132" s="41"/>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37"/>
      <c r="AF132" s="37"/>
      <c r="AG132" s="37"/>
      <c r="AH132" s="37"/>
      <c r="AI132" s="37"/>
    </row>
    <row r="133">
      <c r="A133" s="41"/>
      <c r="B133" s="41"/>
      <c r="C133" s="41"/>
      <c r="D133" s="41"/>
      <c r="E133" s="41"/>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37"/>
      <c r="AF133" s="37"/>
      <c r="AG133" s="37"/>
      <c r="AH133" s="37"/>
      <c r="AI133" s="37"/>
    </row>
    <row r="134">
      <c r="A134" s="41"/>
      <c r="B134" s="41"/>
      <c r="C134" s="41"/>
      <c r="D134" s="41"/>
      <c r="E134" s="41"/>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37"/>
      <c r="AF134" s="37"/>
      <c r="AG134" s="37"/>
      <c r="AH134" s="37"/>
      <c r="AI134" s="37"/>
    </row>
    <row r="135">
      <c r="A135" s="41"/>
      <c r="B135" s="41"/>
      <c r="C135" s="41"/>
      <c r="D135" s="41"/>
      <c r="E135" s="41"/>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37"/>
      <c r="AF135" s="37"/>
      <c r="AG135" s="37"/>
      <c r="AH135" s="37"/>
      <c r="AI135" s="37"/>
    </row>
    <row r="136">
      <c r="A136" s="41"/>
      <c r="B136" s="41"/>
      <c r="C136" s="41"/>
      <c r="D136" s="41"/>
      <c r="E136" s="41"/>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37"/>
      <c r="AF136" s="37"/>
      <c r="AG136" s="37"/>
      <c r="AH136" s="37"/>
      <c r="AI136" s="37"/>
    </row>
    <row r="137">
      <c r="A137" s="41"/>
      <c r="B137" s="41"/>
      <c r="C137" s="41"/>
      <c r="D137" s="41"/>
      <c r="E137" s="41"/>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37"/>
      <c r="AF137" s="37"/>
      <c r="AG137" s="37"/>
      <c r="AH137" s="37"/>
      <c r="AI137" s="37"/>
    </row>
    <row r="138">
      <c r="A138" s="41"/>
      <c r="B138" s="41"/>
      <c r="C138" s="41"/>
      <c r="D138" s="41"/>
      <c r="E138" s="41"/>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37"/>
      <c r="AF138" s="37"/>
      <c r="AG138" s="37"/>
      <c r="AH138" s="37"/>
      <c r="AI138" s="37"/>
    </row>
    <row r="139">
      <c r="A139" s="41"/>
      <c r="B139" s="41"/>
      <c r="C139" s="41"/>
      <c r="D139" s="41"/>
      <c r="E139" s="41"/>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37"/>
      <c r="AF139" s="37"/>
      <c r="AG139" s="37"/>
      <c r="AH139" s="37"/>
      <c r="AI139" s="37"/>
    </row>
    <row r="140">
      <c r="A140" s="41"/>
      <c r="B140" s="41"/>
      <c r="C140" s="41"/>
      <c r="D140" s="41"/>
      <c r="E140" s="41"/>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37"/>
      <c r="AF140" s="37"/>
      <c r="AG140" s="37"/>
      <c r="AH140" s="37"/>
      <c r="AI140" s="37"/>
    </row>
    <row r="141">
      <c r="A141" s="41"/>
      <c r="B141" s="41"/>
      <c r="C141" s="41"/>
      <c r="D141" s="41"/>
      <c r="E141" s="41"/>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37"/>
      <c r="AF141" s="37"/>
      <c r="AG141" s="37"/>
      <c r="AH141" s="37"/>
      <c r="AI141" s="37"/>
    </row>
    <row r="142">
      <c r="A142" s="41"/>
      <c r="B142" s="41"/>
      <c r="C142" s="41"/>
      <c r="D142" s="41"/>
      <c r="E142" s="41"/>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37"/>
      <c r="AF142" s="37"/>
      <c r="AG142" s="37"/>
      <c r="AH142" s="37"/>
      <c r="AI142" s="37"/>
    </row>
    <row r="143">
      <c r="A143" s="41"/>
      <c r="B143" s="41"/>
      <c r="C143" s="41"/>
      <c r="D143" s="41"/>
      <c r="E143" s="41"/>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37"/>
      <c r="AF143" s="37"/>
      <c r="AG143" s="37"/>
      <c r="AH143" s="37"/>
      <c r="AI143" s="37"/>
    </row>
    <row r="144">
      <c r="A144" s="41"/>
      <c r="B144" s="41"/>
      <c r="C144" s="41"/>
      <c r="D144" s="41"/>
      <c r="E144" s="41"/>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37"/>
      <c r="AF144" s="37"/>
      <c r="AG144" s="37"/>
      <c r="AH144" s="37"/>
      <c r="AI144" s="37"/>
    </row>
    <row r="145">
      <c r="A145" s="41"/>
      <c r="B145" s="41"/>
      <c r="C145" s="41"/>
      <c r="D145" s="41"/>
      <c r="E145" s="41"/>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37"/>
      <c r="AF145" s="37"/>
      <c r="AG145" s="37"/>
      <c r="AH145" s="37"/>
      <c r="AI145" s="37"/>
    </row>
    <row r="146">
      <c r="A146" s="41"/>
      <c r="B146" s="41"/>
      <c r="C146" s="41"/>
      <c r="D146" s="41"/>
      <c r="E146" s="41"/>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37"/>
      <c r="AF146" s="37"/>
      <c r="AG146" s="37"/>
      <c r="AH146" s="37"/>
      <c r="AI146" s="37"/>
    </row>
    <row r="147">
      <c r="A147" s="41"/>
      <c r="B147" s="41"/>
      <c r="C147" s="41"/>
      <c r="D147" s="41"/>
      <c r="E147" s="41"/>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37"/>
      <c r="AF147" s="37"/>
      <c r="AG147" s="37"/>
      <c r="AH147" s="37"/>
      <c r="AI147" s="37"/>
    </row>
    <row r="148">
      <c r="A148" s="41"/>
      <c r="B148" s="41"/>
      <c r="C148" s="41"/>
      <c r="D148" s="41"/>
      <c r="E148" s="41"/>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37"/>
      <c r="AF148" s="37"/>
      <c r="AG148" s="37"/>
      <c r="AH148" s="37"/>
      <c r="AI148" s="37"/>
    </row>
    <row r="149">
      <c r="A149" s="41"/>
      <c r="B149" s="41"/>
      <c r="C149" s="41"/>
      <c r="D149" s="41"/>
      <c r="E149" s="41"/>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37"/>
      <c r="AF149" s="37"/>
      <c r="AG149" s="37"/>
      <c r="AH149" s="37"/>
      <c r="AI149" s="37"/>
    </row>
    <row r="150">
      <c r="A150" s="41"/>
      <c r="B150" s="41"/>
      <c r="C150" s="41"/>
      <c r="D150" s="41"/>
      <c r="E150" s="41"/>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37"/>
      <c r="AF150" s="37"/>
      <c r="AG150" s="37"/>
      <c r="AH150" s="37"/>
      <c r="AI150" s="37"/>
    </row>
    <row r="151">
      <c r="A151" s="41"/>
      <c r="B151" s="41"/>
      <c r="C151" s="41"/>
      <c r="D151" s="41"/>
      <c r="E151" s="41"/>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37"/>
      <c r="AF151" s="37"/>
      <c r="AG151" s="37"/>
      <c r="AH151" s="37"/>
      <c r="AI151" s="37"/>
    </row>
    <row r="152">
      <c r="A152" s="41"/>
      <c r="B152" s="41"/>
      <c r="C152" s="41"/>
      <c r="D152" s="41"/>
      <c r="E152" s="41"/>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37"/>
      <c r="AF152" s="37"/>
      <c r="AG152" s="37"/>
      <c r="AH152" s="37"/>
      <c r="AI152" s="37"/>
    </row>
    <row r="153">
      <c r="A153" s="41"/>
      <c r="B153" s="41"/>
      <c r="C153" s="41"/>
      <c r="D153" s="41"/>
      <c r="E153" s="41"/>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37"/>
      <c r="AF153" s="37"/>
      <c r="AG153" s="37"/>
      <c r="AH153" s="37"/>
      <c r="AI153" s="37"/>
    </row>
    <row r="154">
      <c r="A154" s="41"/>
      <c r="B154" s="41"/>
      <c r="C154" s="41"/>
      <c r="D154" s="41"/>
      <c r="E154" s="41"/>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37"/>
      <c r="AF154" s="37"/>
      <c r="AG154" s="37"/>
      <c r="AH154" s="37"/>
      <c r="AI154" s="37"/>
    </row>
    <row r="155">
      <c r="A155" s="41"/>
      <c r="B155" s="41"/>
      <c r="C155" s="41"/>
      <c r="D155" s="41"/>
      <c r="E155" s="41"/>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37"/>
      <c r="AF155" s="37"/>
      <c r="AG155" s="37"/>
      <c r="AH155" s="37"/>
      <c r="AI155" s="37"/>
    </row>
    <row r="156">
      <c r="A156" s="41"/>
      <c r="B156" s="41"/>
      <c r="C156" s="41"/>
      <c r="D156" s="41"/>
      <c r="E156" s="41"/>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37"/>
      <c r="AF156" s="37"/>
      <c r="AG156" s="37"/>
      <c r="AH156" s="37"/>
      <c r="AI156" s="37"/>
    </row>
    <row r="157">
      <c r="A157" s="41"/>
      <c r="B157" s="41"/>
      <c r="C157" s="41"/>
      <c r="D157" s="41"/>
      <c r="E157" s="41"/>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37"/>
      <c r="AF157" s="37"/>
      <c r="AG157" s="37"/>
      <c r="AH157" s="37"/>
      <c r="AI157" s="37"/>
    </row>
    <row r="158">
      <c r="A158" s="41"/>
      <c r="B158" s="41"/>
      <c r="C158" s="41"/>
      <c r="D158" s="41"/>
      <c r="E158" s="41"/>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37"/>
      <c r="AF158" s="37"/>
      <c r="AG158" s="37"/>
      <c r="AH158" s="37"/>
      <c r="AI158" s="37"/>
    </row>
    <row r="159">
      <c r="A159" s="41"/>
      <c r="B159" s="41"/>
      <c r="C159" s="41"/>
      <c r="D159" s="41"/>
      <c r="E159" s="41"/>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37"/>
      <c r="AF159" s="37"/>
      <c r="AG159" s="37"/>
      <c r="AH159" s="37"/>
      <c r="AI159" s="37"/>
    </row>
    <row r="160">
      <c r="A160" s="41"/>
      <c r="B160" s="41"/>
      <c r="C160" s="41"/>
      <c r="D160" s="41"/>
      <c r="E160" s="41"/>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37"/>
      <c r="AF160" s="37"/>
      <c r="AG160" s="37"/>
      <c r="AH160" s="37"/>
      <c r="AI160" s="37"/>
    </row>
    <row r="161">
      <c r="A161" s="41"/>
      <c r="B161" s="41"/>
      <c r="C161" s="41"/>
      <c r="D161" s="41"/>
      <c r="E161" s="41"/>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37"/>
      <c r="AF161" s="37"/>
      <c r="AG161" s="37"/>
      <c r="AH161" s="37"/>
      <c r="AI161" s="37"/>
    </row>
    <row r="162">
      <c r="A162" s="41"/>
      <c r="B162" s="41"/>
      <c r="C162" s="41"/>
      <c r="D162" s="41"/>
      <c r="E162" s="41"/>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37"/>
      <c r="AF162" s="37"/>
      <c r="AG162" s="37"/>
      <c r="AH162" s="37"/>
      <c r="AI162" s="37"/>
    </row>
    <row r="163">
      <c r="A163" s="41"/>
      <c r="B163" s="41"/>
      <c r="C163" s="41"/>
      <c r="D163" s="41"/>
      <c r="E163" s="41"/>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37"/>
      <c r="AF163" s="37"/>
      <c r="AG163" s="37"/>
      <c r="AH163" s="37"/>
      <c r="AI163" s="37"/>
    </row>
    <row r="164">
      <c r="A164" s="41"/>
      <c r="B164" s="41"/>
      <c r="C164" s="41"/>
      <c r="D164" s="41"/>
      <c r="E164" s="41"/>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37"/>
      <c r="AF164" s="37"/>
      <c r="AG164" s="37"/>
      <c r="AH164" s="37"/>
      <c r="AI164" s="37"/>
    </row>
    <row r="165">
      <c r="A165" s="41"/>
      <c r="B165" s="41"/>
      <c r="C165" s="41"/>
      <c r="D165" s="41"/>
      <c r="E165" s="41"/>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37"/>
      <c r="AF165" s="37"/>
      <c r="AG165" s="37"/>
      <c r="AH165" s="37"/>
      <c r="AI165" s="37"/>
    </row>
    <row r="166">
      <c r="A166" s="41"/>
      <c r="B166" s="41"/>
      <c r="C166" s="41"/>
      <c r="D166" s="41"/>
      <c r="E166" s="41"/>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37"/>
      <c r="AF166" s="37"/>
      <c r="AG166" s="37"/>
      <c r="AH166" s="37"/>
      <c r="AI166" s="37"/>
    </row>
    <row r="167">
      <c r="A167" s="41"/>
      <c r="B167" s="41"/>
      <c r="C167" s="41"/>
      <c r="D167" s="41"/>
      <c r="E167" s="41"/>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37"/>
      <c r="AF167" s="37"/>
      <c r="AG167" s="37"/>
      <c r="AH167" s="37"/>
      <c r="AI167" s="37"/>
    </row>
    <row r="168">
      <c r="A168" s="41"/>
      <c r="B168" s="41"/>
      <c r="C168" s="41"/>
      <c r="D168" s="41"/>
      <c r="E168" s="41"/>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37"/>
      <c r="AF168" s="37"/>
      <c r="AG168" s="37"/>
      <c r="AH168" s="37"/>
      <c r="AI168" s="37"/>
    </row>
    <row r="169">
      <c r="A169" s="41"/>
      <c r="B169" s="41"/>
      <c r="C169" s="41"/>
      <c r="D169" s="41"/>
      <c r="E169" s="41"/>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37"/>
      <c r="AF169" s="37"/>
      <c r="AG169" s="37"/>
      <c r="AH169" s="37"/>
      <c r="AI169" s="37"/>
    </row>
    <row r="170">
      <c r="A170" s="41"/>
      <c r="B170" s="41"/>
      <c r="C170" s="41"/>
      <c r="D170" s="41"/>
      <c r="E170" s="41"/>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37"/>
      <c r="AF170" s="37"/>
      <c r="AG170" s="37"/>
      <c r="AH170" s="37"/>
      <c r="AI170" s="37"/>
    </row>
    <row r="171">
      <c r="A171" s="41"/>
      <c r="B171" s="41"/>
      <c r="C171" s="41"/>
      <c r="D171" s="41"/>
      <c r="E171" s="41"/>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37"/>
      <c r="AF171" s="37"/>
      <c r="AG171" s="37"/>
      <c r="AH171" s="37"/>
      <c r="AI171" s="37"/>
    </row>
    <row r="172">
      <c r="A172" s="41"/>
      <c r="B172" s="41"/>
      <c r="C172" s="41"/>
      <c r="D172" s="41"/>
      <c r="E172" s="41"/>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37"/>
      <c r="AF172" s="37"/>
      <c r="AG172" s="37"/>
      <c r="AH172" s="37"/>
      <c r="AI172" s="37"/>
    </row>
    <row r="173">
      <c r="A173" s="41"/>
      <c r="B173" s="41"/>
      <c r="C173" s="41"/>
      <c r="D173" s="41"/>
      <c r="E173" s="41"/>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37"/>
      <c r="AF173" s="37"/>
      <c r="AG173" s="37"/>
      <c r="AH173" s="37"/>
      <c r="AI173" s="37"/>
    </row>
    <row r="174">
      <c r="A174" s="41"/>
      <c r="B174" s="41"/>
      <c r="C174" s="41"/>
      <c r="D174" s="41"/>
      <c r="E174" s="41"/>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37"/>
      <c r="AF174" s="37"/>
      <c r="AG174" s="37"/>
      <c r="AH174" s="37"/>
      <c r="AI174" s="37"/>
    </row>
    <row r="175">
      <c r="A175" s="41"/>
      <c r="B175" s="41"/>
      <c r="C175" s="41"/>
      <c r="D175" s="41"/>
      <c r="E175" s="41"/>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37"/>
      <c r="AF175" s="37"/>
      <c r="AG175" s="37"/>
      <c r="AH175" s="37"/>
      <c r="AI175" s="37"/>
    </row>
    <row r="176">
      <c r="A176" s="41"/>
      <c r="B176" s="41"/>
      <c r="C176" s="41"/>
      <c r="D176" s="41"/>
      <c r="E176" s="41"/>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37"/>
      <c r="AF176" s="37"/>
      <c r="AG176" s="37"/>
      <c r="AH176" s="37"/>
      <c r="AI176" s="37"/>
    </row>
    <row r="177">
      <c r="A177" s="41"/>
      <c r="B177" s="41"/>
      <c r="C177" s="41"/>
      <c r="D177" s="41"/>
      <c r="E177" s="41"/>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37"/>
      <c r="AF177" s="37"/>
      <c r="AG177" s="37"/>
      <c r="AH177" s="37"/>
      <c r="AI177" s="37"/>
    </row>
    <row r="178">
      <c r="A178" s="41"/>
      <c r="B178" s="41"/>
      <c r="C178" s="41"/>
      <c r="D178" s="41"/>
      <c r="E178" s="41"/>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37"/>
      <c r="AF178" s="37"/>
      <c r="AG178" s="37"/>
      <c r="AH178" s="37"/>
      <c r="AI178" s="37"/>
    </row>
    <row r="179">
      <c r="A179" s="41"/>
      <c r="B179" s="41"/>
      <c r="C179" s="41"/>
      <c r="D179" s="41"/>
      <c r="E179" s="41"/>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37"/>
      <c r="AF179" s="37"/>
      <c r="AG179" s="37"/>
      <c r="AH179" s="37"/>
      <c r="AI179" s="37"/>
    </row>
    <row r="180">
      <c r="A180" s="41"/>
      <c r="B180" s="41"/>
      <c r="C180" s="41"/>
      <c r="D180" s="41"/>
      <c r="E180" s="41"/>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37"/>
      <c r="AF180" s="37"/>
      <c r="AG180" s="37"/>
      <c r="AH180" s="37"/>
      <c r="AI180" s="37"/>
    </row>
    <row r="181">
      <c r="A181" s="41"/>
      <c r="B181" s="41"/>
      <c r="C181" s="41"/>
      <c r="D181" s="41"/>
      <c r="E181" s="41"/>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37"/>
      <c r="AF181" s="37"/>
      <c r="AG181" s="37"/>
      <c r="AH181" s="37"/>
      <c r="AI181" s="37"/>
    </row>
    <row r="182">
      <c r="A182" s="41"/>
      <c r="B182" s="41"/>
      <c r="C182" s="41"/>
      <c r="D182" s="41"/>
      <c r="E182" s="41"/>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37"/>
      <c r="AF182" s="37"/>
      <c r="AG182" s="37"/>
      <c r="AH182" s="37"/>
      <c r="AI182" s="37"/>
    </row>
    <row r="183">
      <c r="A183" s="41"/>
      <c r="B183" s="41"/>
      <c r="C183" s="41"/>
      <c r="D183" s="41"/>
      <c r="E183" s="41"/>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37"/>
      <c r="AF183" s="37"/>
      <c r="AG183" s="37"/>
      <c r="AH183" s="37"/>
      <c r="AI183" s="37"/>
    </row>
    <row r="184">
      <c r="A184" s="41"/>
      <c r="B184" s="41"/>
      <c r="C184" s="41"/>
      <c r="D184" s="41"/>
      <c r="E184" s="41"/>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37"/>
      <c r="AF184" s="37"/>
      <c r="AG184" s="37"/>
      <c r="AH184" s="37"/>
      <c r="AI184" s="37"/>
    </row>
    <row r="185">
      <c r="A185" s="41"/>
      <c r="B185" s="41"/>
      <c r="C185" s="41"/>
      <c r="D185" s="41"/>
      <c r="E185" s="41"/>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37"/>
      <c r="AF185" s="37"/>
      <c r="AG185" s="37"/>
      <c r="AH185" s="37"/>
      <c r="AI185" s="37"/>
    </row>
    <row r="186">
      <c r="A186" s="41"/>
      <c r="B186" s="41"/>
      <c r="C186" s="41"/>
      <c r="D186" s="41"/>
      <c r="E186" s="41"/>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37"/>
      <c r="AF186" s="37"/>
      <c r="AG186" s="37"/>
      <c r="AH186" s="37"/>
      <c r="AI186" s="37"/>
    </row>
    <row r="187">
      <c r="A187" s="41"/>
      <c r="B187" s="41"/>
      <c r="C187" s="41"/>
      <c r="D187" s="41"/>
      <c r="E187" s="41"/>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37"/>
      <c r="AF187" s="37"/>
      <c r="AG187" s="37"/>
      <c r="AH187" s="37"/>
      <c r="AI187" s="37"/>
    </row>
    <row r="188">
      <c r="A188" s="41"/>
      <c r="B188" s="41"/>
      <c r="C188" s="41"/>
      <c r="D188" s="41"/>
      <c r="E188" s="41"/>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37"/>
      <c r="AF188" s="37"/>
      <c r="AG188" s="37"/>
      <c r="AH188" s="37"/>
      <c r="AI188" s="37"/>
    </row>
    <row r="189">
      <c r="A189" s="41"/>
      <c r="B189" s="41"/>
      <c r="C189" s="41"/>
      <c r="D189" s="41"/>
      <c r="E189" s="41"/>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37"/>
      <c r="AF189" s="37"/>
      <c r="AG189" s="37"/>
      <c r="AH189" s="37"/>
      <c r="AI189" s="37"/>
    </row>
    <row r="190">
      <c r="A190" s="41"/>
      <c r="B190" s="41"/>
      <c r="C190" s="41"/>
      <c r="D190" s="41"/>
      <c r="E190" s="41"/>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37"/>
      <c r="AF190" s="37"/>
      <c r="AG190" s="37"/>
      <c r="AH190" s="37"/>
      <c r="AI190" s="37"/>
    </row>
    <row r="191">
      <c r="A191" s="41"/>
      <c r="B191" s="41"/>
      <c r="C191" s="41"/>
      <c r="D191" s="41"/>
      <c r="E191" s="41"/>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37"/>
      <c r="AF191" s="37"/>
      <c r="AG191" s="37"/>
      <c r="AH191" s="37"/>
      <c r="AI191" s="37"/>
    </row>
    <row r="192">
      <c r="A192" s="41"/>
      <c r="B192" s="41"/>
      <c r="C192" s="41"/>
      <c r="D192" s="41"/>
      <c r="E192" s="41"/>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37"/>
      <c r="AF192" s="37"/>
      <c r="AG192" s="37"/>
      <c r="AH192" s="37"/>
      <c r="AI192" s="37"/>
    </row>
    <row r="193">
      <c r="A193" s="41"/>
      <c r="B193" s="41"/>
      <c r="C193" s="41"/>
      <c r="D193" s="41"/>
      <c r="E193" s="41"/>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37"/>
      <c r="AF193" s="37"/>
      <c r="AG193" s="37"/>
      <c r="AH193" s="37"/>
      <c r="AI193" s="37"/>
    </row>
    <row r="194">
      <c r="A194" s="41"/>
      <c r="B194" s="41"/>
      <c r="C194" s="41"/>
      <c r="D194" s="41"/>
      <c r="E194" s="41"/>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37"/>
      <c r="AF194" s="37"/>
      <c r="AG194" s="37"/>
      <c r="AH194" s="37"/>
      <c r="AI194" s="37"/>
    </row>
    <row r="195">
      <c r="A195" s="41"/>
      <c r="B195" s="41"/>
      <c r="C195" s="41"/>
      <c r="D195" s="41"/>
      <c r="E195" s="41"/>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37"/>
      <c r="AF195" s="37"/>
      <c r="AG195" s="37"/>
      <c r="AH195" s="37"/>
      <c r="AI195" s="37"/>
    </row>
    <row r="196">
      <c r="A196" s="41"/>
      <c r="B196" s="41"/>
      <c r="C196" s="41"/>
      <c r="D196" s="41"/>
      <c r="E196" s="41"/>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37"/>
      <c r="AF196" s="37"/>
      <c r="AG196" s="37"/>
      <c r="AH196" s="37"/>
      <c r="AI196" s="37"/>
    </row>
    <row r="197">
      <c r="A197" s="41"/>
      <c r="B197" s="41"/>
      <c r="C197" s="41"/>
      <c r="D197" s="41"/>
      <c r="E197" s="41"/>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37"/>
      <c r="AF197" s="37"/>
      <c r="AG197" s="37"/>
      <c r="AH197" s="37"/>
      <c r="AI197" s="37"/>
    </row>
    <row r="198">
      <c r="A198" s="41"/>
      <c r="B198" s="41"/>
      <c r="C198" s="41"/>
      <c r="D198" s="41"/>
      <c r="E198" s="41"/>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37"/>
      <c r="AF198" s="37"/>
      <c r="AG198" s="37"/>
      <c r="AH198" s="37"/>
      <c r="AI198" s="37"/>
    </row>
    <row r="199">
      <c r="A199" s="41"/>
      <c r="B199" s="41"/>
      <c r="C199" s="41"/>
      <c r="D199" s="41"/>
      <c r="E199" s="41"/>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37"/>
      <c r="AF199" s="37"/>
      <c r="AG199" s="37"/>
      <c r="AH199" s="37"/>
      <c r="AI199" s="37"/>
    </row>
    <row r="200">
      <c r="A200" s="41"/>
      <c r="B200" s="41"/>
      <c r="C200" s="41"/>
      <c r="D200" s="41"/>
      <c r="E200" s="41"/>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37"/>
      <c r="AF200" s="37"/>
      <c r="AG200" s="37"/>
      <c r="AH200" s="37"/>
      <c r="AI200" s="37"/>
    </row>
    <row r="201">
      <c r="A201" s="41"/>
      <c r="B201" s="41"/>
      <c r="C201" s="41"/>
      <c r="D201" s="41"/>
      <c r="E201" s="41"/>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37"/>
      <c r="AF201" s="37"/>
      <c r="AG201" s="37"/>
      <c r="AH201" s="37"/>
      <c r="AI201" s="37"/>
    </row>
    <row r="202">
      <c r="A202" s="41"/>
      <c r="B202" s="41"/>
      <c r="C202" s="41"/>
      <c r="D202" s="41"/>
      <c r="E202" s="41"/>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37"/>
      <c r="AF202" s="37"/>
      <c r="AG202" s="37"/>
      <c r="AH202" s="37"/>
      <c r="AI202" s="37"/>
    </row>
    <row r="203">
      <c r="A203" s="41"/>
      <c r="B203" s="41"/>
      <c r="C203" s="41"/>
      <c r="D203" s="41"/>
      <c r="E203" s="41"/>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37"/>
      <c r="AF203" s="37"/>
      <c r="AG203" s="37"/>
      <c r="AH203" s="37"/>
      <c r="AI203" s="37"/>
    </row>
    <row r="204">
      <c r="A204" s="41"/>
      <c r="B204" s="41"/>
      <c r="C204" s="41"/>
      <c r="D204" s="41"/>
      <c r="E204" s="41"/>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37"/>
      <c r="AF204" s="37"/>
      <c r="AG204" s="37"/>
      <c r="AH204" s="37"/>
      <c r="AI204" s="37"/>
    </row>
    <row r="205">
      <c r="A205" s="41"/>
      <c r="B205" s="41"/>
      <c r="C205" s="41"/>
      <c r="D205" s="41"/>
      <c r="E205" s="41"/>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37"/>
      <c r="AF205" s="37"/>
      <c r="AG205" s="37"/>
      <c r="AH205" s="37"/>
      <c r="AI205" s="37"/>
    </row>
    <row r="206">
      <c r="A206" s="41"/>
      <c r="B206" s="41"/>
      <c r="C206" s="41"/>
      <c r="D206" s="41"/>
      <c r="E206" s="41"/>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37"/>
      <c r="AF206" s="37"/>
      <c r="AG206" s="37"/>
      <c r="AH206" s="37"/>
      <c r="AI206" s="37"/>
    </row>
    <row r="207">
      <c r="A207" s="41"/>
      <c r="B207" s="41"/>
      <c r="C207" s="41"/>
      <c r="D207" s="41"/>
      <c r="E207" s="41"/>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37"/>
      <c r="AF207" s="37"/>
      <c r="AG207" s="37"/>
      <c r="AH207" s="37"/>
      <c r="AI207" s="37"/>
    </row>
    <row r="208">
      <c r="A208" s="41"/>
      <c r="B208" s="41"/>
      <c r="C208" s="41"/>
      <c r="D208" s="41"/>
      <c r="E208" s="41"/>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37"/>
      <c r="AF208" s="37"/>
      <c r="AG208" s="37"/>
      <c r="AH208" s="37"/>
      <c r="AI208" s="37"/>
    </row>
    <row r="209">
      <c r="A209" s="41"/>
      <c r="B209" s="41"/>
      <c r="C209" s="41"/>
      <c r="D209" s="41"/>
      <c r="E209" s="41"/>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37"/>
      <c r="AF209" s="37"/>
      <c r="AG209" s="37"/>
      <c r="AH209" s="37"/>
      <c r="AI209" s="37"/>
    </row>
    <row r="210">
      <c r="A210" s="41"/>
      <c r="B210" s="41"/>
      <c r="C210" s="41"/>
      <c r="D210" s="41"/>
      <c r="E210" s="41"/>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37"/>
      <c r="AF210" s="37"/>
      <c r="AG210" s="37"/>
      <c r="AH210" s="37"/>
      <c r="AI210" s="37"/>
    </row>
    <row r="211">
      <c r="A211" s="41"/>
      <c r="B211" s="41"/>
      <c r="C211" s="41"/>
      <c r="D211" s="41"/>
      <c r="E211" s="41"/>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37"/>
      <c r="AF211" s="37"/>
      <c r="AG211" s="37"/>
      <c r="AH211" s="37"/>
      <c r="AI211" s="37"/>
    </row>
    <row r="212">
      <c r="A212" s="41"/>
      <c r="B212" s="41"/>
      <c r="C212" s="41"/>
      <c r="D212" s="41"/>
      <c r="E212" s="41"/>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37"/>
      <c r="AF212" s="37"/>
      <c r="AG212" s="37"/>
      <c r="AH212" s="37"/>
      <c r="AI212" s="37"/>
    </row>
    <row r="213">
      <c r="A213" s="41"/>
      <c r="B213" s="41"/>
      <c r="C213" s="41"/>
      <c r="D213" s="41"/>
      <c r="E213" s="41"/>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37"/>
      <c r="AF213" s="37"/>
      <c r="AG213" s="37"/>
      <c r="AH213" s="37"/>
      <c r="AI213" s="37"/>
    </row>
    <row r="214">
      <c r="A214" s="41"/>
      <c r="B214" s="41"/>
      <c r="C214" s="41"/>
      <c r="D214" s="41"/>
      <c r="E214" s="41"/>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37"/>
      <c r="AF214" s="37"/>
      <c r="AG214" s="37"/>
      <c r="AH214" s="37"/>
      <c r="AI214" s="37"/>
    </row>
    <row r="215">
      <c r="A215" s="41"/>
      <c r="B215" s="41"/>
      <c r="C215" s="41"/>
      <c r="D215" s="41"/>
      <c r="E215" s="41"/>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37"/>
      <c r="AF215" s="37"/>
      <c r="AG215" s="37"/>
      <c r="AH215" s="37"/>
      <c r="AI215" s="37"/>
    </row>
    <row r="216">
      <c r="A216" s="41"/>
      <c r="B216" s="41"/>
      <c r="C216" s="41"/>
      <c r="D216" s="41"/>
      <c r="E216" s="41"/>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37"/>
      <c r="AF216" s="37"/>
      <c r="AG216" s="37"/>
      <c r="AH216" s="37"/>
      <c r="AI216" s="37"/>
    </row>
    <row r="217">
      <c r="A217" s="41"/>
      <c r="B217" s="41"/>
      <c r="C217" s="41"/>
      <c r="D217" s="41"/>
      <c r="E217" s="41"/>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37"/>
      <c r="AF217" s="37"/>
      <c r="AG217" s="37"/>
      <c r="AH217" s="37"/>
      <c r="AI217" s="37"/>
    </row>
    <row r="218">
      <c r="A218" s="41"/>
      <c r="B218" s="41"/>
      <c r="C218" s="41"/>
      <c r="D218" s="41"/>
      <c r="E218" s="41"/>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37"/>
      <c r="AF218" s="37"/>
      <c r="AG218" s="37"/>
      <c r="AH218" s="37"/>
      <c r="AI218" s="37"/>
    </row>
    <row r="219">
      <c r="A219" s="41"/>
      <c r="B219" s="41"/>
      <c r="C219" s="41"/>
      <c r="D219" s="41"/>
      <c r="E219" s="41"/>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37"/>
      <c r="AF219" s="37"/>
      <c r="AG219" s="37"/>
      <c r="AH219" s="37"/>
      <c r="AI219" s="37"/>
    </row>
    <row r="220">
      <c r="A220" s="41"/>
      <c r="B220" s="41"/>
      <c r="C220" s="41"/>
      <c r="D220" s="41"/>
      <c r="E220" s="41"/>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37"/>
      <c r="AF220" s="37"/>
      <c r="AG220" s="37"/>
      <c r="AH220" s="37"/>
      <c r="AI220" s="37"/>
    </row>
    <row r="221">
      <c r="A221" s="41"/>
      <c r="B221" s="41"/>
      <c r="C221" s="41"/>
      <c r="D221" s="41"/>
      <c r="E221" s="41"/>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37"/>
      <c r="AF221" s="37"/>
      <c r="AG221" s="37"/>
      <c r="AH221" s="37"/>
      <c r="AI221" s="37"/>
    </row>
    <row r="222">
      <c r="A222" s="41"/>
      <c r="B222" s="41"/>
      <c r="C222" s="41"/>
      <c r="D222" s="41"/>
      <c r="E222" s="41"/>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37"/>
      <c r="AF222" s="37"/>
      <c r="AG222" s="37"/>
      <c r="AH222" s="37"/>
      <c r="AI222" s="37"/>
    </row>
    <row r="223">
      <c r="A223" s="41"/>
      <c r="B223" s="41"/>
      <c r="C223" s="41"/>
      <c r="D223" s="41"/>
      <c r="E223" s="41"/>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37"/>
      <c r="AF223" s="37"/>
      <c r="AG223" s="37"/>
      <c r="AH223" s="37"/>
      <c r="AI223" s="37"/>
    </row>
    <row r="224">
      <c r="A224" s="41"/>
      <c r="B224" s="41"/>
      <c r="C224" s="41"/>
      <c r="D224" s="41"/>
      <c r="E224" s="41"/>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37"/>
      <c r="AF224" s="37"/>
      <c r="AG224" s="37"/>
      <c r="AH224" s="37"/>
      <c r="AI224" s="37"/>
    </row>
    <row r="225">
      <c r="A225" s="41"/>
      <c r="B225" s="41"/>
      <c r="C225" s="41"/>
      <c r="D225" s="41"/>
      <c r="E225" s="41"/>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37"/>
      <c r="AF225" s="37"/>
      <c r="AG225" s="37"/>
      <c r="AH225" s="37"/>
      <c r="AI225" s="37"/>
    </row>
    <row r="226">
      <c r="A226" s="41"/>
      <c r="B226" s="41"/>
      <c r="C226" s="41"/>
      <c r="D226" s="41"/>
      <c r="E226" s="41"/>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37"/>
      <c r="AF226" s="37"/>
      <c r="AG226" s="37"/>
      <c r="AH226" s="37"/>
      <c r="AI226" s="37"/>
    </row>
    <row r="227">
      <c r="A227" s="41"/>
      <c r="B227" s="41"/>
      <c r="C227" s="41"/>
      <c r="D227" s="41"/>
      <c r="E227" s="41"/>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37"/>
      <c r="AF227" s="37"/>
      <c r="AG227" s="37"/>
      <c r="AH227" s="37"/>
      <c r="AI227" s="37"/>
    </row>
    <row r="228">
      <c r="A228" s="41"/>
      <c r="B228" s="41"/>
      <c r="C228" s="41"/>
      <c r="D228" s="41"/>
      <c r="E228" s="41"/>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37"/>
      <c r="AF228" s="37"/>
      <c r="AG228" s="37"/>
      <c r="AH228" s="37"/>
      <c r="AI228" s="37"/>
    </row>
    <row r="229">
      <c r="A229" s="41"/>
      <c r="B229" s="41"/>
      <c r="C229" s="41"/>
      <c r="D229" s="41"/>
      <c r="E229" s="41"/>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37"/>
      <c r="AF229" s="37"/>
      <c r="AG229" s="37"/>
      <c r="AH229" s="37"/>
      <c r="AI229" s="37"/>
    </row>
    <row r="230">
      <c r="A230" s="41"/>
      <c r="B230" s="41"/>
      <c r="C230" s="41"/>
      <c r="D230" s="41"/>
      <c r="E230" s="41"/>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37"/>
      <c r="AF230" s="37"/>
      <c r="AG230" s="37"/>
      <c r="AH230" s="37"/>
      <c r="AI230" s="37"/>
    </row>
    <row r="231">
      <c r="A231" s="41"/>
      <c r="B231" s="41"/>
      <c r="C231" s="41"/>
      <c r="D231" s="41"/>
      <c r="E231" s="41"/>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37"/>
      <c r="AF231" s="37"/>
      <c r="AG231" s="37"/>
      <c r="AH231" s="37"/>
      <c r="AI231" s="37"/>
    </row>
    <row r="232">
      <c r="A232" s="41"/>
      <c r="B232" s="41"/>
      <c r="C232" s="41"/>
      <c r="D232" s="41"/>
      <c r="E232" s="41"/>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37"/>
      <c r="AF232" s="37"/>
      <c r="AG232" s="37"/>
      <c r="AH232" s="37"/>
      <c r="AI232" s="37"/>
    </row>
    <row r="233">
      <c r="A233" s="41"/>
      <c r="B233" s="41"/>
      <c r="C233" s="41"/>
      <c r="D233" s="41"/>
      <c r="E233" s="41"/>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37"/>
      <c r="AF233" s="37"/>
      <c r="AG233" s="37"/>
      <c r="AH233" s="37"/>
      <c r="AI233" s="37"/>
    </row>
    <row r="234">
      <c r="A234" s="41"/>
      <c r="B234" s="41"/>
      <c r="C234" s="41"/>
      <c r="D234" s="41"/>
      <c r="E234" s="41"/>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37"/>
      <c r="AF234" s="37"/>
      <c r="AG234" s="37"/>
      <c r="AH234" s="37"/>
      <c r="AI234" s="37"/>
    </row>
    <row r="235">
      <c r="A235" s="41"/>
      <c r="B235" s="41"/>
      <c r="C235" s="41"/>
      <c r="D235" s="41"/>
      <c r="E235" s="41"/>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37"/>
      <c r="AF235" s="37"/>
      <c r="AG235" s="37"/>
      <c r="AH235" s="37"/>
      <c r="AI235" s="37"/>
    </row>
    <row r="236">
      <c r="A236" s="41"/>
      <c r="B236" s="41"/>
      <c r="C236" s="41"/>
      <c r="D236" s="41"/>
      <c r="E236" s="41"/>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37"/>
      <c r="AF236" s="37"/>
      <c r="AG236" s="37"/>
      <c r="AH236" s="37"/>
      <c r="AI236" s="37"/>
    </row>
    <row r="237">
      <c r="A237" s="41"/>
      <c r="B237" s="41"/>
      <c r="C237" s="41"/>
      <c r="D237" s="41"/>
      <c r="E237" s="41"/>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37"/>
      <c r="AF237" s="37"/>
      <c r="AG237" s="37"/>
      <c r="AH237" s="37"/>
      <c r="AI237" s="37"/>
    </row>
    <row r="238">
      <c r="A238" s="41"/>
      <c r="B238" s="41"/>
      <c r="C238" s="41"/>
      <c r="D238" s="41"/>
      <c r="E238" s="41"/>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37"/>
      <c r="AF238" s="37"/>
      <c r="AG238" s="37"/>
      <c r="AH238" s="37"/>
      <c r="AI238" s="37"/>
    </row>
    <row r="239">
      <c r="A239" s="41"/>
      <c r="B239" s="41"/>
      <c r="C239" s="41"/>
      <c r="D239" s="41"/>
      <c r="E239" s="41"/>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37"/>
      <c r="AF239" s="37"/>
      <c r="AG239" s="37"/>
      <c r="AH239" s="37"/>
      <c r="AI239" s="37"/>
    </row>
    <row r="240">
      <c r="A240" s="41"/>
      <c r="B240" s="41"/>
      <c r="C240" s="41"/>
      <c r="D240" s="41"/>
      <c r="E240" s="41"/>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37"/>
      <c r="AF240" s="37"/>
      <c r="AG240" s="37"/>
      <c r="AH240" s="37"/>
      <c r="AI240" s="37"/>
    </row>
    <row r="241">
      <c r="A241" s="41"/>
      <c r="B241" s="41"/>
      <c r="C241" s="41"/>
      <c r="D241" s="41"/>
      <c r="E241" s="41"/>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37"/>
      <c r="AF241" s="37"/>
      <c r="AG241" s="37"/>
      <c r="AH241" s="37"/>
      <c r="AI241" s="37"/>
    </row>
    <row r="242">
      <c r="A242" s="41"/>
      <c r="B242" s="41"/>
      <c r="C242" s="41"/>
      <c r="D242" s="41"/>
      <c r="E242" s="41"/>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37"/>
      <c r="AF242" s="37"/>
      <c r="AG242" s="37"/>
      <c r="AH242" s="37"/>
      <c r="AI242" s="37"/>
    </row>
    <row r="243">
      <c r="A243" s="41"/>
      <c r="B243" s="41"/>
      <c r="C243" s="41"/>
      <c r="D243" s="41"/>
      <c r="E243" s="41"/>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37"/>
      <c r="AF243" s="37"/>
      <c r="AG243" s="37"/>
      <c r="AH243" s="37"/>
      <c r="AI243" s="37"/>
    </row>
    <row r="244">
      <c r="A244" s="41"/>
      <c r="B244" s="41"/>
      <c r="C244" s="41"/>
      <c r="D244" s="41"/>
      <c r="E244" s="41"/>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37"/>
      <c r="AF244" s="37"/>
      <c r="AG244" s="37"/>
      <c r="AH244" s="37"/>
      <c r="AI244" s="37"/>
    </row>
    <row r="245">
      <c r="A245" s="41"/>
      <c r="B245" s="41"/>
      <c r="C245" s="41"/>
      <c r="D245" s="41"/>
      <c r="E245" s="41"/>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37"/>
      <c r="AF245" s="37"/>
      <c r="AG245" s="37"/>
      <c r="AH245" s="37"/>
      <c r="AI245" s="37"/>
    </row>
    <row r="246">
      <c r="A246" s="41"/>
      <c r="B246" s="41"/>
      <c r="C246" s="41"/>
      <c r="D246" s="41"/>
      <c r="E246" s="41"/>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37"/>
      <c r="AF246" s="37"/>
      <c r="AG246" s="37"/>
      <c r="AH246" s="37"/>
      <c r="AI246" s="37"/>
    </row>
    <row r="247">
      <c r="A247" s="41"/>
      <c r="B247" s="41"/>
      <c r="C247" s="41"/>
      <c r="D247" s="41"/>
      <c r="E247" s="41"/>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37"/>
      <c r="AF247" s="37"/>
      <c r="AG247" s="37"/>
      <c r="AH247" s="37"/>
      <c r="AI247" s="37"/>
    </row>
    <row r="248">
      <c r="A248" s="41"/>
      <c r="B248" s="41"/>
      <c r="C248" s="41"/>
      <c r="D248" s="41"/>
      <c r="E248" s="41"/>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37"/>
      <c r="AF248" s="37"/>
      <c r="AG248" s="37"/>
      <c r="AH248" s="37"/>
      <c r="AI248" s="37"/>
    </row>
    <row r="249">
      <c r="A249" s="41"/>
      <c r="B249" s="41"/>
      <c r="C249" s="41"/>
      <c r="D249" s="41"/>
      <c r="E249" s="41"/>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37"/>
      <c r="AF249" s="37"/>
      <c r="AG249" s="37"/>
      <c r="AH249" s="37"/>
      <c r="AI249" s="37"/>
    </row>
    <row r="250">
      <c r="A250" s="41"/>
      <c r="B250" s="41"/>
      <c r="C250" s="41"/>
      <c r="D250" s="41"/>
      <c r="E250" s="41"/>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37"/>
      <c r="AF250" s="37"/>
      <c r="AG250" s="37"/>
      <c r="AH250" s="37"/>
      <c r="AI250" s="37"/>
    </row>
    <row r="251">
      <c r="A251" s="41"/>
      <c r="B251" s="41"/>
      <c r="C251" s="41"/>
      <c r="D251" s="41"/>
      <c r="E251" s="41"/>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37"/>
      <c r="AF251" s="37"/>
      <c r="AG251" s="37"/>
      <c r="AH251" s="37"/>
      <c r="AI251" s="37"/>
    </row>
    <row r="252">
      <c r="A252" s="41"/>
      <c r="B252" s="41"/>
      <c r="C252" s="41"/>
      <c r="D252" s="41"/>
      <c r="E252" s="41"/>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37"/>
      <c r="AF252" s="37"/>
      <c r="AG252" s="37"/>
      <c r="AH252" s="37"/>
      <c r="AI252" s="37"/>
    </row>
    <row r="253">
      <c r="A253" s="41"/>
      <c r="B253" s="41"/>
      <c r="C253" s="41"/>
      <c r="D253" s="41"/>
      <c r="E253" s="41"/>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37"/>
      <c r="AF253" s="37"/>
      <c r="AG253" s="37"/>
      <c r="AH253" s="37"/>
      <c r="AI253" s="37"/>
    </row>
    <row r="254">
      <c r="A254" s="41"/>
      <c r="B254" s="41"/>
      <c r="C254" s="41"/>
      <c r="D254" s="41"/>
      <c r="E254" s="41"/>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37"/>
      <c r="AF254" s="37"/>
      <c r="AG254" s="37"/>
      <c r="AH254" s="37"/>
      <c r="AI254" s="37"/>
    </row>
    <row r="255">
      <c r="A255" s="41"/>
      <c r="B255" s="41"/>
      <c r="C255" s="41"/>
      <c r="D255" s="41"/>
      <c r="E255" s="41"/>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37"/>
      <c r="AF255" s="37"/>
      <c r="AG255" s="37"/>
      <c r="AH255" s="37"/>
      <c r="AI255" s="37"/>
    </row>
    <row r="256">
      <c r="A256" s="41"/>
      <c r="B256" s="41"/>
      <c r="C256" s="41"/>
      <c r="D256" s="41"/>
      <c r="E256" s="41"/>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37"/>
      <c r="AF256" s="37"/>
      <c r="AG256" s="37"/>
      <c r="AH256" s="37"/>
      <c r="AI256" s="37"/>
    </row>
    <row r="257">
      <c r="A257" s="41"/>
      <c r="B257" s="41"/>
      <c r="C257" s="41"/>
      <c r="D257" s="41"/>
      <c r="E257" s="41"/>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37"/>
      <c r="AF257" s="37"/>
      <c r="AG257" s="37"/>
      <c r="AH257" s="37"/>
      <c r="AI257" s="37"/>
    </row>
    <row r="258">
      <c r="A258" s="41"/>
      <c r="B258" s="41"/>
      <c r="C258" s="41"/>
      <c r="D258" s="41"/>
      <c r="E258" s="41"/>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37"/>
      <c r="AF258" s="37"/>
      <c r="AG258" s="37"/>
      <c r="AH258" s="37"/>
      <c r="AI258" s="37"/>
    </row>
    <row r="259">
      <c r="A259" s="41"/>
      <c r="B259" s="41"/>
      <c r="C259" s="41"/>
      <c r="D259" s="41"/>
      <c r="E259" s="41"/>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37"/>
      <c r="AF259" s="37"/>
      <c r="AG259" s="37"/>
      <c r="AH259" s="37"/>
      <c r="AI259" s="37"/>
    </row>
    <row r="260">
      <c r="A260" s="41"/>
      <c r="B260" s="41"/>
      <c r="C260" s="41"/>
      <c r="D260" s="41"/>
      <c r="E260" s="41"/>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37"/>
      <c r="AF260" s="37"/>
      <c r="AG260" s="37"/>
      <c r="AH260" s="37"/>
      <c r="AI260" s="37"/>
    </row>
    <row r="261">
      <c r="A261" s="41"/>
      <c r="B261" s="41"/>
      <c r="C261" s="41"/>
      <c r="D261" s="41"/>
      <c r="E261" s="41"/>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37"/>
      <c r="AF261" s="37"/>
      <c r="AG261" s="37"/>
      <c r="AH261" s="37"/>
      <c r="AI261" s="37"/>
    </row>
    <row r="262">
      <c r="A262" s="41"/>
      <c r="B262" s="41"/>
      <c r="C262" s="41"/>
      <c r="D262" s="41"/>
      <c r="E262" s="41"/>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37"/>
      <c r="AF262" s="37"/>
      <c r="AG262" s="37"/>
      <c r="AH262" s="37"/>
      <c r="AI262" s="37"/>
    </row>
    <row r="263">
      <c r="A263" s="41"/>
      <c r="B263" s="41"/>
      <c r="C263" s="41"/>
      <c r="D263" s="41"/>
      <c r="E263" s="41"/>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37"/>
      <c r="AF263" s="37"/>
      <c r="AG263" s="37"/>
      <c r="AH263" s="37"/>
      <c r="AI263" s="37"/>
    </row>
    <row r="264">
      <c r="A264" s="41"/>
      <c r="B264" s="41"/>
      <c r="C264" s="41"/>
      <c r="D264" s="41"/>
      <c r="E264" s="41"/>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37"/>
      <c r="AF264" s="37"/>
      <c r="AG264" s="37"/>
      <c r="AH264" s="37"/>
      <c r="AI264" s="37"/>
    </row>
    <row r="265">
      <c r="A265" s="41"/>
      <c r="B265" s="41"/>
      <c r="C265" s="41"/>
      <c r="D265" s="41"/>
      <c r="E265" s="41"/>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37"/>
      <c r="AF265" s="37"/>
      <c r="AG265" s="37"/>
      <c r="AH265" s="37"/>
      <c r="AI265" s="37"/>
    </row>
    <row r="266">
      <c r="A266" s="41"/>
      <c r="B266" s="41"/>
      <c r="C266" s="41"/>
      <c r="D266" s="41"/>
      <c r="E266" s="41"/>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37"/>
      <c r="AF266" s="37"/>
      <c r="AG266" s="37"/>
      <c r="AH266" s="37"/>
      <c r="AI266" s="37"/>
    </row>
    <row r="267">
      <c r="A267" s="41"/>
      <c r="B267" s="41"/>
      <c r="C267" s="41"/>
      <c r="D267" s="41"/>
      <c r="E267" s="41"/>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37"/>
      <c r="AF267" s="37"/>
      <c r="AG267" s="37"/>
      <c r="AH267" s="37"/>
      <c r="AI267" s="37"/>
    </row>
    <row r="268">
      <c r="A268" s="41"/>
      <c r="B268" s="41"/>
      <c r="C268" s="41"/>
      <c r="D268" s="41"/>
      <c r="E268" s="41"/>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37"/>
      <c r="AF268" s="37"/>
      <c r="AG268" s="37"/>
      <c r="AH268" s="37"/>
      <c r="AI268" s="37"/>
    </row>
    <row r="269">
      <c r="A269" s="41"/>
      <c r="B269" s="41"/>
      <c r="C269" s="41"/>
      <c r="D269" s="41"/>
      <c r="E269" s="41"/>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37"/>
      <c r="AF269" s="37"/>
      <c r="AG269" s="37"/>
      <c r="AH269" s="37"/>
      <c r="AI269" s="37"/>
    </row>
    <row r="270">
      <c r="A270" s="41"/>
      <c r="B270" s="41"/>
      <c r="C270" s="41"/>
      <c r="D270" s="41"/>
      <c r="E270" s="41"/>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37"/>
      <c r="AF270" s="37"/>
      <c r="AG270" s="37"/>
      <c r="AH270" s="37"/>
      <c r="AI270" s="37"/>
    </row>
    <row r="271">
      <c r="A271" s="41"/>
      <c r="B271" s="41"/>
      <c r="C271" s="41"/>
      <c r="D271" s="41"/>
      <c r="E271" s="41"/>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37"/>
      <c r="AF271" s="37"/>
      <c r="AG271" s="37"/>
      <c r="AH271" s="37"/>
      <c r="AI271" s="37"/>
    </row>
    <row r="272">
      <c r="A272" s="41"/>
      <c r="B272" s="41"/>
      <c r="C272" s="41"/>
      <c r="D272" s="41"/>
      <c r="E272" s="41"/>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37"/>
      <c r="AF272" s="37"/>
      <c r="AG272" s="37"/>
      <c r="AH272" s="37"/>
      <c r="AI272" s="37"/>
    </row>
    <row r="273">
      <c r="A273" s="41"/>
      <c r="B273" s="41"/>
      <c r="C273" s="41"/>
      <c r="D273" s="41"/>
      <c r="E273" s="41"/>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37"/>
      <c r="AF273" s="37"/>
      <c r="AG273" s="37"/>
      <c r="AH273" s="37"/>
      <c r="AI273" s="37"/>
    </row>
    <row r="274">
      <c r="A274" s="41"/>
      <c r="B274" s="41"/>
      <c r="C274" s="41"/>
      <c r="D274" s="41"/>
      <c r="E274" s="41"/>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37"/>
      <c r="AF274" s="37"/>
      <c r="AG274" s="37"/>
      <c r="AH274" s="37"/>
      <c r="AI274" s="37"/>
    </row>
    <row r="275">
      <c r="A275" s="41"/>
      <c r="B275" s="41"/>
      <c r="C275" s="41"/>
      <c r="D275" s="41"/>
      <c r="E275" s="41"/>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37"/>
      <c r="AF275" s="37"/>
      <c r="AG275" s="37"/>
      <c r="AH275" s="37"/>
      <c r="AI275" s="37"/>
    </row>
    <row r="276">
      <c r="A276" s="41"/>
      <c r="B276" s="41"/>
      <c r="C276" s="41"/>
      <c r="D276" s="41"/>
      <c r="E276" s="41"/>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37"/>
      <c r="AF276" s="37"/>
      <c r="AG276" s="37"/>
      <c r="AH276" s="37"/>
      <c r="AI276" s="37"/>
    </row>
    <row r="277">
      <c r="A277" s="41"/>
      <c r="B277" s="41"/>
      <c r="C277" s="41"/>
      <c r="D277" s="41"/>
      <c r="E277" s="41"/>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37"/>
      <c r="AF277" s="37"/>
      <c r="AG277" s="37"/>
      <c r="AH277" s="37"/>
      <c r="AI277" s="37"/>
    </row>
    <row r="278">
      <c r="A278" s="41"/>
      <c r="B278" s="41"/>
      <c r="C278" s="41"/>
      <c r="D278" s="41"/>
      <c r="E278" s="41"/>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37"/>
      <c r="AF278" s="37"/>
      <c r="AG278" s="37"/>
      <c r="AH278" s="37"/>
      <c r="AI278" s="37"/>
    </row>
    <row r="279">
      <c r="A279" s="41"/>
      <c r="B279" s="41"/>
      <c r="C279" s="41"/>
      <c r="D279" s="41"/>
      <c r="E279" s="41"/>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37"/>
      <c r="AF279" s="37"/>
      <c r="AG279" s="37"/>
      <c r="AH279" s="37"/>
      <c r="AI279" s="37"/>
    </row>
    <row r="280">
      <c r="A280" s="41"/>
      <c r="B280" s="41"/>
      <c r="C280" s="41"/>
      <c r="D280" s="41"/>
      <c r="E280" s="41"/>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37"/>
      <c r="AF280" s="37"/>
      <c r="AG280" s="37"/>
      <c r="AH280" s="37"/>
      <c r="AI280" s="37"/>
    </row>
    <row r="281">
      <c r="A281" s="41"/>
      <c r="B281" s="41"/>
      <c r="C281" s="41"/>
      <c r="D281" s="41"/>
      <c r="E281" s="41"/>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37"/>
      <c r="AF281" s="37"/>
      <c r="AG281" s="37"/>
      <c r="AH281" s="37"/>
      <c r="AI281" s="37"/>
    </row>
    <row r="282">
      <c r="A282" s="41"/>
      <c r="B282" s="41"/>
      <c r="C282" s="41"/>
      <c r="D282" s="41"/>
      <c r="E282" s="41"/>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37"/>
      <c r="AF282" s="37"/>
      <c r="AG282" s="37"/>
      <c r="AH282" s="37"/>
      <c r="AI282" s="37"/>
    </row>
    <row r="283">
      <c r="A283" s="41"/>
      <c r="B283" s="41"/>
      <c r="C283" s="41"/>
      <c r="D283" s="41"/>
      <c r="E283" s="41"/>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37"/>
      <c r="AF283" s="37"/>
      <c r="AG283" s="37"/>
      <c r="AH283" s="37"/>
      <c r="AI283" s="37"/>
    </row>
    <row r="284">
      <c r="A284" s="41"/>
      <c r="B284" s="41"/>
      <c r="C284" s="41"/>
      <c r="D284" s="41"/>
      <c r="E284" s="41"/>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37"/>
      <c r="AF284" s="37"/>
      <c r="AG284" s="37"/>
      <c r="AH284" s="37"/>
      <c r="AI284" s="37"/>
    </row>
    <row r="285">
      <c r="A285" s="41"/>
      <c r="B285" s="41"/>
      <c r="C285" s="41"/>
      <c r="D285" s="41"/>
      <c r="E285" s="41"/>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37"/>
      <c r="AF285" s="37"/>
      <c r="AG285" s="37"/>
      <c r="AH285" s="37"/>
      <c r="AI285" s="37"/>
    </row>
    <row r="286">
      <c r="A286" s="41"/>
      <c r="B286" s="41"/>
      <c r="C286" s="41"/>
      <c r="D286" s="41"/>
      <c r="E286" s="41"/>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37"/>
      <c r="AF286" s="37"/>
      <c r="AG286" s="37"/>
      <c r="AH286" s="37"/>
      <c r="AI286" s="37"/>
    </row>
    <row r="287">
      <c r="A287" s="41"/>
      <c r="B287" s="41"/>
      <c r="C287" s="41"/>
      <c r="D287" s="41"/>
      <c r="E287" s="41"/>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37"/>
      <c r="AF287" s="37"/>
      <c r="AG287" s="37"/>
      <c r="AH287" s="37"/>
      <c r="AI287" s="37"/>
    </row>
    <row r="288">
      <c r="A288" s="41"/>
      <c r="B288" s="41"/>
      <c r="C288" s="41"/>
      <c r="D288" s="41"/>
      <c r="E288" s="41"/>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37"/>
      <c r="AF288" s="37"/>
      <c r="AG288" s="37"/>
      <c r="AH288" s="37"/>
      <c r="AI288" s="37"/>
    </row>
    <row r="289">
      <c r="A289" s="41"/>
      <c r="B289" s="41"/>
      <c r="C289" s="41"/>
      <c r="D289" s="41"/>
      <c r="E289" s="41"/>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37"/>
      <c r="AF289" s="37"/>
      <c r="AG289" s="37"/>
      <c r="AH289" s="37"/>
      <c r="AI289" s="37"/>
    </row>
    <row r="290">
      <c r="A290" s="41"/>
      <c r="B290" s="41"/>
      <c r="C290" s="41"/>
      <c r="D290" s="41"/>
      <c r="E290" s="41"/>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37"/>
      <c r="AF290" s="37"/>
      <c r="AG290" s="37"/>
      <c r="AH290" s="37"/>
      <c r="AI290" s="37"/>
    </row>
    <row r="291">
      <c r="A291" s="41"/>
      <c r="B291" s="41"/>
      <c r="C291" s="41"/>
      <c r="D291" s="41"/>
      <c r="E291" s="41"/>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37"/>
      <c r="AF291" s="37"/>
      <c r="AG291" s="37"/>
      <c r="AH291" s="37"/>
      <c r="AI291" s="37"/>
    </row>
    <row r="292">
      <c r="A292" s="41"/>
      <c r="B292" s="41"/>
      <c r="C292" s="41"/>
      <c r="D292" s="41"/>
      <c r="E292" s="41"/>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37"/>
      <c r="AF292" s="37"/>
      <c r="AG292" s="37"/>
      <c r="AH292" s="37"/>
      <c r="AI292" s="37"/>
    </row>
    <row r="293">
      <c r="A293" s="41"/>
      <c r="B293" s="41"/>
      <c r="C293" s="41"/>
      <c r="D293" s="41"/>
      <c r="E293" s="41"/>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37"/>
      <c r="AF293" s="37"/>
      <c r="AG293" s="37"/>
      <c r="AH293" s="37"/>
      <c r="AI293" s="37"/>
    </row>
    <row r="294">
      <c r="A294" s="41"/>
      <c r="B294" s="41"/>
      <c r="C294" s="41"/>
      <c r="D294" s="41"/>
      <c r="E294" s="41"/>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37"/>
      <c r="AF294" s="37"/>
      <c r="AG294" s="37"/>
      <c r="AH294" s="37"/>
      <c r="AI294" s="37"/>
    </row>
    <row r="295">
      <c r="A295" s="41"/>
      <c r="B295" s="41"/>
      <c r="C295" s="41"/>
      <c r="D295" s="41"/>
      <c r="E295" s="41"/>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37"/>
      <c r="AF295" s="37"/>
      <c r="AG295" s="37"/>
      <c r="AH295" s="37"/>
      <c r="AI295" s="37"/>
    </row>
    <row r="296">
      <c r="A296" s="41"/>
      <c r="B296" s="41"/>
      <c r="C296" s="41"/>
      <c r="D296" s="41"/>
      <c r="E296" s="41"/>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37"/>
      <c r="AF296" s="37"/>
      <c r="AG296" s="37"/>
      <c r="AH296" s="37"/>
      <c r="AI296" s="37"/>
    </row>
    <row r="297">
      <c r="A297" s="41"/>
      <c r="B297" s="41"/>
      <c r="C297" s="41"/>
      <c r="D297" s="41"/>
      <c r="E297" s="41"/>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37"/>
      <c r="AF297" s="37"/>
      <c r="AG297" s="37"/>
      <c r="AH297" s="37"/>
      <c r="AI297" s="37"/>
    </row>
    <row r="298">
      <c r="A298" s="41"/>
      <c r="B298" s="41"/>
      <c r="C298" s="41"/>
      <c r="D298" s="41"/>
      <c r="E298" s="41"/>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37"/>
      <c r="AF298" s="37"/>
      <c r="AG298" s="37"/>
      <c r="AH298" s="37"/>
      <c r="AI298" s="37"/>
    </row>
    <row r="299">
      <c r="A299" s="41"/>
      <c r="B299" s="41"/>
      <c r="C299" s="41"/>
      <c r="D299" s="41"/>
      <c r="E299" s="41"/>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37"/>
      <c r="AF299" s="37"/>
      <c r="AG299" s="37"/>
      <c r="AH299" s="37"/>
      <c r="AI299" s="37"/>
    </row>
    <row r="300">
      <c r="A300" s="41"/>
      <c r="B300" s="41"/>
      <c r="C300" s="41"/>
      <c r="D300" s="41"/>
      <c r="E300" s="41"/>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37"/>
      <c r="AF300" s="37"/>
      <c r="AG300" s="37"/>
      <c r="AH300" s="37"/>
      <c r="AI300" s="37"/>
    </row>
    <row r="301">
      <c r="A301" s="41"/>
      <c r="B301" s="41"/>
      <c r="C301" s="41"/>
      <c r="D301" s="41"/>
      <c r="E301" s="41"/>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37"/>
      <c r="AF301" s="37"/>
      <c r="AG301" s="37"/>
      <c r="AH301" s="37"/>
      <c r="AI301" s="37"/>
    </row>
    <row r="302">
      <c r="A302" s="41"/>
      <c r="B302" s="41"/>
      <c r="C302" s="41"/>
      <c r="D302" s="41"/>
      <c r="E302" s="41"/>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37"/>
      <c r="AF302" s="37"/>
      <c r="AG302" s="37"/>
      <c r="AH302" s="37"/>
      <c r="AI302" s="37"/>
    </row>
    <row r="303">
      <c r="A303" s="41"/>
      <c r="B303" s="41"/>
      <c r="C303" s="41"/>
      <c r="D303" s="41"/>
      <c r="E303" s="41"/>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37"/>
      <c r="AF303" s="37"/>
      <c r="AG303" s="37"/>
      <c r="AH303" s="37"/>
      <c r="AI303" s="37"/>
    </row>
    <row r="304">
      <c r="A304" s="41"/>
      <c r="B304" s="41"/>
      <c r="C304" s="41"/>
      <c r="D304" s="41"/>
      <c r="E304" s="41"/>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37"/>
      <c r="AF304" s="37"/>
      <c r="AG304" s="37"/>
      <c r="AH304" s="37"/>
      <c r="AI304" s="37"/>
    </row>
    <row r="305">
      <c r="A305" s="41"/>
      <c r="B305" s="41"/>
      <c r="C305" s="41"/>
      <c r="D305" s="41"/>
      <c r="E305" s="41"/>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37"/>
      <c r="AF305" s="37"/>
      <c r="AG305" s="37"/>
      <c r="AH305" s="37"/>
      <c r="AI305" s="37"/>
    </row>
    <row r="306">
      <c r="A306" s="41"/>
      <c r="B306" s="41"/>
      <c r="C306" s="41"/>
      <c r="D306" s="41"/>
      <c r="E306" s="41"/>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37"/>
      <c r="AF306" s="37"/>
      <c r="AG306" s="37"/>
      <c r="AH306" s="37"/>
      <c r="AI306" s="37"/>
    </row>
    <row r="307">
      <c r="A307" s="41"/>
      <c r="B307" s="41"/>
      <c r="C307" s="41"/>
      <c r="D307" s="41"/>
      <c r="E307" s="41"/>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37"/>
      <c r="AF307" s="37"/>
      <c r="AG307" s="37"/>
      <c r="AH307" s="37"/>
      <c r="AI307" s="37"/>
    </row>
    <row r="308">
      <c r="A308" s="41"/>
      <c r="B308" s="41"/>
      <c r="C308" s="41"/>
      <c r="D308" s="41"/>
      <c r="E308" s="41"/>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37"/>
      <c r="AF308" s="37"/>
      <c r="AG308" s="37"/>
      <c r="AH308" s="37"/>
      <c r="AI308" s="37"/>
    </row>
    <row r="309">
      <c r="A309" s="41"/>
      <c r="B309" s="41"/>
      <c r="C309" s="41"/>
      <c r="D309" s="41"/>
      <c r="E309" s="41"/>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37"/>
      <c r="AF309" s="37"/>
      <c r="AG309" s="37"/>
      <c r="AH309" s="37"/>
      <c r="AI309" s="37"/>
    </row>
    <row r="310">
      <c r="A310" s="41"/>
      <c r="B310" s="41"/>
      <c r="C310" s="41"/>
      <c r="D310" s="41"/>
      <c r="E310" s="41"/>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37"/>
      <c r="AF310" s="37"/>
      <c r="AG310" s="37"/>
      <c r="AH310" s="37"/>
      <c r="AI310" s="37"/>
    </row>
    <row r="311">
      <c r="A311" s="41"/>
      <c r="B311" s="41"/>
      <c r="C311" s="41"/>
      <c r="D311" s="41"/>
      <c r="E311" s="41"/>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37"/>
      <c r="AF311" s="37"/>
      <c r="AG311" s="37"/>
      <c r="AH311" s="37"/>
      <c r="AI311" s="37"/>
    </row>
    <row r="312">
      <c r="A312" s="41"/>
      <c r="B312" s="41"/>
      <c r="C312" s="41"/>
      <c r="D312" s="41"/>
      <c r="E312" s="41"/>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37"/>
      <c r="AF312" s="37"/>
      <c r="AG312" s="37"/>
      <c r="AH312" s="37"/>
      <c r="AI312" s="37"/>
    </row>
    <row r="313">
      <c r="A313" s="41"/>
      <c r="B313" s="41"/>
      <c r="C313" s="41"/>
      <c r="D313" s="41"/>
      <c r="E313" s="41"/>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37"/>
      <c r="AF313" s="37"/>
      <c r="AG313" s="37"/>
      <c r="AH313" s="37"/>
      <c r="AI313" s="37"/>
    </row>
    <row r="314">
      <c r="A314" s="41"/>
      <c r="B314" s="41"/>
      <c r="C314" s="41"/>
      <c r="D314" s="41"/>
      <c r="E314" s="41"/>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37"/>
      <c r="AF314" s="37"/>
      <c r="AG314" s="37"/>
      <c r="AH314" s="37"/>
      <c r="AI314" s="37"/>
    </row>
    <row r="315">
      <c r="A315" s="41"/>
      <c r="B315" s="41"/>
      <c r="C315" s="41"/>
      <c r="D315" s="41"/>
      <c r="E315" s="41"/>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37"/>
      <c r="AF315" s="37"/>
      <c r="AG315" s="37"/>
      <c r="AH315" s="37"/>
      <c r="AI315" s="37"/>
    </row>
    <row r="316">
      <c r="A316" s="41"/>
      <c r="B316" s="41"/>
      <c r="C316" s="41"/>
      <c r="D316" s="41"/>
      <c r="E316" s="41"/>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37"/>
      <c r="AF316" s="37"/>
      <c r="AG316" s="37"/>
      <c r="AH316" s="37"/>
      <c r="AI316" s="37"/>
    </row>
    <row r="317">
      <c r="A317" s="41"/>
      <c r="B317" s="41"/>
      <c r="C317" s="41"/>
      <c r="D317" s="41"/>
      <c r="E317" s="41"/>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37"/>
      <c r="AF317" s="37"/>
      <c r="AG317" s="37"/>
      <c r="AH317" s="37"/>
      <c r="AI317" s="37"/>
    </row>
    <row r="318">
      <c r="A318" s="41"/>
      <c r="B318" s="41"/>
      <c r="C318" s="41"/>
      <c r="D318" s="41"/>
      <c r="E318" s="41"/>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37"/>
      <c r="AF318" s="37"/>
      <c r="AG318" s="37"/>
      <c r="AH318" s="37"/>
      <c r="AI318" s="37"/>
    </row>
    <row r="319">
      <c r="A319" s="41"/>
      <c r="B319" s="41"/>
      <c r="C319" s="41"/>
      <c r="D319" s="41"/>
      <c r="E319" s="41"/>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37"/>
      <c r="AF319" s="37"/>
      <c r="AG319" s="37"/>
      <c r="AH319" s="37"/>
      <c r="AI319" s="37"/>
    </row>
    <row r="320">
      <c r="A320" s="41"/>
      <c r="B320" s="41"/>
      <c r="C320" s="41"/>
      <c r="D320" s="41"/>
      <c r="E320" s="41"/>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37"/>
      <c r="AF320" s="37"/>
      <c r="AG320" s="37"/>
      <c r="AH320" s="37"/>
      <c r="AI320" s="37"/>
    </row>
    <row r="321">
      <c r="A321" s="41"/>
      <c r="B321" s="41"/>
      <c r="C321" s="41"/>
      <c r="D321" s="41"/>
      <c r="E321" s="41"/>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37"/>
      <c r="AF321" s="37"/>
      <c r="AG321" s="37"/>
      <c r="AH321" s="37"/>
      <c r="AI321" s="37"/>
    </row>
    <row r="322">
      <c r="A322" s="41"/>
      <c r="B322" s="41"/>
      <c r="C322" s="41"/>
      <c r="D322" s="41"/>
      <c r="E322" s="41"/>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37"/>
      <c r="AF322" s="37"/>
      <c r="AG322" s="37"/>
      <c r="AH322" s="37"/>
      <c r="AI322" s="37"/>
    </row>
    <row r="323">
      <c r="A323" s="41"/>
      <c r="B323" s="41"/>
      <c r="C323" s="41"/>
      <c r="D323" s="41"/>
      <c r="E323" s="41"/>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37"/>
      <c r="AF323" s="37"/>
      <c r="AG323" s="37"/>
      <c r="AH323" s="37"/>
      <c r="AI323" s="37"/>
    </row>
    <row r="324">
      <c r="A324" s="41"/>
      <c r="B324" s="41"/>
      <c r="C324" s="41"/>
      <c r="D324" s="41"/>
      <c r="E324" s="41"/>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37"/>
      <c r="AF324" s="37"/>
      <c r="AG324" s="37"/>
      <c r="AH324" s="37"/>
      <c r="AI324" s="37"/>
    </row>
    <row r="325">
      <c r="A325" s="41"/>
      <c r="B325" s="41"/>
      <c r="C325" s="41"/>
      <c r="D325" s="41"/>
      <c r="E325" s="41"/>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37"/>
      <c r="AF325" s="37"/>
      <c r="AG325" s="37"/>
      <c r="AH325" s="37"/>
      <c r="AI325" s="37"/>
    </row>
    <row r="326">
      <c r="A326" s="41"/>
      <c r="B326" s="41"/>
      <c r="C326" s="41"/>
      <c r="D326" s="41"/>
      <c r="E326" s="41"/>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37"/>
      <c r="AF326" s="37"/>
      <c r="AG326" s="37"/>
      <c r="AH326" s="37"/>
      <c r="AI326" s="37"/>
    </row>
    <row r="327">
      <c r="A327" s="41"/>
      <c r="B327" s="41"/>
      <c r="C327" s="41"/>
      <c r="D327" s="41"/>
      <c r="E327" s="41"/>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37"/>
      <c r="AF327" s="37"/>
      <c r="AG327" s="37"/>
      <c r="AH327" s="37"/>
      <c r="AI327" s="37"/>
    </row>
    <row r="328">
      <c r="A328" s="41"/>
      <c r="B328" s="41"/>
      <c r="C328" s="41"/>
      <c r="D328" s="41"/>
      <c r="E328" s="41"/>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37"/>
      <c r="AF328" s="37"/>
      <c r="AG328" s="37"/>
      <c r="AH328" s="37"/>
      <c r="AI328" s="37"/>
    </row>
    <row r="329">
      <c r="A329" s="41"/>
      <c r="B329" s="41"/>
      <c r="C329" s="41"/>
      <c r="D329" s="41"/>
      <c r="E329" s="41"/>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37"/>
      <c r="AF329" s="37"/>
      <c r="AG329" s="37"/>
      <c r="AH329" s="37"/>
      <c r="AI329" s="37"/>
    </row>
    <row r="330">
      <c r="A330" s="41"/>
      <c r="B330" s="41"/>
      <c r="C330" s="41"/>
      <c r="D330" s="41"/>
      <c r="E330" s="41"/>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37"/>
      <c r="AF330" s="37"/>
      <c r="AG330" s="37"/>
      <c r="AH330" s="37"/>
      <c r="AI330" s="37"/>
    </row>
    <row r="331">
      <c r="A331" s="41"/>
      <c r="B331" s="41"/>
      <c r="C331" s="41"/>
      <c r="D331" s="41"/>
      <c r="E331" s="41"/>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37"/>
      <c r="AF331" s="37"/>
      <c r="AG331" s="37"/>
      <c r="AH331" s="37"/>
      <c r="AI331" s="37"/>
    </row>
    <row r="332">
      <c r="A332" s="41"/>
      <c r="B332" s="41"/>
      <c r="C332" s="41"/>
      <c r="D332" s="41"/>
      <c r="E332" s="41"/>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37"/>
      <c r="AF332" s="37"/>
      <c r="AG332" s="37"/>
      <c r="AH332" s="37"/>
      <c r="AI332" s="37"/>
    </row>
    <row r="333">
      <c r="A333" s="41"/>
      <c r="B333" s="41"/>
      <c r="C333" s="41"/>
      <c r="D333" s="41"/>
      <c r="E333" s="41"/>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37"/>
      <c r="AF333" s="37"/>
      <c r="AG333" s="37"/>
      <c r="AH333" s="37"/>
      <c r="AI333" s="37"/>
    </row>
    <row r="334">
      <c r="A334" s="41"/>
      <c r="B334" s="41"/>
      <c r="C334" s="41"/>
      <c r="D334" s="41"/>
      <c r="E334" s="41"/>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37"/>
      <c r="AF334" s="37"/>
      <c r="AG334" s="37"/>
      <c r="AH334" s="37"/>
      <c r="AI334" s="37"/>
    </row>
    <row r="335">
      <c r="A335" s="41"/>
      <c r="B335" s="41"/>
      <c r="C335" s="41"/>
      <c r="D335" s="41"/>
      <c r="E335" s="41"/>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37"/>
      <c r="AF335" s="37"/>
      <c r="AG335" s="37"/>
      <c r="AH335" s="37"/>
      <c r="AI335" s="37"/>
    </row>
    <row r="336">
      <c r="A336" s="41"/>
      <c r="B336" s="41"/>
      <c r="C336" s="41"/>
      <c r="D336" s="41"/>
      <c r="E336" s="41"/>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37"/>
      <c r="AF336" s="37"/>
      <c r="AG336" s="37"/>
      <c r="AH336" s="37"/>
      <c r="AI336" s="37"/>
    </row>
    <row r="337">
      <c r="A337" s="41"/>
      <c r="B337" s="41"/>
      <c r="C337" s="41"/>
      <c r="D337" s="41"/>
      <c r="E337" s="41"/>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37"/>
      <c r="AF337" s="37"/>
      <c r="AG337" s="37"/>
      <c r="AH337" s="37"/>
      <c r="AI337" s="37"/>
    </row>
    <row r="338">
      <c r="A338" s="41"/>
      <c r="B338" s="41"/>
      <c r="C338" s="41"/>
      <c r="D338" s="41"/>
      <c r="E338" s="41"/>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37"/>
      <c r="AF338" s="37"/>
      <c r="AG338" s="37"/>
      <c r="AH338" s="37"/>
      <c r="AI338" s="37"/>
    </row>
    <row r="339">
      <c r="A339" s="41"/>
      <c r="B339" s="41"/>
      <c r="C339" s="41"/>
      <c r="D339" s="41"/>
      <c r="E339" s="41"/>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37"/>
      <c r="AF339" s="37"/>
      <c r="AG339" s="37"/>
      <c r="AH339" s="37"/>
      <c r="AI339" s="37"/>
    </row>
    <row r="340">
      <c r="A340" s="41"/>
      <c r="B340" s="41"/>
      <c r="C340" s="41"/>
      <c r="D340" s="41"/>
      <c r="E340" s="41"/>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37"/>
      <c r="AF340" s="37"/>
      <c r="AG340" s="37"/>
      <c r="AH340" s="37"/>
      <c r="AI340" s="37"/>
    </row>
    <row r="341">
      <c r="A341" s="41"/>
      <c r="B341" s="41"/>
      <c r="C341" s="41"/>
      <c r="D341" s="41"/>
      <c r="E341" s="41"/>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37"/>
      <c r="AF341" s="37"/>
      <c r="AG341" s="37"/>
      <c r="AH341" s="37"/>
      <c r="AI341" s="37"/>
    </row>
    <row r="342">
      <c r="A342" s="41"/>
      <c r="B342" s="41"/>
      <c r="C342" s="41"/>
      <c r="D342" s="41"/>
      <c r="E342" s="41"/>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37"/>
      <c r="AF342" s="37"/>
      <c r="AG342" s="37"/>
      <c r="AH342" s="37"/>
      <c r="AI342" s="37"/>
    </row>
    <row r="343">
      <c r="A343" s="41"/>
      <c r="B343" s="41"/>
      <c r="C343" s="41"/>
      <c r="D343" s="41"/>
      <c r="E343" s="41"/>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37"/>
      <c r="AF343" s="37"/>
      <c r="AG343" s="37"/>
      <c r="AH343" s="37"/>
      <c r="AI343" s="37"/>
    </row>
    <row r="344">
      <c r="A344" s="41"/>
      <c r="B344" s="41"/>
      <c r="C344" s="41"/>
      <c r="D344" s="41"/>
      <c r="E344" s="41"/>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37"/>
      <c r="AF344" s="37"/>
      <c r="AG344" s="37"/>
      <c r="AH344" s="37"/>
      <c r="AI344" s="37"/>
    </row>
    <row r="345">
      <c r="A345" s="41"/>
      <c r="B345" s="41"/>
      <c r="C345" s="41"/>
      <c r="D345" s="41"/>
      <c r="E345" s="41"/>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37"/>
      <c r="AF345" s="37"/>
      <c r="AG345" s="37"/>
      <c r="AH345" s="37"/>
      <c r="AI345" s="37"/>
    </row>
    <row r="346">
      <c r="A346" s="41"/>
      <c r="B346" s="41"/>
      <c r="C346" s="41"/>
      <c r="D346" s="41"/>
      <c r="E346" s="41"/>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37"/>
      <c r="AF346" s="37"/>
      <c r="AG346" s="37"/>
      <c r="AH346" s="37"/>
      <c r="AI346" s="37"/>
    </row>
    <row r="347">
      <c r="A347" s="41"/>
      <c r="B347" s="41"/>
      <c r="C347" s="41"/>
      <c r="D347" s="41"/>
      <c r="E347" s="41"/>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37"/>
      <c r="AF347" s="37"/>
      <c r="AG347" s="37"/>
      <c r="AH347" s="37"/>
      <c r="AI347" s="37"/>
    </row>
    <row r="348">
      <c r="A348" s="41"/>
      <c r="B348" s="41"/>
      <c r="C348" s="41"/>
      <c r="D348" s="41"/>
      <c r="E348" s="41"/>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37"/>
      <c r="AF348" s="37"/>
      <c r="AG348" s="37"/>
      <c r="AH348" s="37"/>
      <c r="AI348" s="37"/>
    </row>
    <row r="349">
      <c r="A349" s="41"/>
      <c r="B349" s="41"/>
      <c r="C349" s="41"/>
      <c r="D349" s="41"/>
      <c r="E349" s="41"/>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37"/>
      <c r="AF349" s="37"/>
      <c r="AG349" s="37"/>
      <c r="AH349" s="37"/>
      <c r="AI349" s="37"/>
    </row>
    <row r="350">
      <c r="A350" s="41"/>
      <c r="B350" s="41"/>
      <c r="C350" s="41"/>
      <c r="D350" s="41"/>
      <c r="E350" s="41"/>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37"/>
      <c r="AF350" s="37"/>
      <c r="AG350" s="37"/>
      <c r="AH350" s="37"/>
      <c r="AI350" s="37"/>
    </row>
    <row r="351">
      <c r="A351" s="41"/>
      <c r="B351" s="41"/>
      <c r="C351" s="41"/>
      <c r="D351" s="41"/>
      <c r="E351" s="41"/>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37"/>
      <c r="AF351" s="37"/>
      <c r="AG351" s="37"/>
      <c r="AH351" s="37"/>
      <c r="AI351" s="37"/>
    </row>
    <row r="352">
      <c r="A352" s="41"/>
      <c r="B352" s="41"/>
      <c r="C352" s="41"/>
      <c r="D352" s="41"/>
      <c r="E352" s="41"/>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37"/>
      <c r="AF352" s="37"/>
      <c r="AG352" s="37"/>
      <c r="AH352" s="37"/>
      <c r="AI352" s="37"/>
    </row>
    <row r="353">
      <c r="A353" s="41"/>
      <c r="B353" s="41"/>
      <c r="C353" s="41"/>
      <c r="D353" s="41"/>
      <c r="E353" s="41"/>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37"/>
      <c r="AF353" s="37"/>
      <c r="AG353" s="37"/>
      <c r="AH353" s="37"/>
      <c r="AI353" s="37"/>
    </row>
    <row r="354">
      <c r="A354" s="41"/>
      <c r="B354" s="41"/>
      <c r="C354" s="41"/>
      <c r="D354" s="41"/>
      <c r="E354" s="41"/>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37"/>
      <c r="AF354" s="37"/>
      <c r="AG354" s="37"/>
      <c r="AH354" s="37"/>
      <c r="AI354" s="37"/>
    </row>
    <row r="355">
      <c r="A355" s="41"/>
      <c r="B355" s="41"/>
      <c r="C355" s="41"/>
      <c r="D355" s="41"/>
      <c r="E355" s="41"/>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37"/>
      <c r="AF355" s="37"/>
      <c r="AG355" s="37"/>
      <c r="AH355" s="37"/>
      <c r="AI355" s="37"/>
    </row>
    <row r="356">
      <c r="A356" s="41"/>
      <c r="B356" s="41"/>
      <c r="C356" s="41"/>
      <c r="D356" s="41"/>
      <c r="E356" s="41"/>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37"/>
      <c r="AF356" s="37"/>
      <c r="AG356" s="37"/>
      <c r="AH356" s="37"/>
      <c r="AI356" s="37"/>
    </row>
    <row r="357">
      <c r="A357" s="41"/>
      <c r="B357" s="41"/>
      <c r="C357" s="41"/>
      <c r="D357" s="41"/>
      <c r="E357" s="41"/>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37"/>
      <c r="AF357" s="37"/>
      <c r="AG357" s="37"/>
      <c r="AH357" s="37"/>
      <c r="AI357" s="37"/>
    </row>
    <row r="358">
      <c r="A358" s="41"/>
      <c r="B358" s="41"/>
      <c r="C358" s="41"/>
      <c r="D358" s="41"/>
      <c r="E358" s="41"/>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37"/>
      <c r="AF358" s="37"/>
      <c r="AG358" s="37"/>
      <c r="AH358" s="37"/>
      <c r="AI358" s="37"/>
    </row>
    <row r="359">
      <c r="A359" s="41"/>
      <c r="B359" s="41"/>
      <c r="C359" s="41"/>
      <c r="D359" s="41"/>
      <c r="E359" s="41"/>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37"/>
      <c r="AF359" s="37"/>
      <c r="AG359" s="37"/>
      <c r="AH359" s="37"/>
      <c r="AI359" s="37"/>
    </row>
    <row r="360">
      <c r="A360" s="41"/>
      <c r="B360" s="41"/>
      <c r="C360" s="41"/>
      <c r="D360" s="41"/>
      <c r="E360" s="41"/>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37"/>
      <c r="AF360" s="37"/>
      <c r="AG360" s="37"/>
      <c r="AH360" s="37"/>
      <c r="AI360" s="37"/>
    </row>
    <row r="361">
      <c r="A361" s="41"/>
      <c r="B361" s="41"/>
      <c r="C361" s="41"/>
      <c r="D361" s="41"/>
      <c r="E361" s="41"/>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37"/>
      <c r="AF361" s="37"/>
      <c r="AG361" s="37"/>
      <c r="AH361" s="37"/>
      <c r="AI361" s="37"/>
    </row>
    <row r="362">
      <c r="A362" s="41"/>
      <c r="B362" s="41"/>
      <c r="C362" s="41"/>
      <c r="D362" s="41"/>
      <c r="E362" s="41"/>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37"/>
      <c r="AF362" s="37"/>
      <c r="AG362" s="37"/>
      <c r="AH362" s="37"/>
      <c r="AI362" s="37"/>
    </row>
    <row r="363">
      <c r="A363" s="41"/>
      <c r="B363" s="41"/>
      <c r="C363" s="41"/>
      <c r="D363" s="41"/>
      <c r="E363" s="41"/>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37"/>
      <c r="AF363" s="37"/>
      <c r="AG363" s="37"/>
      <c r="AH363" s="37"/>
      <c r="AI363" s="37"/>
    </row>
    <row r="364">
      <c r="A364" s="41"/>
      <c r="B364" s="41"/>
      <c r="C364" s="41"/>
      <c r="D364" s="41"/>
      <c r="E364" s="41"/>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37"/>
      <c r="AF364" s="37"/>
      <c r="AG364" s="37"/>
      <c r="AH364" s="37"/>
      <c r="AI364" s="37"/>
    </row>
    <row r="365">
      <c r="A365" s="41"/>
      <c r="B365" s="41"/>
      <c r="C365" s="41"/>
      <c r="D365" s="41"/>
      <c r="E365" s="41"/>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37"/>
      <c r="AF365" s="37"/>
      <c r="AG365" s="37"/>
      <c r="AH365" s="37"/>
      <c r="AI365" s="37"/>
    </row>
    <row r="366">
      <c r="A366" s="41"/>
      <c r="B366" s="41"/>
      <c r="C366" s="41"/>
      <c r="D366" s="41"/>
      <c r="E366" s="41"/>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37"/>
      <c r="AF366" s="37"/>
      <c r="AG366" s="37"/>
      <c r="AH366" s="37"/>
      <c r="AI366" s="37"/>
    </row>
    <row r="367">
      <c r="A367" s="41"/>
      <c r="B367" s="41"/>
      <c r="C367" s="41"/>
      <c r="D367" s="41"/>
      <c r="E367" s="41"/>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37"/>
      <c r="AF367" s="37"/>
      <c r="AG367" s="37"/>
      <c r="AH367" s="37"/>
      <c r="AI367" s="37"/>
    </row>
    <row r="368">
      <c r="A368" s="41"/>
      <c r="B368" s="41"/>
      <c r="C368" s="41"/>
      <c r="D368" s="41"/>
      <c r="E368" s="41"/>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37"/>
      <c r="AF368" s="37"/>
      <c r="AG368" s="37"/>
      <c r="AH368" s="37"/>
      <c r="AI368" s="37"/>
    </row>
    <row r="369">
      <c r="A369" s="41"/>
      <c r="B369" s="41"/>
      <c r="C369" s="41"/>
      <c r="D369" s="41"/>
      <c r="E369" s="41"/>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37"/>
      <c r="AF369" s="37"/>
      <c r="AG369" s="37"/>
      <c r="AH369" s="37"/>
      <c r="AI369" s="37"/>
    </row>
    <row r="370">
      <c r="A370" s="41"/>
      <c r="B370" s="41"/>
      <c r="C370" s="41"/>
      <c r="D370" s="41"/>
      <c r="E370" s="41"/>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37"/>
      <c r="AF370" s="37"/>
      <c r="AG370" s="37"/>
      <c r="AH370" s="37"/>
      <c r="AI370" s="37"/>
    </row>
    <row r="371">
      <c r="A371" s="41"/>
      <c r="B371" s="41"/>
      <c r="C371" s="41"/>
      <c r="D371" s="41"/>
      <c r="E371" s="41"/>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37"/>
      <c r="AF371" s="37"/>
      <c r="AG371" s="37"/>
      <c r="AH371" s="37"/>
      <c r="AI371" s="37"/>
    </row>
    <row r="372">
      <c r="A372" s="41"/>
      <c r="B372" s="41"/>
      <c r="C372" s="41"/>
      <c r="D372" s="41"/>
      <c r="E372" s="41"/>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37"/>
      <c r="AF372" s="37"/>
      <c r="AG372" s="37"/>
      <c r="AH372" s="37"/>
      <c r="AI372" s="37"/>
    </row>
    <row r="373">
      <c r="A373" s="41"/>
      <c r="B373" s="41"/>
      <c r="C373" s="41"/>
      <c r="D373" s="41"/>
      <c r="E373" s="41"/>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37"/>
      <c r="AF373" s="37"/>
      <c r="AG373" s="37"/>
      <c r="AH373" s="37"/>
      <c r="AI373" s="37"/>
    </row>
    <row r="374">
      <c r="A374" s="41"/>
      <c r="B374" s="41"/>
      <c r="C374" s="41"/>
      <c r="D374" s="41"/>
      <c r="E374" s="41"/>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37"/>
      <c r="AF374" s="37"/>
      <c r="AG374" s="37"/>
      <c r="AH374" s="37"/>
      <c r="AI374" s="37"/>
    </row>
    <row r="375">
      <c r="A375" s="41"/>
      <c r="B375" s="41"/>
      <c r="C375" s="41"/>
      <c r="D375" s="41"/>
      <c r="E375" s="41"/>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37"/>
      <c r="AF375" s="37"/>
      <c r="AG375" s="37"/>
      <c r="AH375" s="37"/>
      <c r="AI375" s="37"/>
    </row>
    <row r="376">
      <c r="A376" s="41"/>
      <c r="B376" s="41"/>
      <c r="C376" s="41"/>
      <c r="D376" s="41"/>
      <c r="E376" s="41"/>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37"/>
      <c r="AF376" s="37"/>
      <c r="AG376" s="37"/>
      <c r="AH376" s="37"/>
      <c r="AI376" s="37"/>
    </row>
    <row r="377">
      <c r="A377" s="41"/>
      <c r="B377" s="41"/>
      <c r="C377" s="41"/>
      <c r="D377" s="41"/>
      <c r="E377" s="41"/>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37"/>
      <c r="AF377" s="37"/>
      <c r="AG377" s="37"/>
      <c r="AH377" s="37"/>
      <c r="AI377" s="37"/>
    </row>
    <row r="378">
      <c r="A378" s="41"/>
      <c r="B378" s="41"/>
      <c r="C378" s="41"/>
      <c r="D378" s="41"/>
      <c r="E378" s="41"/>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37"/>
      <c r="AF378" s="37"/>
      <c r="AG378" s="37"/>
      <c r="AH378" s="37"/>
      <c r="AI378" s="37"/>
    </row>
    <row r="379">
      <c r="A379" s="41"/>
      <c r="B379" s="41"/>
      <c r="C379" s="41"/>
      <c r="D379" s="41"/>
      <c r="E379" s="41"/>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37"/>
      <c r="AF379" s="37"/>
      <c r="AG379" s="37"/>
      <c r="AH379" s="37"/>
      <c r="AI379" s="37"/>
    </row>
    <row r="380">
      <c r="A380" s="41"/>
      <c r="B380" s="41"/>
      <c r="C380" s="41"/>
      <c r="D380" s="41"/>
      <c r="E380" s="41"/>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37"/>
      <c r="AF380" s="37"/>
      <c r="AG380" s="37"/>
      <c r="AH380" s="37"/>
      <c r="AI380" s="37"/>
    </row>
    <row r="381">
      <c r="A381" s="41"/>
      <c r="B381" s="41"/>
      <c r="C381" s="41"/>
      <c r="D381" s="41"/>
      <c r="E381" s="41"/>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37"/>
      <c r="AF381" s="37"/>
      <c r="AG381" s="37"/>
      <c r="AH381" s="37"/>
      <c r="AI381" s="37"/>
    </row>
    <row r="382">
      <c r="A382" s="41"/>
      <c r="B382" s="41"/>
      <c r="C382" s="41"/>
      <c r="D382" s="41"/>
      <c r="E382" s="41"/>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37"/>
      <c r="AF382" s="37"/>
      <c r="AG382" s="37"/>
      <c r="AH382" s="37"/>
      <c r="AI382" s="37"/>
    </row>
    <row r="383">
      <c r="A383" s="41"/>
      <c r="B383" s="41"/>
      <c r="C383" s="41"/>
      <c r="D383" s="41"/>
      <c r="E383" s="41"/>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37"/>
      <c r="AF383" s="37"/>
      <c r="AG383" s="37"/>
      <c r="AH383" s="37"/>
      <c r="AI383" s="37"/>
    </row>
    <row r="384">
      <c r="A384" s="41"/>
      <c r="B384" s="41"/>
      <c r="C384" s="41"/>
      <c r="D384" s="41"/>
      <c r="E384" s="41"/>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37"/>
      <c r="AF384" s="37"/>
      <c r="AG384" s="37"/>
      <c r="AH384" s="37"/>
      <c r="AI384" s="37"/>
    </row>
    <row r="385">
      <c r="A385" s="41"/>
      <c r="B385" s="41"/>
      <c r="C385" s="41"/>
      <c r="D385" s="41"/>
      <c r="E385" s="41"/>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37"/>
      <c r="AF385" s="37"/>
      <c r="AG385" s="37"/>
      <c r="AH385" s="37"/>
      <c r="AI385" s="37"/>
    </row>
    <row r="386">
      <c r="A386" s="41"/>
      <c r="B386" s="41"/>
      <c r="C386" s="41"/>
      <c r="D386" s="41"/>
      <c r="E386" s="41"/>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37"/>
      <c r="AF386" s="37"/>
      <c r="AG386" s="37"/>
      <c r="AH386" s="37"/>
      <c r="AI386" s="37"/>
    </row>
    <row r="387">
      <c r="A387" s="41"/>
      <c r="B387" s="41"/>
      <c r="C387" s="41"/>
      <c r="D387" s="41"/>
      <c r="E387" s="41"/>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37"/>
      <c r="AF387" s="37"/>
      <c r="AG387" s="37"/>
      <c r="AH387" s="37"/>
      <c r="AI387" s="37"/>
    </row>
    <row r="388">
      <c r="A388" s="41"/>
      <c r="B388" s="41"/>
      <c r="C388" s="41"/>
      <c r="D388" s="41"/>
      <c r="E388" s="41"/>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37"/>
      <c r="AF388" s="37"/>
      <c r="AG388" s="37"/>
      <c r="AH388" s="37"/>
      <c r="AI388" s="37"/>
    </row>
    <row r="389">
      <c r="A389" s="41"/>
      <c r="B389" s="41"/>
      <c r="C389" s="41"/>
      <c r="D389" s="41"/>
      <c r="E389" s="41"/>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37"/>
      <c r="AF389" s="37"/>
      <c r="AG389" s="37"/>
      <c r="AH389" s="37"/>
      <c r="AI389" s="37"/>
    </row>
    <row r="390">
      <c r="A390" s="41"/>
      <c r="B390" s="41"/>
      <c r="C390" s="41"/>
      <c r="D390" s="41"/>
      <c r="E390" s="41"/>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37"/>
      <c r="AF390" s="37"/>
      <c r="AG390" s="37"/>
      <c r="AH390" s="37"/>
      <c r="AI390" s="37"/>
    </row>
    <row r="391">
      <c r="A391" s="41"/>
      <c r="B391" s="41"/>
      <c r="C391" s="41"/>
      <c r="D391" s="41"/>
      <c r="E391" s="41"/>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37"/>
      <c r="AF391" s="37"/>
      <c r="AG391" s="37"/>
      <c r="AH391" s="37"/>
      <c r="AI391" s="37"/>
    </row>
    <row r="392">
      <c r="A392" s="41"/>
      <c r="B392" s="41"/>
      <c r="C392" s="41"/>
      <c r="D392" s="41"/>
      <c r="E392" s="41"/>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37"/>
      <c r="AF392" s="37"/>
      <c r="AG392" s="37"/>
      <c r="AH392" s="37"/>
      <c r="AI392" s="37"/>
    </row>
    <row r="393">
      <c r="A393" s="41"/>
      <c r="B393" s="41"/>
      <c r="C393" s="41"/>
      <c r="D393" s="41"/>
      <c r="E393" s="41"/>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37"/>
      <c r="AF393" s="37"/>
      <c r="AG393" s="37"/>
      <c r="AH393" s="37"/>
      <c r="AI393" s="37"/>
    </row>
    <row r="394">
      <c r="A394" s="41"/>
      <c r="B394" s="41"/>
      <c r="C394" s="41"/>
      <c r="D394" s="41"/>
      <c r="E394" s="41"/>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37"/>
      <c r="AF394" s="37"/>
      <c r="AG394" s="37"/>
      <c r="AH394" s="37"/>
      <c r="AI394" s="37"/>
    </row>
    <row r="395">
      <c r="A395" s="41"/>
      <c r="B395" s="41"/>
      <c r="C395" s="41"/>
      <c r="D395" s="41"/>
      <c r="E395" s="41"/>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37"/>
      <c r="AF395" s="37"/>
      <c r="AG395" s="37"/>
      <c r="AH395" s="37"/>
      <c r="AI395" s="37"/>
    </row>
    <row r="396">
      <c r="A396" s="41"/>
      <c r="B396" s="41"/>
      <c r="C396" s="41"/>
      <c r="D396" s="41"/>
      <c r="E396" s="41"/>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37"/>
      <c r="AF396" s="37"/>
      <c r="AG396" s="37"/>
      <c r="AH396" s="37"/>
      <c r="AI396" s="37"/>
    </row>
    <row r="397">
      <c r="A397" s="41"/>
      <c r="B397" s="41"/>
      <c r="C397" s="41"/>
      <c r="D397" s="41"/>
      <c r="E397" s="41"/>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37"/>
      <c r="AF397" s="37"/>
      <c r="AG397" s="37"/>
      <c r="AH397" s="37"/>
      <c r="AI397" s="37"/>
    </row>
    <row r="398">
      <c r="A398" s="41"/>
      <c r="B398" s="41"/>
      <c r="C398" s="41"/>
      <c r="D398" s="41"/>
      <c r="E398" s="41"/>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37"/>
      <c r="AF398" s="37"/>
      <c r="AG398" s="37"/>
      <c r="AH398" s="37"/>
      <c r="AI398" s="37"/>
    </row>
    <row r="399">
      <c r="A399" s="41"/>
      <c r="B399" s="41"/>
      <c r="C399" s="41"/>
      <c r="D399" s="41"/>
      <c r="E399" s="41"/>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37"/>
      <c r="AF399" s="37"/>
      <c r="AG399" s="37"/>
      <c r="AH399" s="37"/>
      <c r="AI399" s="37"/>
    </row>
    <row r="400">
      <c r="A400" s="41"/>
      <c r="B400" s="41"/>
      <c r="C400" s="41"/>
      <c r="D400" s="41"/>
      <c r="E400" s="41"/>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37"/>
      <c r="AF400" s="37"/>
      <c r="AG400" s="37"/>
      <c r="AH400" s="37"/>
      <c r="AI400" s="37"/>
    </row>
    <row r="401">
      <c r="A401" s="41"/>
      <c r="B401" s="41"/>
      <c r="C401" s="41"/>
      <c r="D401" s="41"/>
      <c r="E401" s="41"/>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37"/>
      <c r="AF401" s="37"/>
      <c r="AG401" s="37"/>
      <c r="AH401" s="37"/>
      <c r="AI401" s="37"/>
    </row>
    <row r="402">
      <c r="A402" s="41"/>
      <c r="B402" s="41"/>
      <c r="C402" s="41"/>
      <c r="D402" s="41"/>
      <c r="E402" s="41"/>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37"/>
      <c r="AF402" s="37"/>
      <c r="AG402" s="37"/>
      <c r="AH402" s="37"/>
      <c r="AI402" s="37"/>
    </row>
    <row r="403">
      <c r="A403" s="41"/>
      <c r="B403" s="41"/>
      <c r="C403" s="41"/>
      <c r="D403" s="41"/>
      <c r="E403" s="41"/>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37"/>
      <c r="AF403" s="37"/>
      <c r="AG403" s="37"/>
      <c r="AH403" s="37"/>
      <c r="AI403" s="37"/>
    </row>
    <row r="404">
      <c r="A404" s="41"/>
      <c r="B404" s="41"/>
      <c r="C404" s="41"/>
      <c r="D404" s="41"/>
      <c r="E404" s="41"/>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37"/>
      <c r="AF404" s="37"/>
      <c r="AG404" s="37"/>
      <c r="AH404" s="37"/>
      <c r="AI404" s="37"/>
    </row>
    <row r="405">
      <c r="A405" s="41"/>
      <c r="B405" s="41"/>
      <c r="C405" s="41"/>
      <c r="D405" s="41"/>
      <c r="E405" s="41"/>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37"/>
      <c r="AF405" s="37"/>
      <c r="AG405" s="37"/>
      <c r="AH405" s="37"/>
      <c r="AI405" s="37"/>
    </row>
    <row r="406">
      <c r="A406" s="41"/>
      <c r="B406" s="41"/>
      <c r="C406" s="41"/>
      <c r="D406" s="41"/>
      <c r="E406" s="41"/>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37"/>
      <c r="AF406" s="37"/>
      <c r="AG406" s="37"/>
      <c r="AH406" s="37"/>
      <c r="AI406" s="37"/>
    </row>
    <row r="407">
      <c r="A407" s="41"/>
      <c r="B407" s="41"/>
      <c r="C407" s="41"/>
      <c r="D407" s="41"/>
      <c r="E407" s="41"/>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37"/>
      <c r="AF407" s="37"/>
      <c r="AG407" s="37"/>
      <c r="AH407" s="37"/>
      <c r="AI407" s="37"/>
    </row>
    <row r="408">
      <c r="A408" s="41"/>
      <c r="B408" s="41"/>
      <c r="C408" s="41"/>
      <c r="D408" s="41"/>
      <c r="E408" s="41"/>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37"/>
      <c r="AF408" s="37"/>
      <c r="AG408" s="37"/>
      <c r="AH408" s="37"/>
      <c r="AI408" s="37"/>
    </row>
    <row r="409">
      <c r="A409" s="41"/>
      <c r="B409" s="41"/>
      <c r="C409" s="41"/>
      <c r="D409" s="41"/>
      <c r="E409" s="41"/>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37"/>
      <c r="AF409" s="37"/>
      <c r="AG409" s="37"/>
      <c r="AH409" s="37"/>
      <c r="AI409" s="37"/>
    </row>
    <row r="410">
      <c r="A410" s="41"/>
      <c r="B410" s="41"/>
      <c r="C410" s="41"/>
      <c r="D410" s="41"/>
      <c r="E410" s="41"/>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37"/>
      <c r="AF410" s="37"/>
      <c r="AG410" s="37"/>
      <c r="AH410" s="37"/>
      <c r="AI410" s="37"/>
    </row>
    <row r="411">
      <c r="A411" s="41"/>
      <c r="B411" s="41"/>
      <c r="C411" s="41"/>
      <c r="D411" s="41"/>
      <c r="E411" s="41"/>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37"/>
      <c r="AF411" s="37"/>
      <c r="AG411" s="37"/>
      <c r="AH411" s="37"/>
      <c r="AI411" s="37"/>
    </row>
    <row r="412">
      <c r="A412" s="41"/>
      <c r="B412" s="41"/>
      <c r="C412" s="41"/>
      <c r="D412" s="41"/>
      <c r="E412" s="41"/>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37"/>
      <c r="AF412" s="37"/>
      <c r="AG412" s="37"/>
      <c r="AH412" s="37"/>
      <c r="AI412" s="37"/>
    </row>
    <row r="413">
      <c r="A413" s="41"/>
      <c r="B413" s="41"/>
      <c r="C413" s="41"/>
      <c r="D413" s="41"/>
      <c r="E413" s="41"/>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37"/>
      <c r="AF413" s="37"/>
      <c r="AG413" s="37"/>
      <c r="AH413" s="37"/>
      <c r="AI413" s="37"/>
    </row>
    <row r="414">
      <c r="A414" s="41"/>
      <c r="B414" s="41"/>
      <c r="C414" s="41"/>
      <c r="D414" s="41"/>
      <c r="E414" s="41"/>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37"/>
      <c r="AF414" s="37"/>
      <c r="AG414" s="37"/>
      <c r="AH414" s="37"/>
      <c r="AI414" s="37"/>
    </row>
    <row r="415">
      <c r="A415" s="41"/>
      <c r="B415" s="41"/>
      <c r="C415" s="41"/>
      <c r="D415" s="41"/>
      <c r="E415" s="41"/>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37"/>
      <c r="AF415" s="37"/>
      <c r="AG415" s="37"/>
      <c r="AH415" s="37"/>
      <c r="AI415" s="37"/>
    </row>
    <row r="416">
      <c r="A416" s="41"/>
      <c r="B416" s="41"/>
      <c r="C416" s="41"/>
      <c r="D416" s="41"/>
      <c r="E416" s="41"/>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37"/>
      <c r="AF416" s="37"/>
      <c r="AG416" s="37"/>
      <c r="AH416" s="37"/>
      <c r="AI416" s="37"/>
    </row>
    <row r="417">
      <c r="A417" s="41"/>
      <c r="B417" s="41"/>
      <c r="C417" s="41"/>
      <c r="D417" s="41"/>
      <c r="E417" s="41"/>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37"/>
      <c r="AF417" s="37"/>
      <c r="AG417" s="37"/>
      <c r="AH417" s="37"/>
      <c r="AI417" s="37"/>
    </row>
    <row r="418">
      <c r="A418" s="41"/>
      <c r="B418" s="41"/>
      <c r="C418" s="41"/>
      <c r="D418" s="41"/>
      <c r="E418" s="41"/>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37"/>
      <c r="AF418" s="37"/>
      <c r="AG418" s="37"/>
      <c r="AH418" s="37"/>
      <c r="AI418" s="37"/>
    </row>
    <row r="419">
      <c r="A419" s="41"/>
      <c r="B419" s="41"/>
      <c r="C419" s="41"/>
      <c r="D419" s="41"/>
      <c r="E419" s="41"/>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37"/>
      <c r="AF419" s="37"/>
      <c r="AG419" s="37"/>
      <c r="AH419" s="37"/>
      <c r="AI419" s="37"/>
    </row>
    <row r="420">
      <c r="A420" s="41"/>
      <c r="B420" s="41"/>
      <c r="C420" s="41"/>
      <c r="D420" s="41"/>
      <c r="E420" s="41"/>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37"/>
      <c r="AF420" s="37"/>
      <c r="AG420" s="37"/>
      <c r="AH420" s="37"/>
      <c r="AI420" s="37"/>
    </row>
    <row r="421">
      <c r="A421" s="41"/>
      <c r="B421" s="41"/>
      <c r="C421" s="41"/>
      <c r="D421" s="41"/>
      <c r="E421" s="41"/>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37"/>
      <c r="AF421" s="37"/>
      <c r="AG421" s="37"/>
      <c r="AH421" s="37"/>
      <c r="AI421" s="37"/>
    </row>
    <row r="422">
      <c r="A422" s="41"/>
      <c r="B422" s="41"/>
      <c r="C422" s="41"/>
      <c r="D422" s="41"/>
      <c r="E422" s="41"/>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37"/>
      <c r="AF422" s="37"/>
      <c r="AG422" s="37"/>
      <c r="AH422" s="37"/>
      <c r="AI422" s="37"/>
    </row>
    <row r="423">
      <c r="A423" s="41"/>
      <c r="B423" s="41"/>
      <c r="C423" s="41"/>
      <c r="D423" s="41"/>
      <c r="E423" s="41"/>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37"/>
      <c r="AF423" s="37"/>
      <c r="AG423" s="37"/>
      <c r="AH423" s="37"/>
      <c r="AI423" s="37"/>
    </row>
    <row r="424">
      <c r="A424" s="41"/>
      <c r="B424" s="41"/>
      <c r="C424" s="41"/>
      <c r="D424" s="41"/>
      <c r="E424" s="41"/>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37"/>
      <c r="AF424" s="37"/>
      <c r="AG424" s="37"/>
      <c r="AH424" s="37"/>
      <c r="AI424" s="37"/>
    </row>
    <row r="425">
      <c r="A425" s="41"/>
      <c r="B425" s="41"/>
      <c r="C425" s="41"/>
      <c r="D425" s="41"/>
      <c r="E425" s="41"/>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37"/>
      <c r="AF425" s="37"/>
      <c r="AG425" s="37"/>
      <c r="AH425" s="37"/>
      <c r="AI425" s="37"/>
    </row>
    <row r="426">
      <c r="A426" s="41"/>
      <c r="B426" s="41"/>
      <c r="C426" s="41"/>
      <c r="D426" s="41"/>
      <c r="E426" s="41"/>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37"/>
      <c r="AF426" s="37"/>
      <c r="AG426" s="37"/>
      <c r="AH426" s="37"/>
      <c r="AI426" s="37"/>
    </row>
    <row r="427">
      <c r="A427" s="41"/>
      <c r="B427" s="41"/>
      <c r="C427" s="41"/>
      <c r="D427" s="41"/>
      <c r="E427" s="41"/>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37"/>
      <c r="AF427" s="37"/>
      <c r="AG427" s="37"/>
      <c r="AH427" s="37"/>
      <c r="AI427" s="37"/>
    </row>
    <row r="428">
      <c r="A428" s="41"/>
      <c r="B428" s="41"/>
      <c r="C428" s="41"/>
      <c r="D428" s="41"/>
      <c r="E428" s="41"/>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37"/>
      <c r="AF428" s="37"/>
      <c r="AG428" s="37"/>
      <c r="AH428" s="37"/>
      <c r="AI428" s="37"/>
    </row>
    <row r="429">
      <c r="A429" s="41"/>
      <c r="B429" s="41"/>
      <c r="C429" s="41"/>
      <c r="D429" s="41"/>
      <c r="E429" s="41"/>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37"/>
      <c r="AF429" s="37"/>
      <c r="AG429" s="37"/>
      <c r="AH429" s="37"/>
      <c r="AI429" s="37"/>
    </row>
    <row r="430">
      <c r="A430" s="41"/>
      <c r="B430" s="41"/>
      <c r="C430" s="41"/>
      <c r="D430" s="41"/>
      <c r="E430" s="41"/>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37"/>
      <c r="AF430" s="37"/>
      <c r="AG430" s="37"/>
      <c r="AH430" s="37"/>
      <c r="AI430" s="37"/>
    </row>
    <row r="431">
      <c r="A431" s="41"/>
      <c r="B431" s="41"/>
      <c r="C431" s="41"/>
      <c r="D431" s="41"/>
      <c r="E431" s="41"/>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37"/>
      <c r="AF431" s="37"/>
      <c r="AG431" s="37"/>
      <c r="AH431" s="37"/>
      <c r="AI431" s="37"/>
    </row>
    <row r="432">
      <c r="A432" s="41"/>
      <c r="B432" s="41"/>
      <c r="C432" s="41"/>
      <c r="D432" s="41"/>
      <c r="E432" s="41"/>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37"/>
      <c r="AF432" s="37"/>
      <c r="AG432" s="37"/>
      <c r="AH432" s="37"/>
      <c r="AI432" s="37"/>
    </row>
    <row r="433">
      <c r="A433" s="41"/>
      <c r="B433" s="41"/>
      <c r="C433" s="41"/>
      <c r="D433" s="41"/>
      <c r="E433" s="41"/>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37"/>
      <c r="AF433" s="37"/>
      <c r="AG433" s="37"/>
      <c r="AH433" s="37"/>
      <c r="AI433" s="37"/>
    </row>
    <row r="434">
      <c r="A434" s="41"/>
      <c r="B434" s="41"/>
      <c r="C434" s="41"/>
      <c r="D434" s="41"/>
      <c r="E434" s="41"/>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37"/>
      <c r="AF434" s="37"/>
      <c r="AG434" s="37"/>
      <c r="AH434" s="37"/>
      <c r="AI434" s="37"/>
    </row>
    <row r="435">
      <c r="A435" s="41"/>
      <c r="B435" s="41"/>
      <c r="C435" s="41"/>
      <c r="D435" s="41"/>
      <c r="E435" s="41"/>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37"/>
      <c r="AF435" s="37"/>
      <c r="AG435" s="37"/>
      <c r="AH435" s="37"/>
      <c r="AI435" s="37"/>
    </row>
    <row r="436">
      <c r="A436" s="41"/>
      <c r="B436" s="41"/>
      <c r="C436" s="41"/>
      <c r="D436" s="41"/>
      <c r="E436" s="41"/>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37"/>
      <c r="AF436" s="37"/>
      <c r="AG436" s="37"/>
      <c r="AH436" s="37"/>
      <c r="AI436" s="37"/>
    </row>
    <row r="437">
      <c r="A437" s="41"/>
      <c r="B437" s="41"/>
      <c r="C437" s="41"/>
      <c r="D437" s="41"/>
      <c r="E437" s="41"/>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37"/>
      <c r="AF437" s="37"/>
      <c r="AG437" s="37"/>
      <c r="AH437" s="37"/>
      <c r="AI437" s="37"/>
    </row>
    <row r="438">
      <c r="A438" s="41"/>
      <c r="B438" s="41"/>
      <c r="C438" s="41"/>
      <c r="D438" s="41"/>
      <c r="E438" s="41"/>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37"/>
      <c r="AF438" s="37"/>
      <c r="AG438" s="37"/>
      <c r="AH438" s="37"/>
      <c r="AI438" s="37"/>
    </row>
    <row r="439">
      <c r="A439" s="41"/>
      <c r="B439" s="41"/>
      <c r="C439" s="41"/>
      <c r="D439" s="41"/>
      <c r="E439" s="41"/>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37"/>
      <c r="AF439" s="37"/>
      <c r="AG439" s="37"/>
      <c r="AH439" s="37"/>
      <c r="AI439" s="37"/>
    </row>
    <row r="440">
      <c r="A440" s="41"/>
      <c r="B440" s="41"/>
      <c r="C440" s="41"/>
      <c r="D440" s="41"/>
      <c r="E440" s="41"/>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37"/>
      <c r="AF440" s="37"/>
      <c r="AG440" s="37"/>
      <c r="AH440" s="37"/>
      <c r="AI440" s="37"/>
    </row>
    <row r="441">
      <c r="A441" s="41"/>
      <c r="B441" s="41"/>
      <c r="C441" s="41"/>
      <c r="D441" s="41"/>
      <c r="E441" s="41"/>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37"/>
      <c r="AF441" s="37"/>
      <c r="AG441" s="37"/>
      <c r="AH441" s="37"/>
      <c r="AI441" s="37"/>
    </row>
    <row r="442">
      <c r="A442" s="41"/>
      <c r="B442" s="41"/>
      <c r="C442" s="41"/>
      <c r="D442" s="41"/>
      <c r="E442" s="41"/>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37"/>
      <c r="AF442" s="37"/>
      <c r="AG442" s="37"/>
      <c r="AH442" s="37"/>
      <c r="AI442" s="37"/>
    </row>
    <row r="443">
      <c r="A443" s="41"/>
      <c r="B443" s="41"/>
      <c r="C443" s="41"/>
      <c r="D443" s="41"/>
      <c r="E443" s="41"/>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37"/>
      <c r="AF443" s="37"/>
      <c r="AG443" s="37"/>
      <c r="AH443" s="37"/>
      <c r="AI443" s="37"/>
    </row>
    <row r="444">
      <c r="A444" s="41"/>
      <c r="B444" s="41"/>
      <c r="C444" s="41"/>
      <c r="D444" s="41"/>
      <c r="E444" s="41"/>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37"/>
      <c r="AF444" s="37"/>
      <c r="AG444" s="37"/>
      <c r="AH444" s="37"/>
      <c r="AI444" s="37"/>
    </row>
    <row r="445">
      <c r="A445" s="41"/>
      <c r="B445" s="41"/>
      <c r="C445" s="41"/>
      <c r="D445" s="41"/>
      <c r="E445" s="41"/>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37"/>
      <c r="AF445" s="37"/>
      <c r="AG445" s="37"/>
      <c r="AH445" s="37"/>
      <c r="AI445" s="37"/>
    </row>
    <row r="446">
      <c r="A446" s="41"/>
      <c r="B446" s="41"/>
      <c r="C446" s="41"/>
      <c r="D446" s="41"/>
      <c r="E446" s="41"/>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37"/>
      <c r="AF446" s="37"/>
      <c r="AG446" s="37"/>
      <c r="AH446" s="37"/>
      <c r="AI446" s="37"/>
    </row>
    <row r="447">
      <c r="A447" s="41"/>
      <c r="B447" s="41"/>
      <c r="C447" s="41"/>
      <c r="D447" s="41"/>
      <c r="E447" s="41"/>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37"/>
      <c r="AF447" s="37"/>
      <c r="AG447" s="37"/>
      <c r="AH447" s="37"/>
      <c r="AI447" s="37"/>
    </row>
    <row r="448">
      <c r="A448" s="41"/>
      <c r="B448" s="41"/>
      <c r="C448" s="41"/>
      <c r="D448" s="41"/>
      <c r="E448" s="41"/>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37"/>
      <c r="AF448" s="37"/>
      <c r="AG448" s="37"/>
      <c r="AH448" s="37"/>
      <c r="AI448" s="37"/>
    </row>
    <row r="449">
      <c r="A449" s="41"/>
      <c r="B449" s="41"/>
      <c r="C449" s="41"/>
      <c r="D449" s="41"/>
      <c r="E449" s="41"/>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37"/>
      <c r="AF449" s="37"/>
      <c r="AG449" s="37"/>
      <c r="AH449" s="37"/>
      <c r="AI449" s="37"/>
    </row>
    <row r="450">
      <c r="A450" s="41"/>
      <c r="B450" s="41"/>
      <c r="C450" s="41"/>
      <c r="D450" s="41"/>
      <c r="E450" s="41"/>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37"/>
      <c r="AF450" s="37"/>
      <c r="AG450" s="37"/>
      <c r="AH450" s="37"/>
      <c r="AI450" s="37"/>
    </row>
    <row r="451">
      <c r="A451" s="41"/>
      <c r="B451" s="41"/>
      <c r="C451" s="41"/>
      <c r="D451" s="41"/>
      <c r="E451" s="41"/>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37"/>
      <c r="AF451" s="37"/>
      <c r="AG451" s="37"/>
      <c r="AH451" s="37"/>
      <c r="AI451" s="37"/>
    </row>
    <row r="452">
      <c r="A452" s="41"/>
      <c r="B452" s="41"/>
      <c r="C452" s="41"/>
      <c r="D452" s="41"/>
      <c r="E452" s="41"/>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37"/>
      <c r="AF452" s="37"/>
      <c r="AG452" s="37"/>
      <c r="AH452" s="37"/>
      <c r="AI452" s="37"/>
    </row>
    <row r="453">
      <c r="A453" s="41"/>
      <c r="B453" s="41"/>
      <c r="C453" s="41"/>
      <c r="D453" s="41"/>
      <c r="E453" s="41"/>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37"/>
      <c r="AF453" s="37"/>
      <c r="AG453" s="37"/>
      <c r="AH453" s="37"/>
      <c r="AI453" s="37"/>
    </row>
    <row r="454">
      <c r="A454" s="41"/>
      <c r="B454" s="41"/>
      <c r="C454" s="41"/>
      <c r="D454" s="41"/>
      <c r="E454" s="41"/>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37"/>
      <c r="AF454" s="37"/>
      <c r="AG454" s="37"/>
      <c r="AH454" s="37"/>
      <c r="AI454" s="37"/>
    </row>
    <row r="455">
      <c r="A455" s="41"/>
      <c r="B455" s="41"/>
      <c r="C455" s="41"/>
      <c r="D455" s="41"/>
      <c r="E455" s="41"/>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37"/>
      <c r="AF455" s="37"/>
      <c r="AG455" s="37"/>
      <c r="AH455" s="37"/>
      <c r="AI455" s="37"/>
    </row>
    <row r="456">
      <c r="A456" s="41"/>
      <c r="B456" s="41"/>
      <c r="C456" s="41"/>
      <c r="D456" s="41"/>
      <c r="E456" s="41"/>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37"/>
      <c r="AF456" s="37"/>
      <c r="AG456" s="37"/>
      <c r="AH456" s="37"/>
      <c r="AI456" s="37"/>
    </row>
    <row r="457">
      <c r="A457" s="41"/>
      <c r="B457" s="41"/>
      <c r="C457" s="41"/>
      <c r="D457" s="41"/>
      <c r="E457" s="41"/>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37"/>
      <c r="AF457" s="37"/>
      <c r="AG457" s="37"/>
      <c r="AH457" s="37"/>
      <c r="AI457" s="37"/>
    </row>
    <row r="458">
      <c r="A458" s="41"/>
      <c r="B458" s="41"/>
      <c r="C458" s="41"/>
      <c r="D458" s="41"/>
      <c r="E458" s="41"/>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37"/>
      <c r="AF458" s="37"/>
      <c r="AG458" s="37"/>
      <c r="AH458" s="37"/>
      <c r="AI458" s="37"/>
    </row>
    <row r="459">
      <c r="A459" s="41"/>
      <c r="B459" s="41"/>
      <c r="C459" s="41"/>
      <c r="D459" s="41"/>
      <c r="E459" s="41"/>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37"/>
      <c r="AF459" s="37"/>
      <c r="AG459" s="37"/>
      <c r="AH459" s="37"/>
      <c r="AI459" s="37"/>
    </row>
    <row r="460">
      <c r="A460" s="41"/>
      <c r="B460" s="41"/>
      <c r="C460" s="41"/>
      <c r="D460" s="41"/>
      <c r="E460" s="41"/>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37"/>
      <c r="AF460" s="37"/>
      <c r="AG460" s="37"/>
      <c r="AH460" s="37"/>
      <c r="AI460" s="37"/>
    </row>
    <row r="461">
      <c r="A461" s="41"/>
      <c r="B461" s="41"/>
      <c r="C461" s="41"/>
      <c r="D461" s="41"/>
      <c r="E461" s="41"/>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37"/>
      <c r="AF461" s="37"/>
      <c r="AG461" s="37"/>
      <c r="AH461" s="37"/>
      <c r="AI461" s="37"/>
    </row>
    <row r="462">
      <c r="A462" s="41"/>
      <c r="B462" s="41"/>
      <c r="C462" s="41"/>
      <c r="D462" s="41"/>
      <c r="E462" s="41"/>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37"/>
      <c r="AF462" s="37"/>
      <c r="AG462" s="37"/>
      <c r="AH462" s="37"/>
      <c r="AI462" s="37"/>
    </row>
    <row r="463">
      <c r="A463" s="41"/>
      <c r="B463" s="41"/>
      <c r="C463" s="41"/>
      <c r="D463" s="41"/>
      <c r="E463" s="41"/>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37"/>
      <c r="AF463" s="37"/>
      <c r="AG463" s="37"/>
      <c r="AH463" s="37"/>
      <c r="AI463" s="37"/>
    </row>
    <row r="464">
      <c r="A464" s="41"/>
      <c r="B464" s="41"/>
      <c r="C464" s="41"/>
      <c r="D464" s="41"/>
      <c r="E464" s="41"/>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37"/>
      <c r="AF464" s="37"/>
      <c r="AG464" s="37"/>
      <c r="AH464" s="37"/>
      <c r="AI464" s="37"/>
    </row>
    <row r="465">
      <c r="A465" s="41"/>
      <c r="B465" s="41"/>
      <c r="C465" s="41"/>
      <c r="D465" s="41"/>
      <c r="E465" s="41"/>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37"/>
      <c r="AF465" s="37"/>
      <c r="AG465" s="37"/>
      <c r="AH465" s="37"/>
      <c r="AI465" s="37"/>
    </row>
    <row r="466">
      <c r="A466" s="41"/>
      <c r="B466" s="41"/>
      <c r="C466" s="41"/>
      <c r="D466" s="41"/>
      <c r="E466" s="41"/>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37"/>
      <c r="AF466" s="37"/>
      <c r="AG466" s="37"/>
      <c r="AH466" s="37"/>
      <c r="AI466" s="37"/>
    </row>
    <row r="467">
      <c r="A467" s="41"/>
      <c r="B467" s="41"/>
      <c r="C467" s="41"/>
      <c r="D467" s="41"/>
      <c r="E467" s="41"/>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37"/>
      <c r="AF467" s="37"/>
      <c r="AG467" s="37"/>
      <c r="AH467" s="37"/>
      <c r="AI467" s="37"/>
    </row>
    <row r="468">
      <c r="A468" s="41"/>
      <c r="B468" s="41"/>
      <c r="C468" s="41"/>
      <c r="D468" s="41"/>
      <c r="E468" s="41"/>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37"/>
      <c r="AF468" s="37"/>
      <c r="AG468" s="37"/>
      <c r="AH468" s="37"/>
      <c r="AI468" s="37"/>
    </row>
    <row r="469">
      <c r="A469" s="41"/>
      <c r="B469" s="41"/>
      <c r="C469" s="41"/>
      <c r="D469" s="41"/>
      <c r="E469" s="41"/>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37"/>
      <c r="AF469" s="37"/>
      <c r="AG469" s="37"/>
      <c r="AH469" s="37"/>
      <c r="AI469" s="37"/>
    </row>
    <row r="470">
      <c r="A470" s="41"/>
      <c r="B470" s="41"/>
      <c r="C470" s="41"/>
      <c r="D470" s="41"/>
      <c r="E470" s="41"/>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37"/>
      <c r="AF470" s="37"/>
      <c r="AG470" s="37"/>
      <c r="AH470" s="37"/>
      <c r="AI470" s="37"/>
    </row>
    <row r="471">
      <c r="A471" s="41"/>
      <c r="B471" s="41"/>
      <c r="C471" s="41"/>
      <c r="D471" s="41"/>
      <c r="E471" s="41"/>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37"/>
      <c r="AF471" s="37"/>
      <c r="AG471" s="37"/>
      <c r="AH471" s="37"/>
      <c r="AI471" s="37"/>
    </row>
    <row r="472">
      <c r="A472" s="41"/>
      <c r="B472" s="41"/>
      <c r="C472" s="41"/>
      <c r="D472" s="41"/>
      <c r="E472" s="41"/>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37"/>
      <c r="AF472" s="37"/>
      <c r="AG472" s="37"/>
      <c r="AH472" s="37"/>
      <c r="AI472" s="37"/>
    </row>
    <row r="473">
      <c r="A473" s="41"/>
      <c r="B473" s="41"/>
      <c r="C473" s="41"/>
      <c r="D473" s="41"/>
      <c r="E473" s="41"/>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37"/>
      <c r="AF473" s="37"/>
      <c r="AG473" s="37"/>
      <c r="AH473" s="37"/>
      <c r="AI473" s="37"/>
    </row>
    <row r="474">
      <c r="A474" s="41"/>
      <c r="B474" s="41"/>
      <c r="C474" s="41"/>
      <c r="D474" s="41"/>
      <c r="E474" s="41"/>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37"/>
      <c r="AF474" s="37"/>
      <c r="AG474" s="37"/>
      <c r="AH474" s="37"/>
      <c r="AI474" s="37"/>
    </row>
    <row r="475">
      <c r="A475" s="41"/>
      <c r="B475" s="41"/>
      <c r="C475" s="41"/>
      <c r="D475" s="41"/>
      <c r="E475" s="41"/>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37"/>
      <c r="AF475" s="37"/>
      <c r="AG475" s="37"/>
      <c r="AH475" s="37"/>
      <c r="AI475" s="37"/>
    </row>
    <row r="476">
      <c r="A476" s="41"/>
      <c r="B476" s="41"/>
      <c r="C476" s="41"/>
      <c r="D476" s="41"/>
      <c r="E476" s="41"/>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37"/>
      <c r="AF476" s="37"/>
      <c r="AG476" s="37"/>
      <c r="AH476" s="37"/>
      <c r="AI476" s="37"/>
    </row>
    <row r="477">
      <c r="A477" s="41"/>
      <c r="B477" s="41"/>
      <c r="C477" s="41"/>
      <c r="D477" s="41"/>
      <c r="E477" s="41"/>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37"/>
      <c r="AF477" s="37"/>
      <c r="AG477" s="37"/>
      <c r="AH477" s="37"/>
      <c r="AI477" s="37"/>
    </row>
    <row r="478">
      <c r="A478" s="41"/>
      <c r="B478" s="41"/>
      <c r="C478" s="41"/>
      <c r="D478" s="41"/>
      <c r="E478" s="41"/>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37"/>
      <c r="AF478" s="37"/>
      <c r="AG478" s="37"/>
      <c r="AH478" s="37"/>
      <c r="AI478" s="37"/>
    </row>
    <row r="479">
      <c r="A479" s="41"/>
      <c r="B479" s="41"/>
      <c r="C479" s="41"/>
      <c r="D479" s="41"/>
      <c r="E479" s="41"/>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37"/>
      <c r="AF479" s="37"/>
      <c r="AG479" s="37"/>
      <c r="AH479" s="37"/>
      <c r="AI479" s="37"/>
    </row>
    <row r="480">
      <c r="A480" s="41"/>
      <c r="B480" s="41"/>
      <c r="C480" s="41"/>
      <c r="D480" s="41"/>
      <c r="E480" s="41"/>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37"/>
      <c r="AF480" s="37"/>
      <c r="AG480" s="37"/>
      <c r="AH480" s="37"/>
      <c r="AI480" s="37"/>
    </row>
    <row r="481">
      <c r="A481" s="41"/>
      <c r="B481" s="41"/>
      <c r="C481" s="41"/>
      <c r="D481" s="41"/>
      <c r="E481" s="41"/>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37"/>
      <c r="AF481" s="37"/>
      <c r="AG481" s="37"/>
      <c r="AH481" s="37"/>
      <c r="AI481" s="37"/>
    </row>
    <row r="482">
      <c r="A482" s="41"/>
      <c r="B482" s="41"/>
      <c r="C482" s="41"/>
      <c r="D482" s="41"/>
      <c r="E482" s="41"/>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37"/>
      <c r="AF482" s="37"/>
      <c r="AG482" s="37"/>
      <c r="AH482" s="37"/>
      <c r="AI482" s="37"/>
    </row>
    <row r="483">
      <c r="A483" s="41"/>
      <c r="B483" s="41"/>
      <c r="C483" s="41"/>
      <c r="D483" s="41"/>
      <c r="E483" s="41"/>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37"/>
      <c r="AF483" s="37"/>
      <c r="AG483" s="37"/>
      <c r="AH483" s="37"/>
      <c r="AI483" s="37"/>
    </row>
    <row r="484">
      <c r="A484" s="41"/>
      <c r="B484" s="41"/>
      <c r="C484" s="41"/>
      <c r="D484" s="41"/>
      <c r="E484" s="41"/>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37"/>
      <c r="AF484" s="37"/>
      <c r="AG484" s="37"/>
      <c r="AH484" s="37"/>
      <c r="AI484" s="37"/>
    </row>
    <row r="485">
      <c r="A485" s="41"/>
      <c r="B485" s="41"/>
      <c r="C485" s="41"/>
      <c r="D485" s="41"/>
      <c r="E485" s="41"/>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37"/>
      <c r="AF485" s="37"/>
      <c r="AG485" s="37"/>
      <c r="AH485" s="37"/>
      <c r="AI485" s="37"/>
    </row>
    <row r="486">
      <c r="A486" s="41"/>
      <c r="B486" s="41"/>
      <c r="C486" s="41"/>
      <c r="D486" s="41"/>
      <c r="E486" s="41"/>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37"/>
      <c r="AF486" s="37"/>
      <c r="AG486" s="37"/>
      <c r="AH486" s="37"/>
      <c r="AI486" s="37"/>
    </row>
    <row r="487">
      <c r="A487" s="41"/>
      <c r="B487" s="41"/>
      <c r="C487" s="41"/>
      <c r="D487" s="41"/>
      <c r="E487" s="41"/>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37"/>
      <c r="AF487" s="37"/>
      <c r="AG487" s="37"/>
      <c r="AH487" s="37"/>
      <c r="AI487" s="37"/>
    </row>
    <row r="488">
      <c r="A488" s="41"/>
      <c r="B488" s="41"/>
      <c r="C488" s="41"/>
      <c r="D488" s="41"/>
      <c r="E488" s="41"/>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37"/>
      <c r="AF488" s="37"/>
      <c r="AG488" s="37"/>
      <c r="AH488" s="37"/>
      <c r="AI488" s="37"/>
    </row>
    <row r="489">
      <c r="A489" s="41"/>
      <c r="B489" s="41"/>
      <c r="C489" s="41"/>
      <c r="D489" s="41"/>
      <c r="E489" s="41"/>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37"/>
      <c r="AF489" s="37"/>
      <c r="AG489" s="37"/>
      <c r="AH489" s="37"/>
      <c r="AI489" s="37"/>
    </row>
    <row r="490">
      <c r="A490" s="41"/>
      <c r="B490" s="41"/>
      <c r="C490" s="41"/>
      <c r="D490" s="41"/>
      <c r="E490" s="41"/>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37"/>
      <c r="AF490" s="37"/>
      <c r="AG490" s="37"/>
      <c r="AH490" s="37"/>
      <c r="AI490" s="37"/>
    </row>
    <row r="491">
      <c r="A491" s="41"/>
      <c r="B491" s="41"/>
      <c r="C491" s="41"/>
      <c r="D491" s="41"/>
      <c r="E491" s="41"/>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37"/>
      <c r="AF491" s="37"/>
      <c r="AG491" s="37"/>
      <c r="AH491" s="37"/>
      <c r="AI491" s="37"/>
    </row>
    <row r="492">
      <c r="A492" s="41"/>
      <c r="B492" s="41"/>
      <c r="C492" s="41"/>
      <c r="D492" s="41"/>
      <c r="E492" s="41"/>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37"/>
      <c r="AF492" s="37"/>
      <c r="AG492" s="37"/>
      <c r="AH492" s="37"/>
      <c r="AI492" s="37"/>
    </row>
    <row r="493">
      <c r="A493" s="41"/>
      <c r="B493" s="41"/>
      <c r="C493" s="41"/>
      <c r="D493" s="41"/>
      <c r="E493" s="41"/>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37"/>
      <c r="AF493" s="37"/>
      <c r="AG493" s="37"/>
      <c r="AH493" s="37"/>
      <c r="AI493" s="37"/>
    </row>
    <row r="494">
      <c r="A494" s="41"/>
      <c r="B494" s="41"/>
      <c r="C494" s="41"/>
      <c r="D494" s="41"/>
      <c r="E494" s="41"/>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37"/>
      <c r="AF494" s="37"/>
      <c r="AG494" s="37"/>
      <c r="AH494" s="37"/>
      <c r="AI494" s="37"/>
    </row>
    <row r="495">
      <c r="A495" s="41"/>
      <c r="B495" s="41"/>
      <c r="C495" s="41"/>
      <c r="D495" s="41"/>
      <c r="E495" s="41"/>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37"/>
      <c r="AF495" s="37"/>
      <c r="AG495" s="37"/>
      <c r="AH495" s="37"/>
      <c r="AI495" s="37"/>
    </row>
    <row r="496">
      <c r="A496" s="41"/>
      <c r="B496" s="41"/>
      <c r="C496" s="41"/>
      <c r="D496" s="41"/>
      <c r="E496" s="41"/>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37"/>
      <c r="AF496" s="37"/>
      <c r="AG496" s="37"/>
      <c r="AH496" s="37"/>
      <c r="AI496" s="37"/>
    </row>
    <row r="497">
      <c r="A497" s="41"/>
      <c r="B497" s="41"/>
      <c r="C497" s="41"/>
      <c r="D497" s="41"/>
      <c r="E497" s="41"/>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37"/>
      <c r="AF497" s="37"/>
      <c r="AG497" s="37"/>
      <c r="AH497" s="37"/>
      <c r="AI497" s="37"/>
    </row>
    <row r="498">
      <c r="A498" s="41"/>
      <c r="B498" s="41"/>
      <c r="C498" s="41"/>
      <c r="D498" s="41"/>
      <c r="E498" s="41"/>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37"/>
      <c r="AF498" s="37"/>
      <c r="AG498" s="37"/>
      <c r="AH498" s="37"/>
      <c r="AI498" s="37"/>
    </row>
    <row r="499">
      <c r="A499" s="41"/>
      <c r="B499" s="41"/>
      <c r="C499" s="41"/>
      <c r="D499" s="41"/>
      <c r="E499" s="41"/>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37"/>
      <c r="AF499" s="37"/>
      <c r="AG499" s="37"/>
      <c r="AH499" s="37"/>
      <c r="AI499" s="37"/>
    </row>
    <row r="500">
      <c r="A500" s="41"/>
      <c r="B500" s="41"/>
      <c r="C500" s="41"/>
      <c r="D500" s="41"/>
      <c r="E500" s="41"/>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37"/>
      <c r="AF500" s="37"/>
      <c r="AG500" s="37"/>
      <c r="AH500" s="37"/>
      <c r="AI500" s="37"/>
    </row>
    <row r="501">
      <c r="A501" s="41"/>
      <c r="B501" s="41"/>
      <c r="C501" s="41"/>
      <c r="D501" s="41"/>
      <c r="E501" s="41"/>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37"/>
      <c r="AF501" s="37"/>
      <c r="AG501" s="37"/>
      <c r="AH501" s="37"/>
      <c r="AI501" s="37"/>
    </row>
    <row r="502">
      <c r="A502" s="41"/>
      <c r="B502" s="41"/>
      <c r="C502" s="41"/>
      <c r="D502" s="41"/>
      <c r="E502" s="41"/>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37"/>
      <c r="AF502" s="37"/>
      <c r="AG502" s="37"/>
      <c r="AH502" s="37"/>
      <c r="AI502" s="37"/>
    </row>
    <row r="503">
      <c r="A503" s="41"/>
      <c r="B503" s="41"/>
      <c r="C503" s="41"/>
      <c r="D503" s="41"/>
      <c r="E503" s="41"/>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37"/>
      <c r="AF503" s="37"/>
      <c r="AG503" s="37"/>
      <c r="AH503" s="37"/>
      <c r="AI503" s="37"/>
    </row>
    <row r="504">
      <c r="A504" s="41"/>
      <c r="B504" s="41"/>
      <c r="C504" s="41"/>
      <c r="D504" s="41"/>
      <c r="E504" s="41"/>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37"/>
      <c r="AF504" s="37"/>
      <c r="AG504" s="37"/>
      <c r="AH504" s="37"/>
      <c r="AI504" s="37"/>
    </row>
    <row r="505">
      <c r="A505" s="41"/>
      <c r="B505" s="41"/>
      <c r="C505" s="41"/>
      <c r="D505" s="41"/>
      <c r="E505" s="41"/>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37"/>
      <c r="AF505" s="37"/>
      <c r="AG505" s="37"/>
      <c r="AH505" s="37"/>
      <c r="AI505" s="37"/>
    </row>
    <row r="506">
      <c r="A506" s="41"/>
      <c r="B506" s="41"/>
      <c r="C506" s="41"/>
      <c r="D506" s="41"/>
      <c r="E506" s="41"/>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37"/>
      <c r="AF506" s="37"/>
      <c r="AG506" s="37"/>
      <c r="AH506" s="37"/>
      <c r="AI506" s="37"/>
    </row>
    <row r="507">
      <c r="A507" s="41"/>
      <c r="B507" s="41"/>
      <c r="C507" s="41"/>
      <c r="D507" s="41"/>
      <c r="E507" s="41"/>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37"/>
      <c r="AF507" s="37"/>
      <c r="AG507" s="37"/>
      <c r="AH507" s="37"/>
      <c r="AI507" s="37"/>
    </row>
    <row r="508">
      <c r="A508" s="41"/>
      <c r="B508" s="41"/>
      <c r="C508" s="41"/>
      <c r="D508" s="41"/>
      <c r="E508" s="41"/>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37"/>
      <c r="AF508" s="37"/>
      <c r="AG508" s="37"/>
      <c r="AH508" s="37"/>
      <c r="AI508" s="37"/>
    </row>
    <row r="509">
      <c r="A509" s="41"/>
      <c r="B509" s="41"/>
      <c r="C509" s="41"/>
      <c r="D509" s="41"/>
      <c r="E509" s="41"/>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37"/>
      <c r="AF509" s="37"/>
      <c r="AG509" s="37"/>
      <c r="AH509" s="37"/>
      <c r="AI509" s="37"/>
    </row>
    <row r="510">
      <c r="A510" s="41"/>
      <c r="B510" s="41"/>
      <c r="C510" s="41"/>
      <c r="D510" s="41"/>
      <c r="E510" s="41"/>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37"/>
      <c r="AF510" s="37"/>
      <c r="AG510" s="37"/>
      <c r="AH510" s="37"/>
      <c r="AI510" s="37"/>
    </row>
    <row r="511">
      <c r="A511" s="41"/>
      <c r="B511" s="41"/>
      <c r="C511" s="41"/>
      <c r="D511" s="41"/>
      <c r="E511" s="41"/>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37"/>
      <c r="AF511" s="37"/>
      <c r="AG511" s="37"/>
      <c r="AH511" s="37"/>
      <c r="AI511" s="37"/>
    </row>
    <row r="512">
      <c r="A512" s="41"/>
      <c r="B512" s="41"/>
      <c r="C512" s="41"/>
      <c r="D512" s="41"/>
      <c r="E512" s="41"/>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37"/>
      <c r="AF512" s="37"/>
      <c r="AG512" s="37"/>
      <c r="AH512" s="37"/>
      <c r="AI512" s="37"/>
    </row>
    <row r="513">
      <c r="A513" s="41"/>
      <c r="B513" s="41"/>
      <c r="C513" s="41"/>
      <c r="D513" s="41"/>
      <c r="E513" s="41"/>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37"/>
      <c r="AF513" s="37"/>
      <c r="AG513" s="37"/>
      <c r="AH513" s="37"/>
      <c r="AI513" s="37"/>
    </row>
    <row r="514">
      <c r="A514" s="41"/>
      <c r="B514" s="41"/>
      <c r="C514" s="41"/>
      <c r="D514" s="41"/>
      <c r="E514" s="41"/>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37"/>
      <c r="AF514" s="37"/>
      <c r="AG514" s="37"/>
      <c r="AH514" s="37"/>
      <c r="AI514" s="37"/>
    </row>
    <row r="515">
      <c r="A515" s="41"/>
      <c r="B515" s="41"/>
      <c r="C515" s="41"/>
      <c r="D515" s="41"/>
      <c r="E515" s="41"/>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37"/>
      <c r="AF515" s="37"/>
      <c r="AG515" s="37"/>
      <c r="AH515" s="37"/>
      <c r="AI515" s="37"/>
    </row>
    <row r="516">
      <c r="A516" s="41"/>
      <c r="B516" s="41"/>
      <c r="C516" s="41"/>
      <c r="D516" s="41"/>
      <c r="E516" s="41"/>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37"/>
      <c r="AF516" s="37"/>
      <c r="AG516" s="37"/>
      <c r="AH516" s="37"/>
      <c r="AI516" s="37"/>
    </row>
    <row r="517">
      <c r="A517" s="41"/>
      <c r="B517" s="41"/>
      <c r="C517" s="41"/>
      <c r="D517" s="41"/>
      <c r="E517" s="41"/>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37"/>
      <c r="AF517" s="37"/>
      <c r="AG517" s="37"/>
      <c r="AH517" s="37"/>
      <c r="AI517" s="37"/>
    </row>
    <row r="518">
      <c r="A518" s="41"/>
      <c r="B518" s="41"/>
      <c r="C518" s="41"/>
      <c r="D518" s="41"/>
      <c r="E518" s="41"/>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37"/>
      <c r="AF518" s="37"/>
      <c r="AG518" s="37"/>
      <c r="AH518" s="37"/>
      <c r="AI518" s="37"/>
    </row>
    <row r="519">
      <c r="A519" s="41"/>
      <c r="B519" s="41"/>
      <c r="C519" s="41"/>
      <c r="D519" s="41"/>
      <c r="E519" s="41"/>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37"/>
      <c r="AF519" s="37"/>
      <c r="AG519" s="37"/>
      <c r="AH519" s="37"/>
      <c r="AI519" s="37"/>
    </row>
    <row r="520">
      <c r="A520" s="41"/>
      <c r="B520" s="41"/>
      <c r="C520" s="41"/>
      <c r="D520" s="41"/>
      <c r="E520" s="41"/>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37"/>
      <c r="AF520" s="37"/>
      <c r="AG520" s="37"/>
      <c r="AH520" s="37"/>
      <c r="AI520" s="37"/>
    </row>
    <row r="521">
      <c r="A521" s="41"/>
      <c r="B521" s="41"/>
      <c r="C521" s="41"/>
      <c r="D521" s="41"/>
      <c r="E521" s="41"/>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37"/>
      <c r="AF521" s="37"/>
      <c r="AG521" s="37"/>
      <c r="AH521" s="37"/>
      <c r="AI521" s="37"/>
    </row>
    <row r="522">
      <c r="A522" s="41"/>
      <c r="B522" s="41"/>
      <c r="C522" s="41"/>
      <c r="D522" s="41"/>
      <c r="E522" s="41"/>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37"/>
      <c r="AF522" s="37"/>
      <c r="AG522" s="37"/>
      <c r="AH522" s="37"/>
      <c r="AI522" s="37"/>
    </row>
    <row r="523">
      <c r="A523" s="41"/>
      <c r="B523" s="41"/>
      <c r="C523" s="41"/>
      <c r="D523" s="41"/>
      <c r="E523" s="41"/>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37"/>
      <c r="AF523" s="37"/>
      <c r="AG523" s="37"/>
      <c r="AH523" s="37"/>
      <c r="AI523" s="37"/>
    </row>
    <row r="524">
      <c r="A524" s="41"/>
      <c r="B524" s="41"/>
      <c r="C524" s="41"/>
      <c r="D524" s="41"/>
      <c r="E524" s="41"/>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37"/>
      <c r="AF524" s="37"/>
      <c r="AG524" s="37"/>
      <c r="AH524" s="37"/>
      <c r="AI524" s="37"/>
    </row>
    <row r="525">
      <c r="A525" s="41"/>
      <c r="B525" s="41"/>
      <c r="C525" s="41"/>
      <c r="D525" s="41"/>
      <c r="E525" s="41"/>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37"/>
      <c r="AF525" s="37"/>
      <c r="AG525" s="37"/>
      <c r="AH525" s="37"/>
      <c r="AI525" s="37"/>
    </row>
    <row r="526">
      <c r="A526" s="41"/>
      <c r="B526" s="41"/>
      <c r="C526" s="41"/>
      <c r="D526" s="41"/>
      <c r="E526" s="41"/>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37"/>
      <c r="AF526" s="37"/>
      <c r="AG526" s="37"/>
      <c r="AH526" s="37"/>
      <c r="AI526" s="37"/>
    </row>
    <row r="527">
      <c r="A527" s="41"/>
      <c r="B527" s="41"/>
      <c r="C527" s="41"/>
      <c r="D527" s="41"/>
      <c r="E527" s="41"/>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37"/>
      <c r="AF527" s="37"/>
      <c r="AG527" s="37"/>
      <c r="AH527" s="37"/>
      <c r="AI527" s="37"/>
    </row>
    <row r="528">
      <c r="A528" s="41"/>
      <c r="B528" s="41"/>
      <c r="C528" s="41"/>
      <c r="D528" s="41"/>
      <c r="E528" s="41"/>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37"/>
      <c r="AF528" s="37"/>
      <c r="AG528" s="37"/>
      <c r="AH528" s="37"/>
      <c r="AI528" s="37"/>
    </row>
    <row r="529">
      <c r="A529" s="41"/>
      <c r="B529" s="41"/>
      <c r="C529" s="41"/>
      <c r="D529" s="41"/>
      <c r="E529" s="41"/>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37"/>
      <c r="AF529" s="37"/>
      <c r="AG529" s="37"/>
      <c r="AH529" s="37"/>
      <c r="AI529" s="37"/>
    </row>
    <row r="530">
      <c r="A530" s="41"/>
      <c r="B530" s="41"/>
      <c r="C530" s="41"/>
      <c r="D530" s="41"/>
      <c r="E530" s="41"/>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37"/>
      <c r="AF530" s="37"/>
      <c r="AG530" s="37"/>
      <c r="AH530" s="37"/>
      <c r="AI530" s="37"/>
    </row>
    <row r="531">
      <c r="A531" s="41"/>
      <c r="B531" s="41"/>
      <c r="C531" s="41"/>
      <c r="D531" s="41"/>
      <c r="E531" s="41"/>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37"/>
      <c r="AF531" s="37"/>
      <c r="AG531" s="37"/>
      <c r="AH531" s="37"/>
      <c r="AI531" s="37"/>
    </row>
    <row r="532">
      <c r="A532" s="41"/>
      <c r="B532" s="41"/>
      <c r="C532" s="41"/>
      <c r="D532" s="41"/>
      <c r="E532" s="41"/>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37"/>
      <c r="AF532" s="37"/>
      <c r="AG532" s="37"/>
      <c r="AH532" s="37"/>
      <c r="AI532" s="37"/>
    </row>
    <row r="533">
      <c r="A533" s="41"/>
      <c r="B533" s="41"/>
      <c r="C533" s="41"/>
      <c r="D533" s="41"/>
      <c r="E533" s="41"/>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37"/>
      <c r="AF533" s="37"/>
      <c r="AG533" s="37"/>
      <c r="AH533" s="37"/>
      <c r="AI533" s="37"/>
    </row>
    <row r="534">
      <c r="A534" s="41"/>
      <c r="B534" s="41"/>
      <c r="C534" s="41"/>
      <c r="D534" s="41"/>
      <c r="E534" s="41"/>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37"/>
      <c r="AF534" s="37"/>
      <c r="AG534" s="37"/>
      <c r="AH534" s="37"/>
      <c r="AI534" s="37"/>
    </row>
    <row r="535">
      <c r="A535" s="41"/>
      <c r="B535" s="41"/>
      <c r="C535" s="41"/>
      <c r="D535" s="41"/>
      <c r="E535" s="41"/>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37"/>
      <c r="AF535" s="37"/>
      <c r="AG535" s="37"/>
      <c r="AH535" s="37"/>
      <c r="AI535" s="37"/>
    </row>
    <row r="536">
      <c r="A536" s="41"/>
      <c r="B536" s="41"/>
      <c r="C536" s="41"/>
      <c r="D536" s="41"/>
      <c r="E536" s="41"/>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37"/>
      <c r="AF536" s="37"/>
      <c r="AG536" s="37"/>
      <c r="AH536" s="37"/>
      <c r="AI536" s="37"/>
    </row>
    <row r="537">
      <c r="A537" s="41"/>
      <c r="B537" s="41"/>
      <c r="C537" s="41"/>
      <c r="D537" s="41"/>
      <c r="E537" s="41"/>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37"/>
      <c r="AF537" s="37"/>
      <c r="AG537" s="37"/>
      <c r="AH537" s="37"/>
      <c r="AI537" s="37"/>
    </row>
    <row r="538">
      <c r="A538" s="41"/>
      <c r="B538" s="41"/>
      <c r="C538" s="41"/>
      <c r="D538" s="41"/>
      <c r="E538" s="41"/>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37"/>
      <c r="AF538" s="37"/>
      <c r="AG538" s="37"/>
      <c r="AH538" s="37"/>
      <c r="AI538" s="37"/>
    </row>
    <row r="539">
      <c r="A539" s="41"/>
      <c r="B539" s="41"/>
      <c r="C539" s="41"/>
      <c r="D539" s="41"/>
      <c r="E539" s="41"/>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37"/>
      <c r="AF539" s="37"/>
      <c r="AG539" s="37"/>
      <c r="AH539" s="37"/>
      <c r="AI539" s="37"/>
    </row>
    <row r="540">
      <c r="A540" s="41"/>
      <c r="B540" s="41"/>
      <c r="C540" s="41"/>
      <c r="D540" s="41"/>
      <c r="E540" s="41"/>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37"/>
      <c r="AF540" s="37"/>
      <c r="AG540" s="37"/>
      <c r="AH540" s="37"/>
      <c r="AI540" s="37"/>
    </row>
    <row r="541">
      <c r="A541" s="41"/>
      <c r="B541" s="41"/>
      <c r="C541" s="41"/>
      <c r="D541" s="41"/>
      <c r="E541" s="41"/>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37"/>
      <c r="AF541" s="37"/>
      <c r="AG541" s="37"/>
      <c r="AH541" s="37"/>
      <c r="AI541" s="37"/>
    </row>
    <row r="542">
      <c r="A542" s="41"/>
      <c r="B542" s="41"/>
      <c r="C542" s="41"/>
      <c r="D542" s="41"/>
      <c r="E542" s="41"/>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37"/>
      <c r="AF542" s="37"/>
      <c r="AG542" s="37"/>
      <c r="AH542" s="37"/>
      <c r="AI542" s="37"/>
    </row>
    <row r="543">
      <c r="A543" s="41"/>
      <c r="B543" s="41"/>
      <c r="C543" s="41"/>
      <c r="D543" s="41"/>
      <c r="E543" s="41"/>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37"/>
      <c r="AF543" s="37"/>
      <c r="AG543" s="37"/>
      <c r="AH543" s="37"/>
      <c r="AI543" s="37"/>
    </row>
    <row r="544">
      <c r="A544" s="41"/>
      <c r="B544" s="41"/>
      <c r="C544" s="41"/>
      <c r="D544" s="41"/>
      <c r="E544" s="41"/>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37"/>
      <c r="AF544" s="37"/>
      <c r="AG544" s="37"/>
      <c r="AH544" s="37"/>
      <c r="AI544" s="37"/>
    </row>
    <row r="545">
      <c r="A545" s="41"/>
      <c r="B545" s="41"/>
      <c r="C545" s="41"/>
      <c r="D545" s="41"/>
      <c r="E545" s="41"/>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37"/>
      <c r="AF545" s="37"/>
      <c r="AG545" s="37"/>
      <c r="AH545" s="37"/>
      <c r="AI545" s="37"/>
    </row>
    <row r="546">
      <c r="A546" s="41"/>
      <c r="B546" s="41"/>
      <c r="C546" s="41"/>
      <c r="D546" s="41"/>
      <c r="E546" s="41"/>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37"/>
      <c r="AF546" s="37"/>
      <c r="AG546" s="37"/>
      <c r="AH546" s="37"/>
      <c r="AI546" s="37"/>
    </row>
    <row r="547">
      <c r="A547" s="41"/>
      <c r="B547" s="41"/>
      <c r="C547" s="41"/>
      <c r="D547" s="41"/>
      <c r="E547" s="41"/>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37"/>
      <c r="AF547" s="37"/>
      <c r="AG547" s="37"/>
      <c r="AH547" s="37"/>
      <c r="AI547" s="37"/>
    </row>
    <row r="548">
      <c r="A548" s="41"/>
      <c r="B548" s="41"/>
      <c r="C548" s="41"/>
      <c r="D548" s="41"/>
      <c r="E548" s="41"/>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37"/>
      <c r="AF548" s="37"/>
      <c r="AG548" s="37"/>
      <c r="AH548" s="37"/>
      <c r="AI548" s="37"/>
    </row>
    <row r="549">
      <c r="A549" s="41"/>
      <c r="B549" s="41"/>
      <c r="C549" s="41"/>
      <c r="D549" s="41"/>
      <c r="E549" s="41"/>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37"/>
      <c r="AF549" s="37"/>
      <c r="AG549" s="37"/>
      <c r="AH549" s="37"/>
      <c r="AI549" s="37"/>
    </row>
    <row r="550">
      <c r="A550" s="41"/>
      <c r="B550" s="41"/>
      <c r="C550" s="41"/>
      <c r="D550" s="41"/>
      <c r="E550" s="41"/>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37"/>
      <c r="AF550" s="37"/>
      <c r="AG550" s="37"/>
      <c r="AH550" s="37"/>
      <c r="AI550" s="37"/>
    </row>
    <row r="551">
      <c r="A551" s="41"/>
      <c r="B551" s="41"/>
      <c r="C551" s="41"/>
      <c r="D551" s="41"/>
      <c r="E551" s="41"/>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37"/>
      <c r="AF551" s="37"/>
      <c r="AG551" s="37"/>
      <c r="AH551" s="37"/>
      <c r="AI551" s="37"/>
    </row>
    <row r="552">
      <c r="A552" s="41"/>
      <c r="B552" s="41"/>
      <c r="C552" s="41"/>
      <c r="D552" s="41"/>
      <c r="E552" s="41"/>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37"/>
      <c r="AF552" s="37"/>
      <c r="AG552" s="37"/>
      <c r="AH552" s="37"/>
      <c r="AI552" s="37"/>
    </row>
    <row r="553">
      <c r="A553" s="41"/>
      <c r="B553" s="41"/>
      <c r="C553" s="41"/>
      <c r="D553" s="41"/>
      <c r="E553" s="41"/>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37"/>
      <c r="AF553" s="37"/>
      <c r="AG553" s="37"/>
      <c r="AH553" s="37"/>
      <c r="AI553" s="37"/>
    </row>
    <row r="554">
      <c r="A554" s="41"/>
      <c r="B554" s="41"/>
      <c r="C554" s="41"/>
      <c r="D554" s="41"/>
      <c r="E554" s="41"/>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37"/>
      <c r="AF554" s="37"/>
      <c r="AG554" s="37"/>
      <c r="AH554" s="37"/>
      <c r="AI554" s="37"/>
    </row>
    <row r="555">
      <c r="A555" s="41"/>
      <c r="B555" s="41"/>
      <c r="C555" s="41"/>
      <c r="D555" s="41"/>
      <c r="E555" s="41"/>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37"/>
      <c r="AF555" s="37"/>
      <c r="AG555" s="37"/>
      <c r="AH555" s="37"/>
      <c r="AI555" s="37"/>
    </row>
    <row r="556">
      <c r="A556" s="41"/>
      <c r="B556" s="41"/>
      <c r="C556" s="41"/>
      <c r="D556" s="41"/>
      <c r="E556" s="41"/>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37"/>
      <c r="AF556" s="37"/>
      <c r="AG556" s="37"/>
      <c r="AH556" s="37"/>
      <c r="AI556" s="37"/>
    </row>
    <row r="557">
      <c r="A557" s="41"/>
      <c r="B557" s="41"/>
      <c r="C557" s="41"/>
      <c r="D557" s="41"/>
      <c r="E557" s="41"/>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37"/>
      <c r="AF557" s="37"/>
      <c r="AG557" s="37"/>
      <c r="AH557" s="37"/>
      <c r="AI557" s="37"/>
    </row>
    <row r="558">
      <c r="A558" s="41"/>
      <c r="B558" s="41"/>
      <c r="C558" s="41"/>
      <c r="D558" s="41"/>
      <c r="E558" s="41"/>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37"/>
      <c r="AF558" s="37"/>
      <c r="AG558" s="37"/>
      <c r="AH558" s="37"/>
      <c r="AI558" s="37"/>
    </row>
    <row r="559">
      <c r="A559" s="41"/>
      <c r="B559" s="41"/>
      <c r="C559" s="41"/>
      <c r="D559" s="41"/>
      <c r="E559" s="41"/>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37"/>
      <c r="AF559" s="37"/>
      <c r="AG559" s="37"/>
      <c r="AH559" s="37"/>
      <c r="AI559" s="37"/>
    </row>
    <row r="560">
      <c r="A560" s="41"/>
      <c r="B560" s="41"/>
      <c r="C560" s="41"/>
      <c r="D560" s="41"/>
      <c r="E560" s="41"/>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37"/>
      <c r="AF560" s="37"/>
      <c r="AG560" s="37"/>
      <c r="AH560" s="37"/>
      <c r="AI560" s="37"/>
    </row>
    <row r="561">
      <c r="A561" s="41"/>
      <c r="B561" s="41"/>
      <c r="C561" s="41"/>
      <c r="D561" s="41"/>
      <c r="E561" s="41"/>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37"/>
      <c r="AF561" s="37"/>
      <c r="AG561" s="37"/>
      <c r="AH561" s="37"/>
      <c r="AI561" s="37"/>
    </row>
    <row r="562">
      <c r="A562" s="41"/>
      <c r="B562" s="41"/>
      <c r="C562" s="41"/>
      <c r="D562" s="41"/>
      <c r="E562" s="41"/>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37"/>
      <c r="AF562" s="37"/>
      <c r="AG562" s="37"/>
      <c r="AH562" s="37"/>
      <c r="AI562" s="37"/>
    </row>
    <row r="563">
      <c r="A563" s="41"/>
      <c r="B563" s="41"/>
      <c r="C563" s="41"/>
      <c r="D563" s="41"/>
      <c r="E563" s="41"/>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37"/>
      <c r="AF563" s="37"/>
      <c r="AG563" s="37"/>
      <c r="AH563" s="37"/>
      <c r="AI563" s="37"/>
    </row>
    <row r="564">
      <c r="A564" s="41"/>
      <c r="B564" s="41"/>
      <c r="C564" s="41"/>
      <c r="D564" s="41"/>
      <c r="E564" s="41"/>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37"/>
      <c r="AF564" s="37"/>
      <c r="AG564" s="37"/>
      <c r="AH564" s="37"/>
      <c r="AI564" s="37"/>
    </row>
    <row r="565">
      <c r="A565" s="41"/>
      <c r="B565" s="41"/>
      <c r="C565" s="41"/>
      <c r="D565" s="41"/>
      <c r="E565" s="41"/>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37"/>
      <c r="AF565" s="37"/>
      <c r="AG565" s="37"/>
      <c r="AH565" s="37"/>
      <c r="AI565" s="37"/>
    </row>
    <row r="566">
      <c r="A566" s="41"/>
      <c r="B566" s="41"/>
      <c r="C566" s="41"/>
      <c r="D566" s="41"/>
      <c r="E566" s="41"/>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37"/>
      <c r="AF566" s="37"/>
      <c r="AG566" s="37"/>
      <c r="AH566" s="37"/>
      <c r="AI566" s="37"/>
    </row>
    <row r="567">
      <c r="A567" s="41"/>
      <c r="B567" s="41"/>
      <c r="C567" s="41"/>
      <c r="D567" s="41"/>
      <c r="E567" s="41"/>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37"/>
      <c r="AF567" s="37"/>
      <c r="AG567" s="37"/>
      <c r="AH567" s="37"/>
      <c r="AI567" s="37"/>
    </row>
    <row r="568">
      <c r="A568" s="41"/>
      <c r="B568" s="41"/>
      <c r="C568" s="41"/>
      <c r="D568" s="41"/>
      <c r="E568" s="41"/>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37"/>
      <c r="AF568" s="37"/>
      <c r="AG568" s="37"/>
      <c r="AH568" s="37"/>
      <c r="AI568" s="37"/>
    </row>
    <row r="569">
      <c r="A569" s="41"/>
      <c r="B569" s="41"/>
      <c r="C569" s="41"/>
      <c r="D569" s="41"/>
      <c r="E569" s="41"/>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37"/>
      <c r="AF569" s="37"/>
      <c r="AG569" s="37"/>
      <c r="AH569" s="37"/>
      <c r="AI569" s="37"/>
    </row>
    <row r="570">
      <c r="A570" s="41"/>
      <c r="B570" s="41"/>
      <c r="C570" s="41"/>
      <c r="D570" s="41"/>
      <c r="E570" s="41"/>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37"/>
      <c r="AF570" s="37"/>
      <c r="AG570" s="37"/>
      <c r="AH570" s="37"/>
      <c r="AI570" s="37"/>
    </row>
    <row r="571">
      <c r="A571" s="41"/>
      <c r="B571" s="41"/>
      <c r="C571" s="41"/>
      <c r="D571" s="41"/>
      <c r="E571" s="41"/>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37"/>
      <c r="AF571" s="37"/>
      <c r="AG571" s="37"/>
      <c r="AH571" s="37"/>
      <c r="AI571" s="37"/>
    </row>
    <row r="572">
      <c r="A572" s="41"/>
      <c r="B572" s="41"/>
      <c r="C572" s="41"/>
      <c r="D572" s="41"/>
      <c r="E572" s="41"/>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37"/>
      <c r="AF572" s="37"/>
      <c r="AG572" s="37"/>
      <c r="AH572" s="37"/>
      <c r="AI572" s="37"/>
    </row>
    <row r="573">
      <c r="A573" s="41"/>
      <c r="B573" s="41"/>
      <c r="C573" s="41"/>
      <c r="D573" s="41"/>
      <c r="E573" s="41"/>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37"/>
      <c r="AF573" s="37"/>
      <c r="AG573" s="37"/>
      <c r="AH573" s="37"/>
      <c r="AI573" s="37"/>
    </row>
    <row r="574">
      <c r="A574" s="41"/>
      <c r="B574" s="41"/>
      <c r="C574" s="41"/>
      <c r="D574" s="41"/>
      <c r="E574" s="41"/>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37"/>
      <c r="AF574" s="37"/>
      <c r="AG574" s="37"/>
      <c r="AH574" s="37"/>
      <c r="AI574" s="37"/>
    </row>
    <row r="575">
      <c r="A575" s="41"/>
      <c r="B575" s="41"/>
      <c r="C575" s="41"/>
      <c r="D575" s="41"/>
      <c r="E575" s="41"/>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37"/>
      <c r="AF575" s="37"/>
      <c r="AG575" s="37"/>
      <c r="AH575" s="37"/>
      <c r="AI575" s="37"/>
    </row>
    <row r="576">
      <c r="A576" s="41"/>
      <c r="B576" s="41"/>
      <c r="C576" s="41"/>
      <c r="D576" s="41"/>
      <c r="E576" s="41"/>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37"/>
      <c r="AF576" s="37"/>
      <c r="AG576" s="37"/>
      <c r="AH576" s="37"/>
      <c r="AI576" s="37"/>
    </row>
    <row r="577">
      <c r="A577" s="41"/>
      <c r="B577" s="41"/>
      <c r="C577" s="41"/>
      <c r="D577" s="41"/>
      <c r="E577" s="41"/>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37"/>
      <c r="AF577" s="37"/>
      <c r="AG577" s="37"/>
      <c r="AH577" s="37"/>
      <c r="AI577" s="37"/>
    </row>
    <row r="578">
      <c r="A578" s="41"/>
      <c r="B578" s="41"/>
      <c r="C578" s="41"/>
      <c r="D578" s="41"/>
      <c r="E578" s="41"/>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37"/>
      <c r="AF578" s="37"/>
      <c r="AG578" s="37"/>
      <c r="AH578" s="37"/>
      <c r="AI578" s="37"/>
    </row>
    <row r="579">
      <c r="A579" s="41"/>
      <c r="B579" s="41"/>
      <c r="C579" s="41"/>
      <c r="D579" s="41"/>
      <c r="E579" s="41"/>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37"/>
      <c r="AF579" s="37"/>
      <c r="AG579" s="37"/>
      <c r="AH579" s="37"/>
      <c r="AI579" s="37"/>
    </row>
    <row r="580">
      <c r="A580" s="41"/>
      <c r="B580" s="41"/>
      <c r="C580" s="41"/>
      <c r="D580" s="41"/>
      <c r="E580" s="41"/>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37"/>
      <c r="AF580" s="37"/>
      <c r="AG580" s="37"/>
      <c r="AH580" s="37"/>
      <c r="AI580" s="37"/>
    </row>
    <row r="581">
      <c r="A581" s="41"/>
      <c r="B581" s="41"/>
      <c r="C581" s="41"/>
      <c r="D581" s="41"/>
      <c r="E581" s="41"/>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37"/>
      <c r="AF581" s="37"/>
      <c r="AG581" s="37"/>
      <c r="AH581" s="37"/>
      <c r="AI581" s="37"/>
    </row>
    <row r="582">
      <c r="A582" s="41"/>
      <c r="B582" s="41"/>
      <c r="C582" s="41"/>
      <c r="D582" s="41"/>
      <c r="E582" s="41"/>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37"/>
      <c r="AF582" s="37"/>
      <c r="AG582" s="37"/>
      <c r="AH582" s="37"/>
      <c r="AI582" s="37"/>
    </row>
    <row r="583">
      <c r="A583" s="41"/>
      <c r="B583" s="41"/>
      <c r="C583" s="41"/>
      <c r="D583" s="41"/>
      <c r="E583" s="41"/>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37"/>
      <c r="AF583" s="37"/>
      <c r="AG583" s="37"/>
      <c r="AH583" s="37"/>
      <c r="AI583" s="37"/>
    </row>
    <row r="584">
      <c r="A584" s="41"/>
      <c r="B584" s="41"/>
      <c r="C584" s="41"/>
      <c r="D584" s="41"/>
      <c r="E584" s="41"/>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37"/>
      <c r="AF584" s="37"/>
      <c r="AG584" s="37"/>
      <c r="AH584" s="37"/>
      <c r="AI584" s="37"/>
    </row>
    <row r="585">
      <c r="A585" s="41"/>
      <c r="B585" s="41"/>
      <c r="C585" s="41"/>
      <c r="D585" s="41"/>
      <c r="E585" s="41"/>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37"/>
      <c r="AF585" s="37"/>
      <c r="AG585" s="37"/>
      <c r="AH585" s="37"/>
      <c r="AI585" s="37"/>
    </row>
    <row r="586">
      <c r="A586" s="41"/>
      <c r="B586" s="41"/>
      <c r="C586" s="41"/>
      <c r="D586" s="41"/>
      <c r="E586" s="41"/>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37"/>
      <c r="AF586" s="37"/>
      <c r="AG586" s="37"/>
      <c r="AH586" s="37"/>
      <c r="AI586" s="37"/>
    </row>
    <row r="587">
      <c r="A587" s="41"/>
      <c r="B587" s="41"/>
      <c r="C587" s="41"/>
      <c r="D587" s="41"/>
      <c r="E587" s="41"/>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37"/>
      <c r="AF587" s="37"/>
      <c r="AG587" s="37"/>
      <c r="AH587" s="37"/>
      <c r="AI587" s="37"/>
    </row>
    <row r="588">
      <c r="A588" s="41"/>
      <c r="B588" s="41"/>
      <c r="C588" s="41"/>
      <c r="D588" s="41"/>
      <c r="E588" s="41"/>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37"/>
      <c r="AF588" s="37"/>
      <c r="AG588" s="37"/>
      <c r="AH588" s="37"/>
      <c r="AI588" s="37"/>
    </row>
    <row r="589">
      <c r="A589" s="41"/>
      <c r="B589" s="41"/>
      <c r="C589" s="41"/>
      <c r="D589" s="41"/>
      <c r="E589" s="41"/>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37"/>
      <c r="AF589" s="37"/>
      <c r="AG589" s="37"/>
      <c r="AH589" s="37"/>
      <c r="AI589" s="37"/>
    </row>
    <row r="590">
      <c r="A590" s="41"/>
      <c r="B590" s="41"/>
      <c r="C590" s="41"/>
      <c r="D590" s="41"/>
      <c r="E590" s="41"/>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37"/>
      <c r="AF590" s="37"/>
      <c r="AG590" s="37"/>
      <c r="AH590" s="37"/>
      <c r="AI590" s="37"/>
    </row>
    <row r="591">
      <c r="A591" s="41"/>
      <c r="B591" s="41"/>
      <c r="C591" s="41"/>
      <c r="D591" s="41"/>
      <c r="E591" s="41"/>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37"/>
      <c r="AF591" s="37"/>
      <c r="AG591" s="37"/>
      <c r="AH591" s="37"/>
      <c r="AI591" s="37"/>
    </row>
    <row r="592">
      <c r="A592" s="41"/>
      <c r="B592" s="41"/>
      <c r="C592" s="41"/>
      <c r="D592" s="41"/>
      <c r="E592" s="41"/>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37"/>
      <c r="AF592" s="37"/>
      <c r="AG592" s="37"/>
      <c r="AH592" s="37"/>
      <c r="AI592" s="37"/>
    </row>
    <row r="593">
      <c r="A593" s="41"/>
      <c r="B593" s="41"/>
      <c r="C593" s="41"/>
      <c r="D593" s="41"/>
      <c r="E593" s="41"/>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37"/>
      <c r="AF593" s="37"/>
      <c r="AG593" s="37"/>
      <c r="AH593" s="37"/>
      <c r="AI593" s="37"/>
    </row>
    <row r="594">
      <c r="A594" s="41"/>
      <c r="B594" s="41"/>
      <c r="C594" s="41"/>
      <c r="D594" s="41"/>
      <c r="E594" s="41"/>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37"/>
      <c r="AF594" s="37"/>
      <c r="AG594" s="37"/>
      <c r="AH594" s="37"/>
      <c r="AI594" s="37"/>
    </row>
    <row r="595">
      <c r="A595" s="41"/>
      <c r="B595" s="41"/>
      <c r="C595" s="41"/>
      <c r="D595" s="41"/>
      <c r="E595" s="41"/>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37"/>
      <c r="AF595" s="37"/>
      <c r="AG595" s="37"/>
      <c r="AH595" s="37"/>
      <c r="AI595" s="37"/>
    </row>
    <row r="596">
      <c r="A596" s="41"/>
      <c r="B596" s="41"/>
      <c r="C596" s="41"/>
      <c r="D596" s="41"/>
      <c r="E596" s="41"/>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37"/>
      <c r="AF596" s="37"/>
      <c r="AG596" s="37"/>
      <c r="AH596" s="37"/>
      <c r="AI596" s="37"/>
    </row>
    <row r="597">
      <c r="A597" s="41"/>
      <c r="B597" s="41"/>
      <c r="C597" s="41"/>
      <c r="D597" s="41"/>
      <c r="E597" s="41"/>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37"/>
      <c r="AF597" s="37"/>
      <c r="AG597" s="37"/>
      <c r="AH597" s="37"/>
      <c r="AI597" s="37"/>
    </row>
    <row r="598">
      <c r="A598" s="41"/>
      <c r="B598" s="41"/>
      <c r="C598" s="41"/>
      <c r="D598" s="41"/>
      <c r="E598" s="41"/>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37"/>
      <c r="AF598" s="37"/>
      <c r="AG598" s="37"/>
      <c r="AH598" s="37"/>
      <c r="AI598" s="37"/>
    </row>
    <row r="599">
      <c r="A599" s="41"/>
      <c r="B599" s="41"/>
      <c r="C599" s="41"/>
      <c r="D599" s="41"/>
      <c r="E599" s="41"/>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37"/>
      <c r="AF599" s="37"/>
      <c r="AG599" s="37"/>
      <c r="AH599" s="37"/>
      <c r="AI599" s="37"/>
    </row>
    <row r="600">
      <c r="A600" s="41"/>
      <c r="B600" s="41"/>
      <c r="C600" s="41"/>
      <c r="D600" s="41"/>
      <c r="E600" s="41"/>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37"/>
      <c r="AF600" s="37"/>
      <c r="AG600" s="37"/>
      <c r="AH600" s="37"/>
      <c r="AI600" s="37"/>
    </row>
    <row r="601">
      <c r="A601" s="41"/>
      <c r="B601" s="41"/>
      <c r="C601" s="41"/>
      <c r="D601" s="41"/>
      <c r="E601" s="41"/>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37"/>
      <c r="AF601" s="37"/>
      <c r="AG601" s="37"/>
      <c r="AH601" s="37"/>
      <c r="AI601" s="37"/>
    </row>
    <row r="602">
      <c r="A602" s="41"/>
      <c r="B602" s="41"/>
      <c r="C602" s="41"/>
      <c r="D602" s="41"/>
      <c r="E602" s="41"/>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37"/>
      <c r="AF602" s="37"/>
      <c r="AG602" s="37"/>
      <c r="AH602" s="37"/>
      <c r="AI602" s="37"/>
    </row>
    <row r="603">
      <c r="A603" s="41"/>
      <c r="B603" s="41"/>
      <c r="C603" s="41"/>
      <c r="D603" s="41"/>
      <c r="E603" s="41"/>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37"/>
      <c r="AF603" s="37"/>
      <c r="AG603" s="37"/>
      <c r="AH603" s="37"/>
      <c r="AI603" s="37"/>
    </row>
    <row r="604">
      <c r="A604" s="41"/>
      <c r="B604" s="41"/>
      <c r="C604" s="41"/>
      <c r="D604" s="41"/>
      <c r="E604" s="41"/>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37"/>
      <c r="AF604" s="37"/>
      <c r="AG604" s="37"/>
      <c r="AH604" s="37"/>
      <c r="AI604" s="37"/>
    </row>
    <row r="605">
      <c r="A605" s="41"/>
      <c r="B605" s="41"/>
      <c r="C605" s="41"/>
      <c r="D605" s="41"/>
      <c r="E605" s="41"/>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37"/>
      <c r="AF605" s="37"/>
      <c r="AG605" s="37"/>
      <c r="AH605" s="37"/>
      <c r="AI605" s="37"/>
    </row>
    <row r="606">
      <c r="A606" s="41"/>
      <c r="B606" s="41"/>
      <c r="C606" s="41"/>
      <c r="D606" s="41"/>
      <c r="E606" s="41"/>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37"/>
      <c r="AF606" s="37"/>
      <c r="AG606" s="37"/>
      <c r="AH606" s="37"/>
      <c r="AI606" s="37"/>
    </row>
    <row r="607">
      <c r="A607" s="41"/>
      <c r="B607" s="41"/>
      <c r="C607" s="41"/>
      <c r="D607" s="41"/>
      <c r="E607" s="41"/>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37"/>
      <c r="AF607" s="37"/>
      <c r="AG607" s="37"/>
      <c r="AH607" s="37"/>
      <c r="AI607" s="37"/>
    </row>
    <row r="608">
      <c r="A608" s="41"/>
      <c r="B608" s="41"/>
      <c r="C608" s="41"/>
      <c r="D608" s="41"/>
      <c r="E608" s="41"/>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37"/>
      <c r="AF608" s="37"/>
      <c r="AG608" s="37"/>
      <c r="AH608" s="37"/>
      <c r="AI608" s="37"/>
    </row>
    <row r="609">
      <c r="A609" s="41"/>
      <c r="B609" s="41"/>
      <c r="C609" s="41"/>
      <c r="D609" s="41"/>
      <c r="E609" s="41"/>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37"/>
      <c r="AF609" s="37"/>
      <c r="AG609" s="37"/>
      <c r="AH609" s="37"/>
      <c r="AI609" s="37"/>
    </row>
    <row r="610">
      <c r="A610" s="41"/>
      <c r="B610" s="41"/>
      <c r="C610" s="41"/>
      <c r="D610" s="41"/>
      <c r="E610" s="41"/>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37"/>
      <c r="AF610" s="37"/>
      <c r="AG610" s="37"/>
      <c r="AH610" s="37"/>
      <c r="AI610" s="37"/>
    </row>
    <row r="611">
      <c r="A611" s="41"/>
      <c r="B611" s="41"/>
      <c r="C611" s="41"/>
      <c r="D611" s="41"/>
      <c r="E611" s="41"/>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37"/>
      <c r="AF611" s="37"/>
      <c r="AG611" s="37"/>
      <c r="AH611" s="37"/>
      <c r="AI611" s="37"/>
    </row>
    <row r="612">
      <c r="A612" s="41"/>
      <c r="B612" s="41"/>
      <c r="C612" s="41"/>
      <c r="D612" s="41"/>
      <c r="E612" s="41"/>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37"/>
      <c r="AF612" s="37"/>
      <c r="AG612" s="37"/>
      <c r="AH612" s="37"/>
      <c r="AI612" s="37"/>
    </row>
    <row r="613">
      <c r="A613" s="41"/>
      <c r="B613" s="41"/>
      <c r="C613" s="41"/>
      <c r="D613" s="41"/>
      <c r="E613" s="41"/>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37"/>
      <c r="AF613" s="37"/>
      <c r="AG613" s="37"/>
      <c r="AH613" s="37"/>
      <c r="AI613" s="37"/>
    </row>
    <row r="614">
      <c r="A614" s="41"/>
      <c r="B614" s="41"/>
      <c r="C614" s="41"/>
      <c r="D614" s="41"/>
      <c r="E614" s="41"/>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37"/>
      <c r="AF614" s="37"/>
      <c r="AG614" s="37"/>
      <c r="AH614" s="37"/>
      <c r="AI614" s="37"/>
    </row>
    <row r="615">
      <c r="A615" s="41"/>
      <c r="B615" s="41"/>
      <c r="C615" s="41"/>
      <c r="D615" s="41"/>
      <c r="E615" s="41"/>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37"/>
      <c r="AF615" s="37"/>
      <c r="AG615" s="37"/>
      <c r="AH615" s="37"/>
      <c r="AI615" s="37"/>
    </row>
    <row r="616">
      <c r="A616" s="41"/>
      <c r="B616" s="41"/>
      <c r="C616" s="41"/>
      <c r="D616" s="41"/>
      <c r="E616" s="41"/>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37"/>
      <c r="AF616" s="37"/>
      <c r="AG616" s="37"/>
      <c r="AH616" s="37"/>
      <c r="AI616" s="37"/>
    </row>
    <row r="617">
      <c r="A617" s="41"/>
      <c r="B617" s="41"/>
      <c r="C617" s="41"/>
      <c r="D617" s="41"/>
      <c r="E617" s="41"/>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37"/>
      <c r="AF617" s="37"/>
      <c r="AG617" s="37"/>
      <c r="AH617" s="37"/>
      <c r="AI617" s="37"/>
    </row>
    <row r="618">
      <c r="A618" s="41"/>
      <c r="B618" s="41"/>
      <c r="C618" s="41"/>
      <c r="D618" s="41"/>
      <c r="E618" s="41"/>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37"/>
      <c r="AF618" s="37"/>
      <c r="AG618" s="37"/>
      <c r="AH618" s="37"/>
      <c r="AI618" s="37"/>
    </row>
    <row r="619">
      <c r="A619" s="41"/>
      <c r="B619" s="41"/>
      <c r="C619" s="41"/>
      <c r="D619" s="41"/>
      <c r="E619" s="41"/>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37"/>
      <c r="AF619" s="37"/>
      <c r="AG619" s="37"/>
      <c r="AH619" s="37"/>
      <c r="AI619" s="37"/>
    </row>
    <row r="620">
      <c r="A620" s="41"/>
      <c r="B620" s="41"/>
      <c r="C620" s="41"/>
      <c r="D620" s="41"/>
      <c r="E620" s="41"/>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37"/>
      <c r="AF620" s="37"/>
      <c r="AG620" s="37"/>
      <c r="AH620" s="37"/>
      <c r="AI620" s="37"/>
    </row>
    <row r="621">
      <c r="A621" s="41"/>
      <c r="B621" s="41"/>
      <c r="C621" s="41"/>
      <c r="D621" s="41"/>
      <c r="E621" s="41"/>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37"/>
      <c r="AF621" s="37"/>
      <c r="AG621" s="37"/>
      <c r="AH621" s="37"/>
      <c r="AI621" s="37"/>
    </row>
    <row r="622">
      <c r="A622" s="41"/>
      <c r="B622" s="41"/>
      <c r="C622" s="41"/>
      <c r="D622" s="41"/>
      <c r="E622" s="41"/>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37"/>
      <c r="AF622" s="37"/>
      <c r="AG622" s="37"/>
      <c r="AH622" s="37"/>
      <c r="AI622" s="37"/>
    </row>
    <row r="623">
      <c r="A623" s="41"/>
      <c r="B623" s="41"/>
      <c r="C623" s="41"/>
      <c r="D623" s="41"/>
      <c r="E623" s="41"/>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37"/>
      <c r="AF623" s="37"/>
      <c r="AG623" s="37"/>
      <c r="AH623" s="37"/>
      <c r="AI623" s="37"/>
    </row>
    <row r="624">
      <c r="A624" s="41"/>
      <c r="B624" s="41"/>
      <c r="C624" s="41"/>
      <c r="D624" s="41"/>
      <c r="E624" s="41"/>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37"/>
      <c r="AF624" s="37"/>
      <c r="AG624" s="37"/>
      <c r="AH624" s="37"/>
      <c r="AI624" s="37"/>
    </row>
    <row r="625">
      <c r="A625" s="41"/>
      <c r="B625" s="41"/>
      <c r="C625" s="41"/>
      <c r="D625" s="41"/>
      <c r="E625" s="41"/>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37"/>
      <c r="AF625" s="37"/>
      <c r="AG625" s="37"/>
      <c r="AH625" s="37"/>
      <c r="AI625" s="37"/>
    </row>
    <row r="626">
      <c r="A626" s="41"/>
      <c r="B626" s="41"/>
      <c r="C626" s="41"/>
      <c r="D626" s="41"/>
      <c r="E626" s="41"/>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37"/>
      <c r="AF626" s="37"/>
      <c r="AG626" s="37"/>
      <c r="AH626" s="37"/>
      <c r="AI626" s="37"/>
    </row>
    <row r="627">
      <c r="A627" s="41"/>
      <c r="B627" s="41"/>
      <c r="C627" s="41"/>
      <c r="D627" s="41"/>
      <c r="E627" s="41"/>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37"/>
      <c r="AF627" s="37"/>
      <c r="AG627" s="37"/>
      <c r="AH627" s="37"/>
      <c r="AI627" s="37"/>
    </row>
    <row r="628">
      <c r="A628" s="41"/>
      <c r="B628" s="41"/>
      <c r="C628" s="41"/>
      <c r="D628" s="41"/>
      <c r="E628" s="41"/>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37"/>
      <c r="AF628" s="37"/>
      <c r="AG628" s="37"/>
      <c r="AH628" s="37"/>
      <c r="AI628" s="37"/>
    </row>
    <row r="629">
      <c r="A629" s="41"/>
      <c r="B629" s="41"/>
      <c r="C629" s="41"/>
      <c r="D629" s="41"/>
      <c r="E629" s="41"/>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37"/>
      <c r="AF629" s="37"/>
      <c r="AG629" s="37"/>
      <c r="AH629" s="37"/>
      <c r="AI629" s="37"/>
    </row>
    <row r="630">
      <c r="A630" s="41"/>
      <c r="B630" s="41"/>
      <c r="C630" s="41"/>
      <c r="D630" s="41"/>
      <c r="E630" s="41"/>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37"/>
      <c r="AF630" s="37"/>
      <c r="AG630" s="37"/>
      <c r="AH630" s="37"/>
      <c r="AI630" s="37"/>
    </row>
    <row r="631">
      <c r="A631" s="41"/>
      <c r="B631" s="41"/>
      <c r="C631" s="41"/>
      <c r="D631" s="41"/>
      <c r="E631" s="41"/>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37"/>
      <c r="AF631" s="37"/>
      <c r="AG631" s="37"/>
      <c r="AH631" s="37"/>
      <c r="AI631" s="37"/>
    </row>
    <row r="632">
      <c r="A632" s="41"/>
      <c r="B632" s="41"/>
      <c r="C632" s="41"/>
      <c r="D632" s="41"/>
      <c r="E632" s="41"/>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37"/>
      <c r="AF632" s="37"/>
      <c r="AG632" s="37"/>
      <c r="AH632" s="37"/>
      <c r="AI632" s="37"/>
    </row>
    <row r="633">
      <c r="A633" s="41"/>
      <c r="B633" s="41"/>
      <c r="C633" s="41"/>
      <c r="D633" s="41"/>
      <c r="E633" s="41"/>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37"/>
      <c r="AF633" s="37"/>
      <c r="AG633" s="37"/>
      <c r="AH633" s="37"/>
      <c r="AI633" s="37"/>
    </row>
    <row r="634">
      <c r="A634" s="41"/>
      <c r="B634" s="41"/>
      <c r="C634" s="41"/>
      <c r="D634" s="41"/>
      <c r="E634" s="41"/>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37"/>
      <c r="AF634" s="37"/>
      <c r="AG634" s="37"/>
      <c r="AH634" s="37"/>
      <c r="AI634" s="37"/>
    </row>
    <row r="635">
      <c r="A635" s="41"/>
      <c r="B635" s="41"/>
      <c r="C635" s="41"/>
      <c r="D635" s="41"/>
      <c r="E635" s="41"/>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37"/>
      <c r="AF635" s="37"/>
      <c r="AG635" s="37"/>
      <c r="AH635" s="37"/>
      <c r="AI635" s="37"/>
    </row>
    <row r="636">
      <c r="A636" s="41"/>
      <c r="B636" s="41"/>
      <c r="C636" s="41"/>
      <c r="D636" s="41"/>
      <c r="E636" s="41"/>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37"/>
      <c r="AF636" s="37"/>
      <c r="AG636" s="37"/>
      <c r="AH636" s="37"/>
      <c r="AI636" s="37"/>
    </row>
    <row r="637">
      <c r="A637" s="41"/>
      <c r="B637" s="41"/>
      <c r="C637" s="41"/>
      <c r="D637" s="41"/>
      <c r="E637" s="41"/>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37"/>
      <c r="AF637" s="37"/>
      <c r="AG637" s="37"/>
      <c r="AH637" s="37"/>
      <c r="AI637" s="37"/>
    </row>
    <row r="638">
      <c r="A638" s="41"/>
      <c r="B638" s="41"/>
      <c r="C638" s="41"/>
      <c r="D638" s="41"/>
      <c r="E638" s="41"/>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37"/>
      <c r="AF638" s="37"/>
      <c r="AG638" s="37"/>
      <c r="AH638" s="37"/>
      <c r="AI638" s="37"/>
    </row>
    <row r="639">
      <c r="A639" s="41"/>
      <c r="B639" s="41"/>
      <c r="C639" s="41"/>
      <c r="D639" s="41"/>
      <c r="E639" s="41"/>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37"/>
      <c r="AF639" s="37"/>
      <c r="AG639" s="37"/>
      <c r="AH639" s="37"/>
      <c r="AI639" s="37"/>
    </row>
    <row r="640">
      <c r="A640" s="41"/>
      <c r="B640" s="41"/>
      <c r="C640" s="41"/>
      <c r="D640" s="41"/>
      <c r="E640" s="41"/>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37"/>
      <c r="AF640" s="37"/>
      <c r="AG640" s="37"/>
      <c r="AH640" s="37"/>
      <c r="AI640" s="37"/>
    </row>
    <row r="641">
      <c r="A641" s="41"/>
      <c r="B641" s="41"/>
      <c r="C641" s="41"/>
      <c r="D641" s="41"/>
      <c r="E641" s="41"/>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37"/>
      <c r="AF641" s="37"/>
      <c r="AG641" s="37"/>
      <c r="AH641" s="37"/>
      <c r="AI641" s="37"/>
    </row>
    <row r="642">
      <c r="A642" s="41"/>
      <c r="B642" s="41"/>
      <c r="C642" s="41"/>
      <c r="D642" s="41"/>
      <c r="E642" s="41"/>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37"/>
      <c r="AF642" s="37"/>
      <c r="AG642" s="37"/>
      <c r="AH642" s="37"/>
      <c r="AI642" s="37"/>
    </row>
    <row r="643">
      <c r="A643" s="41"/>
      <c r="B643" s="41"/>
      <c r="C643" s="41"/>
      <c r="D643" s="41"/>
      <c r="E643" s="41"/>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37"/>
      <c r="AF643" s="37"/>
      <c r="AG643" s="37"/>
      <c r="AH643" s="37"/>
      <c r="AI643" s="37"/>
    </row>
    <row r="644">
      <c r="A644" s="41"/>
      <c r="B644" s="41"/>
      <c r="C644" s="41"/>
      <c r="D644" s="41"/>
      <c r="E644" s="41"/>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37"/>
      <c r="AF644" s="37"/>
      <c r="AG644" s="37"/>
      <c r="AH644" s="37"/>
      <c r="AI644" s="37"/>
    </row>
    <row r="645">
      <c r="A645" s="41"/>
      <c r="B645" s="41"/>
      <c r="C645" s="41"/>
      <c r="D645" s="41"/>
      <c r="E645" s="41"/>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37"/>
      <c r="AF645" s="37"/>
      <c r="AG645" s="37"/>
      <c r="AH645" s="37"/>
      <c r="AI645" s="37"/>
    </row>
    <row r="646">
      <c r="A646" s="41"/>
      <c r="B646" s="41"/>
      <c r="C646" s="41"/>
      <c r="D646" s="41"/>
      <c r="E646" s="41"/>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37"/>
      <c r="AF646" s="37"/>
      <c r="AG646" s="37"/>
      <c r="AH646" s="37"/>
      <c r="AI646" s="37"/>
    </row>
    <row r="647">
      <c r="A647" s="41"/>
      <c r="B647" s="41"/>
      <c r="C647" s="41"/>
      <c r="D647" s="41"/>
      <c r="E647" s="41"/>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37"/>
      <c r="AF647" s="37"/>
      <c r="AG647" s="37"/>
      <c r="AH647" s="37"/>
      <c r="AI647" s="37"/>
    </row>
    <row r="648">
      <c r="A648" s="41"/>
      <c r="B648" s="41"/>
      <c r="C648" s="41"/>
      <c r="D648" s="41"/>
      <c r="E648" s="41"/>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37"/>
      <c r="AF648" s="37"/>
      <c r="AG648" s="37"/>
      <c r="AH648" s="37"/>
      <c r="AI648" s="37"/>
    </row>
    <row r="649">
      <c r="A649" s="41"/>
      <c r="B649" s="41"/>
      <c r="C649" s="41"/>
      <c r="D649" s="41"/>
      <c r="E649" s="41"/>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37"/>
      <c r="AF649" s="37"/>
      <c r="AG649" s="37"/>
      <c r="AH649" s="37"/>
      <c r="AI649" s="37"/>
    </row>
    <row r="650">
      <c r="A650" s="41"/>
      <c r="B650" s="41"/>
      <c r="C650" s="41"/>
      <c r="D650" s="41"/>
      <c r="E650" s="41"/>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37"/>
      <c r="AF650" s="37"/>
      <c r="AG650" s="37"/>
      <c r="AH650" s="37"/>
      <c r="AI650" s="37"/>
    </row>
    <row r="651">
      <c r="A651" s="41"/>
      <c r="B651" s="41"/>
      <c r="C651" s="41"/>
      <c r="D651" s="41"/>
      <c r="E651" s="41"/>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37"/>
      <c r="AF651" s="37"/>
      <c r="AG651" s="37"/>
      <c r="AH651" s="37"/>
      <c r="AI651" s="37"/>
    </row>
    <row r="652">
      <c r="A652" s="41"/>
      <c r="B652" s="41"/>
      <c r="C652" s="41"/>
      <c r="D652" s="41"/>
      <c r="E652" s="41"/>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37"/>
      <c r="AF652" s="37"/>
      <c r="AG652" s="37"/>
      <c r="AH652" s="37"/>
      <c r="AI652" s="37"/>
    </row>
    <row r="653">
      <c r="A653" s="41"/>
      <c r="B653" s="41"/>
      <c r="C653" s="41"/>
      <c r="D653" s="41"/>
      <c r="E653" s="41"/>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37"/>
      <c r="AF653" s="37"/>
      <c r="AG653" s="37"/>
      <c r="AH653" s="37"/>
      <c r="AI653" s="37"/>
    </row>
    <row r="654">
      <c r="A654" s="41"/>
      <c r="B654" s="41"/>
      <c r="C654" s="41"/>
      <c r="D654" s="41"/>
      <c r="E654" s="41"/>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37"/>
      <c r="AF654" s="37"/>
      <c r="AG654" s="37"/>
      <c r="AH654" s="37"/>
      <c r="AI654" s="37"/>
    </row>
    <row r="655">
      <c r="A655" s="41"/>
      <c r="B655" s="41"/>
      <c r="C655" s="41"/>
      <c r="D655" s="41"/>
      <c r="E655" s="41"/>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37"/>
      <c r="AF655" s="37"/>
      <c r="AG655" s="37"/>
      <c r="AH655" s="37"/>
      <c r="AI655" s="37"/>
    </row>
    <row r="656">
      <c r="A656" s="41"/>
      <c r="B656" s="41"/>
      <c r="C656" s="41"/>
      <c r="D656" s="41"/>
      <c r="E656" s="41"/>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37"/>
      <c r="AF656" s="37"/>
      <c r="AG656" s="37"/>
      <c r="AH656" s="37"/>
      <c r="AI656" s="37"/>
    </row>
    <row r="657">
      <c r="A657" s="41"/>
      <c r="B657" s="41"/>
      <c r="C657" s="41"/>
      <c r="D657" s="41"/>
      <c r="E657" s="41"/>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37"/>
      <c r="AF657" s="37"/>
      <c r="AG657" s="37"/>
      <c r="AH657" s="37"/>
      <c r="AI657" s="37"/>
    </row>
    <row r="658">
      <c r="A658" s="41"/>
      <c r="B658" s="41"/>
      <c r="C658" s="41"/>
      <c r="D658" s="41"/>
      <c r="E658" s="41"/>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37"/>
      <c r="AF658" s="37"/>
      <c r="AG658" s="37"/>
      <c r="AH658" s="37"/>
      <c r="AI658" s="37"/>
    </row>
    <row r="659">
      <c r="A659" s="41"/>
      <c r="B659" s="41"/>
      <c r="C659" s="41"/>
      <c r="D659" s="41"/>
      <c r="E659" s="41"/>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37"/>
      <c r="AF659" s="37"/>
      <c r="AG659" s="37"/>
      <c r="AH659" s="37"/>
      <c r="AI659" s="37"/>
    </row>
    <row r="660">
      <c r="A660" s="41"/>
      <c r="B660" s="41"/>
      <c r="C660" s="41"/>
      <c r="D660" s="41"/>
      <c r="E660" s="41"/>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37"/>
      <c r="AF660" s="37"/>
      <c r="AG660" s="37"/>
      <c r="AH660" s="37"/>
      <c r="AI660" s="37"/>
    </row>
    <row r="661">
      <c r="A661" s="41"/>
      <c r="B661" s="41"/>
      <c r="C661" s="41"/>
      <c r="D661" s="41"/>
      <c r="E661" s="41"/>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37"/>
      <c r="AF661" s="37"/>
      <c r="AG661" s="37"/>
      <c r="AH661" s="37"/>
      <c r="AI661" s="37"/>
    </row>
    <row r="662">
      <c r="A662" s="41"/>
      <c r="B662" s="41"/>
      <c r="C662" s="41"/>
      <c r="D662" s="41"/>
      <c r="E662" s="41"/>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37"/>
      <c r="AF662" s="37"/>
      <c r="AG662" s="37"/>
      <c r="AH662" s="37"/>
      <c r="AI662" s="37"/>
    </row>
    <row r="663">
      <c r="A663" s="41"/>
      <c r="B663" s="41"/>
      <c r="C663" s="41"/>
      <c r="D663" s="41"/>
      <c r="E663" s="41"/>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37"/>
      <c r="AF663" s="37"/>
      <c r="AG663" s="37"/>
      <c r="AH663" s="37"/>
      <c r="AI663" s="37"/>
    </row>
    <row r="664">
      <c r="A664" s="41"/>
      <c r="B664" s="41"/>
      <c r="C664" s="41"/>
      <c r="D664" s="41"/>
      <c r="E664" s="41"/>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37"/>
      <c r="AF664" s="37"/>
      <c r="AG664" s="37"/>
      <c r="AH664" s="37"/>
      <c r="AI664" s="37"/>
    </row>
    <row r="665">
      <c r="A665" s="41"/>
      <c r="B665" s="41"/>
      <c r="C665" s="41"/>
      <c r="D665" s="41"/>
      <c r="E665" s="41"/>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37"/>
      <c r="AF665" s="37"/>
      <c r="AG665" s="37"/>
      <c r="AH665" s="37"/>
      <c r="AI665" s="37"/>
    </row>
    <row r="666">
      <c r="A666" s="41"/>
      <c r="B666" s="41"/>
      <c r="C666" s="41"/>
      <c r="D666" s="41"/>
      <c r="E666" s="41"/>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37"/>
      <c r="AF666" s="37"/>
      <c r="AG666" s="37"/>
      <c r="AH666" s="37"/>
      <c r="AI666" s="37"/>
    </row>
    <row r="667">
      <c r="A667" s="41"/>
      <c r="B667" s="41"/>
      <c r="C667" s="41"/>
      <c r="D667" s="41"/>
      <c r="E667" s="41"/>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37"/>
      <c r="AF667" s="37"/>
      <c r="AG667" s="37"/>
      <c r="AH667" s="37"/>
      <c r="AI667" s="37"/>
    </row>
    <row r="668">
      <c r="A668" s="41"/>
      <c r="B668" s="41"/>
      <c r="C668" s="41"/>
      <c r="D668" s="41"/>
      <c r="E668" s="41"/>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37"/>
      <c r="AF668" s="37"/>
      <c r="AG668" s="37"/>
      <c r="AH668" s="37"/>
      <c r="AI668" s="37"/>
    </row>
    <row r="669">
      <c r="A669" s="41"/>
      <c r="B669" s="41"/>
      <c r="C669" s="41"/>
      <c r="D669" s="41"/>
      <c r="E669" s="41"/>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37"/>
      <c r="AF669" s="37"/>
      <c r="AG669" s="37"/>
      <c r="AH669" s="37"/>
      <c r="AI669" s="37"/>
    </row>
    <row r="670">
      <c r="A670" s="41"/>
      <c r="B670" s="41"/>
      <c r="C670" s="41"/>
      <c r="D670" s="41"/>
      <c r="E670" s="41"/>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37"/>
      <c r="AF670" s="37"/>
      <c r="AG670" s="37"/>
      <c r="AH670" s="37"/>
      <c r="AI670" s="37"/>
    </row>
    <row r="671">
      <c r="A671" s="41"/>
      <c r="B671" s="41"/>
      <c r="C671" s="41"/>
      <c r="D671" s="41"/>
      <c r="E671" s="41"/>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37"/>
      <c r="AF671" s="37"/>
      <c r="AG671" s="37"/>
      <c r="AH671" s="37"/>
      <c r="AI671" s="37"/>
    </row>
    <row r="672">
      <c r="A672" s="41"/>
      <c r="B672" s="41"/>
      <c r="C672" s="41"/>
      <c r="D672" s="41"/>
      <c r="E672" s="41"/>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37"/>
      <c r="AF672" s="37"/>
      <c r="AG672" s="37"/>
      <c r="AH672" s="37"/>
      <c r="AI672" s="37"/>
    </row>
    <row r="673">
      <c r="A673" s="41"/>
      <c r="B673" s="41"/>
      <c r="C673" s="41"/>
      <c r="D673" s="41"/>
      <c r="E673" s="41"/>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37"/>
      <c r="AF673" s="37"/>
      <c r="AG673" s="37"/>
      <c r="AH673" s="37"/>
      <c r="AI673" s="37"/>
    </row>
    <row r="674">
      <c r="A674" s="41"/>
      <c r="B674" s="41"/>
      <c r="C674" s="41"/>
      <c r="D674" s="41"/>
      <c r="E674" s="41"/>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37"/>
      <c r="AF674" s="37"/>
      <c r="AG674" s="37"/>
      <c r="AH674" s="37"/>
      <c r="AI674" s="37"/>
    </row>
    <row r="675">
      <c r="A675" s="41"/>
      <c r="B675" s="41"/>
      <c r="C675" s="41"/>
      <c r="D675" s="41"/>
      <c r="E675" s="41"/>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37"/>
      <c r="AF675" s="37"/>
      <c r="AG675" s="37"/>
      <c r="AH675" s="37"/>
      <c r="AI675" s="37"/>
    </row>
    <row r="676">
      <c r="A676" s="41"/>
      <c r="B676" s="41"/>
      <c r="C676" s="41"/>
      <c r="D676" s="41"/>
      <c r="E676" s="41"/>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37"/>
      <c r="AF676" s="37"/>
      <c r="AG676" s="37"/>
      <c r="AH676" s="37"/>
      <c r="AI676" s="37"/>
    </row>
    <row r="677">
      <c r="A677" s="41"/>
      <c r="B677" s="41"/>
      <c r="C677" s="41"/>
      <c r="D677" s="41"/>
      <c r="E677" s="41"/>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37"/>
      <c r="AF677" s="37"/>
      <c r="AG677" s="37"/>
      <c r="AH677" s="37"/>
      <c r="AI677" s="37"/>
    </row>
    <row r="678">
      <c r="A678" s="41"/>
      <c r="B678" s="41"/>
      <c r="C678" s="41"/>
      <c r="D678" s="41"/>
      <c r="E678" s="41"/>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37"/>
      <c r="AF678" s="37"/>
      <c r="AG678" s="37"/>
      <c r="AH678" s="37"/>
      <c r="AI678" s="37"/>
    </row>
    <row r="679">
      <c r="A679" s="41"/>
      <c r="B679" s="41"/>
      <c r="C679" s="41"/>
      <c r="D679" s="41"/>
      <c r="E679" s="41"/>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37"/>
      <c r="AF679" s="37"/>
      <c r="AG679" s="37"/>
      <c r="AH679" s="37"/>
      <c r="AI679" s="37"/>
    </row>
    <row r="680">
      <c r="A680" s="41"/>
      <c r="B680" s="41"/>
      <c r="C680" s="41"/>
      <c r="D680" s="41"/>
      <c r="E680" s="41"/>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37"/>
      <c r="AF680" s="37"/>
      <c r="AG680" s="37"/>
      <c r="AH680" s="37"/>
      <c r="AI680" s="37"/>
    </row>
    <row r="681">
      <c r="A681" s="41"/>
      <c r="B681" s="41"/>
      <c r="C681" s="41"/>
      <c r="D681" s="41"/>
      <c r="E681" s="41"/>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37"/>
      <c r="AF681" s="37"/>
      <c r="AG681" s="37"/>
      <c r="AH681" s="37"/>
      <c r="AI681" s="37"/>
    </row>
    <row r="682">
      <c r="A682" s="41"/>
      <c r="B682" s="41"/>
      <c r="C682" s="41"/>
      <c r="D682" s="41"/>
      <c r="E682" s="41"/>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37"/>
      <c r="AF682" s="37"/>
      <c r="AG682" s="37"/>
      <c r="AH682" s="37"/>
      <c r="AI682" s="37"/>
    </row>
    <row r="683">
      <c r="A683" s="41"/>
      <c r="B683" s="41"/>
      <c r="C683" s="41"/>
      <c r="D683" s="41"/>
      <c r="E683" s="41"/>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37"/>
      <c r="AF683" s="37"/>
      <c r="AG683" s="37"/>
      <c r="AH683" s="37"/>
      <c r="AI683" s="37"/>
    </row>
    <row r="684">
      <c r="A684" s="41"/>
      <c r="B684" s="41"/>
      <c r="C684" s="41"/>
      <c r="D684" s="41"/>
      <c r="E684" s="41"/>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37"/>
      <c r="AF684" s="37"/>
      <c r="AG684" s="37"/>
      <c r="AH684" s="37"/>
      <c r="AI684" s="37"/>
    </row>
    <row r="685">
      <c r="A685" s="41"/>
      <c r="B685" s="41"/>
      <c r="C685" s="41"/>
      <c r="D685" s="41"/>
      <c r="E685" s="41"/>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37"/>
      <c r="AF685" s="37"/>
      <c r="AG685" s="37"/>
      <c r="AH685" s="37"/>
      <c r="AI685" s="37"/>
    </row>
    <row r="686">
      <c r="A686" s="41"/>
      <c r="B686" s="41"/>
      <c r="C686" s="41"/>
      <c r="D686" s="41"/>
      <c r="E686" s="41"/>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37"/>
      <c r="AF686" s="37"/>
      <c r="AG686" s="37"/>
      <c r="AH686" s="37"/>
      <c r="AI686" s="37"/>
    </row>
    <row r="687">
      <c r="A687" s="41"/>
      <c r="B687" s="41"/>
      <c r="C687" s="41"/>
      <c r="D687" s="41"/>
      <c r="E687" s="41"/>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37"/>
      <c r="AF687" s="37"/>
      <c r="AG687" s="37"/>
      <c r="AH687" s="37"/>
      <c r="AI687" s="37"/>
    </row>
    <row r="688">
      <c r="A688" s="41"/>
      <c r="B688" s="41"/>
      <c r="C688" s="41"/>
      <c r="D688" s="41"/>
      <c r="E688" s="41"/>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37"/>
      <c r="AF688" s="37"/>
      <c r="AG688" s="37"/>
      <c r="AH688" s="37"/>
      <c r="AI688" s="37"/>
    </row>
    <row r="689">
      <c r="A689" s="41"/>
      <c r="B689" s="41"/>
      <c r="C689" s="41"/>
      <c r="D689" s="41"/>
      <c r="E689" s="41"/>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37"/>
      <c r="AF689" s="37"/>
      <c r="AG689" s="37"/>
      <c r="AH689" s="37"/>
      <c r="AI689" s="37"/>
    </row>
    <row r="690">
      <c r="A690" s="41"/>
      <c r="B690" s="41"/>
      <c r="C690" s="41"/>
      <c r="D690" s="41"/>
      <c r="E690" s="41"/>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37"/>
      <c r="AF690" s="37"/>
      <c r="AG690" s="37"/>
      <c r="AH690" s="37"/>
      <c r="AI690" s="37"/>
    </row>
    <row r="691">
      <c r="A691" s="41"/>
      <c r="B691" s="41"/>
      <c r="C691" s="41"/>
      <c r="D691" s="41"/>
      <c r="E691" s="41"/>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37"/>
      <c r="AF691" s="37"/>
      <c r="AG691" s="37"/>
      <c r="AH691" s="37"/>
      <c r="AI691" s="37"/>
    </row>
    <row r="692">
      <c r="A692" s="41"/>
      <c r="B692" s="41"/>
      <c r="C692" s="41"/>
      <c r="D692" s="41"/>
      <c r="E692" s="41"/>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37"/>
      <c r="AF692" s="37"/>
      <c r="AG692" s="37"/>
      <c r="AH692" s="37"/>
      <c r="AI692" s="37"/>
    </row>
    <row r="693">
      <c r="A693" s="41"/>
      <c r="B693" s="41"/>
      <c r="C693" s="41"/>
      <c r="D693" s="41"/>
      <c r="E693" s="41"/>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37"/>
      <c r="AF693" s="37"/>
      <c r="AG693" s="37"/>
      <c r="AH693" s="37"/>
      <c r="AI693" s="37"/>
    </row>
    <row r="694">
      <c r="A694" s="41"/>
      <c r="B694" s="41"/>
      <c r="C694" s="41"/>
      <c r="D694" s="41"/>
      <c r="E694" s="41"/>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37"/>
      <c r="AF694" s="37"/>
      <c r="AG694" s="37"/>
      <c r="AH694" s="37"/>
      <c r="AI694" s="37"/>
    </row>
    <row r="695">
      <c r="A695" s="41"/>
      <c r="B695" s="41"/>
      <c r="C695" s="41"/>
      <c r="D695" s="41"/>
      <c r="E695" s="41"/>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37"/>
      <c r="AF695" s="37"/>
      <c r="AG695" s="37"/>
      <c r="AH695" s="37"/>
      <c r="AI695" s="37"/>
    </row>
    <row r="696">
      <c r="A696" s="41"/>
      <c r="B696" s="41"/>
      <c r="C696" s="41"/>
      <c r="D696" s="41"/>
      <c r="E696" s="41"/>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37"/>
      <c r="AF696" s="37"/>
      <c r="AG696" s="37"/>
      <c r="AH696" s="37"/>
      <c r="AI696" s="37"/>
    </row>
    <row r="697">
      <c r="A697" s="41"/>
      <c r="B697" s="41"/>
      <c r="C697" s="41"/>
      <c r="D697" s="41"/>
      <c r="E697" s="41"/>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37"/>
      <c r="AF697" s="37"/>
      <c r="AG697" s="37"/>
      <c r="AH697" s="37"/>
      <c r="AI697" s="37"/>
    </row>
    <row r="698">
      <c r="A698" s="41"/>
      <c r="B698" s="41"/>
      <c r="C698" s="41"/>
      <c r="D698" s="41"/>
      <c r="E698" s="41"/>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37"/>
      <c r="AF698" s="37"/>
      <c r="AG698" s="37"/>
      <c r="AH698" s="37"/>
      <c r="AI698" s="37"/>
    </row>
    <row r="699">
      <c r="A699" s="41"/>
      <c r="B699" s="41"/>
      <c r="C699" s="41"/>
      <c r="D699" s="41"/>
      <c r="E699" s="41"/>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37"/>
      <c r="AF699" s="37"/>
      <c r="AG699" s="37"/>
      <c r="AH699" s="37"/>
      <c r="AI699" s="37"/>
    </row>
    <row r="700">
      <c r="A700" s="41"/>
      <c r="B700" s="41"/>
      <c r="C700" s="41"/>
      <c r="D700" s="41"/>
      <c r="E700" s="41"/>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37"/>
      <c r="AF700" s="37"/>
      <c r="AG700" s="37"/>
      <c r="AH700" s="37"/>
      <c r="AI700" s="37"/>
    </row>
    <row r="701">
      <c r="A701" s="41"/>
      <c r="B701" s="41"/>
      <c r="C701" s="41"/>
      <c r="D701" s="41"/>
      <c r="E701" s="41"/>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37"/>
      <c r="AF701" s="37"/>
      <c r="AG701" s="37"/>
      <c r="AH701" s="37"/>
      <c r="AI701" s="37"/>
    </row>
    <row r="702">
      <c r="A702" s="41"/>
      <c r="B702" s="41"/>
      <c r="C702" s="41"/>
      <c r="D702" s="41"/>
      <c r="E702" s="41"/>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37"/>
      <c r="AF702" s="37"/>
      <c r="AG702" s="37"/>
      <c r="AH702" s="37"/>
      <c r="AI702" s="37"/>
    </row>
    <row r="703">
      <c r="A703" s="41"/>
      <c r="B703" s="41"/>
      <c r="C703" s="41"/>
      <c r="D703" s="41"/>
      <c r="E703" s="41"/>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37"/>
      <c r="AF703" s="37"/>
      <c r="AG703" s="37"/>
      <c r="AH703" s="37"/>
      <c r="AI703" s="37"/>
    </row>
    <row r="704">
      <c r="A704" s="41"/>
      <c r="B704" s="41"/>
      <c r="C704" s="41"/>
      <c r="D704" s="41"/>
      <c r="E704" s="41"/>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37"/>
      <c r="AF704" s="37"/>
      <c r="AG704" s="37"/>
      <c r="AH704" s="37"/>
      <c r="AI704" s="37"/>
    </row>
    <row r="705">
      <c r="A705" s="41"/>
      <c r="B705" s="41"/>
      <c r="C705" s="41"/>
      <c r="D705" s="41"/>
      <c r="E705" s="41"/>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37"/>
      <c r="AF705" s="37"/>
      <c r="AG705" s="37"/>
      <c r="AH705" s="37"/>
      <c r="AI705" s="37"/>
    </row>
    <row r="706">
      <c r="A706" s="41"/>
      <c r="B706" s="41"/>
      <c r="C706" s="41"/>
      <c r="D706" s="41"/>
      <c r="E706" s="41"/>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37"/>
      <c r="AF706" s="37"/>
      <c r="AG706" s="37"/>
      <c r="AH706" s="37"/>
      <c r="AI706" s="37"/>
    </row>
    <row r="707">
      <c r="A707" s="41"/>
      <c r="B707" s="41"/>
      <c r="C707" s="41"/>
      <c r="D707" s="41"/>
      <c r="E707" s="41"/>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37"/>
      <c r="AF707" s="37"/>
      <c r="AG707" s="37"/>
      <c r="AH707" s="37"/>
      <c r="AI707" s="37"/>
    </row>
    <row r="708">
      <c r="A708" s="41"/>
      <c r="B708" s="41"/>
      <c r="C708" s="41"/>
      <c r="D708" s="41"/>
      <c r="E708" s="41"/>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37"/>
      <c r="AF708" s="37"/>
      <c r="AG708" s="37"/>
      <c r="AH708" s="37"/>
      <c r="AI708" s="37"/>
    </row>
    <row r="709">
      <c r="A709" s="41"/>
      <c r="B709" s="41"/>
      <c r="C709" s="41"/>
      <c r="D709" s="41"/>
      <c r="E709" s="41"/>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37"/>
      <c r="AF709" s="37"/>
      <c r="AG709" s="37"/>
      <c r="AH709" s="37"/>
      <c r="AI709" s="37"/>
    </row>
    <row r="710">
      <c r="A710" s="41"/>
      <c r="B710" s="41"/>
      <c r="C710" s="41"/>
      <c r="D710" s="41"/>
      <c r="E710" s="41"/>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37"/>
      <c r="AF710" s="37"/>
      <c r="AG710" s="37"/>
      <c r="AH710" s="37"/>
      <c r="AI710" s="37"/>
    </row>
    <row r="711">
      <c r="A711" s="41"/>
      <c r="B711" s="41"/>
      <c r="C711" s="41"/>
      <c r="D711" s="41"/>
      <c r="E711" s="41"/>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37"/>
      <c r="AF711" s="37"/>
      <c r="AG711" s="37"/>
      <c r="AH711" s="37"/>
      <c r="AI711" s="37"/>
    </row>
    <row r="712">
      <c r="A712" s="41"/>
      <c r="B712" s="41"/>
      <c r="C712" s="41"/>
      <c r="D712" s="41"/>
      <c r="E712" s="41"/>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37"/>
      <c r="AF712" s="37"/>
      <c r="AG712" s="37"/>
      <c r="AH712" s="37"/>
      <c r="AI712" s="37"/>
    </row>
    <row r="713">
      <c r="A713" s="41"/>
      <c r="B713" s="41"/>
      <c r="C713" s="41"/>
      <c r="D713" s="41"/>
      <c r="E713" s="41"/>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37"/>
      <c r="AF713" s="37"/>
      <c r="AG713" s="37"/>
      <c r="AH713" s="37"/>
      <c r="AI713" s="37"/>
    </row>
    <row r="714">
      <c r="A714" s="41"/>
      <c r="B714" s="41"/>
      <c r="C714" s="41"/>
      <c r="D714" s="41"/>
      <c r="E714" s="41"/>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37"/>
      <c r="AF714" s="37"/>
      <c r="AG714" s="37"/>
      <c r="AH714" s="37"/>
      <c r="AI714" s="37"/>
    </row>
    <row r="715">
      <c r="A715" s="41"/>
      <c r="B715" s="41"/>
      <c r="C715" s="41"/>
      <c r="D715" s="41"/>
      <c r="E715" s="41"/>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37"/>
      <c r="AF715" s="37"/>
      <c r="AG715" s="37"/>
      <c r="AH715" s="37"/>
      <c r="AI715" s="37"/>
    </row>
    <row r="716">
      <c r="A716" s="41"/>
      <c r="B716" s="41"/>
      <c r="C716" s="41"/>
      <c r="D716" s="41"/>
      <c r="E716" s="41"/>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37"/>
      <c r="AF716" s="37"/>
      <c r="AG716" s="37"/>
      <c r="AH716" s="37"/>
      <c r="AI716" s="37"/>
    </row>
    <row r="717">
      <c r="A717" s="41"/>
      <c r="B717" s="41"/>
      <c r="C717" s="41"/>
      <c r="D717" s="41"/>
      <c r="E717" s="41"/>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37"/>
      <c r="AF717" s="37"/>
      <c r="AG717" s="37"/>
      <c r="AH717" s="37"/>
      <c r="AI717" s="37"/>
    </row>
    <row r="718">
      <c r="A718" s="41"/>
      <c r="B718" s="41"/>
      <c r="C718" s="41"/>
      <c r="D718" s="41"/>
      <c r="E718" s="41"/>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37"/>
      <c r="AF718" s="37"/>
      <c r="AG718" s="37"/>
      <c r="AH718" s="37"/>
      <c r="AI718" s="37"/>
    </row>
    <row r="719">
      <c r="A719" s="41"/>
      <c r="B719" s="41"/>
      <c r="C719" s="41"/>
      <c r="D719" s="41"/>
      <c r="E719" s="41"/>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37"/>
      <c r="AF719" s="37"/>
      <c r="AG719" s="37"/>
      <c r="AH719" s="37"/>
      <c r="AI719" s="37"/>
    </row>
    <row r="720">
      <c r="A720" s="41"/>
      <c r="B720" s="41"/>
      <c r="C720" s="41"/>
      <c r="D720" s="41"/>
      <c r="E720" s="41"/>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37"/>
      <c r="AF720" s="37"/>
      <c r="AG720" s="37"/>
      <c r="AH720" s="37"/>
      <c r="AI720" s="37"/>
    </row>
    <row r="721">
      <c r="A721" s="41"/>
      <c r="B721" s="41"/>
      <c r="C721" s="41"/>
      <c r="D721" s="41"/>
      <c r="E721" s="41"/>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37"/>
      <c r="AF721" s="37"/>
      <c r="AG721" s="37"/>
      <c r="AH721" s="37"/>
      <c r="AI721" s="37"/>
    </row>
    <row r="722">
      <c r="A722" s="41"/>
      <c r="B722" s="41"/>
      <c r="C722" s="41"/>
      <c r="D722" s="41"/>
      <c r="E722" s="41"/>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37"/>
      <c r="AF722" s="37"/>
      <c r="AG722" s="37"/>
      <c r="AH722" s="37"/>
      <c r="AI722" s="37"/>
    </row>
    <row r="723">
      <c r="A723" s="41"/>
      <c r="B723" s="41"/>
      <c r="C723" s="41"/>
      <c r="D723" s="41"/>
      <c r="E723" s="41"/>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37"/>
      <c r="AF723" s="37"/>
      <c r="AG723" s="37"/>
      <c r="AH723" s="37"/>
      <c r="AI723" s="37"/>
    </row>
    <row r="724">
      <c r="A724" s="41"/>
      <c r="B724" s="41"/>
      <c r="C724" s="41"/>
      <c r="D724" s="41"/>
      <c r="E724" s="41"/>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37"/>
      <c r="AF724" s="37"/>
      <c r="AG724" s="37"/>
      <c r="AH724" s="37"/>
      <c r="AI724" s="37"/>
    </row>
    <row r="725">
      <c r="A725" s="41"/>
      <c r="B725" s="41"/>
      <c r="C725" s="41"/>
      <c r="D725" s="41"/>
      <c r="E725" s="41"/>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37"/>
      <c r="AF725" s="37"/>
      <c r="AG725" s="37"/>
      <c r="AH725" s="37"/>
      <c r="AI725" s="37"/>
    </row>
    <row r="726">
      <c r="A726" s="41"/>
      <c r="B726" s="41"/>
      <c r="C726" s="41"/>
      <c r="D726" s="41"/>
      <c r="E726" s="41"/>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37"/>
      <c r="AF726" s="37"/>
      <c r="AG726" s="37"/>
      <c r="AH726" s="37"/>
      <c r="AI726" s="37"/>
    </row>
    <row r="727">
      <c r="A727" s="41"/>
      <c r="B727" s="41"/>
      <c r="C727" s="41"/>
      <c r="D727" s="41"/>
      <c r="E727" s="41"/>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37"/>
      <c r="AF727" s="37"/>
      <c r="AG727" s="37"/>
      <c r="AH727" s="37"/>
      <c r="AI727" s="37"/>
    </row>
    <row r="728">
      <c r="A728" s="41"/>
      <c r="B728" s="41"/>
      <c r="C728" s="41"/>
      <c r="D728" s="41"/>
      <c r="E728" s="41"/>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37"/>
      <c r="AF728" s="37"/>
      <c r="AG728" s="37"/>
      <c r="AH728" s="37"/>
      <c r="AI728" s="37"/>
    </row>
    <row r="729">
      <c r="A729" s="41"/>
      <c r="B729" s="41"/>
      <c r="C729" s="41"/>
      <c r="D729" s="41"/>
      <c r="E729" s="41"/>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37"/>
      <c r="AF729" s="37"/>
      <c r="AG729" s="37"/>
      <c r="AH729" s="37"/>
      <c r="AI729" s="37"/>
    </row>
    <row r="730">
      <c r="A730" s="41"/>
      <c r="B730" s="41"/>
      <c r="C730" s="41"/>
      <c r="D730" s="41"/>
      <c r="E730" s="41"/>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37"/>
      <c r="AF730" s="37"/>
      <c r="AG730" s="37"/>
      <c r="AH730" s="37"/>
      <c r="AI730" s="37"/>
    </row>
    <row r="731">
      <c r="A731" s="41"/>
      <c r="B731" s="41"/>
      <c r="C731" s="41"/>
      <c r="D731" s="41"/>
      <c r="E731" s="41"/>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37"/>
      <c r="AF731" s="37"/>
      <c r="AG731" s="37"/>
      <c r="AH731" s="37"/>
      <c r="AI731" s="37"/>
    </row>
    <row r="732">
      <c r="A732" s="41"/>
      <c r="B732" s="41"/>
      <c r="C732" s="41"/>
      <c r="D732" s="41"/>
      <c r="E732" s="41"/>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37"/>
      <c r="AF732" s="37"/>
      <c r="AG732" s="37"/>
      <c r="AH732" s="37"/>
      <c r="AI732" s="37"/>
    </row>
    <row r="733">
      <c r="A733" s="41"/>
      <c r="B733" s="41"/>
      <c r="C733" s="41"/>
      <c r="D733" s="41"/>
      <c r="E733" s="41"/>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37"/>
      <c r="AF733" s="37"/>
      <c r="AG733" s="37"/>
      <c r="AH733" s="37"/>
      <c r="AI733" s="37"/>
    </row>
    <row r="734">
      <c r="A734" s="41"/>
      <c r="B734" s="41"/>
      <c r="C734" s="41"/>
      <c r="D734" s="41"/>
      <c r="E734" s="41"/>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37"/>
      <c r="AF734" s="37"/>
      <c r="AG734" s="37"/>
      <c r="AH734" s="37"/>
      <c r="AI734" s="37"/>
    </row>
    <row r="735">
      <c r="A735" s="41"/>
      <c r="B735" s="41"/>
      <c r="C735" s="41"/>
      <c r="D735" s="41"/>
      <c r="E735" s="41"/>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37"/>
      <c r="AF735" s="37"/>
      <c r="AG735" s="37"/>
      <c r="AH735" s="37"/>
      <c r="AI735" s="37"/>
    </row>
    <row r="736">
      <c r="A736" s="41"/>
      <c r="B736" s="41"/>
      <c r="C736" s="41"/>
      <c r="D736" s="41"/>
      <c r="E736" s="41"/>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37"/>
      <c r="AF736" s="37"/>
      <c r="AG736" s="37"/>
      <c r="AH736" s="37"/>
      <c r="AI736" s="37"/>
    </row>
    <row r="737">
      <c r="A737" s="41"/>
      <c r="B737" s="41"/>
      <c r="C737" s="41"/>
      <c r="D737" s="41"/>
      <c r="E737" s="41"/>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37"/>
      <c r="AF737" s="37"/>
      <c r="AG737" s="37"/>
      <c r="AH737" s="37"/>
      <c r="AI737" s="37"/>
    </row>
    <row r="738">
      <c r="A738" s="41"/>
      <c r="B738" s="41"/>
      <c r="C738" s="41"/>
      <c r="D738" s="41"/>
      <c r="E738" s="41"/>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37"/>
      <c r="AF738" s="37"/>
      <c r="AG738" s="37"/>
      <c r="AH738" s="37"/>
      <c r="AI738" s="37"/>
    </row>
    <row r="739">
      <c r="A739" s="41"/>
      <c r="B739" s="41"/>
      <c r="C739" s="41"/>
      <c r="D739" s="41"/>
      <c r="E739" s="41"/>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37"/>
      <c r="AF739" s="37"/>
      <c r="AG739" s="37"/>
      <c r="AH739" s="37"/>
      <c r="AI739" s="37"/>
    </row>
    <row r="740">
      <c r="A740" s="41"/>
      <c r="B740" s="41"/>
      <c r="C740" s="41"/>
      <c r="D740" s="41"/>
      <c r="E740" s="41"/>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37"/>
      <c r="AF740" s="37"/>
      <c r="AG740" s="37"/>
      <c r="AH740" s="37"/>
      <c r="AI740" s="37"/>
    </row>
    <row r="741">
      <c r="A741" s="41"/>
      <c r="B741" s="41"/>
      <c r="C741" s="41"/>
      <c r="D741" s="41"/>
      <c r="E741" s="41"/>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37"/>
      <c r="AF741" s="37"/>
      <c r="AG741" s="37"/>
      <c r="AH741" s="37"/>
      <c r="AI741" s="37"/>
    </row>
    <row r="742">
      <c r="A742" s="41"/>
      <c r="B742" s="41"/>
      <c r="C742" s="41"/>
      <c r="D742" s="41"/>
      <c r="E742" s="41"/>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37"/>
      <c r="AF742" s="37"/>
      <c r="AG742" s="37"/>
      <c r="AH742" s="37"/>
      <c r="AI742" s="37"/>
    </row>
    <row r="743">
      <c r="A743" s="41"/>
      <c r="B743" s="41"/>
      <c r="C743" s="41"/>
      <c r="D743" s="41"/>
      <c r="E743" s="41"/>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37"/>
      <c r="AF743" s="37"/>
      <c r="AG743" s="37"/>
      <c r="AH743" s="37"/>
      <c r="AI743" s="37"/>
    </row>
    <row r="744">
      <c r="A744" s="41"/>
      <c r="B744" s="41"/>
      <c r="C744" s="41"/>
      <c r="D744" s="41"/>
      <c r="E744" s="41"/>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37"/>
      <c r="AF744" s="37"/>
      <c r="AG744" s="37"/>
      <c r="AH744" s="37"/>
      <c r="AI744" s="37"/>
    </row>
    <row r="745">
      <c r="A745" s="41"/>
      <c r="B745" s="41"/>
      <c r="C745" s="41"/>
      <c r="D745" s="41"/>
      <c r="E745" s="41"/>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37"/>
      <c r="AF745" s="37"/>
      <c r="AG745" s="37"/>
      <c r="AH745" s="37"/>
      <c r="AI745" s="37"/>
    </row>
    <row r="746">
      <c r="A746" s="41"/>
      <c r="B746" s="41"/>
      <c r="C746" s="41"/>
      <c r="D746" s="41"/>
      <c r="E746" s="41"/>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37"/>
      <c r="AF746" s="37"/>
      <c r="AG746" s="37"/>
      <c r="AH746" s="37"/>
      <c r="AI746" s="37"/>
    </row>
    <row r="747">
      <c r="A747" s="41"/>
      <c r="B747" s="41"/>
      <c r="C747" s="41"/>
      <c r="D747" s="41"/>
      <c r="E747" s="41"/>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37"/>
      <c r="AF747" s="37"/>
      <c r="AG747" s="37"/>
      <c r="AH747" s="37"/>
      <c r="AI747" s="37"/>
    </row>
    <row r="748">
      <c r="A748" s="41"/>
      <c r="B748" s="41"/>
      <c r="C748" s="41"/>
      <c r="D748" s="41"/>
      <c r="E748" s="41"/>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37"/>
      <c r="AF748" s="37"/>
      <c r="AG748" s="37"/>
      <c r="AH748" s="37"/>
      <c r="AI748" s="37"/>
    </row>
    <row r="749">
      <c r="A749" s="41"/>
      <c r="B749" s="41"/>
      <c r="C749" s="41"/>
      <c r="D749" s="41"/>
      <c r="E749" s="41"/>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37"/>
      <c r="AF749" s="37"/>
      <c r="AG749" s="37"/>
      <c r="AH749" s="37"/>
      <c r="AI749" s="37"/>
    </row>
    <row r="750">
      <c r="A750" s="41"/>
      <c r="B750" s="41"/>
      <c r="C750" s="41"/>
      <c r="D750" s="41"/>
      <c r="E750" s="41"/>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37"/>
      <c r="AF750" s="37"/>
      <c r="AG750" s="37"/>
      <c r="AH750" s="37"/>
      <c r="AI750" s="37"/>
    </row>
    <row r="751">
      <c r="A751" s="41"/>
      <c r="B751" s="41"/>
      <c r="C751" s="41"/>
      <c r="D751" s="41"/>
      <c r="E751" s="41"/>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37"/>
      <c r="AF751" s="37"/>
      <c r="AG751" s="37"/>
      <c r="AH751" s="37"/>
      <c r="AI751" s="37"/>
    </row>
    <row r="752">
      <c r="A752" s="41"/>
      <c r="B752" s="41"/>
      <c r="C752" s="41"/>
      <c r="D752" s="41"/>
      <c r="E752" s="41"/>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37"/>
      <c r="AF752" s="37"/>
      <c r="AG752" s="37"/>
      <c r="AH752" s="37"/>
      <c r="AI752" s="37"/>
    </row>
    <row r="753">
      <c r="A753" s="41"/>
      <c r="B753" s="41"/>
      <c r="C753" s="41"/>
      <c r="D753" s="41"/>
      <c r="E753" s="41"/>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37"/>
      <c r="AF753" s="37"/>
      <c r="AG753" s="37"/>
      <c r="AH753" s="37"/>
      <c r="AI753" s="37"/>
    </row>
    <row r="754">
      <c r="A754" s="41"/>
      <c r="B754" s="41"/>
      <c r="C754" s="41"/>
      <c r="D754" s="41"/>
      <c r="E754" s="41"/>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37"/>
      <c r="AF754" s="37"/>
      <c r="AG754" s="37"/>
      <c r="AH754" s="37"/>
      <c r="AI754" s="37"/>
    </row>
    <row r="755">
      <c r="A755" s="41"/>
      <c r="B755" s="41"/>
      <c r="C755" s="41"/>
      <c r="D755" s="41"/>
      <c r="E755" s="41"/>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37"/>
      <c r="AF755" s="37"/>
      <c r="AG755" s="37"/>
      <c r="AH755" s="37"/>
      <c r="AI755" s="37"/>
    </row>
    <row r="756">
      <c r="A756" s="41"/>
      <c r="B756" s="41"/>
      <c r="C756" s="41"/>
      <c r="D756" s="41"/>
      <c r="E756" s="41"/>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37"/>
      <c r="AF756" s="37"/>
      <c r="AG756" s="37"/>
      <c r="AH756" s="37"/>
      <c r="AI756" s="37"/>
    </row>
    <row r="757">
      <c r="A757" s="41"/>
      <c r="B757" s="41"/>
      <c r="C757" s="41"/>
      <c r="D757" s="41"/>
      <c r="E757" s="41"/>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37"/>
      <c r="AF757" s="37"/>
      <c r="AG757" s="37"/>
      <c r="AH757" s="37"/>
      <c r="AI757" s="37"/>
    </row>
    <row r="758">
      <c r="A758" s="41"/>
      <c r="B758" s="41"/>
      <c r="C758" s="41"/>
      <c r="D758" s="41"/>
      <c r="E758" s="41"/>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37"/>
      <c r="AF758" s="37"/>
      <c r="AG758" s="37"/>
      <c r="AH758" s="37"/>
      <c r="AI758" s="37"/>
    </row>
    <row r="759">
      <c r="A759" s="41"/>
      <c r="B759" s="41"/>
      <c r="C759" s="41"/>
      <c r="D759" s="41"/>
      <c r="E759" s="41"/>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37"/>
      <c r="AF759" s="37"/>
      <c r="AG759" s="37"/>
      <c r="AH759" s="37"/>
      <c r="AI759" s="37"/>
    </row>
    <row r="760">
      <c r="A760" s="41"/>
      <c r="B760" s="41"/>
      <c r="C760" s="41"/>
      <c r="D760" s="41"/>
      <c r="E760" s="41"/>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37"/>
      <c r="AF760" s="37"/>
      <c r="AG760" s="37"/>
      <c r="AH760" s="37"/>
      <c r="AI760" s="37"/>
    </row>
    <row r="761">
      <c r="A761" s="41"/>
      <c r="B761" s="41"/>
      <c r="C761" s="41"/>
      <c r="D761" s="41"/>
      <c r="E761" s="41"/>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37"/>
      <c r="AF761" s="37"/>
      <c r="AG761" s="37"/>
      <c r="AH761" s="37"/>
      <c r="AI761" s="37"/>
    </row>
    <row r="762">
      <c r="A762" s="41"/>
      <c r="B762" s="41"/>
      <c r="C762" s="41"/>
      <c r="D762" s="41"/>
      <c r="E762" s="41"/>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37"/>
      <c r="AF762" s="37"/>
      <c r="AG762" s="37"/>
      <c r="AH762" s="37"/>
      <c r="AI762" s="37"/>
    </row>
    <row r="763">
      <c r="A763" s="41"/>
      <c r="B763" s="41"/>
      <c r="C763" s="41"/>
      <c r="D763" s="41"/>
      <c r="E763" s="41"/>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37"/>
      <c r="AF763" s="37"/>
      <c r="AG763" s="37"/>
      <c r="AH763" s="37"/>
      <c r="AI763" s="37"/>
    </row>
    <row r="764">
      <c r="A764" s="41"/>
      <c r="B764" s="41"/>
      <c r="C764" s="41"/>
      <c r="D764" s="41"/>
      <c r="E764" s="41"/>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37"/>
      <c r="AF764" s="37"/>
      <c r="AG764" s="37"/>
      <c r="AH764" s="37"/>
      <c r="AI764" s="37"/>
    </row>
    <row r="765">
      <c r="A765" s="41"/>
      <c r="B765" s="41"/>
      <c r="C765" s="41"/>
      <c r="D765" s="41"/>
      <c r="E765" s="41"/>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37"/>
      <c r="AF765" s="37"/>
      <c r="AG765" s="37"/>
      <c r="AH765" s="37"/>
      <c r="AI765" s="37"/>
    </row>
    <row r="766">
      <c r="A766" s="41"/>
      <c r="B766" s="41"/>
      <c r="C766" s="41"/>
      <c r="D766" s="41"/>
      <c r="E766" s="41"/>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37"/>
      <c r="AF766" s="37"/>
      <c r="AG766" s="37"/>
      <c r="AH766" s="37"/>
      <c r="AI766" s="37"/>
    </row>
    <row r="767">
      <c r="A767" s="41"/>
      <c r="B767" s="41"/>
      <c r="C767" s="41"/>
      <c r="D767" s="41"/>
      <c r="E767" s="41"/>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37"/>
      <c r="AF767" s="37"/>
      <c r="AG767" s="37"/>
      <c r="AH767" s="37"/>
      <c r="AI767" s="37"/>
    </row>
    <row r="768">
      <c r="A768" s="41"/>
      <c r="B768" s="41"/>
      <c r="C768" s="41"/>
      <c r="D768" s="41"/>
      <c r="E768" s="41"/>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37"/>
      <c r="AF768" s="37"/>
      <c r="AG768" s="37"/>
      <c r="AH768" s="37"/>
      <c r="AI768" s="37"/>
    </row>
    <row r="769">
      <c r="A769" s="41"/>
      <c r="B769" s="41"/>
      <c r="C769" s="41"/>
      <c r="D769" s="41"/>
      <c r="E769" s="41"/>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37"/>
      <c r="AF769" s="37"/>
      <c r="AG769" s="37"/>
      <c r="AH769" s="37"/>
      <c r="AI769" s="37"/>
    </row>
    <row r="770">
      <c r="A770" s="41"/>
      <c r="B770" s="41"/>
      <c r="C770" s="41"/>
      <c r="D770" s="41"/>
      <c r="E770" s="41"/>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37"/>
      <c r="AF770" s="37"/>
      <c r="AG770" s="37"/>
      <c r="AH770" s="37"/>
      <c r="AI770" s="37"/>
    </row>
    <row r="771">
      <c r="A771" s="41"/>
      <c r="B771" s="41"/>
      <c r="C771" s="41"/>
      <c r="D771" s="41"/>
      <c r="E771" s="41"/>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37"/>
      <c r="AF771" s="37"/>
      <c r="AG771" s="37"/>
      <c r="AH771" s="37"/>
      <c r="AI771" s="37"/>
    </row>
    <row r="772">
      <c r="A772" s="41"/>
      <c r="B772" s="41"/>
      <c r="C772" s="41"/>
      <c r="D772" s="41"/>
      <c r="E772" s="41"/>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37"/>
      <c r="AF772" s="37"/>
      <c r="AG772" s="37"/>
      <c r="AH772" s="37"/>
      <c r="AI772" s="37"/>
    </row>
    <row r="773">
      <c r="A773" s="41"/>
      <c r="B773" s="41"/>
      <c r="C773" s="41"/>
      <c r="D773" s="41"/>
      <c r="E773" s="41"/>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37"/>
      <c r="AF773" s="37"/>
      <c r="AG773" s="37"/>
      <c r="AH773" s="37"/>
      <c r="AI773" s="37"/>
    </row>
    <row r="774">
      <c r="A774" s="41"/>
      <c r="B774" s="41"/>
      <c r="C774" s="41"/>
      <c r="D774" s="41"/>
      <c r="E774" s="41"/>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37"/>
      <c r="AF774" s="37"/>
      <c r="AG774" s="37"/>
      <c r="AH774" s="37"/>
      <c r="AI774" s="37"/>
    </row>
    <row r="775">
      <c r="A775" s="41"/>
      <c r="B775" s="41"/>
      <c r="C775" s="41"/>
      <c r="D775" s="41"/>
      <c r="E775" s="41"/>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37"/>
      <c r="AF775" s="37"/>
      <c r="AG775" s="37"/>
      <c r="AH775" s="37"/>
      <c r="AI775" s="37"/>
    </row>
    <row r="776">
      <c r="A776" s="41"/>
      <c r="B776" s="41"/>
      <c r="C776" s="41"/>
      <c r="D776" s="41"/>
      <c r="E776" s="41"/>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37"/>
      <c r="AF776" s="37"/>
      <c r="AG776" s="37"/>
      <c r="AH776" s="37"/>
      <c r="AI776" s="37"/>
    </row>
    <row r="777">
      <c r="A777" s="41"/>
      <c r="B777" s="41"/>
      <c r="C777" s="41"/>
      <c r="D777" s="41"/>
      <c r="E777" s="41"/>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37"/>
      <c r="AF777" s="37"/>
      <c r="AG777" s="37"/>
      <c r="AH777" s="37"/>
      <c r="AI777" s="37"/>
    </row>
    <row r="778">
      <c r="A778" s="41"/>
      <c r="B778" s="41"/>
      <c r="C778" s="41"/>
      <c r="D778" s="41"/>
      <c r="E778" s="41"/>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37"/>
      <c r="AF778" s="37"/>
      <c r="AG778" s="37"/>
      <c r="AH778" s="37"/>
      <c r="AI778" s="37"/>
    </row>
    <row r="779">
      <c r="A779" s="41"/>
      <c r="B779" s="41"/>
      <c r="C779" s="41"/>
      <c r="D779" s="41"/>
      <c r="E779" s="41"/>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37"/>
      <c r="AF779" s="37"/>
      <c r="AG779" s="37"/>
      <c r="AH779" s="37"/>
      <c r="AI779" s="37"/>
    </row>
    <row r="780">
      <c r="A780" s="41"/>
      <c r="B780" s="41"/>
      <c r="C780" s="41"/>
      <c r="D780" s="41"/>
      <c r="E780" s="41"/>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37"/>
      <c r="AF780" s="37"/>
      <c r="AG780" s="37"/>
      <c r="AH780" s="37"/>
      <c r="AI780" s="37"/>
    </row>
    <row r="781">
      <c r="A781" s="41"/>
      <c r="B781" s="41"/>
      <c r="C781" s="41"/>
      <c r="D781" s="41"/>
      <c r="E781" s="41"/>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37"/>
      <c r="AF781" s="37"/>
      <c r="AG781" s="37"/>
      <c r="AH781" s="37"/>
      <c r="AI781" s="37"/>
    </row>
    <row r="782">
      <c r="A782" s="41"/>
      <c r="B782" s="41"/>
      <c r="C782" s="41"/>
      <c r="D782" s="41"/>
      <c r="E782" s="41"/>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37"/>
      <c r="AF782" s="37"/>
      <c r="AG782" s="37"/>
      <c r="AH782" s="37"/>
      <c r="AI782" s="37"/>
    </row>
    <row r="783">
      <c r="A783" s="41"/>
      <c r="B783" s="41"/>
      <c r="C783" s="41"/>
      <c r="D783" s="41"/>
      <c r="E783" s="41"/>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37"/>
      <c r="AF783" s="37"/>
      <c r="AG783" s="37"/>
      <c r="AH783" s="37"/>
      <c r="AI783" s="37"/>
    </row>
    <row r="784">
      <c r="A784" s="41"/>
      <c r="B784" s="41"/>
      <c r="C784" s="41"/>
      <c r="D784" s="41"/>
      <c r="E784" s="41"/>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37"/>
      <c r="AF784" s="37"/>
      <c r="AG784" s="37"/>
      <c r="AH784" s="37"/>
      <c r="AI784" s="37"/>
    </row>
    <row r="785">
      <c r="A785" s="41"/>
      <c r="B785" s="41"/>
      <c r="C785" s="41"/>
      <c r="D785" s="41"/>
      <c r="E785" s="41"/>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37"/>
      <c r="AF785" s="37"/>
      <c r="AG785" s="37"/>
      <c r="AH785" s="37"/>
      <c r="AI785" s="37"/>
    </row>
    <row r="786">
      <c r="A786" s="41"/>
      <c r="B786" s="41"/>
      <c r="C786" s="41"/>
      <c r="D786" s="41"/>
      <c r="E786" s="41"/>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37"/>
      <c r="AF786" s="37"/>
      <c r="AG786" s="37"/>
      <c r="AH786" s="37"/>
      <c r="AI786" s="37"/>
    </row>
    <row r="787">
      <c r="A787" s="41"/>
      <c r="B787" s="41"/>
      <c r="C787" s="41"/>
      <c r="D787" s="41"/>
      <c r="E787" s="41"/>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37"/>
      <c r="AF787" s="37"/>
      <c r="AG787" s="37"/>
      <c r="AH787" s="37"/>
      <c r="AI787" s="37"/>
    </row>
    <row r="788">
      <c r="A788" s="41"/>
      <c r="B788" s="41"/>
      <c r="C788" s="41"/>
      <c r="D788" s="41"/>
      <c r="E788" s="41"/>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37"/>
      <c r="AF788" s="37"/>
      <c r="AG788" s="37"/>
      <c r="AH788" s="37"/>
      <c r="AI788" s="37"/>
    </row>
    <row r="789">
      <c r="A789" s="41"/>
      <c r="B789" s="41"/>
      <c r="C789" s="41"/>
      <c r="D789" s="41"/>
      <c r="E789" s="41"/>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37"/>
      <c r="AF789" s="37"/>
      <c r="AG789" s="37"/>
      <c r="AH789" s="37"/>
      <c r="AI789" s="37"/>
    </row>
    <row r="790">
      <c r="A790" s="41"/>
      <c r="B790" s="41"/>
      <c r="C790" s="41"/>
      <c r="D790" s="41"/>
      <c r="E790" s="41"/>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37"/>
      <c r="AF790" s="37"/>
      <c r="AG790" s="37"/>
      <c r="AH790" s="37"/>
      <c r="AI790" s="37"/>
    </row>
    <row r="791">
      <c r="A791" s="41"/>
      <c r="B791" s="41"/>
      <c r="C791" s="41"/>
      <c r="D791" s="41"/>
      <c r="E791" s="41"/>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37"/>
      <c r="AF791" s="37"/>
      <c r="AG791" s="37"/>
      <c r="AH791" s="37"/>
      <c r="AI791" s="37"/>
    </row>
    <row r="792">
      <c r="A792" s="41"/>
      <c r="B792" s="41"/>
      <c r="C792" s="41"/>
      <c r="D792" s="41"/>
      <c r="E792" s="41"/>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37"/>
      <c r="AF792" s="37"/>
      <c r="AG792" s="37"/>
      <c r="AH792" s="37"/>
      <c r="AI792" s="37"/>
    </row>
    <row r="793">
      <c r="A793" s="41"/>
      <c r="B793" s="41"/>
      <c r="C793" s="41"/>
      <c r="D793" s="41"/>
      <c r="E793" s="41"/>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37"/>
      <c r="AF793" s="37"/>
      <c r="AG793" s="37"/>
      <c r="AH793" s="37"/>
      <c r="AI793" s="37"/>
    </row>
    <row r="794">
      <c r="A794" s="41"/>
      <c r="B794" s="41"/>
      <c r="C794" s="41"/>
      <c r="D794" s="41"/>
      <c r="E794" s="41"/>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37"/>
      <c r="AF794" s="37"/>
      <c r="AG794" s="37"/>
      <c r="AH794" s="37"/>
      <c r="AI794" s="37"/>
    </row>
    <row r="795">
      <c r="A795" s="41"/>
      <c r="B795" s="41"/>
      <c r="C795" s="41"/>
      <c r="D795" s="41"/>
      <c r="E795" s="41"/>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37"/>
      <c r="AF795" s="37"/>
      <c r="AG795" s="37"/>
      <c r="AH795" s="37"/>
      <c r="AI795" s="37"/>
    </row>
    <row r="796">
      <c r="A796" s="41"/>
      <c r="B796" s="41"/>
      <c r="C796" s="41"/>
      <c r="D796" s="41"/>
      <c r="E796" s="41"/>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37"/>
      <c r="AF796" s="37"/>
      <c r="AG796" s="37"/>
      <c r="AH796" s="37"/>
      <c r="AI796" s="37"/>
    </row>
    <row r="797">
      <c r="A797" s="41"/>
      <c r="B797" s="41"/>
      <c r="C797" s="41"/>
      <c r="D797" s="41"/>
      <c r="E797" s="41"/>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37"/>
      <c r="AF797" s="37"/>
      <c r="AG797" s="37"/>
      <c r="AH797" s="37"/>
      <c r="AI797" s="37"/>
    </row>
    <row r="798">
      <c r="A798" s="41"/>
      <c r="B798" s="41"/>
      <c r="C798" s="41"/>
      <c r="D798" s="41"/>
      <c r="E798" s="41"/>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37"/>
      <c r="AF798" s="37"/>
      <c r="AG798" s="37"/>
      <c r="AH798" s="37"/>
      <c r="AI798" s="37"/>
    </row>
    <row r="799">
      <c r="A799" s="41"/>
      <c r="B799" s="41"/>
      <c r="C799" s="41"/>
      <c r="D799" s="41"/>
      <c r="E799" s="41"/>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37"/>
      <c r="AF799" s="37"/>
      <c r="AG799" s="37"/>
      <c r="AH799" s="37"/>
      <c r="AI799" s="37"/>
    </row>
    <row r="800">
      <c r="A800" s="41"/>
      <c r="B800" s="41"/>
      <c r="C800" s="41"/>
      <c r="D800" s="41"/>
      <c r="E800" s="41"/>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37"/>
      <c r="AF800" s="37"/>
      <c r="AG800" s="37"/>
      <c r="AH800" s="37"/>
      <c r="AI800" s="37"/>
    </row>
    <row r="801">
      <c r="A801" s="41"/>
      <c r="B801" s="41"/>
      <c r="C801" s="41"/>
      <c r="D801" s="41"/>
      <c r="E801" s="41"/>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37"/>
      <c r="AF801" s="37"/>
      <c r="AG801" s="37"/>
      <c r="AH801" s="37"/>
      <c r="AI801" s="37"/>
    </row>
    <row r="802">
      <c r="A802" s="41"/>
      <c r="B802" s="41"/>
      <c r="C802" s="41"/>
      <c r="D802" s="41"/>
      <c r="E802" s="41"/>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37"/>
      <c r="AF802" s="37"/>
      <c r="AG802" s="37"/>
      <c r="AH802" s="37"/>
      <c r="AI802" s="37"/>
    </row>
    <row r="803">
      <c r="A803" s="41"/>
      <c r="B803" s="41"/>
      <c r="C803" s="41"/>
      <c r="D803" s="41"/>
      <c r="E803" s="41"/>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37"/>
      <c r="AF803" s="37"/>
      <c r="AG803" s="37"/>
      <c r="AH803" s="37"/>
      <c r="AI803" s="37"/>
    </row>
    <row r="804">
      <c r="A804" s="41"/>
      <c r="B804" s="41"/>
      <c r="C804" s="41"/>
      <c r="D804" s="41"/>
      <c r="E804" s="41"/>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37"/>
      <c r="AF804" s="37"/>
      <c r="AG804" s="37"/>
      <c r="AH804" s="37"/>
      <c r="AI804" s="37"/>
    </row>
    <row r="805">
      <c r="A805" s="41"/>
      <c r="B805" s="41"/>
      <c r="C805" s="41"/>
      <c r="D805" s="41"/>
      <c r="E805" s="41"/>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37"/>
      <c r="AF805" s="37"/>
      <c r="AG805" s="37"/>
      <c r="AH805" s="37"/>
      <c r="AI805" s="37"/>
    </row>
    <row r="806">
      <c r="A806" s="41"/>
      <c r="B806" s="41"/>
      <c r="C806" s="41"/>
      <c r="D806" s="41"/>
      <c r="E806" s="41"/>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37"/>
      <c r="AF806" s="37"/>
      <c r="AG806" s="37"/>
      <c r="AH806" s="37"/>
      <c r="AI806" s="37"/>
    </row>
    <row r="807">
      <c r="A807" s="41"/>
      <c r="B807" s="41"/>
      <c r="C807" s="41"/>
      <c r="D807" s="41"/>
      <c r="E807" s="41"/>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37"/>
      <c r="AF807" s="37"/>
      <c r="AG807" s="37"/>
      <c r="AH807" s="37"/>
      <c r="AI807" s="37"/>
    </row>
    <row r="808">
      <c r="A808" s="41"/>
      <c r="B808" s="41"/>
      <c r="C808" s="41"/>
      <c r="D808" s="41"/>
      <c r="E808" s="41"/>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37"/>
      <c r="AF808" s="37"/>
      <c r="AG808" s="37"/>
      <c r="AH808" s="37"/>
      <c r="AI808" s="37"/>
    </row>
    <row r="809">
      <c r="A809" s="41"/>
      <c r="B809" s="41"/>
      <c r="C809" s="41"/>
      <c r="D809" s="41"/>
      <c r="E809" s="41"/>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37"/>
      <c r="AF809" s="37"/>
      <c r="AG809" s="37"/>
      <c r="AH809" s="37"/>
      <c r="AI809" s="37"/>
    </row>
    <row r="810">
      <c r="A810" s="41"/>
      <c r="B810" s="41"/>
      <c r="C810" s="41"/>
      <c r="D810" s="41"/>
      <c r="E810" s="41"/>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37"/>
      <c r="AF810" s="37"/>
      <c r="AG810" s="37"/>
      <c r="AH810" s="37"/>
      <c r="AI810" s="37"/>
    </row>
    <row r="811">
      <c r="A811" s="41"/>
      <c r="B811" s="41"/>
      <c r="C811" s="41"/>
      <c r="D811" s="41"/>
      <c r="E811" s="41"/>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37"/>
      <c r="AF811" s="37"/>
      <c r="AG811" s="37"/>
      <c r="AH811" s="37"/>
      <c r="AI811" s="37"/>
    </row>
    <row r="812">
      <c r="A812" s="41"/>
      <c r="B812" s="41"/>
      <c r="C812" s="41"/>
      <c r="D812" s="41"/>
      <c r="E812" s="41"/>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37"/>
      <c r="AF812" s="37"/>
      <c r="AG812" s="37"/>
      <c r="AH812" s="37"/>
      <c r="AI812" s="37"/>
    </row>
    <row r="813">
      <c r="A813" s="41"/>
      <c r="B813" s="41"/>
      <c r="C813" s="41"/>
      <c r="D813" s="41"/>
      <c r="E813" s="41"/>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37"/>
      <c r="AF813" s="37"/>
      <c r="AG813" s="37"/>
      <c r="AH813" s="37"/>
      <c r="AI813" s="37"/>
    </row>
    <row r="814">
      <c r="A814" s="41"/>
      <c r="B814" s="41"/>
      <c r="C814" s="41"/>
      <c r="D814" s="41"/>
      <c r="E814" s="41"/>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37"/>
      <c r="AF814" s="37"/>
      <c r="AG814" s="37"/>
      <c r="AH814" s="37"/>
      <c r="AI814" s="37"/>
    </row>
    <row r="815">
      <c r="A815" s="41"/>
      <c r="B815" s="41"/>
      <c r="C815" s="41"/>
      <c r="D815" s="41"/>
      <c r="E815" s="41"/>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37"/>
      <c r="AF815" s="37"/>
      <c r="AG815" s="37"/>
      <c r="AH815" s="37"/>
      <c r="AI815" s="37"/>
    </row>
    <row r="816">
      <c r="A816" s="41"/>
      <c r="B816" s="41"/>
      <c r="C816" s="41"/>
      <c r="D816" s="41"/>
      <c r="E816" s="41"/>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37"/>
      <c r="AF816" s="37"/>
      <c r="AG816" s="37"/>
      <c r="AH816" s="37"/>
      <c r="AI816" s="37"/>
    </row>
    <row r="817">
      <c r="A817" s="41"/>
      <c r="B817" s="41"/>
      <c r="C817" s="41"/>
      <c r="D817" s="41"/>
      <c r="E817" s="41"/>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37"/>
      <c r="AF817" s="37"/>
      <c r="AG817" s="37"/>
      <c r="AH817" s="37"/>
      <c r="AI817" s="37"/>
    </row>
    <row r="818">
      <c r="A818" s="41"/>
      <c r="B818" s="41"/>
      <c r="C818" s="41"/>
      <c r="D818" s="41"/>
      <c r="E818" s="41"/>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37"/>
      <c r="AF818" s="37"/>
      <c r="AG818" s="37"/>
      <c r="AH818" s="37"/>
      <c r="AI818" s="37"/>
    </row>
    <row r="819">
      <c r="A819" s="41"/>
      <c r="B819" s="41"/>
      <c r="C819" s="41"/>
      <c r="D819" s="41"/>
      <c r="E819" s="41"/>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37"/>
      <c r="AF819" s="37"/>
      <c r="AG819" s="37"/>
      <c r="AH819" s="37"/>
      <c r="AI819" s="37"/>
    </row>
    <row r="820">
      <c r="A820" s="41"/>
      <c r="B820" s="41"/>
      <c r="C820" s="41"/>
      <c r="D820" s="41"/>
      <c r="E820" s="41"/>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37"/>
      <c r="AF820" s="37"/>
      <c r="AG820" s="37"/>
      <c r="AH820" s="37"/>
      <c r="AI820" s="37"/>
    </row>
    <row r="821">
      <c r="A821" s="41"/>
      <c r="B821" s="41"/>
      <c r="C821" s="41"/>
      <c r="D821" s="41"/>
      <c r="E821" s="41"/>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37"/>
      <c r="AF821" s="37"/>
      <c r="AG821" s="37"/>
      <c r="AH821" s="37"/>
      <c r="AI821" s="37"/>
    </row>
    <row r="822">
      <c r="A822" s="41"/>
      <c r="B822" s="41"/>
      <c r="C822" s="41"/>
      <c r="D822" s="41"/>
      <c r="E822" s="41"/>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37"/>
      <c r="AF822" s="37"/>
      <c r="AG822" s="37"/>
      <c r="AH822" s="37"/>
      <c r="AI822" s="37"/>
    </row>
    <row r="823">
      <c r="A823" s="41"/>
      <c r="B823" s="41"/>
      <c r="C823" s="41"/>
      <c r="D823" s="41"/>
      <c r="E823" s="41"/>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37"/>
      <c r="AF823" s="37"/>
      <c r="AG823" s="37"/>
      <c r="AH823" s="37"/>
      <c r="AI823" s="37"/>
    </row>
    <row r="824">
      <c r="A824" s="41"/>
      <c r="B824" s="41"/>
      <c r="C824" s="41"/>
      <c r="D824" s="41"/>
      <c r="E824" s="41"/>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37"/>
      <c r="AF824" s="37"/>
      <c r="AG824" s="37"/>
      <c r="AH824" s="37"/>
      <c r="AI824" s="37"/>
    </row>
    <row r="825">
      <c r="A825" s="41"/>
      <c r="B825" s="41"/>
      <c r="C825" s="41"/>
      <c r="D825" s="41"/>
      <c r="E825" s="41"/>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37"/>
      <c r="AF825" s="37"/>
      <c r="AG825" s="37"/>
      <c r="AH825" s="37"/>
      <c r="AI825" s="37"/>
    </row>
    <row r="826">
      <c r="A826" s="41"/>
      <c r="B826" s="41"/>
      <c r="C826" s="41"/>
      <c r="D826" s="41"/>
      <c r="E826" s="41"/>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37"/>
      <c r="AF826" s="37"/>
      <c r="AG826" s="37"/>
      <c r="AH826" s="37"/>
      <c r="AI826" s="37"/>
    </row>
    <row r="827">
      <c r="A827" s="41"/>
      <c r="B827" s="41"/>
      <c r="C827" s="41"/>
      <c r="D827" s="41"/>
      <c r="E827" s="41"/>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37"/>
      <c r="AF827" s="37"/>
      <c r="AG827" s="37"/>
      <c r="AH827" s="37"/>
      <c r="AI827" s="37"/>
    </row>
    <row r="828">
      <c r="A828" s="41"/>
      <c r="B828" s="41"/>
      <c r="C828" s="41"/>
      <c r="D828" s="41"/>
      <c r="E828" s="41"/>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37"/>
      <c r="AF828" s="37"/>
      <c r="AG828" s="37"/>
      <c r="AH828" s="37"/>
      <c r="AI828" s="37"/>
    </row>
    <row r="829">
      <c r="A829" s="41"/>
      <c r="B829" s="41"/>
      <c r="C829" s="41"/>
      <c r="D829" s="41"/>
      <c r="E829" s="41"/>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37"/>
      <c r="AF829" s="37"/>
      <c r="AG829" s="37"/>
      <c r="AH829" s="37"/>
      <c r="AI829" s="37"/>
    </row>
    <row r="830">
      <c r="A830" s="41"/>
      <c r="B830" s="41"/>
      <c r="C830" s="41"/>
      <c r="D830" s="41"/>
      <c r="E830" s="41"/>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37"/>
      <c r="AF830" s="37"/>
      <c r="AG830" s="37"/>
      <c r="AH830" s="37"/>
      <c r="AI830" s="37"/>
    </row>
    <row r="831">
      <c r="A831" s="41"/>
      <c r="B831" s="41"/>
      <c r="C831" s="41"/>
      <c r="D831" s="41"/>
      <c r="E831" s="41"/>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37"/>
      <c r="AF831" s="37"/>
      <c r="AG831" s="37"/>
      <c r="AH831" s="37"/>
      <c r="AI831" s="37"/>
    </row>
    <row r="832">
      <c r="A832" s="41"/>
      <c r="B832" s="41"/>
      <c r="C832" s="41"/>
      <c r="D832" s="41"/>
      <c r="E832" s="41"/>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37"/>
      <c r="AF832" s="37"/>
      <c r="AG832" s="37"/>
      <c r="AH832" s="37"/>
      <c r="AI832" s="37"/>
    </row>
    <row r="833">
      <c r="A833" s="41"/>
      <c r="B833" s="41"/>
      <c r="C833" s="41"/>
      <c r="D833" s="41"/>
      <c r="E833" s="41"/>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37"/>
      <c r="AF833" s="37"/>
      <c r="AG833" s="37"/>
      <c r="AH833" s="37"/>
      <c r="AI833" s="37"/>
    </row>
    <row r="834">
      <c r="A834" s="41"/>
      <c r="B834" s="41"/>
      <c r="C834" s="41"/>
      <c r="D834" s="41"/>
      <c r="E834" s="41"/>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37"/>
      <c r="AF834" s="37"/>
      <c r="AG834" s="37"/>
      <c r="AH834" s="37"/>
      <c r="AI834" s="37"/>
    </row>
    <row r="835">
      <c r="A835" s="41"/>
      <c r="B835" s="41"/>
      <c r="C835" s="41"/>
      <c r="D835" s="41"/>
      <c r="E835" s="41"/>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37"/>
      <c r="AF835" s="37"/>
      <c r="AG835" s="37"/>
      <c r="AH835" s="37"/>
      <c r="AI835" s="37"/>
    </row>
    <row r="836">
      <c r="A836" s="41"/>
      <c r="B836" s="41"/>
      <c r="C836" s="41"/>
      <c r="D836" s="41"/>
      <c r="E836" s="41"/>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37"/>
      <c r="AF836" s="37"/>
      <c r="AG836" s="37"/>
      <c r="AH836" s="37"/>
      <c r="AI836" s="37"/>
    </row>
    <row r="837">
      <c r="A837" s="41"/>
      <c r="B837" s="41"/>
      <c r="C837" s="41"/>
      <c r="D837" s="41"/>
      <c r="E837" s="41"/>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37"/>
      <c r="AF837" s="37"/>
      <c r="AG837" s="37"/>
      <c r="AH837" s="37"/>
      <c r="AI837" s="37"/>
    </row>
    <row r="838">
      <c r="A838" s="41"/>
      <c r="B838" s="41"/>
      <c r="C838" s="41"/>
      <c r="D838" s="41"/>
      <c r="E838" s="41"/>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37"/>
      <c r="AF838" s="37"/>
      <c r="AG838" s="37"/>
      <c r="AH838" s="37"/>
      <c r="AI838" s="37"/>
    </row>
    <row r="839">
      <c r="A839" s="41"/>
      <c r="B839" s="41"/>
      <c r="C839" s="41"/>
      <c r="D839" s="41"/>
      <c r="E839" s="41"/>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37"/>
      <c r="AF839" s="37"/>
      <c r="AG839" s="37"/>
      <c r="AH839" s="37"/>
      <c r="AI839" s="37"/>
    </row>
    <row r="840">
      <c r="A840" s="41"/>
      <c r="B840" s="41"/>
      <c r="C840" s="41"/>
      <c r="D840" s="41"/>
      <c r="E840" s="41"/>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37"/>
      <c r="AF840" s="37"/>
      <c r="AG840" s="37"/>
      <c r="AH840" s="37"/>
      <c r="AI840" s="37"/>
    </row>
    <row r="841">
      <c r="A841" s="41"/>
      <c r="B841" s="41"/>
      <c r="C841" s="41"/>
      <c r="D841" s="41"/>
      <c r="E841" s="41"/>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37"/>
      <c r="AF841" s="37"/>
      <c r="AG841" s="37"/>
      <c r="AH841" s="37"/>
      <c r="AI841" s="37"/>
    </row>
    <row r="842">
      <c r="A842" s="41"/>
      <c r="B842" s="41"/>
      <c r="C842" s="41"/>
      <c r="D842" s="41"/>
      <c r="E842" s="41"/>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37"/>
      <c r="AF842" s="37"/>
      <c r="AG842" s="37"/>
      <c r="AH842" s="37"/>
      <c r="AI842" s="37"/>
    </row>
    <row r="843">
      <c r="A843" s="41"/>
      <c r="B843" s="41"/>
      <c r="C843" s="41"/>
      <c r="D843" s="41"/>
      <c r="E843" s="41"/>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37"/>
      <c r="AF843" s="37"/>
      <c r="AG843" s="37"/>
      <c r="AH843" s="37"/>
      <c r="AI843" s="37"/>
    </row>
    <row r="844">
      <c r="A844" s="41"/>
      <c r="B844" s="41"/>
      <c r="C844" s="41"/>
      <c r="D844" s="41"/>
      <c r="E844" s="41"/>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37"/>
      <c r="AF844" s="37"/>
      <c r="AG844" s="37"/>
      <c r="AH844" s="37"/>
      <c r="AI844" s="37"/>
    </row>
    <row r="845">
      <c r="A845" s="41"/>
      <c r="B845" s="41"/>
      <c r="C845" s="41"/>
      <c r="D845" s="41"/>
      <c r="E845" s="41"/>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37"/>
      <c r="AF845" s="37"/>
      <c r="AG845" s="37"/>
      <c r="AH845" s="37"/>
      <c r="AI845" s="37"/>
    </row>
    <row r="846">
      <c r="A846" s="41"/>
      <c r="B846" s="41"/>
      <c r="C846" s="41"/>
      <c r="D846" s="41"/>
      <c r="E846" s="41"/>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37"/>
      <c r="AF846" s="37"/>
      <c r="AG846" s="37"/>
      <c r="AH846" s="37"/>
      <c r="AI846" s="37"/>
    </row>
    <row r="847">
      <c r="A847" s="41"/>
      <c r="B847" s="41"/>
      <c r="C847" s="41"/>
      <c r="D847" s="41"/>
      <c r="E847" s="41"/>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37"/>
      <c r="AF847" s="37"/>
      <c r="AG847" s="37"/>
      <c r="AH847" s="37"/>
      <c r="AI847" s="37"/>
    </row>
    <row r="848">
      <c r="A848" s="41"/>
      <c r="B848" s="41"/>
      <c r="C848" s="41"/>
      <c r="D848" s="41"/>
      <c r="E848" s="41"/>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37"/>
      <c r="AF848" s="37"/>
      <c r="AG848" s="37"/>
      <c r="AH848" s="37"/>
      <c r="AI848" s="37"/>
    </row>
    <row r="849">
      <c r="A849" s="41"/>
      <c r="B849" s="41"/>
      <c r="C849" s="41"/>
      <c r="D849" s="41"/>
      <c r="E849" s="41"/>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37"/>
      <c r="AF849" s="37"/>
      <c r="AG849" s="37"/>
      <c r="AH849" s="37"/>
      <c r="AI849" s="37"/>
    </row>
    <row r="850">
      <c r="A850" s="41"/>
      <c r="B850" s="41"/>
      <c r="C850" s="41"/>
      <c r="D850" s="41"/>
      <c r="E850" s="41"/>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37"/>
      <c r="AF850" s="37"/>
      <c r="AG850" s="37"/>
      <c r="AH850" s="37"/>
      <c r="AI850" s="37"/>
    </row>
    <row r="851">
      <c r="A851" s="41"/>
      <c r="B851" s="41"/>
      <c r="C851" s="41"/>
      <c r="D851" s="41"/>
      <c r="E851" s="41"/>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37"/>
      <c r="AF851" s="37"/>
      <c r="AG851" s="37"/>
      <c r="AH851" s="37"/>
      <c r="AI851" s="37"/>
    </row>
    <row r="852">
      <c r="A852" s="41"/>
      <c r="B852" s="41"/>
      <c r="C852" s="41"/>
      <c r="D852" s="41"/>
      <c r="E852" s="41"/>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37"/>
      <c r="AF852" s="37"/>
      <c r="AG852" s="37"/>
      <c r="AH852" s="37"/>
      <c r="AI852" s="37"/>
    </row>
    <row r="853">
      <c r="A853" s="41"/>
      <c r="B853" s="41"/>
      <c r="C853" s="41"/>
      <c r="D853" s="41"/>
      <c r="E853" s="41"/>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37"/>
      <c r="AF853" s="37"/>
      <c r="AG853" s="37"/>
      <c r="AH853" s="37"/>
      <c r="AI853" s="37"/>
    </row>
    <row r="854">
      <c r="A854" s="41"/>
      <c r="B854" s="41"/>
      <c r="C854" s="41"/>
      <c r="D854" s="41"/>
      <c r="E854" s="41"/>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37"/>
      <c r="AF854" s="37"/>
      <c r="AG854" s="37"/>
      <c r="AH854" s="37"/>
      <c r="AI854" s="37"/>
    </row>
    <row r="855">
      <c r="A855" s="41"/>
      <c r="B855" s="41"/>
      <c r="C855" s="41"/>
      <c r="D855" s="41"/>
      <c r="E855" s="41"/>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37"/>
      <c r="AF855" s="37"/>
      <c r="AG855" s="37"/>
      <c r="AH855" s="37"/>
      <c r="AI855" s="37"/>
    </row>
    <row r="856">
      <c r="A856" s="41"/>
      <c r="B856" s="41"/>
      <c r="C856" s="41"/>
      <c r="D856" s="41"/>
      <c r="E856" s="41"/>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37"/>
      <c r="AF856" s="37"/>
      <c r="AG856" s="37"/>
      <c r="AH856" s="37"/>
      <c r="AI856" s="37"/>
    </row>
    <row r="857">
      <c r="A857" s="41"/>
      <c r="B857" s="41"/>
      <c r="C857" s="41"/>
      <c r="D857" s="41"/>
      <c r="E857" s="41"/>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37"/>
      <c r="AF857" s="37"/>
      <c r="AG857" s="37"/>
      <c r="AH857" s="37"/>
      <c r="AI857" s="37"/>
    </row>
    <row r="858">
      <c r="A858" s="41"/>
      <c r="B858" s="41"/>
      <c r="C858" s="41"/>
      <c r="D858" s="41"/>
      <c r="E858" s="41"/>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37"/>
      <c r="AF858" s="37"/>
      <c r="AG858" s="37"/>
      <c r="AH858" s="37"/>
      <c r="AI858" s="37"/>
    </row>
    <row r="859">
      <c r="A859" s="41"/>
      <c r="B859" s="41"/>
      <c r="C859" s="41"/>
      <c r="D859" s="41"/>
      <c r="E859" s="41"/>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37"/>
      <c r="AF859" s="37"/>
      <c r="AG859" s="37"/>
      <c r="AH859" s="37"/>
      <c r="AI859" s="37"/>
    </row>
    <row r="860">
      <c r="A860" s="41"/>
      <c r="B860" s="41"/>
      <c r="C860" s="41"/>
      <c r="D860" s="41"/>
      <c r="E860" s="41"/>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37"/>
      <c r="AF860" s="37"/>
      <c r="AG860" s="37"/>
      <c r="AH860" s="37"/>
      <c r="AI860" s="37"/>
    </row>
    <row r="861">
      <c r="A861" s="41"/>
      <c r="B861" s="41"/>
      <c r="C861" s="41"/>
      <c r="D861" s="41"/>
      <c r="E861" s="41"/>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37"/>
      <c r="AF861" s="37"/>
      <c r="AG861" s="37"/>
      <c r="AH861" s="37"/>
      <c r="AI861" s="37"/>
    </row>
    <row r="862">
      <c r="A862" s="41"/>
      <c r="B862" s="41"/>
      <c r="C862" s="41"/>
      <c r="D862" s="41"/>
      <c r="E862" s="41"/>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37"/>
      <c r="AF862" s="37"/>
      <c r="AG862" s="37"/>
      <c r="AH862" s="37"/>
      <c r="AI862" s="37"/>
    </row>
    <row r="863">
      <c r="A863" s="41"/>
      <c r="B863" s="41"/>
      <c r="C863" s="41"/>
      <c r="D863" s="41"/>
      <c r="E863" s="41"/>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37"/>
      <c r="AF863" s="37"/>
      <c r="AG863" s="37"/>
      <c r="AH863" s="37"/>
      <c r="AI863" s="37"/>
    </row>
    <row r="864">
      <c r="A864" s="41"/>
      <c r="B864" s="41"/>
      <c r="C864" s="41"/>
      <c r="D864" s="41"/>
      <c r="E864" s="41"/>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37"/>
      <c r="AF864" s="37"/>
      <c r="AG864" s="37"/>
      <c r="AH864" s="37"/>
      <c r="AI864" s="37"/>
    </row>
    <row r="865">
      <c r="A865" s="41"/>
      <c r="B865" s="41"/>
      <c r="C865" s="41"/>
      <c r="D865" s="41"/>
      <c r="E865" s="41"/>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37"/>
      <c r="AF865" s="37"/>
      <c r="AG865" s="37"/>
      <c r="AH865" s="37"/>
      <c r="AI865" s="37"/>
    </row>
    <row r="866">
      <c r="A866" s="41"/>
      <c r="B866" s="41"/>
      <c r="C866" s="41"/>
      <c r="D866" s="41"/>
      <c r="E866" s="41"/>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37"/>
      <c r="AF866" s="37"/>
      <c r="AG866" s="37"/>
      <c r="AH866" s="37"/>
      <c r="AI866" s="37"/>
    </row>
    <row r="867">
      <c r="A867" s="41"/>
      <c r="B867" s="41"/>
      <c r="C867" s="41"/>
      <c r="D867" s="41"/>
      <c r="E867" s="41"/>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37"/>
      <c r="AF867" s="37"/>
      <c r="AG867" s="37"/>
      <c r="AH867" s="37"/>
      <c r="AI867" s="37"/>
    </row>
    <row r="868">
      <c r="A868" s="41"/>
      <c r="B868" s="41"/>
      <c r="C868" s="41"/>
      <c r="D868" s="41"/>
      <c r="E868" s="41"/>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37"/>
      <c r="AF868" s="37"/>
      <c r="AG868" s="37"/>
      <c r="AH868" s="37"/>
      <c r="AI868" s="37"/>
    </row>
    <row r="869">
      <c r="A869" s="41"/>
      <c r="B869" s="41"/>
      <c r="C869" s="41"/>
      <c r="D869" s="41"/>
      <c r="E869" s="41"/>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37"/>
      <c r="AF869" s="37"/>
      <c r="AG869" s="37"/>
      <c r="AH869" s="37"/>
      <c r="AI869" s="37"/>
    </row>
    <row r="870">
      <c r="A870" s="41"/>
      <c r="B870" s="41"/>
      <c r="C870" s="41"/>
      <c r="D870" s="41"/>
      <c r="E870" s="41"/>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37"/>
      <c r="AF870" s="37"/>
      <c r="AG870" s="37"/>
      <c r="AH870" s="37"/>
      <c r="AI870" s="37"/>
    </row>
    <row r="871">
      <c r="A871" s="41"/>
      <c r="B871" s="41"/>
      <c r="C871" s="41"/>
      <c r="D871" s="41"/>
      <c r="E871" s="41"/>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37"/>
      <c r="AF871" s="37"/>
      <c r="AG871" s="37"/>
      <c r="AH871" s="37"/>
      <c r="AI871" s="37"/>
    </row>
    <row r="872">
      <c r="A872" s="41"/>
      <c r="B872" s="41"/>
      <c r="C872" s="41"/>
      <c r="D872" s="41"/>
      <c r="E872" s="41"/>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37"/>
      <c r="AF872" s="37"/>
      <c r="AG872" s="37"/>
      <c r="AH872" s="37"/>
      <c r="AI872" s="37"/>
    </row>
    <row r="873">
      <c r="A873" s="41"/>
      <c r="B873" s="41"/>
      <c r="C873" s="41"/>
      <c r="D873" s="41"/>
      <c r="E873" s="41"/>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37"/>
      <c r="AF873" s="37"/>
      <c r="AG873" s="37"/>
      <c r="AH873" s="37"/>
      <c r="AI873" s="37"/>
    </row>
    <row r="874">
      <c r="A874" s="41"/>
      <c r="B874" s="41"/>
      <c r="C874" s="41"/>
      <c r="D874" s="41"/>
      <c r="E874" s="41"/>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37"/>
      <c r="AF874" s="37"/>
      <c r="AG874" s="37"/>
      <c r="AH874" s="37"/>
      <c r="AI874" s="37"/>
    </row>
    <row r="875">
      <c r="A875" s="41"/>
      <c r="B875" s="41"/>
      <c r="C875" s="41"/>
      <c r="D875" s="41"/>
      <c r="E875" s="41"/>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37"/>
      <c r="AF875" s="37"/>
      <c r="AG875" s="37"/>
      <c r="AH875" s="37"/>
      <c r="AI875" s="37"/>
    </row>
    <row r="876">
      <c r="A876" s="41"/>
      <c r="B876" s="41"/>
      <c r="C876" s="41"/>
      <c r="D876" s="41"/>
      <c r="E876" s="41"/>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37"/>
      <c r="AF876" s="37"/>
      <c r="AG876" s="37"/>
      <c r="AH876" s="37"/>
      <c r="AI876" s="37"/>
    </row>
    <row r="877">
      <c r="A877" s="41"/>
      <c r="B877" s="41"/>
      <c r="C877" s="41"/>
      <c r="D877" s="41"/>
      <c r="E877" s="41"/>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37"/>
      <c r="AF877" s="37"/>
      <c r="AG877" s="37"/>
      <c r="AH877" s="37"/>
      <c r="AI877" s="37"/>
    </row>
    <row r="878">
      <c r="A878" s="41"/>
      <c r="B878" s="41"/>
      <c r="C878" s="41"/>
      <c r="D878" s="41"/>
      <c r="E878" s="41"/>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37"/>
      <c r="AF878" s="37"/>
      <c r="AG878" s="37"/>
      <c r="AH878" s="37"/>
      <c r="AI878" s="37"/>
    </row>
    <row r="879">
      <c r="A879" s="41"/>
      <c r="B879" s="41"/>
      <c r="C879" s="41"/>
      <c r="D879" s="41"/>
      <c r="E879" s="41"/>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37"/>
      <c r="AF879" s="37"/>
      <c r="AG879" s="37"/>
      <c r="AH879" s="37"/>
      <c r="AI879" s="37"/>
    </row>
    <row r="880">
      <c r="A880" s="41"/>
      <c r="B880" s="41"/>
      <c r="C880" s="41"/>
      <c r="D880" s="41"/>
      <c r="E880" s="41"/>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37"/>
      <c r="AF880" s="37"/>
      <c r="AG880" s="37"/>
      <c r="AH880" s="37"/>
      <c r="AI880" s="37"/>
    </row>
    <row r="881">
      <c r="A881" s="41"/>
      <c r="B881" s="41"/>
      <c r="C881" s="41"/>
      <c r="D881" s="41"/>
      <c r="E881" s="41"/>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37"/>
      <c r="AF881" s="37"/>
      <c r="AG881" s="37"/>
      <c r="AH881" s="37"/>
      <c r="AI881" s="37"/>
    </row>
    <row r="882">
      <c r="A882" s="41"/>
      <c r="B882" s="41"/>
      <c r="C882" s="41"/>
      <c r="D882" s="41"/>
      <c r="E882" s="41"/>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37"/>
      <c r="AF882" s="37"/>
      <c r="AG882" s="37"/>
      <c r="AH882" s="37"/>
      <c r="AI882" s="37"/>
    </row>
    <row r="883">
      <c r="A883" s="41"/>
      <c r="B883" s="41"/>
      <c r="C883" s="41"/>
      <c r="D883" s="41"/>
      <c r="E883" s="41"/>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37"/>
      <c r="AF883" s="37"/>
      <c r="AG883" s="37"/>
      <c r="AH883" s="37"/>
      <c r="AI883" s="37"/>
    </row>
    <row r="884">
      <c r="A884" s="41"/>
      <c r="B884" s="41"/>
      <c r="C884" s="41"/>
      <c r="D884" s="41"/>
      <c r="E884" s="41"/>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37"/>
      <c r="AF884" s="37"/>
      <c r="AG884" s="37"/>
      <c r="AH884" s="37"/>
      <c r="AI884" s="37"/>
    </row>
    <row r="885">
      <c r="A885" s="41"/>
      <c r="B885" s="41"/>
      <c r="C885" s="41"/>
      <c r="D885" s="41"/>
      <c r="E885" s="41"/>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37"/>
      <c r="AF885" s="37"/>
      <c r="AG885" s="37"/>
      <c r="AH885" s="37"/>
      <c r="AI885" s="37"/>
    </row>
    <row r="886">
      <c r="A886" s="41"/>
      <c r="B886" s="41"/>
      <c r="C886" s="41"/>
      <c r="D886" s="41"/>
      <c r="E886" s="41"/>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37"/>
      <c r="AF886" s="37"/>
      <c r="AG886" s="37"/>
      <c r="AH886" s="37"/>
      <c r="AI886" s="37"/>
    </row>
    <row r="887">
      <c r="A887" s="41"/>
      <c r="B887" s="41"/>
      <c r="C887" s="41"/>
      <c r="D887" s="41"/>
      <c r="E887" s="41"/>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37"/>
      <c r="AF887" s="37"/>
      <c r="AG887" s="37"/>
      <c r="AH887" s="37"/>
      <c r="AI887" s="37"/>
    </row>
    <row r="888">
      <c r="A888" s="41"/>
      <c r="B888" s="41"/>
      <c r="C888" s="41"/>
      <c r="D888" s="41"/>
      <c r="E888" s="41"/>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37"/>
      <c r="AF888" s="37"/>
      <c r="AG888" s="37"/>
      <c r="AH888" s="37"/>
      <c r="AI888" s="37"/>
    </row>
    <row r="889">
      <c r="A889" s="41"/>
      <c r="B889" s="41"/>
      <c r="C889" s="41"/>
      <c r="D889" s="41"/>
      <c r="E889" s="41"/>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37"/>
      <c r="AF889" s="37"/>
      <c r="AG889" s="37"/>
      <c r="AH889" s="37"/>
      <c r="AI889" s="37"/>
    </row>
    <row r="890">
      <c r="A890" s="41"/>
      <c r="B890" s="41"/>
      <c r="C890" s="41"/>
      <c r="D890" s="41"/>
      <c r="E890" s="41"/>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37"/>
      <c r="AF890" s="37"/>
      <c r="AG890" s="37"/>
      <c r="AH890" s="37"/>
      <c r="AI890" s="37"/>
    </row>
    <row r="891">
      <c r="A891" s="41"/>
      <c r="B891" s="41"/>
      <c r="C891" s="41"/>
      <c r="D891" s="41"/>
      <c r="E891" s="41"/>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37"/>
      <c r="AF891" s="37"/>
      <c r="AG891" s="37"/>
      <c r="AH891" s="37"/>
      <c r="AI891" s="37"/>
    </row>
    <row r="892">
      <c r="A892" s="41"/>
      <c r="B892" s="41"/>
      <c r="C892" s="41"/>
      <c r="D892" s="41"/>
      <c r="E892" s="41"/>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37"/>
      <c r="AF892" s="37"/>
      <c r="AG892" s="37"/>
      <c r="AH892" s="37"/>
      <c r="AI892" s="37"/>
    </row>
    <row r="893">
      <c r="A893" s="41"/>
      <c r="B893" s="41"/>
      <c r="C893" s="41"/>
      <c r="D893" s="41"/>
      <c r="E893" s="41"/>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37"/>
      <c r="AF893" s="37"/>
      <c r="AG893" s="37"/>
      <c r="AH893" s="37"/>
      <c r="AI893" s="37"/>
    </row>
    <row r="894">
      <c r="A894" s="41"/>
      <c r="B894" s="41"/>
      <c r="C894" s="41"/>
      <c r="D894" s="41"/>
      <c r="E894" s="41"/>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37"/>
      <c r="AF894" s="37"/>
      <c r="AG894" s="37"/>
      <c r="AH894" s="37"/>
      <c r="AI894" s="37"/>
    </row>
    <row r="895">
      <c r="A895" s="41"/>
      <c r="B895" s="41"/>
      <c r="C895" s="41"/>
      <c r="D895" s="41"/>
      <c r="E895" s="41"/>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37"/>
      <c r="AF895" s="37"/>
      <c r="AG895" s="37"/>
      <c r="AH895" s="37"/>
      <c r="AI895" s="37"/>
    </row>
    <row r="896">
      <c r="A896" s="41"/>
      <c r="B896" s="41"/>
      <c r="C896" s="41"/>
      <c r="D896" s="41"/>
      <c r="E896" s="41"/>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37"/>
      <c r="AF896" s="37"/>
      <c r="AG896" s="37"/>
      <c r="AH896" s="37"/>
      <c r="AI896" s="37"/>
    </row>
    <row r="897">
      <c r="A897" s="41"/>
      <c r="B897" s="41"/>
      <c r="C897" s="41"/>
      <c r="D897" s="41"/>
      <c r="E897" s="41"/>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37"/>
      <c r="AF897" s="37"/>
      <c r="AG897" s="37"/>
      <c r="AH897" s="37"/>
      <c r="AI897" s="37"/>
    </row>
    <row r="898">
      <c r="A898" s="41"/>
      <c r="B898" s="41"/>
      <c r="C898" s="41"/>
      <c r="D898" s="41"/>
      <c r="E898" s="41"/>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37"/>
      <c r="AF898" s="37"/>
      <c r="AG898" s="37"/>
      <c r="AH898" s="37"/>
      <c r="AI898" s="37"/>
    </row>
    <row r="899">
      <c r="A899" s="41"/>
      <c r="B899" s="41"/>
      <c r="C899" s="41"/>
      <c r="D899" s="41"/>
      <c r="E899" s="41"/>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37"/>
      <c r="AF899" s="37"/>
      <c r="AG899" s="37"/>
      <c r="AH899" s="37"/>
      <c r="AI899" s="37"/>
    </row>
    <row r="900">
      <c r="A900" s="41"/>
      <c r="B900" s="41"/>
      <c r="C900" s="41"/>
      <c r="D900" s="41"/>
      <c r="E900" s="41"/>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37"/>
      <c r="AF900" s="37"/>
      <c r="AG900" s="37"/>
      <c r="AH900" s="37"/>
      <c r="AI900" s="37"/>
    </row>
    <row r="901">
      <c r="A901" s="41"/>
      <c r="B901" s="41"/>
      <c r="C901" s="41"/>
      <c r="D901" s="41"/>
      <c r="E901" s="41"/>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37"/>
      <c r="AF901" s="37"/>
      <c r="AG901" s="37"/>
      <c r="AH901" s="37"/>
      <c r="AI901" s="37"/>
    </row>
    <row r="902">
      <c r="A902" s="41"/>
      <c r="B902" s="41"/>
      <c r="C902" s="41"/>
      <c r="D902" s="41"/>
      <c r="E902" s="41"/>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37"/>
      <c r="AF902" s="37"/>
      <c r="AG902" s="37"/>
      <c r="AH902" s="37"/>
      <c r="AI902" s="37"/>
    </row>
    <row r="903">
      <c r="A903" s="41"/>
      <c r="B903" s="41"/>
      <c r="C903" s="41"/>
      <c r="D903" s="41"/>
      <c r="E903" s="41"/>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37"/>
      <c r="AF903" s="37"/>
      <c r="AG903" s="37"/>
      <c r="AH903" s="37"/>
      <c r="AI903" s="37"/>
    </row>
    <row r="904">
      <c r="A904" s="41"/>
      <c r="B904" s="41"/>
      <c r="C904" s="41"/>
      <c r="D904" s="41"/>
      <c r="E904" s="41"/>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37"/>
      <c r="AF904" s="37"/>
      <c r="AG904" s="37"/>
      <c r="AH904" s="37"/>
      <c r="AI904" s="37"/>
    </row>
    <row r="905">
      <c r="A905" s="41"/>
      <c r="B905" s="41"/>
      <c r="C905" s="41"/>
      <c r="D905" s="41"/>
      <c r="E905" s="41"/>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37"/>
      <c r="AF905" s="37"/>
      <c r="AG905" s="37"/>
      <c r="AH905" s="37"/>
      <c r="AI905" s="37"/>
    </row>
    <row r="906">
      <c r="A906" s="41"/>
      <c r="B906" s="41"/>
      <c r="C906" s="41"/>
      <c r="D906" s="41"/>
      <c r="E906" s="41"/>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37"/>
      <c r="AF906" s="37"/>
      <c r="AG906" s="37"/>
      <c r="AH906" s="37"/>
      <c r="AI906" s="37"/>
    </row>
    <row r="907">
      <c r="A907" s="41"/>
      <c r="B907" s="41"/>
      <c r="C907" s="41"/>
      <c r="D907" s="41"/>
      <c r="E907" s="41"/>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37"/>
      <c r="AF907" s="37"/>
      <c r="AG907" s="37"/>
      <c r="AH907" s="37"/>
      <c r="AI907" s="37"/>
    </row>
    <row r="908">
      <c r="A908" s="41"/>
      <c r="B908" s="41"/>
      <c r="C908" s="41"/>
      <c r="D908" s="41"/>
      <c r="E908" s="41"/>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37"/>
      <c r="AF908" s="37"/>
      <c r="AG908" s="37"/>
      <c r="AH908" s="37"/>
      <c r="AI908" s="37"/>
    </row>
    <row r="909">
      <c r="A909" s="41"/>
      <c r="B909" s="41"/>
      <c r="C909" s="41"/>
      <c r="D909" s="41"/>
      <c r="E909" s="41"/>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37"/>
      <c r="AF909" s="37"/>
      <c r="AG909" s="37"/>
      <c r="AH909" s="37"/>
      <c r="AI909" s="37"/>
    </row>
    <row r="910">
      <c r="A910" s="41"/>
      <c r="B910" s="41"/>
      <c r="C910" s="41"/>
      <c r="D910" s="41"/>
      <c r="E910" s="41"/>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37"/>
      <c r="AF910" s="37"/>
      <c r="AG910" s="37"/>
      <c r="AH910" s="37"/>
      <c r="AI910" s="37"/>
    </row>
    <row r="911">
      <c r="A911" s="41"/>
      <c r="B911" s="41"/>
      <c r="C911" s="41"/>
      <c r="D911" s="41"/>
      <c r="E911" s="41"/>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37"/>
      <c r="AF911" s="37"/>
      <c r="AG911" s="37"/>
      <c r="AH911" s="37"/>
      <c r="AI911" s="37"/>
    </row>
    <row r="912">
      <c r="A912" s="41"/>
      <c r="B912" s="41"/>
      <c r="C912" s="41"/>
      <c r="D912" s="41"/>
      <c r="E912" s="41"/>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37"/>
      <c r="AF912" s="37"/>
      <c r="AG912" s="37"/>
      <c r="AH912" s="37"/>
      <c r="AI912" s="37"/>
    </row>
    <row r="913">
      <c r="A913" s="41"/>
      <c r="B913" s="41"/>
      <c r="C913" s="41"/>
      <c r="D913" s="41"/>
      <c r="E913" s="41"/>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37"/>
      <c r="AF913" s="37"/>
      <c r="AG913" s="37"/>
      <c r="AH913" s="37"/>
      <c r="AI913" s="37"/>
    </row>
    <row r="914">
      <c r="A914" s="41"/>
      <c r="B914" s="41"/>
      <c r="C914" s="41"/>
      <c r="D914" s="41"/>
      <c r="E914" s="41"/>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37"/>
      <c r="AF914" s="37"/>
      <c r="AG914" s="37"/>
      <c r="AH914" s="37"/>
      <c r="AI914" s="37"/>
    </row>
    <row r="915">
      <c r="A915" s="41"/>
      <c r="B915" s="41"/>
      <c r="C915" s="41"/>
      <c r="D915" s="41"/>
      <c r="E915" s="41"/>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37"/>
      <c r="AF915" s="37"/>
      <c r="AG915" s="37"/>
      <c r="AH915" s="37"/>
      <c r="AI915" s="37"/>
    </row>
    <row r="916">
      <c r="A916" s="41"/>
      <c r="B916" s="41"/>
      <c r="C916" s="41"/>
      <c r="D916" s="41"/>
      <c r="E916" s="41"/>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37"/>
      <c r="AF916" s="37"/>
      <c r="AG916" s="37"/>
      <c r="AH916" s="37"/>
      <c r="AI916" s="37"/>
    </row>
    <row r="917">
      <c r="A917" s="41"/>
      <c r="B917" s="41"/>
      <c r="C917" s="41"/>
      <c r="D917" s="41"/>
      <c r="E917" s="41"/>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37"/>
      <c r="AF917" s="37"/>
      <c r="AG917" s="37"/>
      <c r="AH917" s="37"/>
      <c r="AI917" s="37"/>
    </row>
    <row r="918">
      <c r="A918" s="41"/>
      <c r="B918" s="41"/>
      <c r="C918" s="41"/>
      <c r="D918" s="41"/>
      <c r="E918" s="41"/>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37"/>
      <c r="AF918" s="37"/>
      <c r="AG918" s="37"/>
      <c r="AH918" s="37"/>
      <c r="AI918" s="37"/>
    </row>
    <row r="919">
      <c r="A919" s="41"/>
      <c r="B919" s="41"/>
      <c r="C919" s="41"/>
      <c r="D919" s="41"/>
      <c r="E919" s="41"/>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37"/>
      <c r="AF919" s="37"/>
      <c r="AG919" s="37"/>
      <c r="AH919" s="37"/>
      <c r="AI919" s="37"/>
    </row>
    <row r="920">
      <c r="A920" s="41"/>
      <c r="B920" s="41"/>
      <c r="C920" s="41"/>
      <c r="D920" s="41"/>
      <c r="E920" s="41"/>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37"/>
      <c r="AF920" s="37"/>
      <c r="AG920" s="37"/>
      <c r="AH920" s="37"/>
      <c r="AI920" s="37"/>
    </row>
    <row r="921">
      <c r="A921" s="41"/>
      <c r="B921" s="41"/>
      <c r="C921" s="41"/>
      <c r="D921" s="41"/>
      <c r="E921" s="41"/>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37"/>
      <c r="AF921" s="37"/>
      <c r="AG921" s="37"/>
      <c r="AH921" s="37"/>
      <c r="AI921" s="37"/>
    </row>
    <row r="922">
      <c r="A922" s="41"/>
      <c r="B922" s="41"/>
      <c r="C922" s="41"/>
      <c r="D922" s="41"/>
      <c r="E922" s="41"/>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37"/>
      <c r="AF922" s="37"/>
      <c r="AG922" s="37"/>
      <c r="AH922" s="37"/>
      <c r="AI922" s="37"/>
    </row>
    <row r="923">
      <c r="A923" s="41"/>
      <c r="B923" s="41"/>
      <c r="C923" s="41"/>
      <c r="D923" s="41"/>
      <c r="E923" s="41"/>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37"/>
      <c r="AF923" s="37"/>
      <c r="AG923" s="37"/>
      <c r="AH923" s="37"/>
      <c r="AI923" s="37"/>
    </row>
    <row r="924">
      <c r="A924" s="41"/>
      <c r="B924" s="41"/>
      <c r="C924" s="41"/>
      <c r="D924" s="41"/>
      <c r="E924" s="41"/>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37"/>
      <c r="AF924" s="37"/>
      <c r="AG924" s="37"/>
      <c r="AH924" s="37"/>
      <c r="AI924" s="37"/>
    </row>
    <row r="925">
      <c r="A925" s="41"/>
      <c r="B925" s="41"/>
      <c r="C925" s="41"/>
      <c r="D925" s="41"/>
      <c r="E925" s="41"/>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37"/>
      <c r="AF925" s="37"/>
      <c r="AG925" s="37"/>
      <c r="AH925" s="37"/>
      <c r="AI925" s="37"/>
    </row>
    <row r="926">
      <c r="A926" s="41"/>
      <c r="B926" s="41"/>
      <c r="C926" s="41"/>
      <c r="D926" s="41"/>
      <c r="E926" s="41"/>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37"/>
      <c r="AF926" s="37"/>
      <c r="AG926" s="37"/>
      <c r="AH926" s="37"/>
      <c r="AI926" s="37"/>
    </row>
    <row r="927">
      <c r="A927" s="41"/>
      <c r="B927" s="41"/>
      <c r="C927" s="41"/>
      <c r="D927" s="41"/>
      <c r="E927" s="41"/>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37"/>
      <c r="AF927" s="37"/>
      <c r="AG927" s="37"/>
      <c r="AH927" s="37"/>
      <c r="AI927" s="37"/>
    </row>
    <row r="928">
      <c r="A928" s="41"/>
      <c r="B928" s="41"/>
      <c r="C928" s="41"/>
      <c r="D928" s="41"/>
      <c r="E928" s="41"/>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37"/>
      <c r="AF928" s="37"/>
      <c r="AG928" s="37"/>
      <c r="AH928" s="37"/>
      <c r="AI928" s="37"/>
    </row>
    <row r="929">
      <c r="A929" s="41"/>
      <c r="B929" s="41"/>
      <c r="C929" s="41"/>
      <c r="D929" s="41"/>
      <c r="E929" s="41"/>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37"/>
      <c r="AF929" s="37"/>
      <c r="AG929" s="37"/>
      <c r="AH929" s="37"/>
      <c r="AI929" s="37"/>
    </row>
    <row r="930">
      <c r="A930" s="41"/>
      <c r="B930" s="41"/>
      <c r="C930" s="41"/>
      <c r="D930" s="41"/>
      <c r="E930" s="41"/>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37"/>
      <c r="AF930" s="37"/>
      <c r="AG930" s="37"/>
      <c r="AH930" s="37"/>
      <c r="AI930" s="37"/>
    </row>
    <row r="931">
      <c r="A931" s="41"/>
      <c r="B931" s="41"/>
      <c r="C931" s="41"/>
      <c r="D931" s="41"/>
      <c r="E931" s="41"/>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37"/>
      <c r="AF931" s="37"/>
      <c r="AG931" s="37"/>
      <c r="AH931" s="37"/>
      <c r="AI931" s="37"/>
    </row>
    <row r="932">
      <c r="A932" s="41"/>
      <c r="B932" s="41"/>
      <c r="C932" s="41"/>
      <c r="D932" s="41"/>
      <c r="E932" s="41"/>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37"/>
      <c r="AF932" s="37"/>
      <c r="AG932" s="37"/>
      <c r="AH932" s="37"/>
      <c r="AI932" s="37"/>
    </row>
    <row r="933">
      <c r="A933" s="41"/>
      <c r="B933" s="41"/>
      <c r="C933" s="41"/>
      <c r="D933" s="41"/>
      <c r="E933" s="41"/>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37"/>
      <c r="AF933" s="37"/>
      <c r="AG933" s="37"/>
      <c r="AH933" s="37"/>
      <c r="AI933" s="37"/>
    </row>
    <row r="934">
      <c r="A934" s="41"/>
      <c r="B934" s="41"/>
      <c r="C934" s="41"/>
      <c r="D934" s="41"/>
      <c r="E934" s="41"/>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37"/>
      <c r="AF934" s="37"/>
      <c r="AG934" s="37"/>
      <c r="AH934" s="37"/>
      <c r="AI934" s="37"/>
    </row>
    <row r="935">
      <c r="A935" s="41"/>
      <c r="B935" s="41"/>
      <c r="C935" s="41"/>
      <c r="D935" s="41"/>
      <c r="E935" s="41"/>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37"/>
      <c r="AF935" s="37"/>
      <c r="AG935" s="37"/>
      <c r="AH935" s="37"/>
      <c r="AI935" s="37"/>
    </row>
    <row r="936">
      <c r="A936" s="41"/>
      <c r="B936" s="41"/>
      <c r="C936" s="41"/>
      <c r="D936" s="41"/>
      <c r="E936" s="41"/>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37"/>
      <c r="AF936" s="37"/>
      <c r="AG936" s="37"/>
      <c r="AH936" s="37"/>
      <c r="AI936" s="37"/>
    </row>
    <row r="937">
      <c r="A937" s="41"/>
      <c r="B937" s="41"/>
      <c r="C937" s="41"/>
      <c r="D937" s="41"/>
      <c r="E937" s="41"/>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37"/>
      <c r="AF937" s="37"/>
      <c r="AG937" s="37"/>
      <c r="AH937" s="37"/>
      <c r="AI937" s="37"/>
    </row>
    <row r="938">
      <c r="A938" s="41"/>
      <c r="B938" s="41"/>
      <c r="C938" s="41"/>
      <c r="D938" s="41"/>
      <c r="E938" s="41"/>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37"/>
      <c r="AF938" s="37"/>
      <c r="AG938" s="37"/>
      <c r="AH938" s="37"/>
      <c r="AI938" s="37"/>
    </row>
    <row r="939">
      <c r="A939" s="41"/>
      <c r="B939" s="41"/>
      <c r="C939" s="41"/>
      <c r="D939" s="41"/>
      <c r="E939" s="41"/>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37"/>
      <c r="AF939" s="37"/>
      <c r="AG939" s="37"/>
      <c r="AH939" s="37"/>
      <c r="AI939" s="37"/>
    </row>
    <row r="940">
      <c r="A940" s="41"/>
      <c r="B940" s="41"/>
      <c r="C940" s="41"/>
      <c r="D940" s="41"/>
      <c r="E940" s="41"/>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37"/>
      <c r="AF940" s="37"/>
      <c r="AG940" s="37"/>
      <c r="AH940" s="37"/>
      <c r="AI940" s="37"/>
    </row>
    <row r="941">
      <c r="A941" s="41"/>
      <c r="B941" s="41"/>
      <c r="C941" s="41"/>
      <c r="D941" s="41"/>
      <c r="E941" s="41"/>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37"/>
      <c r="AF941" s="37"/>
      <c r="AG941" s="37"/>
      <c r="AH941" s="37"/>
      <c r="AI941" s="37"/>
    </row>
    <row r="942">
      <c r="A942" s="41"/>
      <c r="B942" s="41"/>
      <c r="C942" s="41"/>
      <c r="D942" s="41"/>
      <c r="E942" s="41"/>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37"/>
      <c r="AF942" s="37"/>
      <c r="AG942" s="37"/>
      <c r="AH942" s="37"/>
      <c r="AI942" s="37"/>
    </row>
    <row r="943">
      <c r="A943" s="41"/>
      <c r="B943" s="41"/>
      <c r="C943" s="41"/>
      <c r="D943" s="41"/>
      <c r="E943" s="41"/>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37"/>
      <c r="AF943" s="37"/>
      <c r="AG943" s="37"/>
      <c r="AH943" s="37"/>
      <c r="AI943" s="37"/>
    </row>
    <row r="944">
      <c r="A944" s="41"/>
      <c r="B944" s="41"/>
      <c r="C944" s="41"/>
      <c r="D944" s="41"/>
      <c r="E944" s="41"/>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37"/>
      <c r="AF944" s="37"/>
      <c r="AG944" s="37"/>
      <c r="AH944" s="37"/>
      <c r="AI944" s="37"/>
    </row>
    <row r="945">
      <c r="A945" s="41"/>
      <c r="B945" s="41"/>
      <c r="C945" s="41"/>
      <c r="D945" s="41"/>
      <c r="E945" s="41"/>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37"/>
      <c r="AF945" s="37"/>
      <c r="AG945" s="37"/>
      <c r="AH945" s="37"/>
      <c r="AI945" s="37"/>
    </row>
    <row r="946">
      <c r="A946" s="41"/>
      <c r="B946" s="41"/>
      <c r="C946" s="41"/>
      <c r="D946" s="41"/>
      <c r="E946" s="41"/>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37"/>
      <c r="AF946" s="37"/>
      <c r="AG946" s="37"/>
      <c r="AH946" s="37"/>
      <c r="AI946" s="37"/>
    </row>
    <row r="947">
      <c r="A947" s="41"/>
      <c r="B947" s="41"/>
      <c r="C947" s="41"/>
      <c r="D947" s="41"/>
      <c r="E947" s="41"/>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37"/>
      <c r="AF947" s="37"/>
      <c r="AG947" s="37"/>
      <c r="AH947" s="37"/>
      <c r="AI947" s="37"/>
    </row>
    <row r="948">
      <c r="A948" s="41"/>
      <c r="B948" s="41"/>
      <c r="C948" s="41"/>
      <c r="D948" s="41"/>
      <c r="E948" s="41"/>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37"/>
      <c r="AF948" s="37"/>
      <c r="AG948" s="37"/>
      <c r="AH948" s="37"/>
      <c r="AI948" s="37"/>
    </row>
    <row r="949">
      <c r="A949" s="41"/>
      <c r="B949" s="41"/>
      <c r="C949" s="41"/>
      <c r="D949" s="41"/>
      <c r="E949" s="41"/>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37"/>
      <c r="AF949" s="37"/>
      <c r="AG949" s="37"/>
      <c r="AH949" s="37"/>
      <c r="AI949" s="37"/>
    </row>
    <row r="950">
      <c r="A950" s="41"/>
      <c r="B950" s="41"/>
      <c r="C950" s="41"/>
      <c r="D950" s="41"/>
      <c r="E950" s="41"/>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37"/>
      <c r="AF950" s="37"/>
      <c r="AG950" s="37"/>
      <c r="AH950" s="37"/>
      <c r="AI950" s="37"/>
    </row>
    <row r="951">
      <c r="A951" s="41"/>
      <c r="B951" s="41"/>
      <c r="C951" s="41"/>
      <c r="D951" s="41"/>
      <c r="E951" s="41"/>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37"/>
      <c r="AF951" s="37"/>
      <c r="AG951" s="37"/>
      <c r="AH951" s="37"/>
      <c r="AI951" s="37"/>
    </row>
    <row r="952">
      <c r="A952" s="41"/>
      <c r="B952" s="41"/>
      <c r="C952" s="41"/>
      <c r="D952" s="41"/>
      <c r="E952" s="41"/>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37"/>
      <c r="AF952" s="37"/>
      <c r="AG952" s="37"/>
      <c r="AH952" s="37"/>
      <c r="AI952" s="37"/>
    </row>
    <row r="953">
      <c r="A953" s="41"/>
      <c r="B953" s="41"/>
      <c r="C953" s="41"/>
      <c r="D953" s="41"/>
      <c r="E953" s="41"/>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37"/>
      <c r="AF953" s="37"/>
      <c r="AG953" s="37"/>
      <c r="AH953" s="37"/>
      <c r="AI953" s="37"/>
    </row>
    <row r="954">
      <c r="A954" s="41"/>
      <c r="B954" s="41"/>
      <c r="C954" s="41"/>
      <c r="D954" s="41"/>
      <c r="E954" s="41"/>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37"/>
      <c r="AF954" s="37"/>
      <c r="AG954" s="37"/>
      <c r="AH954" s="37"/>
      <c r="AI954" s="37"/>
    </row>
    <row r="955">
      <c r="A955" s="41"/>
      <c r="B955" s="41"/>
      <c r="C955" s="41"/>
      <c r="D955" s="41"/>
      <c r="E955" s="41"/>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37"/>
      <c r="AF955" s="37"/>
      <c r="AG955" s="37"/>
      <c r="AH955" s="37"/>
      <c r="AI955" s="37"/>
    </row>
    <row r="956">
      <c r="A956" s="41"/>
      <c r="B956" s="41"/>
      <c r="C956" s="41"/>
      <c r="D956" s="41"/>
      <c r="E956" s="41"/>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37"/>
      <c r="AF956" s="37"/>
      <c r="AG956" s="37"/>
      <c r="AH956" s="37"/>
      <c r="AI956" s="37"/>
    </row>
    <row r="957">
      <c r="A957" s="41"/>
      <c r="B957" s="41"/>
      <c r="C957" s="41"/>
      <c r="D957" s="41"/>
      <c r="E957" s="41"/>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37"/>
      <c r="AF957" s="37"/>
      <c r="AG957" s="37"/>
      <c r="AH957" s="37"/>
      <c r="AI957" s="37"/>
    </row>
    <row r="958">
      <c r="A958" s="41"/>
      <c r="B958" s="41"/>
      <c r="C958" s="41"/>
      <c r="D958" s="41"/>
      <c r="E958" s="41"/>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37"/>
      <c r="AF958" s="37"/>
      <c r="AG958" s="37"/>
      <c r="AH958" s="37"/>
      <c r="AI958" s="37"/>
    </row>
    <row r="959">
      <c r="A959" s="41"/>
      <c r="B959" s="41"/>
      <c r="C959" s="41"/>
      <c r="D959" s="41"/>
      <c r="E959" s="41"/>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37"/>
      <c r="AF959" s="37"/>
      <c r="AG959" s="37"/>
      <c r="AH959" s="37"/>
      <c r="AI959" s="37"/>
    </row>
    <row r="960">
      <c r="A960" s="41"/>
      <c r="B960" s="41"/>
      <c r="C960" s="41"/>
      <c r="D960" s="41"/>
      <c r="E960" s="41"/>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37"/>
      <c r="AF960" s="37"/>
      <c r="AG960" s="37"/>
      <c r="AH960" s="37"/>
      <c r="AI960" s="37"/>
    </row>
    <row r="961">
      <c r="A961" s="41"/>
      <c r="B961" s="41"/>
      <c r="C961" s="41"/>
      <c r="D961" s="41"/>
      <c r="E961" s="41"/>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37"/>
      <c r="AF961" s="37"/>
      <c r="AG961" s="37"/>
      <c r="AH961" s="37"/>
      <c r="AI961" s="37"/>
    </row>
    <row r="962">
      <c r="A962" s="41"/>
      <c r="B962" s="41"/>
      <c r="C962" s="41"/>
      <c r="D962" s="41"/>
      <c r="E962" s="41"/>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37"/>
      <c r="AF962" s="37"/>
      <c r="AG962" s="37"/>
      <c r="AH962" s="37"/>
      <c r="AI962" s="37"/>
    </row>
    <row r="963">
      <c r="A963" s="41"/>
      <c r="B963" s="41"/>
      <c r="C963" s="41"/>
      <c r="D963" s="41"/>
      <c r="E963" s="41"/>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37"/>
      <c r="AF963" s="37"/>
      <c r="AG963" s="37"/>
      <c r="AH963" s="37"/>
      <c r="AI963" s="37"/>
    </row>
    <row r="964">
      <c r="A964" s="41"/>
      <c r="B964" s="41"/>
      <c r="C964" s="41"/>
      <c r="D964" s="41"/>
      <c r="E964" s="41"/>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37"/>
      <c r="AF964" s="37"/>
      <c r="AG964" s="37"/>
      <c r="AH964" s="37"/>
      <c r="AI964" s="37"/>
    </row>
    <row r="965">
      <c r="A965" s="41"/>
      <c r="B965" s="41"/>
      <c r="C965" s="41"/>
      <c r="D965" s="41"/>
      <c r="E965" s="41"/>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37"/>
      <c r="AF965" s="37"/>
      <c r="AG965" s="37"/>
      <c r="AH965" s="37"/>
      <c r="AI965" s="37"/>
    </row>
    <row r="966">
      <c r="A966" s="41"/>
      <c r="B966" s="41"/>
      <c r="C966" s="41"/>
      <c r="D966" s="41"/>
      <c r="E966" s="41"/>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37"/>
      <c r="AF966" s="37"/>
      <c r="AG966" s="37"/>
      <c r="AH966" s="37"/>
      <c r="AI966" s="37"/>
    </row>
    <row r="967">
      <c r="A967" s="41"/>
      <c r="B967" s="41"/>
      <c r="C967" s="41"/>
      <c r="D967" s="41"/>
      <c r="E967" s="41"/>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37"/>
      <c r="AF967" s="37"/>
      <c r="AG967" s="37"/>
      <c r="AH967" s="37"/>
      <c r="AI967" s="37"/>
    </row>
    <row r="968">
      <c r="A968" s="41"/>
      <c r="B968" s="41"/>
      <c r="C968" s="41"/>
      <c r="D968" s="41"/>
      <c r="E968" s="41"/>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37"/>
      <c r="AF968" s="37"/>
      <c r="AG968" s="37"/>
      <c r="AH968" s="37"/>
      <c r="AI968" s="37"/>
    </row>
    <row r="969">
      <c r="A969" s="41"/>
      <c r="B969" s="41"/>
      <c r="C969" s="41"/>
      <c r="D969" s="41"/>
      <c r="E969" s="41"/>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37"/>
      <c r="AF969" s="37"/>
      <c r="AG969" s="37"/>
      <c r="AH969" s="37"/>
      <c r="AI969" s="37"/>
    </row>
    <row r="970">
      <c r="A970" s="41"/>
      <c r="B970" s="41"/>
      <c r="C970" s="41"/>
      <c r="D970" s="41"/>
      <c r="E970" s="41"/>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37"/>
      <c r="AF970" s="37"/>
      <c r="AG970" s="37"/>
      <c r="AH970" s="37"/>
      <c r="AI970" s="37"/>
    </row>
    <row r="971">
      <c r="A971" s="41"/>
      <c r="B971" s="41"/>
      <c r="C971" s="41"/>
      <c r="D971" s="41"/>
      <c r="E971" s="41"/>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37"/>
      <c r="AF971" s="37"/>
      <c r="AG971" s="37"/>
      <c r="AH971" s="37"/>
      <c r="AI971" s="37"/>
    </row>
    <row r="972">
      <c r="A972" s="41"/>
      <c r="B972" s="41"/>
      <c r="C972" s="41"/>
      <c r="D972" s="41"/>
      <c r="E972" s="41"/>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37"/>
      <c r="AF972" s="37"/>
      <c r="AG972" s="37"/>
      <c r="AH972" s="37"/>
      <c r="AI972" s="37"/>
    </row>
    <row r="973">
      <c r="A973" s="41"/>
      <c r="B973" s="41"/>
      <c r="C973" s="41"/>
      <c r="D973" s="41"/>
      <c r="E973" s="41"/>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37"/>
      <c r="AF973" s="37"/>
      <c r="AG973" s="37"/>
      <c r="AH973" s="37"/>
      <c r="AI973" s="37"/>
    </row>
    <row r="974">
      <c r="A974" s="41"/>
      <c r="B974" s="41"/>
      <c r="C974" s="41"/>
      <c r="D974" s="41"/>
      <c r="E974" s="41"/>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37"/>
      <c r="AF974" s="37"/>
      <c r="AG974" s="37"/>
      <c r="AH974" s="37"/>
      <c r="AI974" s="37"/>
    </row>
    <row r="975">
      <c r="A975" s="41"/>
      <c r="B975" s="41"/>
      <c r="C975" s="41"/>
      <c r="D975" s="41"/>
      <c r="E975" s="41"/>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37"/>
      <c r="AF975" s="37"/>
      <c r="AG975" s="37"/>
      <c r="AH975" s="37"/>
      <c r="AI975" s="37"/>
    </row>
    <row r="976">
      <c r="A976" s="41"/>
      <c r="B976" s="41"/>
      <c r="C976" s="41"/>
      <c r="D976" s="41"/>
      <c r="E976" s="41"/>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37"/>
      <c r="AF976" s="37"/>
      <c r="AG976" s="37"/>
      <c r="AH976" s="37"/>
      <c r="AI976" s="37"/>
    </row>
    <row r="977">
      <c r="A977" s="41"/>
      <c r="B977" s="41"/>
      <c r="C977" s="41"/>
      <c r="D977" s="41"/>
      <c r="E977" s="41"/>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37"/>
      <c r="AF977" s="37"/>
      <c r="AG977" s="37"/>
      <c r="AH977" s="37"/>
      <c r="AI977" s="37"/>
    </row>
    <row r="978">
      <c r="A978" s="41"/>
      <c r="B978" s="41"/>
      <c r="C978" s="41"/>
      <c r="D978" s="41"/>
      <c r="E978" s="41"/>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37"/>
      <c r="AF978" s="37"/>
      <c r="AG978" s="37"/>
      <c r="AH978" s="37"/>
      <c r="AI978" s="37"/>
    </row>
    <row r="979">
      <c r="A979" s="41"/>
      <c r="B979" s="41"/>
      <c r="C979" s="41"/>
      <c r="D979" s="41"/>
      <c r="E979" s="41"/>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37"/>
      <c r="AF979" s="37"/>
      <c r="AG979" s="37"/>
      <c r="AH979" s="37"/>
      <c r="AI979" s="37"/>
    </row>
    <row r="980">
      <c r="A980" s="41"/>
      <c r="B980" s="41"/>
      <c r="C980" s="41"/>
      <c r="D980" s="41"/>
      <c r="E980" s="41"/>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37"/>
      <c r="AF980" s="37"/>
      <c r="AG980" s="37"/>
      <c r="AH980" s="37"/>
      <c r="AI980" s="37"/>
    </row>
    <row r="981">
      <c r="A981" s="41"/>
      <c r="B981" s="41"/>
      <c r="C981" s="41"/>
      <c r="D981" s="41"/>
      <c r="E981" s="41"/>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37"/>
      <c r="AF981" s="37"/>
      <c r="AG981" s="37"/>
      <c r="AH981" s="37"/>
      <c r="AI981" s="37"/>
    </row>
    <row r="982">
      <c r="A982" s="41"/>
      <c r="B982" s="41"/>
      <c r="C982" s="41"/>
      <c r="D982" s="41"/>
      <c r="E982" s="41"/>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37"/>
      <c r="AF982" s="37"/>
      <c r="AG982" s="37"/>
      <c r="AH982" s="37"/>
      <c r="AI982" s="37"/>
    </row>
    <row r="983">
      <c r="A983" s="41"/>
      <c r="B983" s="41"/>
      <c r="C983" s="41"/>
      <c r="D983" s="41"/>
      <c r="E983" s="41"/>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37"/>
      <c r="AF983" s="37"/>
      <c r="AG983" s="37"/>
      <c r="AH983" s="37"/>
      <c r="AI983" s="37"/>
    </row>
    <row r="984">
      <c r="A984" s="41"/>
      <c r="B984" s="41"/>
      <c r="C984" s="41"/>
      <c r="D984" s="41"/>
      <c r="E984" s="41"/>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37"/>
      <c r="AF984" s="37"/>
      <c r="AG984" s="37"/>
      <c r="AH984" s="37"/>
      <c r="AI984" s="37"/>
    </row>
    <row r="985">
      <c r="A985" s="41"/>
      <c r="B985" s="41"/>
      <c r="C985" s="41"/>
      <c r="D985" s="41"/>
      <c r="E985" s="41"/>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37"/>
      <c r="AF985" s="37"/>
      <c r="AG985" s="37"/>
      <c r="AH985" s="37"/>
      <c r="AI985" s="37"/>
    </row>
    <row r="986">
      <c r="A986" s="41"/>
      <c r="B986" s="41"/>
      <c r="C986" s="41"/>
      <c r="D986" s="41"/>
      <c r="E986" s="41"/>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37"/>
      <c r="AF986" s="37"/>
      <c r="AG986" s="37"/>
      <c r="AH986" s="37"/>
      <c r="AI986" s="37"/>
    </row>
    <row r="987">
      <c r="A987" s="41"/>
      <c r="B987" s="41"/>
      <c r="C987" s="41"/>
      <c r="D987" s="41"/>
      <c r="E987" s="41"/>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37"/>
      <c r="AF987" s="37"/>
      <c r="AG987" s="37"/>
      <c r="AH987" s="37"/>
      <c r="AI987" s="37"/>
    </row>
    <row r="988">
      <c r="A988" s="41"/>
      <c r="B988" s="41"/>
      <c r="C988" s="41"/>
      <c r="D988" s="41"/>
      <c r="E988" s="41"/>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37"/>
      <c r="AF988" s="37"/>
      <c r="AG988" s="37"/>
      <c r="AH988" s="37"/>
      <c r="AI988" s="37"/>
    </row>
    <row r="989">
      <c r="A989" s="41"/>
      <c r="B989" s="41"/>
      <c r="C989" s="41"/>
      <c r="D989" s="41"/>
      <c r="E989" s="41"/>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37"/>
      <c r="AF989" s="37"/>
      <c r="AG989" s="37"/>
      <c r="AH989" s="37"/>
      <c r="AI989" s="37"/>
    </row>
    <row r="990">
      <c r="A990" s="41"/>
      <c r="B990" s="41"/>
      <c r="C990" s="41"/>
      <c r="D990" s="41"/>
      <c r="E990" s="41"/>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37"/>
      <c r="AF990" s="37"/>
      <c r="AG990" s="37"/>
      <c r="AH990" s="37"/>
      <c r="AI990" s="37"/>
    </row>
    <row r="991">
      <c r="A991" s="41"/>
      <c r="B991" s="41"/>
      <c r="C991" s="41"/>
      <c r="D991" s="41"/>
      <c r="E991" s="41"/>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37"/>
      <c r="AF991" s="37"/>
      <c r="AG991" s="37"/>
      <c r="AH991" s="37"/>
      <c r="AI991" s="37"/>
    </row>
    <row r="992">
      <c r="A992" s="41"/>
      <c r="B992" s="41"/>
      <c r="C992" s="41"/>
      <c r="D992" s="41"/>
      <c r="E992" s="41"/>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37"/>
      <c r="AF992" s="37"/>
      <c r="AG992" s="37"/>
      <c r="AH992" s="37"/>
      <c r="AI992" s="37"/>
    </row>
    <row r="993">
      <c r="A993" s="41"/>
      <c r="B993" s="41"/>
      <c r="C993" s="41"/>
      <c r="D993" s="41"/>
      <c r="E993" s="41"/>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37"/>
      <c r="AF993" s="37"/>
      <c r="AG993" s="37"/>
      <c r="AH993" s="37"/>
      <c r="AI993" s="37"/>
    </row>
    <row r="994">
      <c r="A994" s="41"/>
      <c r="B994" s="41"/>
      <c r="C994" s="41"/>
      <c r="D994" s="41"/>
      <c r="E994" s="41"/>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37"/>
      <c r="AF994" s="37"/>
      <c r="AG994" s="37"/>
      <c r="AH994" s="37"/>
      <c r="AI994" s="37"/>
    </row>
    <row r="995">
      <c r="A995" s="41"/>
      <c r="B995" s="41"/>
      <c r="C995" s="41"/>
      <c r="D995" s="41"/>
      <c r="E995" s="41"/>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37"/>
      <c r="AF995" s="37"/>
      <c r="AG995" s="37"/>
      <c r="AH995" s="37"/>
      <c r="AI995" s="37"/>
    </row>
    <row r="996">
      <c r="A996" s="41"/>
      <c r="B996" s="41"/>
      <c r="C996" s="41"/>
      <c r="D996" s="41"/>
      <c r="E996" s="41"/>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37"/>
      <c r="AF996" s="37"/>
      <c r="AG996" s="37"/>
      <c r="AH996" s="37"/>
      <c r="AI996" s="37"/>
    </row>
    <row r="997">
      <c r="A997" s="41"/>
      <c r="B997" s="41"/>
      <c r="C997" s="41"/>
      <c r="D997" s="41"/>
      <c r="E997" s="41"/>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37"/>
      <c r="AF997" s="37"/>
      <c r="AG997" s="37"/>
      <c r="AH997" s="37"/>
      <c r="AI997" s="37"/>
    </row>
    <row r="998">
      <c r="A998" s="41"/>
      <c r="B998" s="41"/>
      <c r="C998" s="41"/>
      <c r="D998" s="41"/>
      <c r="E998" s="41"/>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37"/>
      <c r="AF998" s="37"/>
      <c r="AG998" s="37"/>
      <c r="AH998" s="37"/>
      <c r="AI998" s="37"/>
    </row>
    <row r="999">
      <c r="A999" s="41"/>
      <c r="B999" s="41"/>
      <c r="C999" s="41"/>
      <c r="D999" s="41"/>
      <c r="E999" s="41"/>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37"/>
      <c r="AF999" s="37"/>
      <c r="AG999" s="37"/>
      <c r="AH999" s="37"/>
      <c r="AI999" s="37"/>
    </row>
    <row r="1000">
      <c r="A1000" s="41"/>
      <c r="B1000" s="41"/>
      <c r="C1000" s="41"/>
      <c r="D1000" s="41"/>
      <c r="E1000" s="41"/>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37"/>
      <c r="AF1000" s="37"/>
      <c r="AG1000" s="37"/>
      <c r="AH1000" s="37"/>
      <c r="AI1000" s="37"/>
    </row>
    <row r="1001">
      <c r="A1001" s="41"/>
      <c r="B1001" s="41"/>
      <c r="C1001" s="41"/>
      <c r="D1001" s="41"/>
      <c r="E1001" s="41"/>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37"/>
      <c r="AF1001" s="37"/>
      <c r="AG1001" s="37"/>
      <c r="AH1001" s="37"/>
      <c r="AI1001" s="37"/>
    </row>
    <row r="1002">
      <c r="A1002" s="41"/>
      <c r="B1002" s="41"/>
      <c r="C1002" s="41"/>
      <c r="D1002" s="41"/>
      <c r="E1002" s="41"/>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37"/>
      <c r="AF1002" s="37"/>
      <c r="AG1002" s="37"/>
      <c r="AH1002" s="37"/>
      <c r="AI1002" s="37"/>
    </row>
    <row r="1003">
      <c r="A1003" s="41"/>
      <c r="B1003" s="41"/>
      <c r="C1003" s="41"/>
      <c r="D1003" s="41"/>
      <c r="E1003" s="41"/>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37"/>
      <c r="AF1003" s="37"/>
      <c r="AG1003" s="37"/>
      <c r="AH1003" s="37"/>
      <c r="AI1003" s="37"/>
    </row>
    <row r="1004">
      <c r="A1004" s="41"/>
      <c r="B1004" s="41"/>
      <c r="C1004" s="41"/>
      <c r="D1004" s="41"/>
      <c r="E1004" s="41"/>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37"/>
      <c r="AF1004" s="37"/>
      <c r="AG1004" s="37"/>
      <c r="AH1004" s="37"/>
      <c r="AI1004" s="37"/>
    </row>
    <row r="1005">
      <c r="A1005" s="41"/>
      <c r="B1005" s="41"/>
      <c r="C1005" s="41"/>
      <c r="D1005" s="41"/>
      <c r="E1005" s="41"/>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37"/>
      <c r="AF1005" s="37"/>
      <c r="AG1005" s="37"/>
      <c r="AH1005" s="37"/>
      <c r="AI1005" s="37"/>
    </row>
    <row r="1006">
      <c r="A1006" s="41"/>
      <c r="B1006" s="41"/>
      <c r="C1006" s="41"/>
      <c r="D1006" s="41"/>
      <c r="E1006" s="41"/>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37"/>
      <c r="AF1006" s="37"/>
      <c r="AG1006" s="37"/>
      <c r="AH1006" s="37"/>
      <c r="AI1006" s="37"/>
    </row>
    <row r="1007">
      <c r="A1007" s="41"/>
      <c r="B1007" s="41"/>
      <c r="C1007" s="41"/>
      <c r="D1007" s="41"/>
      <c r="E1007" s="41"/>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37"/>
      <c r="AF1007" s="37"/>
      <c r="AG1007" s="37"/>
      <c r="AH1007" s="37"/>
      <c r="AI1007" s="37"/>
    </row>
  </sheetData>
  <mergeCells count="2">
    <mergeCell ref="A1:C1"/>
    <mergeCell ref="D1:F1"/>
  </mergeCells>
  <dataValidations>
    <dataValidation type="list" allowBlank="1" showErrorMessage="1" sqref="D1">
      <formula1>'OTPI Scores'!$A$2:$A1007</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tr">
        <f>IFERROR(__xludf.DUMMYFUNCTION("query('Square Export'!A:F,""select * where D = 'Match Subs' OR D = 'u23 Match Subs' OR D = 'Match Sub' OR D = 'A Match Sub' OR D = 'Match Subs - Half Game'"")"),"#REF!")</f>
        <v>#REF!</v>
      </c>
      <c r="G1" s="5" t="s">
        <v>162</v>
      </c>
    </row>
    <row r="2">
      <c r="G2" s="3" t="str">
        <f>VLOOKUP(E2,'Match Day Fees'!B:B,1,FALSE)</f>
        <v>#N/A</v>
      </c>
    </row>
    <row r="3">
      <c r="G3" s="3" t="str">
        <f>VLOOKUP(E3,'Match Day Fees'!B:B,1,FALSE)</f>
        <v>#N/A</v>
      </c>
    </row>
    <row r="4">
      <c r="G4" s="3" t="str">
        <f>VLOOKUP(E4,'Match Day Fees'!B:B,1,FALSE)</f>
        <v>#N/A</v>
      </c>
    </row>
    <row r="5">
      <c r="G5" s="3" t="str">
        <f>VLOOKUP(E5,'Match Day Fees'!B:B,1,FALSE)</f>
        <v>#N/A</v>
      </c>
    </row>
    <row r="6">
      <c r="G6" s="3" t="str">
        <f>VLOOKUP(E6,'Match Day Fees'!B:B,1,FALSE)</f>
        <v>#N/A</v>
      </c>
    </row>
    <row r="7">
      <c r="G7" s="3" t="str">
        <f>VLOOKUP(E7,'Match Day Fees'!B:B,1,FALSE)</f>
        <v>#N/A</v>
      </c>
    </row>
    <row r="8">
      <c r="G8" s="3" t="str">
        <f>VLOOKUP(E8,'Match Day Fees'!B:B,1,FALSE)</f>
        <v>#N/A</v>
      </c>
    </row>
    <row r="9">
      <c r="G9" s="3" t="str">
        <f>VLOOKUP(E9,'Match Day Fees'!B:B,1,FALSE)</f>
        <v>#N/A</v>
      </c>
    </row>
    <row r="10">
      <c r="G10" s="3" t="str">
        <f>VLOOKUP(E10,'Match Day Fees'!B:B,1,FALSE)</f>
        <v>#N/A</v>
      </c>
    </row>
    <row r="11">
      <c r="G11" s="3" t="str">
        <f>VLOOKUP(E11,'Match Day Fees'!B:B,1,FALSE)</f>
        <v>#N/A</v>
      </c>
    </row>
    <row r="12">
      <c r="G12" s="3" t="str">
        <f>VLOOKUP(E12,'Match Day Fees'!B:B,1,FALSE)</f>
        <v>#N/A</v>
      </c>
    </row>
    <row r="13">
      <c r="G13" s="3" t="str">
        <f>VLOOKUP(E13,'Match Day Fees'!B:B,1,FALSE)</f>
        <v>#N/A</v>
      </c>
    </row>
    <row r="14">
      <c r="G14" s="3" t="str">
        <f>VLOOKUP(E14,'Match Day Fees'!B:B,1,FALSE)</f>
        <v>#N/A</v>
      </c>
    </row>
    <row r="15">
      <c r="G15" s="3" t="str">
        <f>VLOOKUP(E15,'Match Day Fees'!B:B,1,FALSE)</f>
        <v>#N/A</v>
      </c>
    </row>
    <row r="16">
      <c r="G16" s="3" t="str">
        <f>VLOOKUP(E16,'Match Day Fees'!B:B,1,FALSE)</f>
        <v>#N/A</v>
      </c>
    </row>
    <row r="17">
      <c r="G17" s="3" t="str">
        <f>VLOOKUP(E17,'Match Day Fees'!B:B,1,FALSE)</f>
        <v>#N/A</v>
      </c>
    </row>
    <row r="18">
      <c r="G18" s="3" t="str">
        <f>VLOOKUP(E18,'Match Day Fees'!B:B,1,FALSE)</f>
        <v>#N/A</v>
      </c>
    </row>
    <row r="19">
      <c r="G19" s="3" t="str">
        <f>VLOOKUP(E19,'Match Day Fees'!B:B,1,FALSE)</f>
        <v>#N/A</v>
      </c>
    </row>
    <row r="20">
      <c r="G20" s="3" t="str">
        <f>VLOOKUP(E20,'Match Day Fees'!B:B,1,FALSE)</f>
        <v>#N/A</v>
      </c>
    </row>
    <row r="21">
      <c r="G21" s="3" t="str">
        <f>VLOOKUP(E21,'Match Day Fees'!B:B,1,FALSE)</f>
        <v>#N/A</v>
      </c>
    </row>
    <row r="22">
      <c r="G22" s="3" t="str">
        <f>VLOOKUP(E22,'Match Day Fees'!B:B,1,FALSE)</f>
        <v>#N/A</v>
      </c>
    </row>
    <row r="23">
      <c r="G23" s="3" t="str">
        <f>VLOOKUP(E23,'Match Day Fees'!B:B,1,FALSE)</f>
        <v>#N/A</v>
      </c>
    </row>
    <row r="24">
      <c r="G24" s="3" t="str">
        <f>VLOOKUP(E24,'Match Day Fees'!B:B,1,FALSE)</f>
        <v>#N/A</v>
      </c>
    </row>
    <row r="25">
      <c r="G25" s="3" t="str">
        <f>VLOOKUP(E25,'Match Day Fees'!B:B,1,FALSE)</f>
        <v>#N/A</v>
      </c>
    </row>
    <row r="26">
      <c r="G26" s="3" t="str">
        <f>VLOOKUP(E26,'Match Day Fees'!B:B,1,FALSE)</f>
        <v>#N/A</v>
      </c>
    </row>
    <row r="27">
      <c r="G27" s="3" t="str">
        <f>VLOOKUP(E27,'Match Day Fees'!B:B,1,FALSE)</f>
        <v>#N/A</v>
      </c>
    </row>
    <row r="28">
      <c r="G28" s="3" t="str">
        <f>VLOOKUP(E28,'Match Day Fees'!B:B,1,FALSE)</f>
        <v>#N/A</v>
      </c>
    </row>
    <row r="29">
      <c r="G29" s="3" t="str">
        <f>VLOOKUP(E29,'Match Day Fees'!B:B,1,FALSE)</f>
        <v>#N/A</v>
      </c>
    </row>
    <row r="30">
      <c r="G30" s="3" t="str">
        <f>VLOOKUP(E30,'Match Day Fees'!B:B,1,FALSE)</f>
        <v>#N/A</v>
      </c>
    </row>
    <row r="31">
      <c r="G31" s="3" t="str">
        <f>VLOOKUP(E31,'Match Day Fees'!B:B,1,FALSE)</f>
        <v>#N/A</v>
      </c>
    </row>
    <row r="32">
      <c r="G32" s="3" t="str">
        <f>VLOOKUP(E32,'Match Day Fees'!B:B,1,FALSE)</f>
        <v>#N/A</v>
      </c>
    </row>
    <row r="33">
      <c r="G33" s="3" t="str">
        <f>VLOOKUP(E33,'Match Day Fees'!B:B,1,FALSE)</f>
        <v>#N/A</v>
      </c>
    </row>
    <row r="34">
      <c r="G34" s="3" t="str">
        <f>VLOOKUP(E34,'Match Day Fees'!B:B,1,FALSE)</f>
        <v>#N/A</v>
      </c>
    </row>
    <row r="35">
      <c r="G35" s="3" t="str">
        <f>VLOOKUP(E35,'Match Day Fees'!B:B,1,FALSE)</f>
        <v>#N/A</v>
      </c>
    </row>
    <row r="36">
      <c r="G36" s="3" t="str">
        <f>VLOOKUP(E36,'Match Day Fees'!B:B,1,FALSE)</f>
        <v>#N/A</v>
      </c>
    </row>
    <row r="37">
      <c r="G37" s="3" t="str">
        <f>VLOOKUP(E37,'Match Day Fees'!B:B,1,FALSE)</f>
        <v>#N/A</v>
      </c>
    </row>
    <row r="38">
      <c r="G38" s="3" t="str">
        <f>VLOOKUP(E38,'Match Day Fees'!B:B,1,FALSE)</f>
        <v>#N/A</v>
      </c>
    </row>
    <row r="39">
      <c r="G39" s="3" t="str">
        <f>VLOOKUP(E39,'Match Day Fees'!B:B,1,FALSE)</f>
        <v>#N/A</v>
      </c>
    </row>
    <row r="40">
      <c r="G40" s="3" t="str">
        <f>VLOOKUP(E40,'Match Day Fees'!B:B,1,FALSE)</f>
        <v>#N/A</v>
      </c>
    </row>
    <row r="41">
      <c r="G41" s="3" t="str">
        <f>VLOOKUP(E41,'Match Day Fees'!B:B,1,FALSE)</f>
        <v>#N/A</v>
      </c>
    </row>
    <row r="42">
      <c r="G42" s="3" t="str">
        <f>VLOOKUP(E42,'Match Day Fees'!B:B,1,FALSE)</f>
        <v>#N/A</v>
      </c>
    </row>
    <row r="43">
      <c r="G43" s="3" t="str">
        <f>VLOOKUP(E43,'Match Day Fees'!B:B,1,FALSE)</f>
        <v>#N/A</v>
      </c>
    </row>
    <row r="44">
      <c r="G44" s="3" t="str">
        <f>VLOOKUP(E44,'Match Day Fees'!B:B,1,FALSE)</f>
        <v>#N/A</v>
      </c>
    </row>
    <row r="45">
      <c r="G45" s="3" t="str">
        <f>VLOOKUP(E45,'Match Day Fees'!B:B,1,FALSE)</f>
        <v>#N/A</v>
      </c>
    </row>
    <row r="46">
      <c r="G46" s="3" t="str">
        <f>VLOOKUP(E46,'Match Day Fees'!B:B,1,FALSE)</f>
        <v>#N/A</v>
      </c>
    </row>
    <row r="47">
      <c r="G47" s="3" t="str">
        <f>VLOOKUP(E47,'Match Day Fees'!B:B,1,FALSE)</f>
        <v>#N/A</v>
      </c>
    </row>
    <row r="48">
      <c r="G48" s="3" t="str">
        <f>VLOOKUP(E48,'Match Day Fees'!B:B,1,FALSE)</f>
        <v>#N/A</v>
      </c>
    </row>
    <row r="49">
      <c r="G49" s="3" t="str">
        <f>VLOOKUP(E49,'Match Day Fees'!B:B,1,FALSE)</f>
        <v>#N/A</v>
      </c>
    </row>
    <row r="50">
      <c r="G50" s="3" t="str">
        <f>VLOOKUP(E50,'Match Day Fees'!B:B,1,FALSE)</f>
        <v>#N/A</v>
      </c>
    </row>
    <row r="51">
      <c r="G51" s="3" t="str">
        <f>VLOOKUP(E51,'Match Day Fees'!B:B,1,FALSE)</f>
        <v>#N/A</v>
      </c>
    </row>
    <row r="52">
      <c r="G52" s="3" t="str">
        <f>VLOOKUP(E52,'Match Day Fees'!B:B,1,FALSE)</f>
        <v>#N/A</v>
      </c>
    </row>
    <row r="53">
      <c r="G53" s="3" t="str">
        <f>VLOOKUP(E53,'Match Day Fees'!B:B,1,FALSE)</f>
        <v>#N/A</v>
      </c>
    </row>
    <row r="54">
      <c r="G54" s="3" t="str">
        <f>VLOOKUP(E54,'Match Day Fees'!B:B,1,FALSE)</f>
        <v>#N/A</v>
      </c>
    </row>
    <row r="55">
      <c r="G55" s="3" t="str">
        <f>VLOOKUP(E55,'Match Day Fees'!B:B,1,FALSE)</f>
        <v>#N/A</v>
      </c>
    </row>
    <row r="56">
      <c r="G56" s="3" t="str">
        <f>VLOOKUP(E56,'Match Day Fees'!B:B,1,FALSE)</f>
        <v>#N/A</v>
      </c>
    </row>
    <row r="57">
      <c r="G57" s="3" t="str">
        <f>VLOOKUP(E57,'Match Day Fees'!B:B,1,FALSE)</f>
        <v>#N/A</v>
      </c>
    </row>
    <row r="58">
      <c r="G58" s="3" t="str">
        <f>VLOOKUP(E58,'Match Day Fees'!B:B,1,FALSE)</f>
        <v>#N/A</v>
      </c>
    </row>
    <row r="59">
      <c r="G59" s="3" t="str">
        <f>VLOOKUP(E59,'Match Day Fees'!B:B,1,FALSE)</f>
        <v>#N/A</v>
      </c>
    </row>
    <row r="60">
      <c r="G60" s="3" t="str">
        <f>VLOOKUP(E60,'Match Day Fees'!B:B,1,FALSE)</f>
        <v>#N/A</v>
      </c>
    </row>
    <row r="61">
      <c r="G61" s="3" t="str">
        <f>VLOOKUP(E61,'Match Day Fees'!B:B,1,FALSE)</f>
        <v>#N/A</v>
      </c>
    </row>
    <row r="62">
      <c r="G62" s="3" t="str">
        <f>VLOOKUP(E62,'Match Day Fees'!B:B,1,FALSE)</f>
        <v>#N/A</v>
      </c>
    </row>
    <row r="63">
      <c r="G63" s="3" t="str">
        <f>VLOOKUP(E63,'Match Day Fees'!B:B,1,FALSE)</f>
        <v>#N/A</v>
      </c>
    </row>
    <row r="64">
      <c r="G64" s="3" t="str">
        <f>VLOOKUP(E64,'Match Day Fees'!B:B,1,FALSE)</f>
        <v>#N/A</v>
      </c>
    </row>
    <row r="65">
      <c r="G65" s="3" t="str">
        <f>VLOOKUP(E65,'Match Day Fees'!B:B,1,FALSE)</f>
        <v>#N/A</v>
      </c>
    </row>
    <row r="66">
      <c r="G66" s="3" t="str">
        <f>VLOOKUP(E66,'Match Day Fees'!B:B,1,FALSE)</f>
        <v>#N/A</v>
      </c>
    </row>
    <row r="67">
      <c r="G67" s="3" t="str">
        <f>VLOOKUP(E67,'Match Day Fees'!B:B,1,FALSE)</f>
        <v>#N/A</v>
      </c>
    </row>
    <row r="68">
      <c r="G68" s="3" t="str">
        <f>VLOOKUP(E68,'Match Day Fees'!B:B,1,FALSE)</f>
        <v>#N/A</v>
      </c>
    </row>
    <row r="69">
      <c r="G69" s="3" t="str">
        <f>VLOOKUP(E69,'Match Day Fees'!B:B,1,FALSE)</f>
        <v>#N/A</v>
      </c>
    </row>
    <row r="70">
      <c r="G70" s="3" t="str">
        <f>VLOOKUP(E70,'Match Day Fees'!B:B,1,FALSE)</f>
        <v>#N/A</v>
      </c>
    </row>
    <row r="71">
      <c r="G71" s="3" t="str">
        <f>VLOOKUP(E71,'Match Day Fees'!B:B,1,FALSE)</f>
        <v>#N/A</v>
      </c>
    </row>
    <row r="72">
      <c r="G72" s="3" t="str">
        <f>VLOOKUP(E72,'Match Day Fees'!B:B,1,FALSE)</f>
        <v>#N/A</v>
      </c>
    </row>
    <row r="73">
      <c r="G73" s="3" t="str">
        <f>VLOOKUP(E73,'Match Day Fees'!B:B,1,FALSE)</f>
        <v>#N/A</v>
      </c>
    </row>
    <row r="74">
      <c r="G74" s="3" t="str">
        <f>VLOOKUP(E74,'Match Day Fees'!B:B,1,FALSE)</f>
        <v>#N/A</v>
      </c>
    </row>
    <row r="75">
      <c r="G75" s="3" t="str">
        <f>VLOOKUP(E75,'Match Day Fees'!B:B,1,FALSE)</f>
        <v>#N/A</v>
      </c>
    </row>
    <row r="76">
      <c r="G76" s="3" t="str">
        <f>VLOOKUP(E76,'Match Day Fees'!B:B,1,FALSE)</f>
        <v>#N/A</v>
      </c>
    </row>
    <row r="77">
      <c r="G77" s="3" t="str">
        <f>VLOOKUP(E77,'Match Day Fees'!B:B,1,FALSE)</f>
        <v>#N/A</v>
      </c>
    </row>
    <row r="78">
      <c r="G78" s="3" t="str">
        <f>VLOOKUP(E78,'Match Day Fees'!B:B,1,FALSE)</f>
        <v>#N/A</v>
      </c>
    </row>
    <row r="79">
      <c r="G79" s="3" t="str">
        <f>VLOOKUP(E79,'Match Day Fees'!B:B,1,FALSE)</f>
        <v>#N/A</v>
      </c>
    </row>
    <row r="80">
      <c r="G80" s="3" t="str">
        <f>VLOOKUP(E80,'Match Day Fees'!B:B,1,FALSE)</f>
        <v>#N/A</v>
      </c>
    </row>
    <row r="81">
      <c r="G81" s="3" t="str">
        <f>VLOOKUP(E81,'Match Day Fees'!B:B,1,FALSE)</f>
        <v>#N/A</v>
      </c>
    </row>
    <row r="82">
      <c r="G82" s="3" t="str">
        <f>VLOOKUP(E82,'Match Day Fees'!B:B,1,FALSE)</f>
        <v>#N/A</v>
      </c>
    </row>
    <row r="83">
      <c r="G83" s="3" t="str">
        <f>VLOOKUP(E83,'Match Day Fees'!B:B,1,FALSE)</f>
        <v>#N/A</v>
      </c>
    </row>
    <row r="84">
      <c r="G84" s="3" t="str">
        <f>VLOOKUP(E84,'Match Day Fees'!B:B,1,FALSE)</f>
        <v>#N/A</v>
      </c>
    </row>
    <row r="85">
      <c r="G85" s="3" t="str">
        <f>VLOOKUP(E85,'Match Day Fees'!B:B,1,FALSE)</f>
        <v>#N/A</v>
      </c>
    </row>
    <row r="86">
      <c r="G86" s="3" t="str">
        <f>VLOOKUP(E86,'Match Day Fees'!B:B,1,FALSE)</f>
        <v>#N/A</v>
      </c>
    </row>
    <row r="87">
      <c r="G87" s="3" t="str">
        <f>VLOOKUP(E87,'Match Day Fees'!B:B,1,FALSE)</f>
        <v>#N/A</v>
      </c>
    </row>
    <row r="88">
      <c r="G88" s="3" t="str">
        <f>VLOOKUP(E88,'Match Day Fees'!B:B,1,FALSE)</f>
        <v>#N/A</v>
      </c>
    </row>
    <row r="89">
      <c r="G89" s="3" t="str">
        <f>VLOOKUP(E89,'Match Day Fees'!B:B,1,FALSE)</f>
        <v>#N/A</v>
      </c>
    </row>
    <row r="90">
      <c r="G90" s="3" t="str">
        <f>VLOOKUP(E90,'Match Day Fees'!B:B,1,FALSE)</f>
        <v>#N/A</v>
      </c>
    </row>
    <row r="91">
      <c r="G91" s="3" t="str">
        <f>VLOOKUP(E91,'Match Day Fees'!B:B,1,FALSE)</f>
        <v>#N/A</v>
      </c>
    </row>
    <row r="92">
      <c r="G92" s="3" t="str">
        <f>VLOOKUP(E92,'Match Day Fees'!B:B,1,FALSE)</f>
        <v>#N/A</v>
      </c>
    </row>
    <row r="93">
      <c r="G93" s="3" t="str">
        <f>VLOOKUP(E93,'Match Day Fees'!B:B,1,FALSE)</f>
        <v>#N/A</v>
      </c>
    </row>
    <row r="94">
      <c r="G94" s="3" t="str">
        <f>VLOOKUP(E94,'Match Day Fees'!B:B,1,FALSE)</f>
        <v>#N/A</v>
      </c>
    </row>
    <row r="95">
      <c r="G95" s="3" t="str">
        <f>VLOOKUP(E95,'Match Day Fees'!B:B,1,FALSE)</f>
        <v>#N/A</v>
      </c>
    </row>
    <row r="96">
      <c r="G96" s="3" t="str">
        <f>VLOOKUP(E96,'Match Day Fees'!B:B,1,FALSE)</f>
        <v>#N/A</v>
      </c>
    </row>
    <row r="97">
      <c r="G97" s="3" t="str">
        <f>VLOOKUP(E97,'Match Day Fees'!B:B,1,FALSE)</f>
        <v>#N/A</v>
      </c>
    </row>
    <row r="98">
      <c r="G98" s="3" t="str">
        <f>VLOOKUP(E98,'Match Day Fees'!B:B,1,FALSE)</f>
        <v>#N/A</v>
      </c>
    </row>
    <row r="99">
      <c r="G99" s="3" t="str">
        <f>VLOOKUP(E99,'Match Day Fees'!B:B,1,FALSE)</f>
        <v>#N/A</v>
      </c>
    </row>
    <row r="100">
      <c r="G100" s="3" t="str">
        <f>VLOOKUP(E100,'Match Day Fees'!B:B,1,FALSE)</f>
        <v>#N/A</v>
      </c>
    </row>
    <row r="101">
      <c r="G101" s="3" t="str">
        <f>VLOOKUP(E101,'Match Day Fees'!B:B,1,FALSE)</f>
        <v>#N/A</v>
      </c>
    </row>
    <row r="102">
      <c r="G102" s="3" t="str">
        <f>VLOOKUP(E102,'Match Day Fees'!B:B,1,FALSE)</f>
        <v>#N/A</v>
      </c>
    </row>
    <row r="103">
      <c r="G103" s="3" t="str">
        <f>VLOOKUP(E103,'Match Day Fees'!B:B,1,FALSE)</f>
        <v>#N/A</v>
      </c>
    </row>
    <row r="104">
      <c r="G104" s="3" t="str">
        <f>VLOOKUP(E104,'Match Day Fees'!B:B,1,FALSE)</f>
        <v>#N/A</v>
      </c>
    </row>
    <row r="105">
      <c r="G105" s="3" t="str">
        <f>VLOOKUP(E105,'Match Day Fees'!B:B,1,FALSE)</f>
        <v>#N/A</v>
      </c>
    </row>
    <row r="106">
      <c r="G106" s="3" t="str">
        <f>VLOOKUP(E106,'Match Day Fees'!B:B,1,FALSE)</f>
        <v>#N/A</v>
      </c>
    </row>
    <row r="107">
      <c r="G107" s="3" t="str">
        <f>VLOOKUP(E107,'Match Day Fees'!B:B,1,FALSE)</f>
        <v>#N/A</v>
      </c>
    </row>
    <row r="108">
      <c r="G108" s="3" t="str">
        <f>VLOOKUP(E108,'Match Day Fees'!B:B,1,FALSE)</f>
        <v>#N/A</v>
      </c>
    </row>
    <row r="109">
      <c r="G109" s="3" t="str">
        <f>VLOOKUP(E109,'Match Day Fees'!B:B,1,FALSE)</f>
        <v>#N/A</v>
      </c>
    </row>
    <row r="110">
      <c r="G110" s="3" t="str">
        <f>VLOOKUP(E110,'Match Day Fees'!B:B,1,FALSE)</f>
        <v>#N/A</v>
      </c>
    </row>
    <row r="111">
      <c r="G111" s="3" t="str">
        <f>VLOOKUP(E111,'Match Day Fees'!B:B,1,FALSE)</f>
        <v>#N/A</v>
      </c>
    </row>
    <row r="112">
      <c r="G112" s="3" t="str">
        <f>VLOOKUP(E112,'Match Day Fees'!B:B,1,FALSE)</f>
        <v>#N/A</v>
      </c>
    </row>
    <row r="113">
      <c r="G113" s="3" t="str">
        <f>VLOOKUP(E113,'Match Day Fees'!B:B,1,FALSE)</f>
        <v>#N/A</v>
      </c>
    </row>
    <row r="114">
      <c r="G114" s="3" t="str">
        <f>VLOOKUP(E114,'Match Day Fees'!B:B,1,FALSE)</f>
        <v>#N/A</v>
      </c>
    </row>
    <row r="115">
      <c r="G115" s="3" t="str">
        <f>VLOOKUP(E115,'Match Day Fees'!B:B,1,FALSE)</f>
        <v>#N/A</v>
      </c>
    </row>
    <row r="116">
      <c r="G116" s="3" t="str">
        <f>VLOOKUP(E116,'Match Day Fees'!B:B,1,FALSE)</f>
        <v>#N/A</v>
      </c>
    </row>
    <row r="117">
      <c r="G117" s="3" t="str">
        <f>VLOOKUP(E117,'Match Day Fees'!B:B,1,FALSE)</f>
        <v>#N/A</v>
      </c>
    </row>
    <row r="118">
      <c r="G118" s="3" t="str">
        <f>VLOOKUP(E118,'Match Day Fees'!B:B,1,FALSE)</f>
        <v>#N/A</v>
      </c>
    </row>
    <row r="119">
      <c r="G119" s="3" t="str">
        <f>VLOOKUP(E119,'Match Day Fees'!B:B,1,FALSE)</f>
        <v>#N/A</v>
      </c>
    </row>
    <row r="120">
      <c r="G120" s="3" t="str">
        <f>VLOOKUP(E120,'Match Day Fees'!B:B,1,FALSE)</f>
        <v>#N/A</v>
      </c>
    </row>
    <row r="121">
      <c r="G121" s="3" t="str">
        <f>VLOOKUP(E121,'Match Day Fees'!B:B,1,FALSE)</f>
        <v>#N/A</v>
      </c>
    </row>
    <row r="122">
      <c r="G122" s="3" t="str">
        <f>VLOOKUP(E122,'Match Day Fees'!B:B,1,FALSE)</f>
        <v>#N/A</v>
      </c>
    </row>
    <row r="123">
      <c r="G123" s="3" t="str">
        <f>VLOOKUP(E123,'Match Day Fees'!B:B,1,FALSE)</f>
        <v>#N/A</v>
      </c>
    </row>
    <row r="124">
      <c r="G124" s="3" t="str">
        <f>VLOOKUP(E124,'Match Day Fees'!B:B,1,FALSE)</f>
        <v>#N/A</v>
      </c>
    </row>
    <row r="125">
      <c r="G125" s="3" t="str">
        <f>VLOOKUP(E125,'Match Day Fees'!B:B,1,FALSE)</f>
        <v>#N/A</v>
      </c>
    </row>
    <row r="126">
      <c r="G126" s="3" t="str">
        <f>VLOOKUP(E126,'Match Day Fees'!B:B,1,FALSE)</f>
        <v>#N/A</v>
      </c>
    </row>
    <row r="127">
      <c r="G127" s="3" t="str">
        <f>VLOOKUP(E127,'Match Day Fees'!B:B,1,FALSE)</f>
        <v>#N/A</v>
      </c>
    </row>
    <row r="128">
      <c r="G128" s="3" t="str">
        <f>VLOOKUP(E128,'Match Day Fees'!B:B,1,FALSE)</f>
        <v>#N/A</v>
      </c>
    </row>
    <row r="129">
      <c r="G129" s="3" t="str">
        <f>VLOOKUP(E129,'Match Day Fees'!B:B,1,FALSE)</f>
        <v>#N/A</v>
      </c>
    </row>
    <row r="130">
      <c r="G130" s="3" t="str">
        <f>VLOOKUP(E130,'Match Day Fees'!B:B,1,FALSE)</f>
        <v>#N/A</v>
      </c>
    </row>
    <row r="131">
      <c r="G131" s="3" t="str">
        <f>VLOOKUP(E131,'Match Day Fees'!B:B,1,FALSE)</f>
        <v>#N/A</v>
      </c>
    </row>
    <row r="132">
      <c r="G132" s="3" t="str">
        <f>VLOOKUP(E132,'Match Day Fees'!B:B,1,FALSE)</f>
        <v>#N/A</v>
      </c>
    </row>
    <row r="133">
      <c r="G133" s="3" t="str">
        <f>VLOOKUP(E133,'Match Day Fees'!B:B,1,FALSE)</f>
        <v>#N/A</v>
      </c>
    </row>
    <row r="134">
      <c r="G134" s="3" t="str">
        <f>VLOOKUP(E134,'Match Day Fees'!B:B,1,FALSE)</f>
        <v>#N/A</v>
      </c>
    </row>
    <row r="135">
      <c r="G135" s="3" t="str">
        <f>VLOOKUP(E135,'Match Day Fees'!B:B,1,FALSE)</f>
        <v>#N/A</v>
      </c>
    </row>
    <row r="136">
      <c r="G136" s="3" t="str">
        <f>VLOOKUP(E136,'Match Day Fees'!B:B,1,FALSE)</f>
        <v>#N/A</v>
      </c>
    </row>
    <row r="137">
      <c r="G137" s="3" t="str">
        <f>VLOOKUP(E137,'Match Day Fees'!B:B,1,FALSE)</f>
        <v>#N/A</v>
      </c>
    </row>
    <row r="138">
      <c r="G138" s="3" t="str">
        <f>VLOOKUP(E138,'Match Day Fees'!B:B,1,FALSE)</f>
        <v>#N/A</v>
      </c>
    </row>
    <row r="139">
      <c r="G139" s="3" t="str">
        <f>VLOOKUP(E139,'Match Day Fees'!B:B,1,FALSE)</f>
        <v>#N/A</v>
      </c>
    </row>
    <row r="140">
      <c r="G140" s="3" t="str">
        <f>VLOOKUP(E140,'Match Day Fees'!B:B,1,FALSE)</f>
        <v>#N/A</v>
      </c>
    </row>
    <row r="141">
      <c r="G141" s="3" t="str">
        <f>VLOOKUP(E141,'Match Day Fees'!B:B,1,FALSE)</f>
        <v>#N/A</v>
      </c>
    </row>
    <row r="142">
      <c r="G142" s="3" t="str">
        <f>VLOOKUP(E142,'Match Day Fees'!B:B,1,FALSE)</f>
        <v>#N/A</v>
      </c>
    </row>
    <row r="143">
      <c r="G143" s="3" t="str">
        <f>VLOOKUP(E143,'Match Day Fees'!B:B,1,FALSE)</f>
        <v>#N/A</v>
      </c>
    </row>
    <row r="144">
      <c r="G144" s="3" t="str">
        <f>VLOOKUP(E144,'Match Day Fees'!B:B,1,FALSE)</f>
        <v>#N/A</v>
      </c>
    </row>
    <row r="145">
      <c r="G145" s="3" t="str">
        <f>VLOOKUP(E145,'Match Day Fees'!B:B,1,FALSE)</f>
        <v>#N/A</v>
      </c>
    </row>
    <row r="146">
      <c r="G146" s="3" t="str">
        <f>VLOOKUP(E146,'Match Day Fees'!B:B,1,FALSE)</f>
        <v>#N/A</v>
      </c>
    </row>
    <row r="147">
      <c r="G147" s="3" t="str">
        <f>VLOOKUP(E147,'Match Day Fees'!B:B,1,FALSE)</f>
        <v>#N/A</v>
      </c>
    </row>
    <row r="148">
      <c r="G148" s="3" t="str">
        <f>VLOOKUP(E148,'Match Day Fees'!B:B,1,FALSE)</f>
        <v>#N/A</v>
      </c>
    </row>
    <row r="149">
      <c r="G149" s="3" t="str">
        <f>VLOOKUP(E149,'Match Day Fees'!B:B,1,FALSE)</f>
        <v>#N/A</v>
      </c>
    </row>
    <row r="150">
      <c r="G150" s="3" t="str">
        <f>VLOOKUP(E150,'Match Day Fees'!B:B,1,FALSE)</f>
        <v>#N/A</v>
      </c>
    </row>
    <row r="151">
      <c r="G151" s="3" t="str">
        <f>VLOOKUP(E151,'Match Day Fees'!B:B,1,FALSE)</f>
        <v>#N/A</v>
      </c>
    </row>
    <row r="152">
      <c r="G152" s="3" t="str">
        <f>VLOOKUP(E152,'Match Day Fees'!B:B,1,FALSE)</f>
        <v>#N/A</v>
      </c>
    </row>
    <row r="153">
      <c r="G153" s="3" t="str">
        <f>VLOOKUP(E153,'Match Day Fees'!B:B,1,FALSE)</f>
        <v>#N/A</v>
      </c>
    </row>
    <row r="154">
      <c r="G154" s="3" t="str">
        <f>VLOOKUP(E154,'Match Day Fees'!B:B,1,FALSE)</f>
        <v>#N/A</v>
      </c>
    </row>
    <row r="155">
      <c r="G155" s="3" t="str">
        <f>VLOOKUP(E155,'Match Day Fees'!B:B,1,FALSE)</f>
        <v>#N/A</v>
      </c>
    </row>
    <row r="156">
      <c r="G156" s="3" t="str">
        <f>VLOOKUP(E156,'Match Day Fees'!B:B,1,FALSE)</f>
        <v>#N/A</v>
      </c>
    </row>
    <row r="157">
      <c r="G157" s="3" t="str">
        <f>VLOOKUP(E157,'Match Day Fees'!B:B,1,FALSE)</f>
        <v>#N/A</v>
      </c>
    </row>
    <row r="158">
      <c r="G158" s="3" t="str">
        <f>VLOOKUP(E158,'Match Day Fees'!B:B,1,FALSE)</f>
        <v>#N/A</v>
      </c>
    </row>
    <row r="159">
      <c r="G159" s="3" t="str">
        <f>VLOOKUP(E159,'Match Day Fees'!B:B,1,FALSE)</f>
        <v>#N/A</v>
      </c>
    </row>
    <row r="160">
      <c r="G160" s="3" t="str">
        <f>VLOOKUP(E160,'Match Day Fees'!B:B,1,FALSE)</f>
        <v>#N/A</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5"/>
    <col customWidth="1" min="2" max="2" width="22.75"/>
    <col customWidth="1" min="3" max="3" width="19.88"/>
    <col customWidth="1" min="4" max="5" width="11.88"/>
    <col customWidth="1" min="6" max="6" width="14.5"/>
    <col customWidth="1" min="7" max="7" width="14.0"/>
    <col customWidth="1" min="8" max="8" width="9.0"/>
  </cols>
  <sheetData>
    <row r="1">
      <c r="A1" s="37"/>
      <c r="B1" s="45" t="s">
        <v>163</v>
      </c>
      <c r="C1" s="46" t="s">
        <v>164</v>
      </c>
      <c r="D1" s="46" t="s">
        <v>165</v>
      </c>
      <c r="E1" s="46" t="s">
        <v>166</v>
      </c>
      <c r="F1" s="46" t="s">
        <v>167</v>
      </c>
      <c r="G1" s="46" t="s">
        <v>168</v>
      </c>
      <c r="H1" s="47" t="s">
        <v>169</v>
      </c>
      <c r="I1" s="48" t="s">
        <v>170</v>
      </c>
      <c r="J1" s="37"/>
      <c r="K1" s="37"/>
      <c r="L1" s="37"/>
      <c r="M1" s="37"/>
      <c r="N1" s="37"/>
      <c r="O1" s="37"/>
      <c r="P1" s="37"/>
      <c r="Q1" s="37"/>
      <c r="R1" s="37"/>
      <c r="S1" s="37"/>
      <c r="T1" s="37"/>
      <c r="U1" s="37"/>
      <c r="V1" s="37"/>
      <c r="W1" s="37"/>
      <c r="X1" s="37"/>
    </row>
    <row r="2">
      <c r="A2" s="37"/>
      <c r="B2" s="49" t="str">
        <f>IFERROR(__xludf.DUMMYFUNCTION("IMPORTRANGE(""https://docs.google.com/spreadsheets/d/1K_uXqI1eiguBMr0uH3Tu7xDzePAIi3uAsDrAWukyBq8/edit#gid=1076319401"",""PlayerList!F3:F1000"")"),"Aamish Ibrahi")</f>
        <v>Aamish Ibrahi</v>
      </c>
      <c r="C2" s="5">
        <v>10.0</v>
      </c>
      <c r="D2" s="3">
        <f>countif('OTPI Scores'!C:C,B2)</f>
        <v>0</v>
      </c>
      <c r="E2" s="3">
        <f t="shared" ref="E2:E409" si="1">D2*C2</f>
        <v>0</v>
      </c>
      <c r="F2" s="3">
        <f>sumif('OTPI Scores'!C:C,B2,'OTPI Scores'!T:T)</f>
        <v>0</v>
      </c>
      <c r="G2" s="3" t="str">
        <f>SUMIF('Match Subs Filter'!E:E,B2,'Match Subs Filter'!F:F)+sumif('Bank Transfers'!B:B,B2,'Bank Transfers'!C:C)</f>
        <v>#N/A</v>
      </c>
      <c r="H2" s="50" t="str">
        <f t="shared" ref="H2:H409" si="2">F2-G2</f>
        <v>#N/A</v>
      </c>
      <c r="I2" s="51">
        <f t="array" ref="I2">IF(IFERROR(lookup(1,1/SEARCH(B2,'OTPI Scores'!C:C),'OTPI Scores'!E:E),0)="Vets",7,IFERROR(lookup(1,1/SEARCH(B2,'OTPI Scores'!C:C),'OTPI Scores'!E:E),0))</f>
        <v>0</v>
      </c>
      <c r="J2" s="37"/>
      <c r="K2" s="37"/>
      <c r="L2" s="37"/>
      <c r="M2" s="37"/>
      <c r="N2" s="37"/>
      <c r="O2" s="37"/>
      <c r="P2" s="37"/>
      <c r="Q2" s="37"/>
      <c r="R2" s="37"/>
      <c r="S2" s="37"/>
      <c r="T2" s="37"/>
      <c r="U2" s="37"/>
      <c r="V2" s="37"/>
      <c r="W2" s="37"/>
      <c r="X2" s="37"/>
    </row>
    <row r="3">
      <c r="A3" s="37"/>
      <c r="B3" s="49" t="str">
        <f>IFERROR(__xludf.DUMMYFUNCTION("""COMPUTED_VALUE"""),"Aaron Snelling")</f>
        <v>Aaron Snelling</v>
      </c>
      <c r="C3" s="5">
        <v>10.0</v>
      </c>
      <c r="D3" s="3">
        <f>countif('OTPI Scores'!C:C,B3)</f>
        <v>16</v>
      </c>
      <c r="E3" s="3">
        <f t="shared" si="1"/>
        <v>160</v>
      </c>
      <c r="F3" s="3">
        <f>sumif('OTPI Scores'!C:C,B3,'OTPI Scores'!T:T)</f>
        <v>138</v>
      </c>
      <c r="G3" s="3" t="str">
        <f>SUMIF('Match Subs Filter'!E:E,B3,'Match Subs Filter'!F:F)+sumif('Bank Transfers'!B:B,B3,'Bank Transfers'!C:C)</f>
        <v>#N/A</v>
      </c>
      <c r="H3" s="50" t="str">
        <f t="shared" si="2"/>
        <v>#N/A</v>
      </c>
      <c r="I3" s="51">
        <f t="array" ref="I3">IF(IFERROR(lookup(1,1/SEARCH(B3,'OTPI Scores'!C:C),'OTPI Scores'!E:E),0)="Vets",7,IFERROR(lookup(1,1/SEARCH(B3,'OTPI Scores'!C:C),'OTPI Scores'!E:E),0))</f>
        <v>1</v>
      </c>
      <c r="J3" s="37"/>
      <c r="K3" s="37"/>
      <c r="L3" s="37"/>
      <c r="M3" s="37"/>
      <c r="N3" s="37"/>
      <c r="O3" s="37"/>
      <c r="P3" s="37"/>
      <c r="Q3" s="37"/>
      <c r="R3" s="37"/>
      <c r="S3" s="37"/>
      <c r="T3" s="37"/>
      <c r="U3" s="37"/>
      <c r="V3" s="37"/>
      <c r="W3" s="37"/>
      <c r="X3" s="37"/>
    </row>
    <row r="4">
      <c r="A4" s="37"/>
      <c r="B4" s="49" t="str">
        <f>IFERROR(__xludf.DUMMYFUNCTION("""COMPUTED_VALUE"""),"Abdul Adaawe")</f>
        <v>Abdul Adaawe</v>
      </c>
      <c r="C4" s="5">
        <v>10.0</v>
      </c>
      <c r="D4" s="3">
        <f>countif('OTPI Scores'!C:C,B4)</f>
        <v>0</v>
      </c>
      <c r="E4" s="3">
        <f t="shared" si="1"/>
        <v>0</v>
      </c>
      <c r="F4" s="3">
        <f>sumif('OTPI Scores'!C:C,B4,'OTPI Scores'!T:T)</f>
        <v>0</v>
      </c>
      <c r="G4" s="3" t="str">
        <f>SUMIF('Match Subs Filter'!E:E,B4,'Match Subs Filter'!F:F)+sumif('Bank Transfers'!B:B,B4,'Bank Transfers'!C:C)</f>
        <v>#N/A</v>
      </c>
      <c r="H4" s="50" t="str">
        <f t="shared" si="2"/>
        <v>#N/A</v>
      </c>
      <c r="I4" s="51">
        <f t="array" ref="I4">IF(IFERROR(lookup(1,1/SEARCH(B4,'OTPI Scores'!C:C),'OTPI Scores'!E:E),0)="Vets",7,IFERROR(lookup(1,1/SEARCH(B4,'OTPI Scores'!C:C),'OTPI Scores'!E:E),0))</f>
        <v>0</v>
      </c>
      <c r="J4" s="37"/>
      <c r="K4" s="37"/>
      <c r="L4" s="37"/>
      <c r="M4" s="37"/>
      <c r="N4" s="37"/>
      <c r="O4" s="37"/>
      <c r="P4" s="37"/>
      <c r="Q4" s="37"/>
      <c r="R4" s="37"/>
      <c r="S4" s="37"/>
      <c r="T4" s="37"/>
      <c r="U4" s="37"/>
      <c r="V4" s="37"/>
      <c r="W4" s="37"/>
      <c r="X4" s="37"/>
    </row>
    <row r="5">
      <c r="A5" s="37"/>
      <c r="B5" s="49" t="str">
        <f>IFERROR(__xludf.DUMMYFUNCTION("""COMPUTED_VALUE"""),"Abdul Hassan")</f>
        <v>Abdul Hassan</v>
      </c>
      <c r="C5" s="5">
        <v>10.0</v>
      </c>
      <c r="D5" s="3">
        <f>countif('OTPI Scores'!C:C,B5)</f>
        <v>0</v>
      </c>
      <c r="E5" s="3">
        <f t="shared" si="1"/>
        <v>0</v>
      </c>
      <c r="F5" s="3">
        <f>sumif('OTPI Scores'!C:C,B5,'OTPI Scores'!T:T)</f>
        <v>0</v>
      </c>
      <c r="G5" s="3" t="str">
        <f>SUMIF('Match Subs Filter'!E:E,B5,'Match Subs Filter'!F:F)+sumif('Bank Transfers'!B:B,B5,'Bank Transfers'!C:C)</f>
        <v>#N/A</v>
      </c>
      <c r="H5" s="50" t="str">
        <f t="shared" si="2"/>
        <v>#N/A</v>
      </c>
      <c r="I5" s="51">
        <f t="array" ref="I5">IF(IFERROR(lookup(1,1/SEARCH(B5,'OTPI Scores'!C:C),'OTPI Scores'!E:E),0)="Vets",7,IFERROR(lookup(1,1/SEARCH(B5,'OTPI Scores'!C:C),'OTPI Scores'!E:E),0))</f>
        <v>0</v>
      </c>
      <c r="J5" s="37"/>
      <c r="K5" s="37"/>
      <c r="L5" s="37"/>
      <c r="M5" s="37"/>
      <c r="N5" s="37"/>
      <c r="O5" s="37"/>
      <c r="P5" s="37"/>
      <c r="Q5" s="37"/>
      <c r="R5" s="37"/>
      <c r="S5" s="37"/>
      <c r="T5" s="37"/>
      <c r="U5" s="37"/>
      <c r="V5" s="37"/>
      <c r="W5" s="37"/>
      <c r="X5" s="37"/>
    </row>
    <row r="6">
      <c r="A6" s="37"/>
      <c r="B6" s="49" t="str">
        <f>IFERROR(__xludf.DUMMYFUNCTION("""COMPUTED_VALUE"""),"Abz Marfa")</f>
        <v>Abz Marfa</v>
      </c>
      <c r="C6" s="5">
        <v>10.0</v>
      </c>
      <c r="D6" s="3">
        <f>countif('OTPI Scores'!C:C,B6)</f>
        <v>6</v>
      </c>
      <c r="E6" s="3">
        <f t="shared" si="1"/>
        <v>60</v>
      </c>
      <c r="F6" s="3">
        <f>sumif('OTPI Scores'!C:C,B6,'OTPI Scores'!T:T)</f>
        <v>40</v>
      </c>
      <c r="G6" s="3" t="str">
        <f>SUMIF('Match Subs Filter'!E:E,B6,'Match Subs Filter'!F:F)+sumif('Bank Transfers'!B:B,B6,'Bank Transfers'!C:C)</f>
        <v>#N/A</v>
      </c>
      <c r="H6" s="50" t="str">
        <f t="shared" si="2"/>
        <v>#N/A</v>
      </c>
      <c r="I6" s="51">
        <f t="array" ref="I6">IF(IFERROR(lookup(1,1/SEARCH(B6,'OTPI Scores'!C:C),'OTPI Scores'!E:E),0)="Vets",7,IFERROR(lookup(1,1/SEARCH(B6,'OTPI Scores'!C:C),'OTPI Scores'!E:E),0))</f>
        <v>6</v>
      </c>
      <c r="J6" s="37"/>
      <c r="K6" s="37"/>
      <c r="L6" s="37"/>
      <c r="M6" s="37"/>
      <c r="N6" s="37"/>
      <c r="O6" s="37"/>
      <c r="P6" s="37"/>
      <c r="Q6" s="37"/>
      <c r="R6" s="37"/>
      <c r="S6" s="37"/>
      <c r="T6" s="37"/>
      <c r="U6" s="37"/>
      <c r="V6" s="37"/>
      <c r="W6" s="37"/>
      <c r="X6" s="37"/>
    </row>
    <row r="7">
      <c r="A7" s="37"/>
      <c r="B7" s="49" t="str">
        <f>IFERROR(__xludf.DUMMYFUNCTION("""COMPUTED_VALUE"""),"Adam Platten")</f>
        <v>Adam Platten</v>
      </c>
      <c r="C7" s="5">
        <v>10.0</v>
      </c>
      <c r="D7" s="3">
        <f>countif('OTPI Scores'!C:C,B7)</f>
        <v>15</v>
      </c>
      <c r="E7" s="3">
        <f t="shared" si="1"/>
        <v>150</v>
      </c>
      <c r="F7" s="3">
        <f>sumif('OTPI Scores'!C:C,B7,'OTPI Scores'!T:T)</f>
        <v>118</v>
      </c>
      <c r="G7" s="3" t="str">
        <f>SUMIF('Match Subs Filter'!E:E,B7,'Match Subs Filter'!F:F)+sumif('Bank Transfers'!B:B,B7,'Bank Transfers'!C:C)</f>
        <v>#N/A</v>
      </c>
      <c r="H7" s="50" t="str">
        <f t="shared" si="2"/>
        <v>#N/A</v>
      </c>
      <c r="I7" s="51">
        <f t="array" ref="I7">IF(IFERROR(lookup(1,1/SEARCH(B7,'OTPI Scores'!C:C),'OTPI Scores'!E:E),0)="Vets",7,IFERROR(lookup(1,1/SEARCH(B7,'OTPI Scores'!C:C),'OTPI Scores'!E:E),0))</f>
        <v>1</v>
      </c>
      <c r="J7" s="37"/>
      <c r="K7" s="37"/>
      <c r="L7" s="37"/>
      <c r="M7" s="37"/>
      <c r="N7" s="37"/>
      <c r="O7" s="37"/>
      <c r="P7" s="37"/>
      <c r="Q7" s="37"/>
      <c r="R7" s="37"/>
      <c r="S7" s="37"/>
      <c r="T7" s="37"/>
      <c r="U7" s="37"/>
      <c r="V7" s="37"/>
      <c r="W7" s="37"/>
      <c r="X7" s="37"/>
    </row>
    <row r="8">
      <c r="A8" s="37"/>
      <c r="B8" s="49" t="str">
        <f>IFERROR(__xludf.DUMMYFUNCTION("""COMPUTED_VALUE"""),"Adan Saif")</f>
        <v>Adan Saif</v>
      </c>
      <c r="C8" s="5">
        <v>10.0</v>
      </c>
      <c r="D8" s="3">
        <f>countif('OTPI Scores'!C:C,B8)</f>
        <v>0</v>
      </c>
      <c r="E8" s="3">
        <f t="shared" si="1"/>
        <v>0</v>
      </c>
      <c r="F8" s="3">
        <f>sumif('OTPI Scores'!C:C,B8,'OTPI Scores'!T:T)</f>
        <v>0</v>
      </c>
      <c r="G8" s="3" t="str">
        <f>SUMIF('Match Subs Filter'!E:E,B8,'Match Subs Filter'!F:F)+sumif('Bank Transfers'!B:B,B8,'Bank Transfers'!C:C)</f>
        <v>#N/A</v>
      </c>
      <c r="H8" s="50" t="str">
        <f t="shared" si="2"/>
        <v>#N/A</v>
      </c>
      <c r="I8" s="51">
        <f t="array" ref="I8">IF(IFERROR(lookup(1,1/SEARCH(B8,'OTPI Scores'!C:C),'OTPI Scores'!E:E),0)="Vets",7,IFERROR(lookup(1,1/SEARCH(B8,'OTPI Scores'!C:C),'OTPI Scores'!E:E),0))</f>
        <v>0</v>
      </c>
      <c r="J8" s="37"/>
      <c r="K8" s="37"/>
      <c r="L8" s="37"/>
      <c r="M8" s="37"/>
      <c r="N8" s="37"/>
      <c r="O8" s="37"/>
      <c r="P8" s="37"/>
      <c r="Q8" s="37"/>
      <c r="R8" s="37"/>
      <c r="S8" s="37"/>
      <c r="T8" s="37"/>
      <c r="U8" s="37"/>
      <c r="V8" s="37"/>
      <c r="W8" s="37"/>
      <c r="X8" s="37"/>
    </row>
    <row r="9">
      <c r="A9" s="37"/>
      <c r="B9" s="49" t="str">
        <f>IFERROR(__xludf.DUMMYFUNCTION("""COMPUTED_VALUE"""),"Ade Lawal")</f>
        <v>Ade Lawal</v>
      </c>
      <c r="C9" s="5">
        <v>10.0</v>
      </c>
      <c r="D9" s="3">
        <f>countif('OTPI Scores'!C:C,B9)</f>
        <v>21</v>
      </c>
      <c r="E9" s="3">
        <f t="shared" si="1"/>
        <v>210</v>
      </c>
      <c r="F9" s="3">
        <f>sumif('OTPI Scores'!C:C,B9,'OTPI Scores'!T:T)</f>
        <v>210</v>
      </c>
      <c r="G9" s="3" t="str">
        <f>SUMIF('Match Subs Filter'!E:E,B9,'Match Subs Filter'!F:F)+sumif('Bank Transfers'!B:B,B9,'Bank Transfers'!C:C)</f>
        <v>#N/A</v>
      </c>
      <c r="H9" s="50" t="str">
        <f t="shared" si="2"/>
        <v>#N/A</v>
      </c>
      <c r="I9" s="51">
        <f t="array" ref="I9">IF(IFERROR(lookup(1,1/SEARCH(B9,'OTPI Scores'!C:C),'OTPI Scores'!E:E),0)="Vets",7,IFERROR(lookup(1,1/SEARCH(B9,'OTPI Scores'!C:C),'OTPI Scores'!E:E),0))</f>
        <v>6</v>
      </c>
      <c r="J9" s="37"/>
      <c r="K9" s="37"/>
      <c r="L9" s="37"/>
      <c r="M9" s="37"/>
      <c r="N9" s="37"/>
      <c r="O9" s="37"/>
      <c r="P9" s="37"/>
      <c r="Q9" s="37"/>
      <c r="R9" s="37"/>
      <c r="S9" s="37"/>
      <c r="T9" s="37"/>
      <c r="U9" s="37"/>
      <c r="V9" s="37"/>
      <c r="W9" s="37"/>
      <c r="X9" s="37"/>
    </row>
    <row r="10">
      <c r="A10" s="37"/>
      <c r="B10" s="49" t="str">
        <f>IFERROR(__xludf.DUMMYFUNCTION("""COMPUTED_VALUE"""),"Afnan Khan")</f>
        <v>Afnan Khan</v>
      </c>
      <c r="C10" s="5">
        <v>10.0</v>
      </c>
      <c r="D10" s="3">
        <f>countif('OTPI Scores'!C:C,B10)</f>
        <v>8</v>
      </c>
      <c r="E10" s="3">
        <f t="shared" si="1"/>
        <v>80</v>
      </c>
      <c r="F10" s="3">
        <f>sumif('OTPI Scores'!C:C,B10,'OTPI Scores'!T:T)</f>
        <v>60</v>
      </c>
      <c r="G10" s="3" t="str">
        <f>SUMIF('Match Subs Filter'!E:E,B10,'Match Subs Filter'!F:F)+sumif('Bank Transfers'!B:B,B10,'Bank Transfers'!C:C)</f>
        <v>#N/A</v>
      </c>
      <c r="H10" s="50" t="str">
        <f t="shared" si="2"/>
        <v>#N/A</v>
      </c>
      <c r="I10" s="51">
        <f t="array" ref="I10">IF(IFERROR(lookup(1,1/SEARCH(B10,'OTPI Scores'!C:C),'OTPI Scores'!E:E),0)="Vets",7,IFERROR(lookup(1,1/SEARCH(B10,'OTPI Scores'!C:C),'OTPI Scores'!E:E),0))</f>
        <v>6</v>
      </c>
      <c r="J10" s="37"/>
      <c r="K10" s="37"/>
      <c r="L10" s="37"/>
      <c r="M10" s="37"/>
      <c r="N10" s="37"/>
      <c r="O10" s="37"/>
      <c r="P10" s="37"/>
      <c r="Q10" s="37"/>
      <c r="R10" s="37"/>
      <c r="S10" s="37"/>
      <c r="T10" s="37"/>
      <c r="U10" s="37"/>
      <c r="V10" s="37"/>
      <c r="W10" s="37"/>
      <c r="X10" s="37"/>
    </row>
    <row r="11">
      <c r="A11" s="37"/>
      <c r="B11" s="49" t="str">
        <f>IFERROR(__xludf.DUMMYFUNCTION("""COMPUTED_VALUE"""),"Aidan Byrne")</f>
        <v>Aidan Byrne</v>
      </c>
      <c r="C11" s="5">
        <v>10.0</v>
      </c>
      <c r="D11" s="3">
        <f>countif('OTPI Scores'!C:C,B11)</f>
        <v>7</v>
      </c>
      <c r="E11" s="3">
        <f t="shared" si="1"/>
        <v>70</v>
      </c>
      <c r="F11" s="3">
        <f>sumif('OTPI Scores'!C:C,B11,'OTPI Scores'!T:T)</f>
        <v>30</v>
      </c>
      <c r="G11" s="3" t="str">
        <f>SUMIF('Match Subs Filter'!E:E,B11,'Match Subs Filter'!F:F)+sumif('Bank Transfers'!B:B,B11,'Bank Transfers'!C:C)</f>
        <v>#N/A</v>
      </c>
      <c r="H11" s="50" t="str">
        <f t="shared" si="2"/>
        <v>#N/A</v>
      </c>
      <c r="I11" s="51">
        <f t="array" ref="I11">IF(IFERROR(lookup(1,1/SEARCH(B11,'OTPI Scores'!C:C),'OTPI Scores'!E:E),0)="Vets",7,IFERROR(lookup(1,1/SEARCH(B11,'OTPI Scores'!C:C),'OTPI Scores'!E:E),0))</f>
        <v>5</v>
      </c>
      <c r="J11" s="37"/>
      <c r="K11" s="37"/>
      <c r="L11" s="37"/>
      <c r="M11" s="37"/>
      <c r="N11" s="37"/>
      <c r="O11" s="37"/>
      <c r="P11" s="37"/>
      <c r="Q11" s="37"/>
      <c r="R11" s="37"/>
      <c r="S11" s="37"/>
      <c r="T11" s="37"/>
      <c r="U11" s="37"/>
      <c r="V11" s="37"/>
      <c r="W11" s="37"/>
      <c r="X11" s="37"/>
    </row>
    <row r="12">
      <c r="A12" s="37"/>
      <c r="B12" s="49" t="str">
        <f>IFERROR(__xludf.DUMMYFUNCTION("""COMPUTED_VALUE"""),"Al Humphrey")</f>
        <v>Al Humphrey</v>
      </c>
      <c r="C12" s="5">
        <v>10.0</v>
      </c>
      <c r="D12" s="3">
        <f>countif('OTPI Scores'!C:C,B12)</f>
        <v>2</v>
      </c>
      <c r="E12" s="3">
        <f t="shared" si="1"/>
        <v>20</v>
      </c>
      <c r="F12" s="3">
        <f>sumif('OTPI Scores'!C:C,B12,'OTPI Scores'!T:T)</f>
        <v>10</v>
      </c>
      <c r="G12" s="3" t="str">
        <f>SUMIF('Match Subs Filter'!E:E,B12,'Match Subs Filter'!F:F)+sumif('Bank Transfers'!B:B,B12,'Bank Transfers'!C:C)</f>
        <v>#N/A</v>
      </c>
      <c r="H12" s="50" t="str">
        <f t="shared" si="2"/>
        <v>#N/A</v>
      </c>
      <c r="I12" s="51">
        <f t="array" ref="I12">IF(IFERROR(lookup(1,1/SEARCH(B12,'OTPI Scores'!C:C),'OTPI Scores'!E:E),0)="Vets",7,IFERROR(lookup(1,1/SEARCH(B12,'OTPI Scores'!C:C),'OTPI Scores'!E:E),0))</f>
        <v>7</v>
      </c>
      <c r="J12" s="37"/>
      <c r="K12" s="37"/>
      <c r="L12" s="37"/>
      <c r="M12" s="37"/>
      <c r="N12" s="37"/>
      <c r="O12" s="37"/>
      <c r="P12" s="37"/>
      <c r="Q12" s="37"/>
      <c r="R12" s="37"/>
      <c r="S12" s="37"/>
      <c r="T12" s="37"/>
      <c r="U12" s="37"/>
      <c r="V12" s="37"/>
      <c r="W12" s="37"/>
      <c r="X12" s="37"/>
    </row>
    <row r="13">
      <c r="A13" s="37"/>
      <c r="B13" s="49" t="str">
        <f>IFERROR(__xludf.DUMMYFUNCTION("""COMPUTED_VALUE"""),"Alex Clark")</f>
        <v>Alex Clark</v>
      </c>
      <c r="C13" s="5">
        <v>10.0</v>
      </c>
      <c r="D13" s="3">
        <f>countif('OTPI Scores'!C:C,B13)</f>
        <v>8</v>
      </c>
      <c r="E13" s="3">
        <f t="shared" si="1"/>
        <v>80</v>
      </c>
      <c r="F13" s="3">
        <f>sumif('OTPI Scores'!C:C,B13,'OTPI Scores'!T:T)</f>
        <v>75</v>
      </c>
      <c r="G13" s="3" t="str">
        <f>SUMIF('Match Subs Filter'!E:E,B13,'Match Subs Filter'!F:F)+sumif('Bank Transfers'!B:B,B13,'Bank Transfers'!C:C)</f>
        <v>#N/A</v>
      </c>
      <c r="H13" s="50" t="str">
        <f t="shared" si="2"/>
        <v>#N/A</v>
      </c>
      <c r="I13" s="51">
        <f t="array" ref="I13">IF(IFERROR(lookup(1,1/SEARCH(B13,'OTPI Scores'!C:C),'OTPI Scores'!E:E),0)="Vets",7,IFERROR(lookup(1,1/SEARCH(B13,'OTPI Scores'!C:C),'OTPI Scores'!E:E),0))</f>
        <v>3</v>
      </c>
      <c r="J13" s="37"/>
      <c r="K13" s="37"/>
      <c r="L13" s="37"/>
      <c r="M13" s="37"/>
      <c r="N13" s="37"/>
      <c r="O13" s="37"/>
      <c r="P13" s="37"/>
      <c r="Q13" s="37"/>
      <c r="R13" s="37"/>
      <c r="S13" s="37"/>
      <c r="T13" s="37"/>
      <c r="U13" s="37"/>
      <c r="V13" s="37"/>
      <c r="W13" s="37"/>
      <c r="X13" s="37"/>
    </row>
    <row r="14">
      <c r="A14" s="37"/>
      <c r="B14" s="49" t="str">
        <f>IFERROR(__xludf.DUMMYFUNCTION("""COMPUTED_VALUE"""),"Alex Dockerill")</f>
        <v>Alex Dockerill</v>
      </c>
      <c r="C14" s="5">
        <v>10.0</v>
      </c>
      <c r="D14" s="3">
        <f>countif('OTPI Scores'!C:C,B14)</f>
        <v>21</v>
      </c>
      <c r="E14" s="3">
        <f t="shared" si="1"/>
        <v>210</v>
      </c>
      <c r="F14" s="3">
        <f>sumif('OTPI Scores'!C:C,B14,'OTPI Scores'!T:T)</f>
        <v>179</v>
      </c>
      <c r="G14" s="3" t="str">
        <f>SUMIF('Match Subs Filter'!E:E,B14,'Match Subs Filter'!F:F)+sumif('Bank Transfers'!B:B,B14,'Bank Transfers'!C:C)</f>
        <v>#N/A</v>
      </c>
      <c r="H14" s="50" t="str">
        <f t="shared" si="2"/>
        <v>#N/A</v>
      </c>
      <c r="I14" s="51">
        <f t="array" ref="I14">IF(IFERROR(lookup(1,1/SEARCH(B14,'OTPI Scores'!C:C),'OTPI Scores'!E:E),0)="Vets",7,IFERROR(lookup(1,1/SEARCH(B14,'OTPI Scores'!C:C),'OTPI Scores'!E:E),0))</f>
        <v>2</v>
      </c>
      <c r="J14" s="37"/>
      <c r="K14" s="37"/>
      <c r="L14" s="37"/>
      <c r="M14" s="37"/>
      <c r="N14" s="37"/>
      <c r="O14" s="37"/>
      <c r="P14" s="37"/>
      <c r="Q14" s="37"/>
      <c r="R14" s="37"/>
      <c r="S14" s="37"/>
      <c r="T14" s="37"/>
      <c r="U14" s="37"/>
      <c r="V14" s="37"/>
      <c r="W14" s="37"/>
      <c r="X14" s="37"/>
    </row>
    <row r="15">
      <c r="A15" s="37"/>
      <c r="B15" s="49" t="str">
        <f>IFERROR(__xludf.DUMMYFUNCTION("""COMPUTED_VALUE"""),"Alex Mansfield")</f>
        <v>Alex Mansfield</v>
      </c>
      <c r="C15" s="5">
        <v>10.0</v>
      </c>
      <c r="D15" s="3">
        <f>countif('OTPI Scores'!C:C,B15)</f>
        <v>20</v>
      </c>
      <c r="E15" s="3">
        <f t="shared" si="1"/>
        <v>200</v>
      </c>
      <c r="F15" s="3">
        <f>sumif('OTPI Scores'!C:C,B15,'OTPI Scores'!T:T)</f>
        <v>200</v>
      </c>
      <c r="G15" s="3" t="str">
        <f>SUMIF('Match Subs Filter'!E:E,B15,'Match Subs Filter'!F:F)+sumif('Bank Transfers'!B:B,B15,'Bank Transfers'!C:C)</f>
        <v>#N/A</v>
      </c>
      <c r="H15" s="50" t="str">
        <f t="shared" si="2"/>
        <v>#N/A</v>
      </c>
      <c r="I15" s="51">
        <f t="array" ref="I15">IF(IFERROR(lookup(1,1/SEARCH(B15,'OTPI Scores'!C:C),'OTPI Scores'!E:E),0)="Vets",7,IFERROR(lookup(1,1/SEARCH(B15,'OTPI Scores'!C:C),'OTPI Scores'!E:E),0))</f>
        <v>3</v>
      </c>
      <c r="J15" s="37"/>
      <c r="K15" s="37"/>
      <c r="L15" s="37"/>
      <c r="M15" s="37"/>
      <c r="N15" s="37"/>
      <c r="O15" s="37"/>
      <c r="P15" s="37"/>
      <c r="Q15" s="37"/>
      <c r="R15" s="37"/>
      <c r="S15" s="37"/>
      <c r="T15" s="37"/>
      <c r="U15" s="37"/>
      <c r="V15" s="37"/>
      <c r="W15" s="37"/>
      <c r="X15" s="37"/>
    </row>
    <row r="16">
      <c r="A16" s="37"/>
      <c r="B16" s="49" t="str">
        <f>IFERROR(__xludf.DUMMYFUNCTION("""COMPUTED_VALUE"""),"Alex Scott-Ruddock")</f>
        <v>Alex Scott-Ruddock</v>
      </c>
      <c r="C16" s="5">
        <v>10.0</v>
      </c>
      <c r="D16" s="3">
        <f>countif('OTPI Scores'!C:C,B16)</f>
        <v>22</v>
      </c>
      <c r="E16" s="3">
        <f t="shared" si="1"/>
        <v>220</v>
      </c>
      <c r="F16" s="3">
        <f>sumif('OTPI Scores'!C:C,B16,'OTPI Scores'!T:T)</f>
        <v>15</v>
      </c>
      <c r="G16" s="3" t="str">
        <f>SUMIF('Match Subs Filter'!E:E,B16,'Match Subs Filter'!F:F)+sumif('Bank Transfers'!B:B,B16,'Bank Transfers'!C:C)</f>
        <v>#N/A</v>
      </c>
      <c r="H16" s="50" t="str">
        <f t="shared" si="2"/>
        <v>#N/A</v>
      </c>
      <c r="I16" s="51">
        <f t="array" ref="I16">IF(IFERROR(lookup(1,1/SEARCH(B16,'OTPI Scores'!C:C),'OTPI Scores'!E:E),0)="Vets",7,IFERROR(lookup(1,1/SEARCH(B16,'OTPI Scores'!C:C),'OTPI Scores'!E:E),0))</f>
        <v>5</v>
      </c>
      <c r="J16" s="37"/>
      <c r="K16" s="37"/>
      <c r="L16" s="37"/>
      <c r="M16" s="37"/>
      <c r="N16" s="37"/>
      <c r="O16" s="37"/>
      <c r="P16" s="37"/>
      <c r="Q16" s="37"/>
      <c r="R16" s="37"/>
      <c r="S16" s="37"/>
      <c r="T16" s="37"/>
      <c r="U16" s="37"/>
      <c r="V16" s="37"/>
      <c r="W16" s="37"/>
      <c r="X16" s="37"/>
    </row>
    <row r="17">
      <c r="A17" s="37"/>
      <c r="B17" s="49" t="str">
        <f>IFERROR(__xludf.DUMMYFUNCTION("""COMPUTED_VALUE"""),"Alex Stevens")</f>
        <v>Alex Stevens</v>
      </c>
      <c r="C17" s="5">
        <v>10.0</v>
      </c>
      <c r="D17" s="3">
        <f>countif('OTPI Scores'!C:C,B17)</f>
        <v>20</v>
      </c>
      <c r="E17" s="3">
        <f t="shared" si="1"/>
        <v>200</v>
      </c>
      <c r="F17" s="3">
        <f>sumif('OTPI Scores'!C:C,B17,'OTPI Scores'!T:T)</f>
        <v>145</v>
      </c>
      <c r="G17" s="3" t="str">
        <f>SUMIF('Match Subs Filter'!E:E,B17,'Match Subs Filter'!F:F)+sumif('Bank Transfers'!B:B,B17,'Bank Transfers'!C:C)</f>
        <v>#N/A</v>
      </c>
      <c r="H17" s="50" t="str">
        <f t="shared" si="2"/>
        <v>#N/A</v>
      </c>
      <c r="I17" s="51">
        <f t="array" ref="I17">IF(IFERROR(lookup(1,1/SEARCH(B17,'OTPI Scores'!C:C),'OTPI Scores'!E:E),0)="Vets",7,IFERROR(lookup(1,1/SEARCH(B17,'OTPI Scores'!C:C),'OTPI Scores'!E:E),0))</f>
        <v>3</v>
      </c>
      <c r="J17" s="37"/>
      <c r="K17" s="37"/>
      <c r="L17" s="37"/>
      <c r="M17" s="37"/>
      <c r="N17" s="37"/>
      <c r="O17" s="37"/>
      <c r="P17" s="37"/>
      <c r="Q17" s="37"/>
      <c r="R17" s="37"/>
      <c r="S17" s="37"/>
      <c r="T17" s="37"/>
      <c r="U17" s="37"/>
      <c r="V17" s="37"/>
      <c r="W17" s="37"/>
      <c r="X17" s="37"/>
    </row>
    <row r="18">
      <c r="A18" s="37"/>
      <c r="B18" s="49" t="str">
        <f>IFERROR(__xludf.DUMMYFUNCTION("""COMPUTED_VALUE"""),"Ali Koc")</f>
        <v>Ali Koc</v>
      </c>
      <c r="C18" s="5">
        <v>10.0</v>
      </c>
      <c r="D18" s="3">
        <f>countif('OTPI Scores'!C:C,B18)</f>
        <v>1</v>
      </c>
      <c r="E18" s="3">
        <f t="shared" si="1"/>
        <v>10</v>
      </c>
      <c r="F18" s="3">
        <f>sumif('OTPI Scores'!C:C,B18,'OTPI Scores'!T:T)</f>
        <v>0</v>
      </c>
      <c r="G18" s="3" t="str">
        <f>SUMIF('Match Subs Filter'!E:E,B18,'Match Subs Filter'!F:F)+sumif('Bank Transfers'!B:B,B18,'Bank Transfers'!C:C)</f>
        <v>#N/A</v>
      </c>
      <c r="H18" s="50" t="str">
        <f t="shared" si="2"/>
        <v>#N/A</v>
      </c>
      <c r="I18" s="51">
        <f t="array" ref="I18">IF(IFERROR(lookup(1,1/SEARCH(B18,'OTPI Scores'!C:C),'OTPI Scores'!E:E),0)="Vets",7,IFERROR(lookup(1,1/SEARCH(B18,'OTPI Scores'!C:C),'OTPI Scores'!E:E),0))</f>
        <v>4</v>
      </c>
      <c r="J18" s="37"/>
      <c r="K18" s="37"/>
      <c r="L18" s="37"/>
      <c r="M18" s="37"/>
      <c r="N18" s="37"/>
      <c r="O18" s="37"/>
      <c r="P18" s="37"/>
      <c r="Q18" s="37"/>
      <c r="R18" s="37"/>
      <c r="S18" s="37"/>
      <c r="T18" s="37"/>
      <c r="U18" s="37"/>
      <c r="V18" s="37"/>
      <c r="W18" s="37"/>
      <c r="X18" s="37"/>
    </row>
    <row r="19">
      <c r="A19" s="37"/>
      <c r="B19" s="49" t="str">
        <f>IFERROR(__xludf.DUMMYFUNCTION("""COMPUTED_VALUE"""),"Andreas Andreou")</f>
        <v>Andreas Andreou</v>
      </c>
      <c r="C19" s="5">
        <v>10.0</v>
      </c>
      <c r="D19" s="3">
        <f>countif('OTPI Scores'!C:C,B19)</f>
        <v>5</v>
      </c>
      <c r="E19" s="3">
        <f t="shared" si="1"/>
        <v>50</v>
      </c>
      <c r="F19" s="3">
        <f>sumif('OTPI Scores'!C:C,B19,'OTPI Scores'!T:T)</f>
        <v>50</v>
      </c>
      <c r="G19" s="3" t="str">
        <f>SUMIF('Match Subs Filter'!E:E,B19,'Match Subs Filter'!F:F)+sumif('Bank Transfers'!B:B,B19,'Bank Transfers'!C:C)</f>
        <v>#N/A</v>
      </c>
      <c r="H19" s="50" t="str">
        <f t="shared" si="2"/>
        <v>#N/A</v>
      </c>
      <c r="I19" s="51">
        <f t="array" ref="I19">IF(IFERROR(lookup(1,1/SEARCH(B19,'OTPI Scores'!C:C),'OTPI Scores'!E:E),0)="Vets",7,IFERROR(lookup(1,1/SEARCH(B19,'OTPI Scores'!C:C),'OTPI Scores'!E:E),0))</f>
        <v>5</v>
      </c>
      <c r="J19" s="37"/>
      <c r="K19" s="37"/>
      <c r="L19" s="37"/>
      <c r="M19" s="37"/>
      <c r="N19" s="37"/>
      <c r="O19" s="37"/>
      <c r="P19" s="37"/>
      <c r="Q19" s="37"/>
      <c r="R19" s="37"/>
      <c r="S19" s="37"/>
      <c r="T19" s="37"/>
      <c r="U19" s="37"/>
      <c r="V19" s="37"/>
      <c r="W19" s="37"/>
      <c r="X19" s="37"/>
    </row>
    <row r="20">
      <c r="A20" s="37"/>
      <c r="B20" s="49" t="str">
        <f>IFERROR(__xludf.DUMMYFUNCTION("""COMPUTED_VALUE"""),"Andres Ahlgren")</f>
        <v>Andres Ahlgren</v>
      </c>
      <c r="C20" s="5">
        <v>10.0</v>
      </c>
      <c r="D20" s="3">
        <f>countif('OTPI Scores'!C:C,B20)</f>
        <v>15</v>
      </c>
      <c r="E20" s="3">
        <f t="shared" si="1"/>
        <v>150</v>
      </c>
      <c r="F20" s="3">
        <f>sumif('OTPI Scores'!C:C,B20,'OTPI Scores'!T:T)</f>
        <v>135</v>
      </c>
      <c r="G20" s="3" t="str">
        <f>SUMIF('Match Subs Filter'!E:E,B20,'Match Subs Filter'!F:F)+sumif('Bank Transfers'!B:B,B20,'Bank Transfers'!C:C)</f>
        <v>#N/A</v>
      </c>
      <c r="H20" s="50" t="str">
        <f t="shared" si="2"/>
        <v>#N/A</v>
      </c>
      <c r="I20" s="51">
        <f t="array" ref="I20">IF(IFERROR(lookup(1,1/SEARCH(B20,'OTPI Scores'!C:C),'OTPI Scores'!E:E),0)="Vets",7,IFERROR(lookup(1,1/SEARCH(B20,'OTPI Scores'!C:C),'OTPI Scores'!E:E),0))</f>
        <v>5</v>
      </c>
      <c r="J20" s="37"/>
      <c r="K20" s="37"/>
      <c r="L20" s="37"/>
      <c r="M20" s="37"/>
      <c r="N20" s="37"/>
      <c r="O20" s="37"/>
      <c r="P20" s="37"/>
      <c r="Q20" s="37"/>
      <c r="R20" s="37"/>
      <c r="S20" s="37"/>
      <c r="T20" s="37"/>
      <c r="U20" s="37"/>
      <c r="V20" s="37"/>
      <c r="W20" s="37"/>
      <c r="X20" s="37"/>
    </row>
    <row r="21">
      <c r="A21" s="37"/>
      <c r="B21" s="49" t="str">
        <f>IFERROR(__xludf.DUMMYFUNCTION("""COMPUTED_VALUE"""),"Andrew Barclay")</f>
        <v>Andrew Barclay</v>
      </c>
      <c r="C21" s="5">
        <v>10.0</v>
      </c>
      <c r="D21" s="3">
        <f>countif('OTPI Scores'!C:C,B21)</f>
        <v>10</v>
      </c>
      <c r="E21" s="3">
        <f t="shared" si="1"/>
        <v>100</v>
      </c>
      <c r="F21" s="3">
        <f>sumif('OTPI Scores'!C:C,B21,'OTPI Scores'!T:T)</f>
        <v>100</v>
      </c>
      <c r="G21" s="3" t="str">
        <f>SUMIF('Match Subs Filter'!E:E,B21,'Match Subs Filter'!F:F)+sumif('Bank Transfers'!B:B,B21,'Bank Transfers'!C:C)</f>
        <v>#N/A</v>
      </c>
      <c r="H21" s="50" t="str">
        <f t="shared" si="2"/>
        <v>#N/A</v>
      </c>
      <c r="I21" s="51">
        <f t="array" ref="I21">IF(IFERROR(lookup(1,1/SEARCH(B21,'OTPI Scores'!C:C),'OTPI Scores'!E:E),0)="Vets",7,IFERROR(lookup(1,1/SEARCH(B21,'OTPI Scores'!C:C),'OTPI Scores'!E:E),0))</f>
        <v>7</v>
      </c>
      <c r="J21" s="37"/>
      <c r="K21" s="37"/>
      <c r="L21" s="37"/>
      <c r="M21" s="37"/>
      <c r="N21" s="37"/>
      <c r="O21" s="37"/>
      <c r="P21" s="37"/>
      <c r="Q21" s="37"/>
      <c r="R21" s="37"/>
      <c r="S21" s="37"/>
      <c r="T21" s="37"/>
      <c r="U21" s="37"/>
      <c r="V21" s="37"/>
      <c r="W21" s="37"/>
      <c r="X21" s="37"/>
    </row>
    <row r="22">
      <c r="A22" s="37"/>
      <c r="B22" s="49" t="str">
        <f>IFERROR(__xludf.DUMMYFUNCTION("""COMPUTED_VALUE"""),"Anish Philips")</f>
        <v>Anish Philips</v>
      </c>
      <c r="C22" s="5">
        <v>10.0</v>
      </c>
      <c r="D22" s="3">
        <f>countif('OTPI Scores'!C:C,B22)</f>
        <v>18</v>
      </c>
      <c r="E22" s="3">
        <f t="shared" si="1"/>
        <v>180</v>
      </c>
      <c r="F22" s="3">
        <f>sumif('OTPI Scores'!C:C,B22,'OTPI Scores'!T:T)</f>
        <v>157</v>
      </c>
      <c r="G22" s="3" t="str">
        <f>SUMIF('Match Subs Filter'!E:E,B22,'Match Subs Filter'!F:F)+sumif('Bank Transfers'!B:B,B22,'Bank Transfers'!C:C)</f>
        <v>#N/A</v>
      </c>
      <c r="H22" s="50" t="str">
        <f t="shared" si="2"/>
        <v>#N/A</v>
      </c>
      <c r="I22" s="51">
        <f t="array" ref="I22">IF(IFERROR(lookup(1,1/SEARCH(B22,'OTPI Scores'!C:C),'OTPI Scores'!E:E),0)="Vets",7,IFERROR(lookup(1,1/SEARCH(B22,'OTPI Scores'!C:C),'OTPI Scores'!E:E),0))</f>
        <v>4</v>
      </c>
      <c r="J22" s="37"/>
      <c r="K22" s="37"/>
      <c r="L22" s="37"/>
      <c r="M22" s="37"/>
      <c r="N22" s="37"/>
      <c r="O22" s="37"/>
      <c r="P22" s="37"/>
      <c r="Q22" s="37"/>
      <c r="R22" s="37"/>
      <c r="S22" s="37"/>
      <c r="T22" s="37"/>
      <c r="U22" s="37"/>
      <c r="V22" s="37"/>
      <c r="W22" s="37"/>
      <c r="X22" s="37"/>
    </row>
    <row r="23">
      <c r="A23" s="37"/>
      <c r="B23" s="49" t="str">
        <f>IFERROR(__xludf.DUMMYFUNCTION("""COMPUTED_VALUE"""),"Anitej Rao")</f>
        <v>Anitej Rao</v>
      </c>
      <c r="C23" s="5">
        <v>10.0</v>
      </c>
      <c r="D23" s="3">
        <f>countif('OTPI Scores'!C:C,B23)</f>
        <v>1</v>
      </c>
      <c r="E23" s="3">
        <f t="shared" si="1"/>
        <v>10</v>
      </c>
      <c r="F23" s="3">
        <f>sumif('OTPI Scores'!C:C,B23,'OTPI Scores'!T:T)</f>
        <v>10</v>
      </c>
      <c r="G23" s="3" t="str">
        <f>SUMIF('Match Subs Filter'!E:E,B23,'Match Subs Filter'!F:F)+sumif('Bank Transfers'!B:B,B23,'Bank Transfers'!C:C)</f>
        <v>#N/A</v>
      </c>
      <c r="H23" s="50" t="str">
        <f t="shared" si="2"/>
        <v>#N/A</v>
      </c>
      <c r="I23" s="51">
        <f t="array" ref="I23">IF(IFERROR(lookup(1,1/SEARCH(B23,'OTPI Scores'!C:C),'OTPI Scores'!E:E),0)="Vets",7,IFERROR(lookup(1,1/SEARCH(B23,'OTPI Scores'!C:C),'OTPI Scores'!E:E),0))</f>
        <v>1</v>
      </c>
      <c r="J23" s="37"/>
      <c r="K23" s="37"/>
      <c r="L23" s="37"/>
      <c r="M23" s="37"/>
      <c r="N23" s="37"/>
      <c r="O23" s="37"/>
      <c r="P23" s="37"/>
      <c r="Q23" s="37"/>
      <c r="R23" s="37"/>
      <c r="S23" s="37"/>
      <c r="T23" s="37"/>
      <c r="U23" s="37"/>
      <c r="V23" s="37"/>
      <c r="W23" s="37"/>
      <c r="X23" s="37"/>
    </row>
    <row r="24">
      <c r="A24" s="37"/>
      <c r="B24" s="49" t="str">
        <f>IFERROR(__xludf.DUMMYFUNCTION("""COMPUTED_VALUE"""),"Ant Boisson")</f>
        <v>Ant Boisson</v>
      </c>
      <c r="C24" s="5">
        <v>10.0</v>
      </c>
      <c r="D24" s="3">
        <f>countif('OTPI Scores'!C:C,B24)</f>
        <v>0</v>
      </c>
      <c r="E24" s="3">
        <f t="shared" si="1"/>
        <v>0</v>
      </c>
      <c r="F24" s="3">
        <f>sumif('OTPI Scores'!C:C,B24,'OTPI Scores'!T:T)</f>
        <v>0</v>
      </c>
      <c r="G24" s="3" t="str">
        <f>SUMIF('Match Subs Filter'!E:E,B24,'Match Subs Filter'!F:F)+sumif('Bank Transfers'!B:B,B24,'Bank Transfers'!C:C)</f>
        <v>#N/A</v>
      </c>
      <c r="H24" s="50" t="str">
        <f t="shared" si="2"/>
        <v>#N/A</v>
      </c>
      <c r="I24" s="51">
        <f t="array" ref="I24">IF(IFERROR(lookup(1,1/SEARCH(B24,'OTPI Scores'!C:C),'OTPI Scores'!E:E),0)="Vets",7,IFERROR(lookup(1,1/SEARCH(B24,'OTPI Scores'!C:C),'OTPI Scores'!E:E),0))</f>
        <v>0</v>
      </c>
      <c r="J24" s="37"/>
      <c r="K24" s="37"/>
      <c r="L24" s="37"/>
      <c r="M24" s="37"/>
      <c r="N24" s="37"/>
      <c r="O24" s="37"/>
      <c r="P24" s="37"/>
      <c r="Q24" s="37"/>
      <c r="R24" s="37"/>
      <c r="S24" s="37"/>
      <c r="T24" s="37"/>
      <c r="U24" s="37"/>
      <c r="V24" s="37"/>
      <c r="W24" s="37"/>
      <c r="X24" s="37"/>
    </row>
    <row r="25">
      <c r="A25" s="37"/>
      <c r="B25" s="49" t="str">
        <f>IFERROR(__xludf.DUMMYFUNCTION("""COMPUTED_VALUE"""),"Anthony Ball")</f>
        <v>Anthony Ball</v>
      </c>
      <c r="C25" s="5">
        <v>10.0</v>
      </c>
      <c r="D25" s="3">
        <f>countif('OTPI Scores'!C:C,B25)</f>
        <v>18</v>
      </c>
      <c r="E25" s="3">
        <f t="shared" si="1"/>
        <v>180</v>
      </c>
      <c r="F25" s="3">
        <f>sumif('OTPI Scores'!C:C,B25,'OTPI Scores'!T:T)</f>
        <v>175</v>
      </c>
      <c r="G25" s="3" t="str">
        <f>SUMIF('Match Subs Filter'!E:E,B25,'Match Subs Filter'!F:F)+sumif('Bank Transfers'!B:B,B25,'Bank Transfers'!C:C)</f>
        <v>#N/A</v>
      </c>
      <c r="H25" s="50" t="str">
        <f t="shared" si="2"/>
        <v>#N/A</v>
      </c>
      <c r="I25" s="51">
        <f t="array" ref="I25">IF(IFERROR(lookup(1,1/SEARCH(B25,'OTPI Scores'!C:C),'OTPI Scores'!E:E),0)="Vets",7,IFERROR(lookup(1,1/SEARCH(B25,'OTPI Scores'!C:C),'OTPI Scores'!E:E),0))</f>
        <v>5</v>
      </c>
      <c r="J25" s="37"/>
      <c r="K25" s="37"/>
      <c r="L25" s="37"/>
      <c r="M25" s="37"/>
      <c r="N25" s="37"/>
      <c r="O25" s="37"/>
      <c r="P25" s="37"/>
      <c r="Q25" s="37"/>
      <c r="R25" s="37"/>
      <c r="S25" s="37"/>
      <c r="T25" s="37"/>
      <c r="U25" s="37"/>
      <c r="V25" s="37"/>
      <c r="W25" s="37"/>
      <c r="X25" s="37"/>
    </row>
    <row r="26">
      <c r="A26" s="37"/>
      <c r="B26" s="49" t="str">
        <f>IFERROR(__xludf.DUMMYFUNCTION("""COMPUTED_VALUE"""),"Anthony Louis")</f>
        <v>Anthony Louis</v>
      </c>
      <c r="C26" s="5">
        <v>10.0</v>
      </c>
      <c r="D26" s="3">
        <f>countif('OTPI Scores'!C:C,B26)</f>
        <v>0</v>
      </c>
      <c r="E26" s="3">
        <f t="shared" si="1"/>
        <v>0</v>
      </c>
      <c r="F26" s="3">
        <f>sumif('OTPI Scores'!C:C,B26,'OTPI Scores'!T:T)</f>
        <v>0</v>
      </c>
      <c r="G26" s="3" t="str">
        <f>SUMIF('Match Subs Filter'!E:E,B26,'Match Subs Filter'!F:F)+sumif('Bank Transfers'!B:B,B26,'Bank Transfers'!C:C)</f>
        <v>#N/A</v>
      </c>
      <c r="H26" s="50" t="str">
        <f t="shared" si="2"/>
        <v>#N/A</v>
      </c>
      <c r="I26" s="51">
        <f t="array" ref="I26">IF(IFERROR(lookup(1,1/SEARCH(B26,'OTPI Scores'!C:C),'OTPI Scores'!E:E),0)="Vets",7,IFERROR(lookup(1,1/SEARCH(B26,'OTPI Scores'!C:C),'OTPI Scores'!E:E),0))</f>
        <v>0</v>
      </c>
      <c r="J26" s="37"/>
      <c r="K26" s="37"/>
      <c r="L26" s="37"/>
      <c r="M26" s="37"/>
      <c r="N26" s="37"/>
      <c r="O26" s="37"/>
      <c r="P26" s="37"/>
      <c r="Q26" s="37"/>
      <c r="R26" s="37"/>
      <c r="S26" s="37"/>
      <c r="T26" s="37"/>
      <c r="U26" s="37"/>
      <c r="V26" s="37"/>
      <c r="W26" s="37"/>
      <c r="X26" s="37"/>
    </row>
    <row r="27">
      <c r="A27" s="37"/>
      <c r="B27" s="49" t="str">
        <f>IFERROR(__xludf.DUMMYFUNCTION("""COMPUTED_VALUE"""),"Ash Mayers")</f>
        <v>Ash Mayers</v>
      </c>
      <c r="C27" s="5">
        <v>10.0</v>
      </c>
      <c r="D27" s="3">
        <f>countif('OTPI Scores'!C:C,B27)</f>
        <v>6</v>
      </c>
      <c r="E27" s="3">
        <f t="shared" si="1"/>
        <v>60</v>
      </c>
      <c r="F27" s="3">
        <f>sumif('OTPI Scores'!C:C,B27,'OTPI Scores'!T:T)</f>
        <v>50</v>
      </c>
      <c r="G27" s="3" t="str">
        <f>SUMIF('Match Subs Filter'!E:E,B27,'Match Subs Filter'!F:F)+sumif('Bank Transfers'!B:B,B27,'Bank Transfers'!C:C)</f>
        <v>#N/A</v>
      </c>
      <c r="H27" s="50" t="str">
        <f t="shared" si="2"/>
        <v>#N/A</v>
      </c>
      <c r="I27" s="51">
        <f t="array" ref="I27">IF(IFERROR(lookup(1,1/SEARCH(B27,'OTPI Scores'!C:C),'OTPI Scores'!E:E),0)="Vets",7,IFERROR(lookup(1,1/SEARCH(B27,'OTPI Scores'!C:C),'OTPI Scores'!E:E),0))</f>
        <v>7</v>
      </c>
      <c r="J27" s="37"/>
      <c r="K27" s="37"/>
      <c r="L27" s="37"/>
      <c r="M27" s="37"/>
      <c r="N27" s="37"/>
      <c r="O27" s="37"/>
      <c r="P27" s="37"/>
      <c r="Q27" s="37"/>
      <c r="R27" s="37"/>
      <c r="S27" s="37"/>
      <c r="T27" s="37"/>
      <c r="U27" s="37"/>
      <c r="V27" s="37"/>
      <c r="W27" s="37"/>
      <c r="X27" s="37"/>
    </row>
    <row r="28">
      <c r="A28" s="37"/>
      <c r="B28" s="49" t="str">
        <f>IFERROR(__xludf.DUMMYFUNCTION("""COMPUTED_VALUE"""),"Athi Dharma")</f>
        <v>Athi Dharma</v>
      </c>
      <c r="C28" s="5">
        <v>10.0</v>
      </c>
      <c r="D28" s="3">
        <f>countif('OTPI Scores'!C:C,B28)</f>
        <v>0</v>
      </c>
      <c r="E28" s="3">
        <f t="shared" si="1"/>
        <v>0</v>
      </c>
      <c r="F28" s="3">
        <f>sumif('OTPI Scores'!C:C,B28,'OTPI Scores'!T:T)</f>
        <v>0</v>
      </c>
      <c r="G28" s="3" t="str">
        <f>SUMIF('Match Subs Filter'!E:E,B28,'Match Subs Filter'!F:F)+sumif('Bank Transfers'!B:B,B28,'Bank Transfers'!C:C)</f>
        <v>#N/A</v>
      </c>
      <c r="H28" s="50" t="str">
        <f t="shared" si="2"/>
        <v>#N/A</v>
      </c>
      <c r="I28" s="51">
        <f t="array" ref="I28">IF(IFERROR(lookup(1,1/SEARCH(B28,'OTPI Scores'!C:C),'OTPI Scores'!E:E),0)="Vets",7,IFERROR(lookup(1,1/SEARCH(B28,'OTPI Scores'!C:C),'OTPI Scores'!E:E),0))</f>
        <v>0</v>
      </c>
      <c r="J28" s="37"/>
      <c r="K28" s="37"/>
      <c r="L28" s="37"/>
      <c r="M28" s="37"/>
      <c r="N28" s="37"/>
      <c r="O28" s="37"/>
      <c r="P28" s="37"/>
      <c r="Q28" s="37"/>
      <c r="R28" s="37"/>
      <c r="S28" s="37"/>
      <c r="T28" s="37"/>
      <c r="U28" s="37"/>
      <c r="V28" s="37"/>
      <c r="W28" s="37"/>
      <c r="X28" s="37"/>
    </row>
    <row r="29">
      <c r="A29" s="37"/>
      <c r="B29" s="49" t="str">
        <f>IFERROR(__xludf.DUMMYFUNCTION("""COMPUTED_VALUE"""),"Ben Dockerill")</f>
        <v>Ben Dockerill</v>
      </c>
      <c r="C29" s="5">
        <v>10.0</v>
      </c>
      <c r="D29" s="3">
        <f>countif('OTPI Scores'!C:C,B29)</f>
        <v>17</v>
      </c>
      <c r="E29" s="3">
        <f t="shared" si="1"/>
        <v>170</v>
      </c>
      <c r="F29" s="3">
        <f>sumif('OTPI Scores'!C:C,B29,'OTPI Scores'!T:T)</f>
        <v>145</v>
      </c>
      <c r="G29" s="3" t="str">
        <f>SUMIF('Match Subs Filter'!E:E,B29,'Match Subs Filter'!F:F)+sumif('Bank Transfers'!B:B,B29,'Bank Transfers'!C:C)</f>
        <v>#N/A</v>
      </c>
      <c r="H29" s="50" t="str">
        <f t="shared" si="2"/>
        <v>#N/A</v>
      </c>
      <c r="I29" s="51">
        <f t="array" ref="I29">IF(IFERROR(lookup(1,1/SEARCH(B29,'OTPI Scores'!C:C),'OTPI Scores'!E:E),0)="Vets",7,IFERROR(lookup(1,1/SEARCH(B29,'OTPI Scores'!C:C),'OTPI Scores'!E:E),0))</f>
        <v>1</v>
      </c>
      <c r="J29" s="37"/>
      <c r="K29" s="37"/>
      <c r="L29" s="37"/>
      <c r="M29" s="37"/>
      <c r="N29" s="37"/>
      <c r="O29" s="37"/>
      <c r="P29" s="37"/>
      <c r="Q29" s="37"/>
      <c r="R29" s="37"/>
      <c r="S29" s="37"/>
      <c r="T29" s="37"/>
      <c r="U29" s="37"/>
      <c r="V29" s="37"/>
      <c r="W29" s="37"/>
      <c r="X29" s="37"/>
    </row>
    <row r="30">
      <c r="A30" s="37"/>
      <c r="B30" s="49" t="str">
        <f>IFERROR(__xludf.DUMMYFUNCTION("""COMPUTED_VALUE"""),"Ben Himpe")</f>
        <v>Ben Himpe</v>
      </c>
      <c r="C30" s="5">
        <v>10.0</v>
      </c>
      <c r="D30" s="3">
        <f>countif('OTPI Scores'!C:C,B30)</f>
        <v>4</v>
      </c>
      <c r="E30" s="3">
        <f t="shared" si="1"/>
        <v>40</v>
      </c>
      <c r="F30" s="3">
        <f>sumif('OTPI Scores'!C:C,B30,'OTPI Scores'!T:T)</f>
        <v>40</v>
      </c>
      <c r="G30" s="3" t="str">
        <f>SUMIF('Match Subs Filter'!E:E,B30,'Match Subs Filter'!F:F)+sumif('Bank Transfers'!B:B,B30,'Bank Transfers'!C:C)</f>
        <v>#N/A</v>
      </c>
      <c r="H30" s="50" t="str">
        <f t="shared" si="2"/>
        <v>#N/A</v>
      </c>
      <c r="I30" s="51">
        <f t="array" ref="I30">IF(IFERROR(lookup(1,1/SEARCH(B30,'OTPI Scores'!C:C),'OTPI Scores'!E:E),0)="Vets",7,IFERROR(lookup(1,1/SEARCH(B30,'OTPI Scores'!C:C),'OTPI Scores'!E:E),0))</f>
        <v>3</v>
      </c>
      <c r="J30" s="37"/>
      <c r="K30" s="37"/>
      <c r="L30" s="37"/>
      <c r="M30" s="37"/>
      <c r="N30" s="37"/>
      <c r="O30" s="37"/>
      <c r="P30" s="37"/>
      <c r="Q30" s="37"/>
      <c r="R30" s="37"/>
      <c r="S30" s="37"/>
      <c r="T30" s="37"/>
      <c r="U30" s="37"/>
      <c r="V30" s="37"/>
      <c r="W30" s="37"/>
      <c r="X30" s="37"/>
    </row>
    <row r="31">
      <c r="A31" s="37"/>
      <c r="B31" s="49" t="str">
        <f>IFERROR(__xludf.DUMMYFUNCTION("""COMPUTED_VALUE"""),"Ben Major")</f>
        <v>Ben Major</v>
      </c>
      <c r="C31" s="5">
        <v>10.0</v>
      </c>
      <c r="D31" s="3">
        <f>countif('OTPI Scores'!C:C,B31)</f>
        <v>0</v>
      </c>
      <c r="E31" s="3">
        <f t="shared" si="1"/>
        <v>0</v>
      </c>
      <c r="F31" s="3">
        <f>sumif('OTPI Scores'!C:C,B31,'OTPI Scores'!T:T)</f>
        <v>0</v>
      </c>
      <c r="G31" s="3" t="str">
        <f>SUMIF('Match Subs Filter'!E:E,B31,'Match Subs Filter'!F:F)+sumif('Bank Transfers'!B:B,B31,'Bank Transfers'!C:C)</f>
        <v>#N/A</v>
      </c>
      <c r="H31" s="50" t="str">
        <f t="shared" si="2"/>
        <v>#N/A</v>
      </c>
      <c r="I31" s="51">
        <f t="array" ref="I31">IF(IFERROR(lookup(1,1/SEARCH(B31,'OTPI Scores'!C:C),'OTPI Scores'!E:E),0)="Vets",7,IFERROR(lookup(1,1/SEARCH(B31,'OTPI Scores'!C:C),'OTPI Scores'!E:E),0))</f>
        <v>0</v>
      </c>
      <c r="J31" s="37"/>
      <c r="K31" s="37"/>
      <c r="L31" s="37"/>
      <c r="M31" s="37"/>
      <c r="N31" s="37"/>
      <c r="O31" s="37"/>
      <c r="P31" s="37"/>
      <c r="Q31" s="37"/>
      <c r="R31" s="37"/>
      <c r="S31" s="37"/>
      <c r="T31" s="37"/>
      <c r="U31" s="37"/>
      <c r="V31" s="37"/>
      <c r="W31" s="37"/>
      <c r="X31" s="37"/>
    </row>
    <row r="32">
      <c r="A32" s="37"/>
      <c r="B32" s="49" t="str">
        <f>IFERROR(__xludf.DUMMYFUNCTION("""COMPUTED_VALUE"""),"Ben Parnall")</f>
        <v>Ben Parnall</v>
      </c>
      <c r="C32" s="5">
        <v>10.0</v>
      </c>
      <c r="D32" s="3">
        <f>countif('OTPI Scores'!C:C,B32)</f>
        <v>0</v>
      </c>
      <c r="E32" s="3">
        <f t="shared" si="1"/>
        <v>0</v>
      </c>
      <c r="F32" s="3">
        <f>sumif('OTPI Scores'!C:C,B32,'OTPI Scores'!T:T)</f>
        <v>0</v>
      </c>
      <c r="G32" s="3" t="str">
        <f>SUMIF('Match Subs Filter'!E:E,B32,'Match Subs Filter'!F:F)+sumif('Bank Transfers'!B:B,B32,'Bank Transfers'!C:C)</f>
        <v>#N/A</v>
      </c>
      <c r="H32" s="50" t="str">
        <f t="shared" si="2"/>
        <v>#N/A</v>
      </c>
      <c r="I32" s="51">
        <f t="array" ref="I32">IF(IFERROR(lookup(1,1/SEARCH(B32,'OTPI Scores'!C:C),'OTPI Scores'!E:E),0)="Vets",7,IFERROR(lookup(1,1/SEARCH(B32,'OTPI Scores'!C:C),'OTPI Scores'!E:E),0))</f>
        <v>0</v>
      </c>
      <c r="J32" s="37"/>
      <c r="K32" s="37"/>
      <c r="L32" s="37"/>
      <c r="M32" s="37"/>
      <c r="N32" s="37"/>
      <c r="O32" s="37"/>
      <c r="P32" s="37"/>
      <c r="Q32" s="37"/>
      <c r="R32" s="37"/>
      <c r="S32" s="37"/>
      <c r="T32" s="37"/>
      <c r="U32" s="37"/>
      <c r="V32" s="37"/>
      <c r="W32" s="37"/>
      <c r="X32" s="37"/>
    </row>
    <row r="33">
      <c r="A33" s="37"/>
      <c r="B33" s="49" t="str">
        <f>IFERROR(__xludf.DUMMYFUNCTION("""COMPUTED_VALUE"""),"Ben Roberts")</f>
        <v>Ben Roberts</v>
      </c>
      <c r="C33" s="5">
        <v>10.0</v>
      </c>
      <c r="D33" s="3">
        <f>countif('OTPI Scores'!C:C,B33)</f>
        <v>2</v>
      </c>
      <c r="E33" s="3">
        <f t="shared" si="1"/>
        <v>20</v>
      </c>
      <c r="F33" s="3">
        <f>sumif('OTPI Scores'!C:C,B33,'OTPI Scores'!T:T)</f>
        <v>20</v>
      </c>
      <c r="G33" s="3" t="str">
        <f>SUMIF('Match Subs Filter'!E:E,B33,'Match Subs Filter'!F:F)+sumif('Bank Transfers'!B:B,B33,'Bank Transfers'!C:C)</f>
        <v>#N/A</v>
      </c>
      <c r="H33" s="50" t="str">
        <f t="shared" si="2"/>
        <v>#N/A</v>
      </c>
      <c r="I33" s="51">
        <f t="array" ref="I33">IF(IFERROR(lookup(1,1/SEARCH(B33,'OTPI Scores'!C:C),'OTPI Scores'!E:E),0)="Vets",7,IFERROR(lookup(1,1/SEARCH(B33,'OTPI Scores'!C:C),'OTPI Scores'!E:E),0))</f>
        <v>3</v>
      </c>
      <c r="J33" s="37"/>
      <c r="K33" s="37"/>
      <c r="L33" s="37"/>
      <c r="M33" s="37"/>
      <c r="N33" s="37"/>
      <c r="O33" s="37"/>
      <c r="P33" s="37"/>
      <c r="Q33" s="37"/>
      <c r="R33" s="37"/>
      <c r="S33" s="37"/>
      <c r="T33" s="37"/>
      <c r="U33" s="37"/>
      <c r="V33" s="37"/>
      <c r="W33" s="37"/>
      <c r="X33" s="37"/>
    </row>
    <row r="34">
      <c r="A34" s="37"/>
      <c r="B34" s="49" t="str">
        <f>IFERROR(__xludf.DUMMYFUNCTION("""COMPUTED_VALUE"""),"Benabid Hocine")</f>
        <v>Benabid Hocine</v>
      </c>
      <c r="C34" s="5">
        <v>10.0</v>
      </c>
      <c r="D34" s="3">
        <f>countif('OTPI Scores'!C:C,B34)</f>
        <v>0</v>
      </c>
      <c r="E34" s="3">
        <f t="shared" si="1"/>
        <v>0</v>
      </c>
      <c r="F34" s="3">
        <f>sumif('OTPI Scores'!C:C,B34,'OTPI Scores'!T:T)</f>
        <v>0</v>
      </c>
      <c r="G34" s="3" t="str">
        <f>SUMIF('Match Subs Filter'!E:E,B34,'Match Subs Filter'!F:F)+sumif('Bank Transfers'!B:B,B34,'Bank Transfers'!C:C)</f>
        <v>#N/A</v>
      </c>
      <c r="H34" s="50" t="str">
        <f t="shared" si="2"/>
        <v>#N/A</v>
      </c>
      <c r="I34" s="51">
        <f t="array" ref="I34">IF(IFERROR(lookup(1,1/SEARCH(B34,'OTPI Scores'!C:C),'OTPI Scores'!E:E),0)="Vets",7,IFERROR(lookup(1,1/SEARCH(B34,'OTPI Scores'!C:C),'OTPI Scores'!E:E),0))</f>
        <v>0</v>
      </c>
      <c r="J34" s="37"/>
      <c r="K34" s="37"/>
      <c r="L34" s="37"/>
      <c r="M34" s="37"/>
      <c r="N34" s="37"/>
      <c r="O34" s="37"/>
      <c r="P34" s="37"/>
      <c r="Q34" s="37"/>
      <c r="R34" s="37"/>
      <c r="S34" s="37"/>
      <c r="T34" s="37"/>
      <c r="U34" s="37"/>
      <c r="V34" s="37"/>
      <c r="W34" s="37"/>
      <c r="X34" s="37"/>
    </row>
    <row r="35">
      <c r="A35" s="37"/>
      <c r="B35" s="49" t="str">
        <f>IFERROR(__xludf.DUMMYFUNCTION("""COMPUTED_VALUE"""),"Billy King")</f>
        <v>Billy King</v>
      </c>
      <c r="C35" s="5">
        <v>10.0</v>
      </c>
      <c r="D35" s="3">
        <f>countif('OTPI Scores'!C:C,B35)</f>
        <v>8</v>
      </c>
      <c r="E35" s="3">
        <f t="shared" si="1"/>
        <v>80</v>
      </c>
      <c r="F35" s="3">
        <f>sumif('OTPI Scores'!C:C,B35,'OTPI Scores'!T:T)</f>
        <v>75</v>
      </c>
      <c r="G35" s="3" t="str">
        <f>SUMIF('Match Subs Filter'!E:E,B35,'Match Subs Filter'!F:F)+sumif('Bank Transfers'!B:B,B35,'Bank Transfers'!C:C)</f>
        <v>#N/A</v>
      </c>
      <c r="H35" s="50" t="str">
        <f t="shared" si="2"/>
        <v>#N/A</v>
      </c>
      <c r="I35" s="51">
        <f t="array" ref="I35">IF(IFERROR(lookup(1,1/SEARCH(B35,'OTPI Scores'!C:C),'OTPI Scores'!E:E),0)="Vets",7,IFERROR(lookup(1,1/SEARCH(B35,'OTPI Scores'!C:C),'OTPI Scores'!E:E),0))</f>
        <v>4</v>
      </c>
      <c r="J35" s="37"/>
      <c r="K35" s="37"/>
      <c r="L35" s="37"/>
      <c r="M35" s="37"/>
      <c r="N35" s="37"/>
      <c r="O35" s="37"/>
      <c r="P35" s="37"/>
      <c r="Q35" s="37"/>
      <c r="R35" s="37"/>
      <c r="S35" s="37"/>
      <c r="T35" s="37"/>
      <c r="U35" s="37"/>
      <c r="V35" s="37"/>
      <c r="W35" s="37"/>
      <c r="X35" s="37"/>
    </row>
    <row r="36">
      <c r="A36" s="37"/>
      <c r="B36" s="49" t="str">
        <f>IFERROR(__xludf.DUMMYFUNCTION("""COMPUTED_VALUE"""),"Billy Mclean")</f>
        <v>Billy Mclean</v>
      </c>
      <c r="C36" s="5">
        <v>10.0</v>
      </c>
      <c r="D36" s="3">
        <f>countif('OTPI Scores'!C:C,B36)</f>
        <v>19</v>
      </c>
      <c r="E36" s="3">
        <f t="shared" si="1"/>
        <v>190</v>
      </c>
      <c r="F36" s="3">
        <f>sumif('OTPI Scores'!C:C,B36,'OTPI Scores'!T:T)</f>
        <v>126</v>
      </c>
      <c r="G36" s="3" t="str">
        <f>SUMIF('Match Subs Filter'!E:E,B36,'Match Subs Filter'!F:F)+sumif('Bank Transfers'!B:B,B36,'Bank Transfers'!C:C)</f>
        <v>#N/A</v>
      </c>
      <c r="H36" s="50" t="str">
        <f t="shared" si="2"/>
        <v>#N/A</v>
      </c>
      <c r="I36" s="51">
        <f t="array" ref="I36">IF(IFERROR(lookup(1,1/SEARCH(B36,'OTPI Scores'!C:C),'OTPI Scores'!E:E),0)="Vets",7,IFERROR(lookup(1,1/SEARCH(B36,'OTPI Scores'!C:C),'OTPI Scores'!E:E),0))</f>
        <v>1</v>
      </c>
      <c r="J36" s="37"/>
      <c r="K36" s="37"/>
      <c r="L36" s="37"/>
      <c r="M36" s="37"/>
      <c r="N36" s="37"/>
      <c r="O36" s="37"/>
      <c r="P36" s="37"/>
      <c r="Q36" s="37"/>
      <c r="R36" s="37"/>
      <c r="S36" s="37"/>
      <c r="T36" s="37"/>
      <c r="U36" s="37"/>
      <c r="V36" s="37"/>
      <c r="W36" s="37"/>
      <c r="X36" s="37"/>
    </row>
    <row r="37">
      <c r="A37" s="37"/>
      <c r="B37" s="49" t="str">
        <f>IFERROR(__xludf.DUMMYFUNCTION("""COMPUTED_VALUE"""),"Brian Hughes")</f>
        <v>Brian Hughes</v>
      </c>
      <c r="C37" s="5">
        <v>10.0</v>
      </c>
      <c r="D37" s="3">
        <f>countif('OTPI Scores'!C:C,B37)</f>
        <v>0</v>
      </c>
      <c r="E37" s="3">
        <f t="shared" si="1"/>
        <v>0</v>
      </c>
      <c r="F37" s="3">
        <f>sumif('OTPI Scores'!C:C,B37,'OTPI Scores'!T:T)</f>
        <v>0</v>
      </c>
      <c r="G37" s="3" t="str">
        <f>SUMIF('Match Subs Filter'!E:E,B37,'Match Subs Filter'!F:F)+sumif('Bank Transfers'!B:B,B37,'Bank Transfers'!C:C)</f>
        <v>#N/A</v>
      </c>
      <c r="H37" s="50" t="str">
        <f t="shared" si="2"/>
        <v>#N/A</v>
      </c>
      <c r="I37" s="51">
        <f t="array" ref="I37">IF(IFERROR(lookup(1,1/SEARCH(B37,'OTPI Scores'!C:C),'OTPI Scores'!E:E),0)="Vets",7,IFERROR(lookup(1,1/SEARCH(B37,'OTPI Scores'!C:C),'OTPI Scores'!E:E),0))</f>
        <v>0</v>
      </c>
      <c r="J37" s="37"/>
      <c r="K37" s="37"/>
      <c r="L37" s="37"/>
      <c r="M37" s="37"/>
      <c r="N37" s="37"/>
      <c r="O37" s="37"/>
      <c r="P37" s="37"/>
      <c r="Q37" s="37"/>
      <c r="R37" s="37"/>
      <c r="S37" s="37"/>
      <c r="T37" s="37"/>
      <c r="U37" s="37"/>
      <c r="V37" s="37"/>
      <c r="W37" s="37"/>
      <c r="X37" s="37"/>
    </row>
    <row r="38">
      <c r="A38" s="37"/>
      <c r="B38" s="49" t="str">
        <f>IFERROR(__xludf.DUMMYFUNCTION("""COMPUTED_VALUE"""),"Calum Bennett")</f>
        <v>Calum Bennett</v>
      </c>
      <c r="C38" s="5">
        <v>10.0</v>
      </c>
      <c r="D38" s="3">
        <f>countif('OTPI Scores'!C:C,B38)</f>
        <v>16</v>
      </c>
      <c r="E38" s="3">
        <f t="shared" si="1"/>
        <v>160</v>
      </c>
      <c r="F38" s="3">
        <f>sumif('OTPI Scores'!C:C,B38,'OTPI Scores'!T:T)</f>
        <v>142</v>
      </c>
      <c r="G38" s="3" t="str">
        <f>SUMIF('Match Subs Filter'!E:E,B38,'Match Subs Filter'!F:F)+sumif('Bank Transfers'!B:B,B38,'Bank Transfers'!C:C)</f>
        <v>#N/A</v>
      </c>
      <c r="H38" s="50" t="str">
        <f t="shared" si="2"/>
        <v>#N/A</v>
      </c>
      <c r="I38" s="51">
        <f t="array" ref="I38">IF(IFERROR(lookup(1,1/SEARCH(B38,'OTPI Scores'!C:C),'OTPI Scores'!E:E),0)="Vets",7,IFERROR(lookup(1,1/SEARCH(B38,'OTPI Scores'!C:C),'OTPI Scores'!E:E),0))</f>
        <v>5</v>
      </c>
      <c r="J38" s="37"/>
      <c r="K38" s="37"/>
      <c r="L38" s="37"/>
      <c r="M38" s="37"/>
      <c r="N38" s="37"/>
      <c r="O38" s="37"/>
      <c r="P38" s="37"/>
      <c r="Q38" s="37"/>
      <c r="R38" s="37"/>
      <c r="S38" s="37"/>
      <c r="T38" s="37"/>
      <c r="U38" s="37"/>
      <c r="V38" s="37"/>
      <c r="W38" s="37"/>
      <c r="X38" s="37"/>
    </row>
    <row r="39">
      <c r="A39" s="37"/>
      <c r="B39" s="49" t="str">
        <f>IFERROR(__xludf.DUMMYFUNCTION("""COMPUTED_VALUE"""),"Calum Edwards")</f>
        <v>Calum Edwards</v>
      </c>
      <c r="C39" s="5">
        <v>10.0</v>
      </c>
      <c r="D39" s="3">
        <f>countif('OTPI Scores'!C:C,B39)</f>
        <v>11</v>
      </c>
      <c r="E39" s="3">
        <f t="shared" si="1"/>
        <v>110</v>
      </c>
      <c r="F39" s="3">
        <f>sumif('OTPI Scores'!C:C,B39,'OTPI Scores'!T:T)</f>
        <v>100</v>
      </c>
      <c r="G39" s="3" t="str">
        <f>SUMIF('Match Subs Filter'!E:E,B39,'Match Subs Filter'!F:F)+sumif('Bank Transfers'!B:B,B39,'Bank Transfers'!C:C)</f>
        <v>#N/A</v>
      </c>
      <c r="H39" s="50" t="str">
        <f t="shared" si="2"/>
        <v>#N/A</v>
      </c>
      <c r="I39" s="51">
        <f t="array" ref="I39">IF(IFERROR(lookup(1,1/SEARCH(B39,'OTPI Scores'!C:C),'OTPI Scores'!E:E),0)="Vets",7,IFERROR(lookup(1,1/SEARCH(B39,'OTPI Scores'!C:C),'OTPI Scores'!E:E),0))</f>
        <v>6</v>
      </c>
      <c r="J39" s="37"/>
      <c r="K39" s="37"/>
      <c r="L39" s="37"/>
      <c r="M39" s="37"/>
      <c r="N39" s="37"/>
      <c r="O39" s="37"/>
      <c r="P39" s="37"/>
      <c r="Q39" s="37"/>
      <c r="R39" s="37"/>
      <c r="S39" s="37"/>
      <c r="T39" s="37"/>
      <c r="U39" s="37"/>
      <c r="V39" s="37"/>
      <c r="W39" s="37"/>
      <c r="X39" s="37"/>
    </row>
    <row r="40">
      <c r="A40" s="37"/>
      <c r="B40" s="49" t="str">
        <f>IFERROR(__xludf.DUMMYFUNCTION("""COMPUTED_VALUE"""),"Calum Egan")</f>
        <v>Calum Egan</v>
      </c>
      <c r="C40" s="5">
        <v>10.0</v>
      </c>
      <c r="D40" s="3">
        <f>countif('OTPI Scores'!C:C,B40)</f>
        <v>0</v>
      </c>
      <c r="E40" s="3">
        <f t="shared" si="1"/>
        <v>0</v>
      </c>
      <c r="F40" s="3">
        <f>sumif('OTPI Scores'!C:C,B40,'OTPI Scores'!T:T)</f>
        <v>0</v>
      </c>
      <c r="G40" s="3" t="str">
        <f>SUMIF('Match Subs Filter'!E:E,B40,'Match Subs Filter'!F:F)+sumif('Bank Transfers'!B:B,B40,'Bank Transfers'!C:C)</f>
        <v>#N/A</v>
      </c>
      <c r="H40" s="50" t="str">
        <f t="shared" si="2"/>
        <v>#N/A</v>
      </c>
      <c r="I40" s="51">
        <f t="array" ref="I40">IF(IFERROR(lookup(1,1/SEARCH(B40,'OTPI Scores'!C:C),'OTPI Scores'!E:E),0)="Vets",7,IFERROR(lookup(1,1/SEARCH(B40,'OTPI Scores'!C:C),'OTPI Scores'!E:E),0))</f>
        <v>0</v>
      </c>
      <c r="J40" s="37"/>
      <c r="K40" s="37"/>
      <c r="L40" s="37"/>
      <c r="M40" s="37"/>
      <c r="N40" s="37"/>
      <c r="O40" s="37"/>
      <c r="P40" s="37"/>
      <c r="Q40" s="37"/>
      <c r="R40" s="37"/>
      <c r="S40" s="37"/>
      <c r="T40" s="37"/>
      <c r="U40" s="37"/>
      <c r="V40" s="37"/>
      <c r="W40" s="37"/>
      <c r="X40" s="37"/>
    </row>
    <row r="41">
      <c r="A41" s="37"/>
      <c r="B41" s="49" t="str">
        <f>IFERROR(__xludf.DUMMYFUNCTION("""COMPUTED_VALUE"""),"Cameron Divine")</f>
        <v>Cameron Divine</v>
      </c>
      <c r="C41" s="5">
        <v>10.0</v>
      </c>
      <c r="D41" s="3">
        <f>countif('OTPI Scores'!C:C,B41)</f>
        <v>1</v>
      </c>
      <c r="E41" s="3">
        <f t="shared" si="1"/>
        <v>10</v>
      </c>
      <c r="F41" s="3">
        <f>sumif('OTPI Scores'!C:C,B41,'OTPI Scores'!T:T)</f>
        <v>0</v>
      </c>
      <c r="G41" s="3" t="str">
        <f>SUMIF('Match Subs Filter'!E:E,B41,'Match Subs Filter'!F:F)+sumif('Bank Transfers'!B:B,B41,'Bank Transfers'!C:C)</f>
        <v>#N/A</v>
      </c>
      <c r="H41" s="50" t="str">
        <f t="shared" si="2"/>
        <v>#N/A</v>
      </c>
      <c r="I41" s="51">
        <f t="array" ref="I41">IF(IFERROR(lookup(1,1/SEARCH(B41,'OTPI Scores'!C:C),'OTPI Scores'!E:E),0)="Vets",7,IFERROR(lookup(1,1/SEARCH(B41,'OTPI Scores'!C:C),'OTPI Scores'!E:E),0))</f>
        <v>5</v>
      </c>
      <c r="J41" s="37"/>
      <c r="K41" s="37"/>
      <c r="L41" s="37"/>
      <c r="M41" s="37"/>
      <c r="N41" s="37"/>
      <c r="O41" s="37"/>
      <c r="P41" s="37"/>
      <c r="Q41" s="37"/>
      <c r="R41" s="37"/>
      <c r="S41" s="37"/>
      <c r="T41" s="37"/>
      <c r="U41" s="37"/>
      <c r="V41" s="37"/>
      <c r="W41" s="37"/>
      <c r="X41" s="37"/>
    </row>
    <row r="42">
      <c r="A42" s="37"/>
      <c r="B42" s="49" t="str">
        <f>IFERROR(__xludf.DUMMYFUNCTION("""COMPUTED_VALUE"""),"Cameron Hildebrandt-Brooks")</f>
        <v>Cameron Hildebrandt-Brooks</v>
      </c>
      <c r="C42" s="5">
        <v>10.0</v>
      </c>
      <c r="D42" s="3">
        <f>countif('OTPI Scores'!C:C,B42)</f>
        <v>12</v>
      </c>
      <c r="E42" s="3">
        <f t="shared" si="1"/>
        <v>120</v>
      </c>
      <c r="F42" s="3">
        <f>sumif('OTPI Scores'!C:C,B42,'OTPI Scores'!T:T)</f>
        <v>57.5</v>
      </c>
      <c r="G42" s="3" t="str">
        <f>SUMIF('Match Subs Filter'!E:E,B42,'Match Subs Filter'!F:F)+sumif('Bank Transfers'!B:B,B42,'Bank Transfers'!C:C)</f>
        <v>#N/A</v>
      </c>
      <c r="H42" s="50" t="str">
        <f t="shared" si="2"/>
        <v>#N/A</v>
      </c>
      <c r="I42" s="51">
        <f t="array" ref="I42">IF(IFERROR(lookup(1,1/SEARCH(B42,'OTPI Scores'!C:C),'OTPI Scores'!E:E),0)="Vets",7,IFERROR(lookup(1,1/SEARCH(B42,'OTPI Scores'!C:C),'OTPI Scores'!E:E),0))</f>
        <v>6</v>
      </c>
      <c r="J42" s="37"/>
      <c r="K42" s="37"/>
      <c r="L42" s="37"/>
      <c r="M42" s="37"/>
      <c r="N42" s="37"/>
      <c r="O42" s="37"/>
      <c r="P42" s="37"/>
      <c r="Q42" s="37"/>
      <c r="R42" s="37"/>
      <c r="S42" s="37"/>
      <c r="T42" s="37"/>
      <c r="U42" s="37"/>
      <c r="V42" s="37"/>
      <c r="W42" s="37"/>
      <c r="X42" s="37"/>
    </row>
    <row r="43">
      <c r="A43" s="37"/>
      <c r="B43" s="49" t="str">
        <f>IFERROR(__xludf.DUMMYFUNCTION("""COMPUTED_VALUE"""),"Cameron Pashley")</f>
        <v>Cameron Pashley</v>
      </c>
      <c r="C43" s="5">
        <v>10.0</v>
      </c>
      <c r="D43" s="3">
        <f>countif('OTPI Scores'!C:C,B43)</f>
        <v>11</v>
      </c>
      <c r="E43" s="3">
        <f t="shared" si="1"/>
        <v>110</v>
      </c>
      <c r="F43" s="3">
        <f>sumif('OTPI Scores'!C:C,B43,'OTPI Scores'!T:T)</f>
        <v>100</v>
      </c>
      <c r="G43" s="3" t="str">
        <f>SUMIF('Match Subs Filter'!E:E,B43,'Match Subs Filter'!F:F)+sumif('Bank Transfers'!B:B,B43,'Bank Transfers'!C:C)</f>
        <v>#N/A</v>
      </c>
      <c r="H43" s="50" t="str">
        <f t="shared" si="2"/>
        <v>#N/A</v>
      </c>
      <c r="I43" s="51">
        <f t="array" ref="I43">IF(IFERROR(lookup(1,1/SEARCH(B43,'OTPI Scores'!C:C),'OTPI Scores'!E:E),0)="Vets",7,IFERROR(lookup(1,1/SEARCH(B43,'OTPI Scores'!C:C),'OTPI Scores'!E:E),0))</f>
        <v>3</v>
      </c>
      <c r="J43" s="37"/>
      <c r="K43" s="37"/>
      <c r="L43" s="37"/>
      <c r="M43" s="37"/>
      <c r="N43" s="37"/>
      <c r="O43" s="37"/>
      <c r="P43" s="37"/>
      <c r="Q43" s="37"/>
      <c r="R43" s="37"/>
      <c r="S43" s="37"/>
      <c r="T43" s="37"/>
      <c r="U43" s="37"/>
      <c r="V43" s="37"/>
      <c r="W43" s="37"/>
      <c r="X43" s="37"/>
    </row>
    <row r="44">
      <c r="A44" s="37"/>
      <c r="B44" s="49" t="str">
        <f>IFERROR(__xludf.DUMMYFUNCTION("""COMPUTED_VALUE"""),"Cameron Ward")</f>
        <v>Cameron Ward</v>
      </c>
      <c r="C44" s="5">
        <v>10.0</v>
      </c>
      <c r="D44" s="3">
        <f>countif('OTPI Scores'!C:C,B44)</f>
        <v>8</v>
      </c>
      <c r="E44" s="3">
        <f t="shared" si="1"/>
        <v>80</v>
      </c>
      <c r="F44" s="3">
        <f>sumif('OTPI Scores'!C:C,B44,'OTPI Scores'!T:T)</f>
        <v>70</v>
      </c>
      <c r="G44" s="3" t="str">
        <f>SUMIF('Match Subs Filter'!E:E,B44,'Match Subs Filter'!F:F)+sumif('Bank Transfers'!B:B,B44,'Bank Transfers'!C:C)</f>
        <v>#N/A</v>
      </c>
      <c r="H44" s="50" t="str">
        <f t="shared" si="2"/>
        <v>#N/A</v>
      </c>
      <c r="I44" s="51">
        <f t="array" ref="I44">IF(IFERROR(lookup(1,1/SEARCH(B44,'OTPI Scores'!C:C),'OTPI Scores'!E:E),0)="Vets",7,IFERROR(lookup(1,1/SEARCH(B44,'OTPI Scores'!C:C),'OTPI Scores'!E:E),0))</f>
        <v>3</v>
      </c>
      <c r="J44" s="37"/>
      <c r="K44" s="37"/>
      <c r="L44" s="37"/>
      <c r="M44" s="37"/>
      <c r="N44" s="37"/>
      <c r="O44" s="37"/>
      <c r="P44" s="37"/>
      <c r="Q44" s="37"/>
      <c r="R44" s="37"/>
      <c r="S44" s="37"/>
      <c r="T44" s="37"/>
      <c r="U44" s="37"/>
      <c r="V44" s="37"/>
      <c r="W44" s="37"/>
      <c r="X44" s="37"/>
    </row>
    <row r="45">
      <c r="A45" s="37"/>
      <c r="B45" s="49" t="str">
        <f>IFERROR(__xludf.DUMMYFUNCTION("""COMPUTED_VALUE"""),"Carlos Munoz")</f>
        <v>Carlos Munoz</v>
      </c>
      <c r="C45" s="5">
        <v>10.0</v>
      </c>
      <c r="D45" s="3">
        <f>countif('OTPI Scores'!C:C,B45)</f>
        <v>0</v>
      </c>
      <c r="E45" s="3">
        <f t="shared" si="1"/>
        <v>0</v>
      </c>
      <c r="F45" s="3">
        <f>sumif('OTPI Scores'!C:C,B45,'OTPI Scores'!T:T)</f>
        <v>0</v>
      </c>
      <c r="G45" s="3" t="str">
        <f>SUMIF('Match Subs Filter'!E:E,B45,'Match Subs Filter'!F:F)+sumif('Bank Transfers'!B:B,B45,'Bank Transfers'!C:C)</f>
        <v>#N/A</v>
      </c>
      <c r="H45" s="50" t="str">
        <f t="shared" si="2"/>
        <v>#N/A</v>
      </c>
      <c r="I45" s="51">
        <f t="array" ref="I45">IF(IFERROR(lookup(1,1/SEARCH(B45,'OTPI Scores'!C:C),'OTPI Scores'!E:E),0)="Vets",7,IFERROR(lookup(1,1/SEARCH(B45,'OTPI Scores'!C:C),'OTPI Scores'!E:E),0))</f>
        <v>0</v>
      </c>
      <c r="J45" s="37"/>
      <c r="K45" s="37"/>
      <c r="L45" s="37"/>
      <c r="M45" s="37"/>
      <c r="N45" s="37"/>
      <c r="O45" s="37"/>
      <c r="P45" s="37"/>
      <c r="Q45" s="37"/>
      <c r="R45" s="37"/>
      <c r="S45" s="37"/>
      <c r="T45" s="37"/>
      <c r="U45" s="37"/>
      <c r="V45" s="37"/>
      <c r="W45" s="37"/>
      <c r="X45" s="37"/>
    </row>
    <row r="46">
      <c r="A46" s="37"/>
      <c r="B46" s="49" t="str">
        <f>IFERROR(__xludf.DUMMYFUNCTION("""COMPUTED_VALUE"""),"Casey Kusella-Gussin")</f>
        <v>Casey Kusella-Gussin</v>
      </c>
      <c r="C46" s="5">
        <v>10.0</v>
      </c>
      <c r="D46" s="3">
        <f>countif('OTPI Scores'!C:C,B46)</f>
        <v>0</v>
      </c>
      <c r="E46" s="3">
        <f t="shared" si="1"/>
        <v>0</v>
      </c>
      <c r="F46" s="3">
        <f>sumif('OTPI Scores'!C:C,B46,'OTPI Scores'!T:T)</f>
        <v>0</v>
      </c>
      <c r="G46" s="3" t="str">
        <f>SUMIF('Match Subs Filter'!E:E,B46,'Match Subs Filter'!F:F)+sumif('Bank Transfers'!B:B,B46,'Bank Transfers'!C:C)</f>
        <v>#N/A</v>
      </c>
      <c r="H46" s="50" t="str">
        <f t="shared" si="2"/>
        <v>#N/A</v>
      </c>
      <c r="I46" s="51">
        <f t="array" ref="I46">IF(IFERROR(lookup(1,1/SEARCH(B46,'OTPI Scores'!C:C),'OTPI Scores'!E:E),0)="Vets",7,IFERROR(lookup(1,1/SEARCH(B46,'OTPI Scores'!C:C),'OTPI Scores'!E:E),0))</f>
        <v>0</v>
      </c>
      <c r="J46" s="37"/>
      <c r="K46" s="37"/>
      <c r="L46" s="37"/>
      <c r="M46" s="37"/>
      <c r="N46" s="37"/>
      <c r="O46" s="37"/>
      <c r="P46" s="37"/>
      <c r="Q46" s="37"/>
      <c r="R46" s="37"/>
      <c r="S46" s="37"/>
      <c r="T46" s="37"/>
      <c r="U46" s="37"/>
      <c r="V46" s="37"/>
      <c r="W46" s="37"/>
      <c r="X46" s="37"/>
    </row>
    <row r="47">
      <c r="A47" s="37"/>
      <c r="B47" s="49" t="str">
        <f>IFERROR(__xludf.DUMMYFUNCTION("""COMPUTED_VALUE"""),"Charlie Brooks")</f>
        <v>Charlie Brooks</v>
      </c>
      <c r="C47" s="5">
        <v>10.0</v>
      </c>
      <c r="D47" s="3">
        <f>countif('OTPI Scores'!C:C,B47)</f>
        <v>6</v>
      </c>
      <c r="E47" s="3">
        <f t="shared" si="1"/>
        <v>60</v>
      </c>
      <c r="F47" s="3">
        <f>sumif('OTPI Scores'!C:C,B47,'OTPI Scores'!T:T)</f>
        <v>30</v>
      </c>
      <c r="G47" s="3" t="str">
        <f>SUMIF('Match Subs Filter'!E:E,B47,'Match Subs Filter'!F:F)+sumif('Bank Transfers'!B:B,B47,'Bank Transfers'!C:C)</f>
        <v>#N/A</v>
      </c>
      <c r="H47" s="50" t="str">
        <f t="shared" si="2"/>
        <v>#N/A</v>
      </c>
      <c r="I47" s="51">
        <f t="array" ref="I47">IF(IFERROR(lookup(1,1/SEARCH(B47,'OTPI Scores'!C:C),'OTPI Scores'!E:E),0)="Vets",7,IFERROR(lookup(1,1/SEARCH(B47,'OTPI Scores'!C:C),'OTPI Scores'!E:E),0))</f>
        <v>6</v>
      </c>
      <c r="J47" s="37"/>
      <c r="K47" s="37"/>
      <c r="L47" s="37"/>
      <c r="M47" s="37"/>
      <c r="N47" s="37"/>
      <c r="O47" s="37"/>
      <c r="P47" s="37"/>
      <c r="Q47" s="37"/>
      <c r="R47" s="37"/>
      <c r="S47" s="37"/>
      <c r="T47" s="37"/>
      <c r="U47" s="37"/>
      <c r="V47" s="37"/>
      <c r="W47" s="37"/>
      <c r="X47" s="37"/>
    </row>
    <row r="48">
      <c r="A48" s="37"/>
      <c r="B48" s="49" t="str">
        <f>IFERROR(__xludf.DUMMYFUNCTION("""COMPUTED_VALUE"""),"Charlie Doe")</f>
        <v>Charlie Doe</v>
      </c>
      <c r="C48" s="5">
        <v>10.0</v>
      </c>
      <c r="D48" s="3">
        <f>countif('OTPI Scores'!C:C,B48)</f>
        <v>21</v>
      </c>
      <c r="E48" s="3">
        <f t="shared" si="1"/>
        <v>210</v>
      </c>
      <c r="F48" s="3">
        <f>sumif('OTPI Scores'!C:C,B48,'OTPI Scores'!T:T)</f>
        <v>135</v>
      </c>
      <c r="G48" s="3" t="str">
        <f>SUMIF('Match Subs Filter'!E:E,B48,'Match Subs Filter'!F:F)+sumif('Bank Transfers'!B:B,B48,'Bank Transfers'!C:C)</f>
        <v>#N/A</v>
      </c>
      <c r="H48" s="50" t="str">
        <f t="shared" si="2"/>
        <v>#N/A</v>
      </c>
      <c r="I48" s="51">
        <f t="array" ref="I48">IF(IFERROR(lookup(1,1/SEARCH(B48,'OTPI Scores'!C:C),'OTPI Scores'!E:E),0)="Vets",7,IFERROR(lookup(1,1/SEARCH(B48,'OTPI Scores'!C:C),'OTPI Scores'!E:E),0))</f>
        <v>4</v>
      </c>
      <c r="J48" s="37"/>
      <c r="K48" s="37"/>
      <c r="L48" s="37"/>
      <c r="M48" s="37"/>
      <c r="N48" s="37"/>
      <c r="O48" s="37"/>
      <c r="P48" s="37"/>
      <c r="Q48" s="37"/>
      <c r="R48" s="37"/>
      <c r="S48" s="37"/>
      <c r="T48" s="37"/>
      <c r="U48" s="37"/>
      <c r="V48" s="37"/>
      <c r="W48" s="37"/>
      <c r="X48" s="37"/>
    </row>
    <row r="49">
      <c r="A49" s="37"/>
      <c r="B49" s="49" t="str">
        <f>IFERROR(__xludf.DUMMYFUNCTION("""COMPUTED_VALUE"""),"Charlie Heptinstall")</f>
        <v>Charlie Heptinstall</v>
      </c>
      <c r="C49" s="5">
        <v>10.0</v>
      </c>
      <c r="D49" s="3">
        <f>countif('OTPI Scores'!C:C,B49)</f>
        <v>4</v>
      </c>
      <c r="E49" s="3">
        <f t="shared" si="1"/>
        <v>40</v>
      </c>
      <c r="F49" s="3">
        <f>sumif('OTPI Scores'!C:C,B49,'OTPI Scores'!T:T)</f>
        <v>40</v>
      </c>
      <c r="G49" s="3" t="str">
        <f>SUMIF('Match Subs Filter'!E:E,B49,'Match Subs Filter'!F:F)+sumif('Bank Transfers'!B:B,B49,'Bank Transfers'!C:C)</f>
        <v>#N/A</v>
      </c>
      <c r="H49" s="50" t="str">
        <f t="shared" si="2"/>
        <v>#N/A</v>
      </c>
      <c r="I49" s="51">
        <f t="array" ref="I49">IF(IFERROR(lookup(1,1/SEARCH(B49,'OTPI Scores'!C:C),'OTPI Scores'!E:E),0)="Vets",7,IFERROR(lookup(1,1/SEARCH(B49,'OTPI Scores'!C:C),'OTPI Scores'!E:E),0))</f>
        <v>3</v>
      </c>
      <c r="J49" s="37"/>
      <c r="K49" s="37"/>
      <c r="L49" s="37"/>
      <c r="M49" s="37"/>
      <c r="N49" s="37"/>
      <c r="O49" s="37"/>
      <c r="P49" s="37"/>
      <c r="Q49" s="37"/>
      <c r="R49" s="37"/>
      <c r="S49" s="37"/>
      <c r="T49" s="37"/>
      <c r="U49" s="37"/>
      <c r="V49" s="37"/>
      <c r="W49" s="37"/>
      <c r="X49" s="37"/>
    </row>
    <row r="50">
      <c r="A50" s="37"/>
      <c r="B50" s="49" t="str">
        <f>IFERROR(__xludf.DUMMYFUNCTION("""COMPUTED_VALUE"""),"Chris Boden")</f>
        <v>Chris Boden</v>
      </c>
      <c r="C50" s="5">
        <v>10.0</v>
      </c>
      <c r="D50" s="3">
        <f>countif('OTPI Scores'!C:C,B50)</f>
        <v>3</v>
      </c>
      <c r="E50" s="3">
        <f t="shared" si="1"/>
        <v>30</v>
      </c>
      <c r="F50" s="3">
        <f>sumif('OTPI Scores'!C:C,B50,'OTPI Scores'!T:T)</f>
        <v>30</v>
      </c>
      <c r="G50" s="3" t="str">
        <f>SUMIF('Match Subs Filter'!E:E,B50,'Match Subs Filter'!F:F)+sumif('Bank Transfers'!B:B,B50,'Bank Transfers'!C:C)</f>
        <v>#N/A</v>
      </c>
      <c r="H50" s="50" t="str">
        <f t="shared" si="2"/>
        <v>#N/A</v>
      </c>
      <c r="I50" s="51">
        <f t="array" ref="I50">IF(IFERROR(lookup(1,1/SEARCH(B50,'OTPI Scores'!C:C),'OTPI Scores'!E:E),0)="Vets",7,IFERROR(lookup(1,1/SEARCH(B50,'OTPI Scores'!C:C),'OTPI Scores'!E:E),0))</f>
        <v>7</v>
      </c>
      <c r="J50" s="37"/>
      <c r="K50" s="37"/>
      <c r="L50" s="37"/>
      <c r="M50" s="37"/>
      <c r="N50" s="37"/>
      <c r="O50" s="37"/>
      <c r="P50" s="37"/>
      <c r="Q50" s="37"/>
      <c r="R50" s="37"/>
      <c r="S50" s="37"/>
      <c r="T50" s="37"/>
      <c r="U50" s="37"/>
      <c r="V50" s="37"/>
      <c r="W50" s="37"/>
      <c r="X50" s="37"/>
    </row>
    <row r="51">
      <c r="A51" s="37"/>
      <c r="B51" s="49" t="str">
        <f>IFERROR(__xludf.DUMMYFUNCTION("""COMPUTED_VALUE"""),"Chris Claeys")</f>
        <v>Chris Claeys</v>
      </c>
      <c r="C51" s="5">
        <v>10.0</v>
      </c>
      <c r="D51" s="3">
        <f>countif('OTPI Scores'!C:C,B51)</f>
        <v>20</v>
      </c>
      <c r="E51" s="3">
        <f t="shared" si="1"/>
        <v>200</v>
      </c>
      <c r="F51" s="3">
        <f>sumif('OTPI Scores'!C:C,B51,'OTPI Scores'!T:T)</f>
        <v>185</v>
      </c>
      <c r="G51" s="3" t="str">
        <f>SUMIF('Match Subs Filter'!E:E,B51,'Match Subs Filter'!F:F)+sumif('Bank Transfers'!B:B,B51,'Bank Transfers'!C:C)</f>
        <v>#N/A</v>
      </c>
      <c r="H51" s="50" t="str">
        <f t="shared" si="2"/>
        <v>#N/A</v>
      </c>
      <c r="I51" s="51">
        <f t="array" ref="I51">IF(IFERROR(lookup(1,1/SEARCH(B51,'OTPI Scores'!C:C),'OTPI Scores'!E:E),0)="Vets",7,IFERROR(lookup(1,1/SEARCH(B51,'OTPI Scores'!C:C),'OTPI Scores'!E:E),0))</f>
        <v>4</v>
      </c>
      <c r="J51" s="37"/>
      <c r="K51" s="37"/>
      <c r="L51" s="37"/>
      <c r="M51" s="37"/>
      <c r="N51" s="37"/>
      <c r="O51" s="37"/>
      <c r="P51" s="37"/>
      <c r="Q51" s="37"/>
      <c r="R51" s="37"/>
      <c r="S51" s="37"/>
      <c r="T51" s="37"/>
      <c r="U51" s="37"/>
      <c r="V51" s="37"/>
      <c r="W51" s="37"/>
      <c r="X51" s="37"/>
    </row>
    <row r="52">
      <c r="A52" s="37"/>
      <c r="B52" s="49" t="str">
        <f>IFERROR(__xludf.DUMMYFUNCTION("""COMPUTED_VALUE"""),"Chris Douthwaite")</f>
        <v>Chris Douthwaite</v>
      </c>
      <c r="C52" s="5">
        <v>10.0</v>
      </c>
      <c r="D52" s="3">
        <f>countif('OTPI Scores'!C:C,B52)</f>
        <v>19</v>
      </c>
      <c r="E52" s="3">
        <f t="shared" si="1"/>
        <v>190</v>
      </c>
      <c r="F52" s="3">
        <f>sumif('OTPI Scores'!C:C,B52,'OTPI Scores'!T:T)</f>
        <v>190</v>
      </c>
      <c r="G52" s="3" t="str">
        <f>SUMIF('Match Subs Filter'!E:E,B52,'Match Subs Filter'!F:F)+sumif('Bank Transfers'!B:B,B52,'Bank Transfers'!C:C)</f>
        <v>#N/A</v>
      </c>
      <c r="H52" s="50" t="str">
        <f t="shared" si="2"/>
        <v>#N/A</v>
      </c>
      <c r="I52" s="51">
        <f t="array" ref="I52">IF(IFERROR(lookup(1,1/SEARCH(B52,'OTPI Scores'!C:C),'OTPI Scores'!E:E),0)="Vets",7,IFERROR(lookup(1,1/SEARCH(B52,'OTPI Scores'!C:C),'OTPI Scores'!E:E),0))</f>
        <v>3</v>
      </c>
      <c r="J52" s="37"/>
      <c r="K52" s="37"/>
      <c r="L52" s="37"/>
      <c r="M52" s="37"/>
      <c r="N52" s="37"/>
      <c r="O52" s="37"/>
      <c r="P52" s="37"/>
      <c r="Q52" s="37"/>
      <c r="R52" s="37"/>
      <c r="S52" s="37"/>
      <c r="T52" s="37"/>
      <c r="U52" s="37"/>
      <c r="V52" s="37"/>
      <c r="W52" s="37"/>
      <c r="X52" s="37"/>
    </row>
    <row r="53">
      <c r="A53" s="37"/>
      <c r="B53" s="49" t="str">
        <f>IFERROR(__xludf.DUMMYFUNCTION("""COMPUTED_VALUE"""),"Chris Lang")</f>
        <v>Chris Lang</v>
      </c>
      <c r="C53" s="5">
        <v>10.0</v>
      </c>
      <c r="D53" s="3">
        <f>countif('OTPI Scores'!C:C,B53)</f>
        <v>5</v>
      </c>
      <c r="E53" s="3">
        <f t="shared" si="1"/>
        <v>50</v>
      </c>
      <c r="F53" s="3">
        <f>sumif('OTPI Scores'!C:C,B53,'OTPI Scores'!T:T)</f>
        <v>20</v>
      </c>
      <c r="G53" s="3" t="str">
        <f>SUMIF('Match Subs Filter'!E:E,B53,'Match Subs Filter'!F:F)+sumif('Bank Transfers'!B:B,B53,'Bank Transfers'!C:C)</f>
        <v>#N/A</v>
      </c>
      <c r="H53" s="50" t="str">
        <f t="shared" si="2"/>
        <v>#N/A</v>
      </c>
      <c r="I53" s="51">
        <f t="array" ref="I53">IF(IFERROR(lookup(1,1/SEARCH(B53,'OTPI Scores'!C:C),'OTPI Scores'!E:E),0)="Vets",7,IFERROR(lookup(1,1/SEARCH(B53,'OTPI Scores'!C:C),'OTPI Scores'!E:E),0))</f>
        <v>4</v>
      </c>
      <c r="J53" s="37"/>
      <c r="K53" s="37"/>
      <c r="L53" s="37"/>
      <c r="M53" s="37"/>
      <c r="N53" s="37"/>
      <c r="O53" s="37"/>
      <c r="P53" s="37"/>
      <c r="Q53" s="37"/>
      <c r="R53" s="37"/>
      <c r="S53" s="37"/>
      <c r="T53" s="37"/>
      <c r="U53" s="37"/>
      <c r="V53" s="37"/>
      <c r="W53" s="37"/>
      <c r="X53" s="37"/>
    </row>
    <row r="54">
      <c r="A54" s="37"/>
      <c r="B54" s="49" t="str">
        <f>IFERROR(__xludf.DUMMYFUNCTION("""COMPUTED_VALUE"""),"Chris Marx")</f>
        <v>Chris Marx</v>
      </c>
      <c r="C54" s="5">
        <v>10.0</v>
      </c>
      <c r="D54" s="3">
        <f>countif('OTPI Scores'!C:C,B54)</f>
        <v>2</v>
      </c>
      <c r="E54" s="3">
        <f t="shared" si="1"/>
        <v>20</v>
      </c>
      <c r="F54" s="3">
        <f>sumif('OTPI Scores'!C:C,B54,'OTPI Scores'!T:T)</f>
        <v>15</v>
      </c>
      <c r="G54" s="3" t="str">
        <f>SUMIF('Match Subs Filter'!E:E,B54,'Match Subs Filter'!F:F)+sumif('Bank Transfers'!B:B,B54,'Bank Transfers'!C:C)</f>
        <v>#N/A</v>
      </c>
      <c r="H54" s="50" t="str">
        <f t="shared" si="2"/>
        <v>#N/A</v>
      </c>
      <c r="I54" s="51">
        <f t="array" ref="I54">IF(IFERROR(lookup(1,1/SEARCH(B54,'OTPI Scores'!C:C),'OTPI Scores'!E:E),0)="Vets",7,IFERROR(lookup(1,1/SEARCH(B54,'OTPI Scores'!C:C),'OTPI Scores'!E:E),0))</f>
        <v>7</v>
      </c>
      <c r="J54" s="37"/>
      <c r="K54" s="37"/>
      <c r="L54" s="37"/>
      <c r="M54" s="37"/>
      <c r="N54" s="37"/>
      <c r="O54" s="37"/>
      <c r="P54" s="37"/>
      <c r="Q54" s="37"/>
      <c r="R54" s="37"/>
      <c r="S54" s="37"/>
      <c r="T54" s="37"/>
      <c r="U54" s="37"/>
      <c r="V54" s="37"/>
      <c r="W54" s="37"/>
      <c r="X54" s="37"/>
    </row>
    <row r="55">
      <c r="A55" s="37"/>
      <c r="B55" s="49" t="str">
        <f>IFERROR(__xludf.DUMMYFUNCTION("""COMPUTED_VALUE"""),"Chris Tong")</f>
        <v>Chris Tong</v>
      </c>
      <c r="C55" s="5">
        <v>10.0</v>
      </c>
      <c r="D55" s="3">
        <f>countif('OTPI Scores'!C:C,B55)</f>
        <v>6</v>
      </c>
      <c r="E55" s="3">
        <f t="shared" si="1"/>
        <v>60</v>
      </c>
      <c r="F55" s="3">
        <f>sumif('OTPI Scores'!C:C,B55,'OTPI Scores'!T:T)</f>
        <v>55</v>
      </c>
      <c r="G55" s="3" t="str">
        <f>SUMIF('Match Subs Filter'!E:E,B55,'Match Subs Filter'!F:F)+sumif('Bank Transfers'!B:B,B55,'Bank Transfers'!C:C)</f>
        <v>#N/A</v>
      </c>
      <c r="H55" s="50" t="str">
        <f t="shared" si="2"/>
        <v>#N/A</v>
      </c>
      <c r="I55" s="51">
        <f t="array" ref="I55">IF(IFERROR(lookup(1,1/SEARCH(B55,'OTPI Scores'!C:C),'OTPI Scores'!E:E),0)="Vets",7,IFERROR(lookup(1,1/SEARCH(B55,'OTPI Scores'!C:C),'OTPI Scores'!E:E),0))</f>
        <v>6</v>
      </c>
      <c r="J55" s="37"/>
      <c r="K55" s="37"/>
      <c r="L55" s="37"/>
      <c r="M55" s="37"/>
      <c r="N55" s="37"/>
      <c r="O55" s="37"/>
      <c r="P55" s="37"/>
      <c r="Q55" s="37"/>
      <c r="R55" s="37"/>
      <c r="S55" s="37"/>
      <c r="T55" s="37"/>
      <c r="U55" s="37"/>
      <c r="V55" s="37"/>
      <c r="W55" s="37"/>
      <c r="X55" s="37"/>
    </row>
    <row r="56">
      <c r="A56" s="37"/>
      <c r="B56" s="49" t="str">
        <f>IFERROR(__xludf.DUMMYFUNCTION("""COMPUTED_VALUE"""),"Chris Weir")</f>
        <v>Chris Weir</v>
      </c>
      <c r="C56" s="5">
        <v>10.0</v>
      </c>
      <c r="D56" s="3">
        <f>countif('OTPI Scores'!C:C,B56)</f>
        <v>3</v>
      </c>
      <c r="E56" s="3">
        <f t="shared" si="1"/>
        <v>30</v>
      </c>
      <c r="F56" s="3">
        <f>sumif('OTPI Scores'!C:C,B56,'OTPI Scores'!T:T)</f>
        <v>30</v>
      </c>
      <c r="G56" s="3" t="str">
        <f>SUMIF('Match Subs Filter'!E:E,B56,'Match Subs Filter'!F:F)+sumif('Bank Transfers'!B:B,B56,'Bank Transfers'!C:C)</f>
        <v>#N/A</v>
      </c>
      <c r="H56" s="50" t="str">
        <f t="shared" si="2"/>
        <v>#N/A</v>
      </c>
      <c r="I56" s="51">
        <f t="array" ref="I56">IF(IFERROR(lookup(1,1/SEARCH(B56,'OTPI Scores'!C:C),'OTPI Scores'!E:E),0)="Vets",7,IFERROR(lookup(1,1/SEARCH(B56,'OTPI Scores'!C:C),'OTPI Scores'!E:E),0))</f>
        <v>3</v>
      </c>
      <c r="J56" s="37"/>
      <c r="K56" s="37"/>
      <c r="L56" s="37"/>
      <c r="M56" s="37"/>
      <c r="N56" s="37"/>
      <c r="O56" s="37"/>
      <c r="P56" s="37"/>
      <c r="Q56" s="37"/>
      <c r="R56" s="37"/>
      <c r="S56" s="37"/>
      <c r="T56" s="37"/>
      <c r="U56" s="37"/>
      <c r="V56" s="37"/>
      <c r="W56" s="37"/>
      <c r="X56" s="37"/>
    </row>
    <row r="57">
      <c r="A57" s="37"/>
      <c r="B57" s="49" t="str">
        <f>IFERROR(__xludf.DUMMYFUNCTION("""COMPUTED_VALUE"""),"Christian Claus")</f>
        <v>Christian Claus</v>
      </c>
      <c r="C57" s="5">
        <v>10.0</v>
      </c>
      <c r="D57" s="3">
        <f>countif('OTPI Scores'!C:C,B57)</f>
        <v>0</v>
      </c>
      <c r="E57" s="3">
        <f t="shared" si="1"/>
        <v>0</v>
      </c>
      <c r="F57" s="3">
        <f>sumif('OTPI Scores'!C:C,B57,'OTPI Scores'!T:T)</f>
        <v>0</v>
      </c>
      <c r="G57" s="3" t="str">
        <f>SUMIF('Match Subs Filter'!E:E,B57,'Match Subs Filter'!F:F)+sumif('Bank Transfers'!B:B,B57,'Bank Transfers'!C:C)</f>
        <v>#N/A</v>
      </c>
      <c r="H57" s="50" t="str">
        <f t="shared" si="2"/>
        <v>#N/A</v>
      </c>
      <c r="I57" s="51">
        <f t="array" ref="I57">IF(IFERROR(lookup(1,1/SEARCH(B57,'OTPI Scores'!C:C),'OTPI Scores'!E:E),0)="Vets",7,IFERROR(lookup(1,1/SEARCH(B57,'OTPI Scores'!C:C),'OTPI Scores'!E:E),0))</f>
        <v>0</v>
      </c>
      <c r="J57" s="37"/>
      <c r="K57" s="37"/>
      <c r="L57" s="37"/>
      <c r="M57" s="37"/>
      <c r="N57" s="37"/>
      <c r="O57" s="37"/>
      <c r="P57" s="37"/>
      <c r="Q57" s="37"/>
      <c r="R57" s="37"/>
      <c r="S57" s="37"/>
      <c r="T57" s="37"/>
      <c r="U57" s="37"/>
      <c r="V57" s="37"/>
      <c r="W57" s="37"/>
      <c r="X57" s="37"/>
    </row>
    <row r="58">
      <c r="A58" s="37"/>
      <c r="B58" s="49" t="str">
        <f>IFERROR(__xludf.DUMMYFUNCTION("""COMPUTED_VALUE"""),"Christian Cleave")</f>
        <v>Christian Cleave</v>
      </c>
      <c r="C58" s="5">
        <v>10.0</v>
      </c>
      <c r="D58" s="3">
        <f>countif('OTPI Scores'!C:C,B58)</f>
        <v>1</v>
      </c>
      <c r="E58" s="3">
        <f t="shared" si="1"/>
        <v>10</v>
      </c>
      <c r="F58" s="3">
        <f>sumif('OTPI Scores'!C:C,B58,'OTPI Scores'!T:T)</f>
        <v>10</v>
      </c>
      <c r="G58" s="3" t="str">
        <f>SUMIF('Match Subs Filter'!E:E,B58,'Match Subs Filter'!F:F)+sumif('Bank Transfers'!B:B,B58,'Bank Transfers'!C:C)</f>
        <v>#N/A</v>
      </c>
      <c r="H58" s="50" t="str">
        <f t="shared" si="2"/>
        <v>#N/A</v>
      </c>
      <c r="I58" s="51">
        <f t="array" ref="I58">IF(IFERROR(lookup(1,1/SEARCH(B58,'OTPI Scores'!C:C),'OTPI Scores'!E:E),0)="Vets",7,IFERROR(lookup(1,1/SEARCH(B58,'OTPI Scores'!C:C),'OTPI Scores'!E:E),0))</f>
        <v>2</v>
      </c>
      <c r="J58" s="37"/>
      <c r="K58" s="37"/>
      <c r="L58" s="37"/>
      <c r="M58" s="37"/>
      <c r="N58" s="37"/>
      <c r="O58" s="37"/>
      <c r="P58" s="37"/>
      <c r="Q58" s="37"/>
      <c r="R58" s="37"/>
      <c r="S58" s="37"/>
      <c r="T58" s="37"/>
      <c r="U58" s="37"/>
      <c r="V58" s="37"/>
      <c r="W58" s="37"/>
      <c r="X58" s="37"/>
    </row>
    <row r="59">
      <c r="A59" s="37"/>
      <c r="B59" s="49" t="str">
        <f>IFERROR(__xludf.DUMMYFUNCTION("""COMPUTED_VALUE"""),"Christian King")</f>
        <v>Christian King</v>
      </c>
      <c r="C59" s="5">
        <v>10.0</v>
      </c>
      <c r="D59" s="3">
        <f>countif('OTPI Scores'!C:C,B59)</f>
        <v>17</v>
      </c>
      <c r="E59" s="3">
        <f t="shared" si="1"/>
        <v>170</v>
      </c>
      <c r="F59" s="3">
        <f>sumif('OTPI Scores'!C:C,B59,'OTPI Scores'!T:T)</f>
        <v>155</v>
      </c>
      <c r="G59" s="3" t="str">
        <f>SUMIF('Match Subs Filter'!E:E,B59,'Match Subs Filter'!F:F)+sumif('Bank Transfers'!B:B,B59,'Bank Transfers'!C:C)</f>
        <v>#N/A</v>
      </c>
      <c r="H59" s="50" t="str">
        <f t="shared" si="2"/>
        <v>#N/A</v>
      </c>
      <c r="I59" s="51">
        <f t="array" ref="I59">IF(IFERROR(lookup(1,1/SEARCH(B59,'OTPI Scores'!C:C),'OTPI Scores'!E:E),0)="Vets",7,IFERROR(lookup(1,1/SEARCH(B59,'OTPI Scores'!C:C),'OTPI Scores'!E:E),0))</f>
        <v>5</v>
      </c>
      <c r="J59" s="37"/>
      <c r="K59" s="37"/>
      <c r="L59" s="37"/>
      <c r="M59" s="37"/>
      <c r="N59" s="37"/>
      <c r="O59" s="37"/>
      <c r="P59" s="37"/>
      <c r="Q59" s="37"/>
      <c r="R59" s="37"/>
      <c r="S59" s="37"/>
      <c r="T59" s="37"/>
      <c r="U59" s="37"/>
      <c r="V59" s="37"/>
      <c r="W59" s="37"/>
      <c r="X59" s="37"/>
    </row>
    <row r="60">
      <c r="A60" s="37"/>
      <c r="B60" s="49" t="str">
        <f>IFERROR(__xludf.DUMMYFUNCTION("""COMPUTED_VALUE"""),"Christian Roach")</f>
        <v>Christian Roach</v>
      </c>
      <c r="C60" s="5">
        <v>10.0</v>
      </c>
      <c r="D60" s="3">
        <f>countif('OTPI Scores'!C:C,B60)</f>
        <v>2</v>
      </c>
      <c r="E60" s="3">
        <f t="shared" si="1"/>
        <v>20</v>
      </c>
      <c r="F60" s="3">
        <f>sumif('OTPI Scores'!C:C,B60,'OTPI Scores'!T:T)</f>
        <v>20</v>
      </c>
      <c r="G60" s="3" t="str">
        <f>SUMIF('Match Subs Filter'!E:E,B60,'Match Subs Filter'!F:F)+sumif('Bank Transfers'!B:B,B60,'Bank Transfers'!C:C)</f>
        <v>#N/A</v>
      </c>
      <c r="H60" s="50" t="str">
        <f t="shared" si="2"/>
        <v>#N/A</v>
      </c>
      <c r="I60" s="51">
        <f t="array" ref="I60">IF(IFERROR(lookup(1,1/SEARCH(B60,'OTPI Scores'!C:C),'OTPI Scores'!E:E),0)="Vets",7,IFERROR(lookup(1,1/SEARCH(B60,'OTPI Scores'!C:C),'OTPI Scores'!E:E),0))</f>
        <v>6</v>
      </c>
      <c r="J60" s="37"/>
      <c r="K60" s="37"/>
      <c r="L60" s="37"/>
      <c r="M60" s="37"/>
      <c r="N60" s="37"/>
      <c r="O60" s="37"/>
      <c r="P60" s="37"/>
      <c r="Q60" s="37"/>
      <c r="R60" s="37"/>
      <c r="S60" s="37"/>
      <c r="T60" s="37"/>
      <c r="U60" s="37"/>
      <c r="V60" s="37"/>
      <c r="W60" s="37"/>
      <c r="X60" s="37"/>
    </row>
    <row r="61">
      <c r="A61" s="37"/>
      <c r="B61" s="49" t="str">
        <f>IFERROR(__xludf.DUMMYFUNCTION("""COMPUTED_VALUE"""),"Christos Apostolopoulos")</f>
        <v>Christos Apostolopoulos</v>
      </c>
      <c r="C61" s="5">
        <v>10.0</v>
      </c>
      <c r="D61" s="3">
        <f>countif('OTPI Scores'!C:C,B61)</f>
        <v>0</v>
      </c>
      <c r="E61" s="3">
        <f t="shared" si="1"/>
        <v>0</v>
      </c>
      <c r="F61" s="3">
        <f>sumif('OTPI Scores'!C:C,B61,'OTPI Scores'!T:T)</f>
        <v>0</v>
      </c>
      <c r="G61" s="3" t="str">
        <f>SUMIF('Match Subs Filter'!E:E,B61,'Match Subs Filter'!F:F)+sumif('Bank Transfers'!B:B,B61,'Bank Transfers'!C:C)</f>
        <v>#N/A</v>
      </c>
      <c r="H61" s="50" t="str">
        <f t="shared" si="2"/>
        <v>#N/A</v>
      </c>
      <c r="I61" s="51">
        <f t="array" ref="I61">IF(IFERROR(lookup(1,1/SEARCH(B61,'OTPI Scores'!C:C),'OTPI Scores'!E:E),0)="Vets",7,IFERROR(lookup(1,1/SEARCH(B61,'OTPI Scores'!C:C),'OTPI Scores'!E:E),0))</f>
        <v>0</v>
      </c>
      <c r="J61" s="37"/>
      <c r="K61" s="37"/>
      <c r="L61" s="37"/>
      <c r="M61" s="37"/>
      <c r="N61" s="37"/>
      <c r="O61" s="37"/>
      <c r="P61" s="37"/>
      <c r="Q61" s="37"/>
      <c r="R61" s="37"/>
      <c r="S61" s="37"/>
      <c r="T61" s="37"/>
      <c r="U61" s="37"/>
      <c r="V61" s="37"/>
      <c r="W61" s="37"/>
      <c r="X61" s="37"/>
    </row>
    <row r="62">
      <c r="A62" s="37"/>
      <c r="B62" s="49" t="str">
        <f>IFERROR(__xludf.DUMMYFUNCTION("""COMPUTED_VALUE"""),"Ciaran Curran")</f>
        <v>Ciaran Curran</v>
      </c>
      <c r="C62" s="5">
        <v>10.0</v>
      </c>
      <c r="D62" s="3">
        <f>countif('OTPI Scores'!C:C,B62)</f>
        <v>20</v>
      </c>
      <c r="E62" s="3">
        <f t="shared" si="1"/>
        <v>200</v>
      </c>
      <c r="F62" s="3">
        <f>sumif('OTPI Scores'!C:C,B62,'OTPI Scores'!T:T)</f>
        <v>194</v>
      </c>
      <c r="G62" s="3" t="str">
        <f>SUMIF('Match Subs Filter'!E:E,B62,'Match Subs Filter'!F:F)+sumif('Bank Transfers'!B:B,B62,'Bank Transfers'!C:C)</f>
        <v>#N/A</v>
      </c>
      <c r="H62" s="50" t="str">
        <f t="shared" si="2"/>
        <v>#N/A</v>
      </c>
      <c r="I62" s="51">
        <f t="array" ref="I62">IF(IFERROR(lookup(1,1/SEARCH(B62,'OTPI Scores'!C:C),'OTPI Scores'!E:E),0)="Vets",7,IFERROR(lookup(1,1/SEARCH(B62,'OTPI Scores'!C:C),'OTPI Scores'!E:E),0))</f>
        <v>5</v>
      </c>
      <c r="J62" s="37"/>
      <c r="K62" s="37"/>
      <c r="L62" s="37"/>
      <c r="M62" s="37"/>
      <c r="N62" s="37"/>
      <c r="O62" s="37"/>
      <c r="P62" s="37"/>
      <c r="Q62" s="37"/>
      <c r="R62" s="37"/>
      <c r="S62" s="37"/>
      <c r="T62" s="37"/>
      <c r="U62" s="37"/>
      <c r="V62" s="37"/>
      <c r="W62" s="37"/>
      <c r="X62" s="37"/>
    </row>
    <row r="63">
      <c r="A63" s="37"/>
      <c r="B63" s="49" t="str">
        <f>IFERROR(__xludf.DUMMYFUNCTION("""COMPUTED_VALUE"""),"Claudien Mwalimu")</f>
        <v>Claudien Mwalimu</v>
      </c>
      <c r="C63" s="5">
        <v>10.0</v>
      </c>
      <c r="D63" s="3">
        <f>countif('OTPI Scores'!C:C,B63)</f>
        <v>6</v>
      </c>
      <c r="E63" s="3">
        <f t="shared" si="1"/>
        <v>60</v>
      </c>
      <c r="F63" s="3">
        <f>sumif('OTPI Scores'!C:C,B63,'OTPI Scores'!T:T)</f>
        <v>55</v>
      </c>
      <c r="G63" s="3" t="str">
        <f>SUMIF('Match Subs Filter'!E:E,B63,'Match Subs Filter'!F:F)+sumif('Bank Transfers'!B:B,B63,'Bank Transfers'!C:C)</f>
        <v>#N/A</v>
      </c>
      <c r="H63" s="50" t="str">
        <f t="shared" si="2"/>
        <v>#N/A</v>
      </c>
      <c r="I63" s="51">
        <f t="array" ref="I63">IF(IFERROR(lookup(1,1/SEARCH(B63,'OTPI Scores'!C:C),'OTPI Scores'!E:E),0)="Vets",7,IFERROR(lookup(1,1/SEARCH(B63,'OTPI Scores'!C:C),'OTPI Scores'!E:E),0))</f>
        <v>2</v>
      </c>
      <c r="J63" s="37"/>
      <c r="K63" s="37"/>
      <c r="L63" s="37"/>
      <c r="M63" s="37"/>
      <c r="N63" s="37"/>
      <c r="O63" s="37"/>
      <c r="P63" s="37"/>
      <c r="Q63" s="37"/>
      <c r="R63" s="37"/>
      <c r="S63" s="37"/>
      <c r="T63" s="37"/>
      <c r="U63" s="37"/>
      <c r="V63" s="37"/>
      <c r="W63" s="37"/>
      <c r="X63" s="37"/>
    </row>
    <row r="64">
      <c r="A64" s="37"/>
      <c r="B64" s="49" t="str">
        <f>IFERROR(__xludf.DUMMYFUNCTION("""COMPUTED_VALUE"""),"Colin Paterson")</f>
        <v>Colin Paterson</v>
      </c>
      <c r="C64" s="5">
        <v>10.0</v>
      </c>
      <c r="D64" s="3">
        <f>countif('OTPI Scores'!C:C,B64)</f>
        <v>1</v>
      </c>
      <c r="E64" s="3">
        <f t="shared" si="1"/>
        <v>10</v>
      </c>
      <c r="F64" s="3">
        <f>sumif('OTPI Scores'!C:C,B64,'OTPI Scores'!T:T)</f>
        <v>10</v>
      </c>
      <c r="G64" s="3" t="str">
        <f>SUMIF('Match Subs Filter'!E:E,B64,'Match Subs Filter'!F:F)+sumif('Bank Transfers'!B:B,B64,'Bank Transfers'!C:C)</f>
        <v>#N/A</v>
      </c>
      <c r="H64" s="50" t="str">
        <f t="shared" si="2"/>
        <v>#N/A</v>
      </c>
      <c r="I64" s="51">
        <f t="array" ref="I64">IF(IFERROR(lookup(1,1/SEARCH(B64,'OTPI Scores'!C:C),'OTPI Scores'!E:E),0)="Vets",7,IFERROR(lookup(1,1/SEARCH(B64,'OTPI Scores'!C:C),'OTPI Scores'!E:E),0))</f>
        <v>5</v>
      </c>
      <c r="J64" s="37"/>
      <c r="K64" s="37"/>
      <c r="L64" s="37"/>
      <c r="M64" s="37"/>
      <c r="N64" s="37"/>
      <c r="O64" s="37"/>
      <c r="P64" s="37"/>
      <c r="Q64" s="37"/>
      <c r="R64" s="37"/>
      <c r="S64" s="37"/>
      <c r="T64" s="37"/>
      <c r="U64" s="37"/>
      <c r="V64" s="37"/>
      <c r="W64" s="37"/>
      <c r="X64" s="37"/>
    </row>
    <row r="65">
      <c r="A65" s="37"/>
      <c r="B65" s="49" t="str">
        <f>IFERROR(__xludf.DUMMYFUNCTION("""COMPUTED_VALUE"""),"Connor Blyth")</f>
        <v>Connor Blyth</v>
      </c>
      <c r="C65" s="5">
        <v>10.0</v>
      </c>
      <c r="D65" s="3">
        <f>countif('OTPI Scores'!C:C,B65)</f>
        <v>0</v>
      </c>
      <c r="E65" s="3">
        <f t="shared" si="1"/>
        <v>0</v>
      </c>
      <c r="F65" s="3">
        <f>sumif('OTPI Scores'!C:C,B65,'OTPI Scores'!T:T)</f>
        <v>0</v>
      </c>
      <c r="G65" s="3" t="str">
        <f>SUMIF('Match Subs Filter'!E:E,B65,'Match Subs Filter'!F:F)+sumif('Bank Transfers'!B:B,B65,'Bank Transfers'!C:C)</f>
        <v>#N/A</v>
      </c>
      <c r="H65" s="50" t="str">
        <f t="shared" si="2"/>
        <v>#N/A</v>
      </c>
      <c r="I65" s="51">
        <f t="array" ref="I65">IF(IFERROR(lookup(1,1/SEARCH(B65,'OTPI Scores'!C:C),'OTPI Scores'!E:E),0)="Vets",7,IFERROR(lookup(1,1/SEARCH(B65,'OTPI Scores'!C:C),'OTPI Scores'!E:E),0))</f>
        <v>0</v>
      </c>
      <c r="J65" s="37"/>
      <c r="K65" s="37"/>
      <c r="L65" s="37"/>
      <c r="M65" s="37"/>
      <c r="N65" s="37"/>
      <c r="O65" s="37"/>
      <c r="P65" s="37"/>
      <c r="Q65" s="37"/>
      <c r="R65" s="37"/>
      <c r="S65" s="37"/>
      <c r="T65" s="37"/>
      <c r="U65" s="37"/>
      <c r="V65" s="37"/>
      <c r="W65" s="37"/>
      <c r="X65" s="37"/>
    </row>
    <row r="66">
      <c r="A66" s="37"/>
      <c r="B66" s="49" t="str">
        <f>IFERROR(__xludf.DUMMYFUNCTION("""COMPUTED_VALUE"""),"Connor Larkin")</f>
        <v>Connor Larkin</v>
      </c>
      <c r="C66" s="5">
        <v>10.0</v>
      </c>
      <c r="D66" s="3">
        <f>countif('OTPI Scores'!C:C,B66)</f>
        <v>0</v>
      </c>
      <c r="E66" s="3">
        <f t="shared" si="1"/>
        <v>0</v>
      </c>
      <c r="F66" s="3">
        <f>sumif('OTPI Scores'!C:C,B66,'OTPI Scores'!T:T)</f>
        <v>0</v>
      </c>
      <c r="G66" s="3" t="str">
        <f>SUMIF('Match Subs Filter'!E:E,B66,'Match Subs Filter'!F:F)+sumif('Bank Transfers'!B:B,B66,'Bank Transfers'!C:C)</f>
        <v>#N/A</v>
      </c>
      <c r="H66" s="50" t="str">
        <f t="shared" si="2"/>
        <v>#N/A</v>
      </c>
      <c r="I66" s="51">
        <f t="array" ref="I66">IF(IFERROR(lookup(1,1/SEARCH(B66,'OTPI Scores'!C:C),'OTPI Scores'!E:E),0)="Vets",7,IFERROR(lookup(1,1/SEARCH(B66,'OTPI Scores'!C:C),'OTPI Scores'!E:E),0))</f>
        <v>0</v>
      </c>
      <c r="J66" s="37"/>
      <c r="K66" s="37"/>
      <c r="L66" s="37"/>
      <c r="M66" s="37"/>
      <c r="N66" s="37"/>
      <c r="O66" s="37"/>
      <c r="P66" s="37"/>
      <c r="Q66" s="37"/>
      <c r="R66" s="37"/>
      <c r="S66" s="37"/>
      <c r="T66" s="37"/>
      <c r="U66" s="37"/>
      <c r="V66" s="37"/>
      <c r="W66" s="37"/>
      <c r="X66" s="37"/>
    </row>
    <row r="67">
      <c r="A67" s="37"/>
      <c r="B67" s="49" t="str">
        <f>IFERROR(__xludf.DUMMYFUNCTION("""COMPUTED_VALUE"""),"Connor White")</f>
        <v>Connor White</v>
      </c>
      <c r="C67" s="5">
        <v>10.0</v>
      </c>
      <c r="D67" s="3">
        <f>countif('OTPI Scores'!C:C,B67)</f>
        <v>12</v>
      </c>
      <c r="E67" s="3">
        <f t="shared" si="1"/>
        <v>120</v>
      </c>
      <c r="F67" s="3">
        <f>sumif('OTPI Scores'!C:C,B67,'OTPI Scores'!T:T)</f>
        <v>120</v>
      </c>
      <c r="G67" s="3" t="str">
        <f>SUMIF('Match Subs Filter'!E:E,B67,'Match Subs Filter'!F:F)+sumif('Bank Transfers'!B:B,B67,'Bank Transfers'!C:C)</f>
        <v>#N/A</v>
      </c>
      <c r="H67" s="50" t="str">
        <f t="shared" si="2"/>
        <v>#N/A</v>
      </c>
      <c r="I67" s="51">
        <f t="array" ref="I67">IF(IFERROR(lookup(1,1/SEARCH(B67,'OTPI Scores'!C:C),'OTPI Scores'!E:E),0)="Vets",7,IFERROR(lookup(1,1/SEARCH(B67,'OTPI Scores'!C:C),'OTPI Scores'!E:E),0))</f>
        <v>2</v>
      </c>
      <c r="J67" s="37"/>
      <c r="K67" s="37"/>
      <c r="L67" s="37"/>
      <c r="M67" s="37"/>
      <c r="N67" s="37"/>
      <c r="O67" s="37"/>
      <c r="P67" s="37"/>
      <c r="Q67" s="37"/>
      <c r="R67" s="37"/>
      <c r="S67" s="37"/>
      <c r="T67" s="37"/>
      <c r="U67" s="37"/>
      <c r="V67" s="37"/>
      <c r="W67" s="37"/>
      <c r="X67" s="37"/>
    </row>
    <row r="68">
      <c r="A68" s="37"/>
      <c r="B68" s="49" t="str">
        <f>IFERROR(__xludf.DUMMYFUNCTION("""COMPUTED_VALUE"""),"Conor Hughes")</f>
        <v>Conor Hughes</v>
      </c>
      <c r="C68" s="5">
        <v>10.0</v>
      </c>
      <c r="D68" s="3">
        <f>countif('OTPI Scores'!C:C,B68)</f>
        <v>0</v>
      </c>
      <c r="E68" s="3">
        <f t="shared" si="1"/>
        <v>0</v>
      </c>
      <c r="F68" s="3">
        <f>sumif('OTPI Scores'!C:C,B68,'OTPI Scores'!T:T)</f>
        <v>0</v>
      </c>
      <c r="G68" s="3" t="str">
        <f>SUMIF('Match Subs Filter'!E:E,B68,'Match Subs Filter'!F:F)+sumif('Bank Transfers'!B:B,B68,'Bank Transfers'!C:C)</f>
        <v>#N/A</v>
      </c>
      <c r="H68" s="50" t="str">
        <f t="shared" si="2"/>
        <v>#N/A</v>
      </c>
      <c r="I68" s="51">
        <f t="array" ref="I68">IF(IFERROR(lookup(1,1/SEARCH(B68,'OTPI Scores'!C:C),'OTPI Scores'!E:E),0)="Vets",7,IFERROR(lookup(1,1/SEARCH(B68,'OTPI Scores'!C:C),'OTPI Scores'!E:E),0))</f>
        <v>0</v>
      </c>
      <c r="J68" s="37"/>
      <c r="K68" s="37"/>
      <c r="L68" s="37"/>
      <c r="M68" s="37"/>
      <c r="N68" s="37"/>
      <c r="O68" s="37"/>
      <c r="P68" s="37"/>
      <c r="Q68" s="37"/>
      <c r="R68" s="37"/>
      <c r="S68" s="37"/>
      <c r="T68" s="37"/>
      <c r="U68" s="37"/>
      <c r="V68" s="37"/>
      <c r="W68" s="37"/>
      <c r="X68" s="37"/>
    </row>
    <row r="69">
      <c r="A69" s="37"/>
      <c r="B69" s="49" t="str">
        <f>IFERROR(__xludf.DUMMYFUNCTION("""COMPUTED_VALUE"""),"Corey Cleave")</f>
        <v>Corey Cleave</v>
      </c>
      <c r="C69" s="5">
        <v>10.0</v>
      </c>
      <c r="D69" s="3">
        <f>countif('OTPI Scores'!C:C,B69)</f>
        <v>10</v>
      </c>
      <c r="E69" s="3">
        <f t="shared" si="1"/>
        <v>100</v>
      </c>
      <c r="F69" s="3">
        <f>sumif('OTPI Scores'!C:C,B69,'OTPI Scores'!T:T)</f>
        <v>85</v>
      </c>
      <c r="G69" s="3" t="str">
        <f>SUMIF('Match Subs Filter'!E:E,B69,'Match Subs Filter'!F:F)+sumif('Bank Transfers'!B:B,B69,'Bank Transfers'!C:C)</f>
        <v>#N/A</v>
      </c>
      <c r="H69" s="50" t="str">
        <f t="shared" si="2"/>
        <v>#N/A</v>
      </c>
      <c r="I69" s="51">
        <f t="array" ref="I69">IF(IFERROR(lookup(1,1/SEARCH(B69,'OTPI Scores'!C:C),'OTPI Scores'!E:E),0)="Vets",7,IFERROR(lookup(1,1/SEARCH(B69,'OTPI Scores'!C:C),'OTPI Scores'!E:E),0))</f>
        <v>2</v>
      </c>
      <c r="J69" s="37"/>
      <c r="K69" s="37"/>
      <c r="L69" s="37"/>
      <c r="M69" s="37"/>
      <c r="N69" s="37"/>
      <c r="O69" s="37"/>
      <c r="P69" s="37"/>
      <c r="Q69" s="37"/>
      <c r="R69" s="37"/>
      <c r="S69" s="37"/>
      <c r="T69" s="37"/>
      <c r="U69" s="37"/>
      <c r="V69" s="37"/>
      <c r="W69" s="37"/>
      <c r="X69" s="37"/>
    </row>
    <row r="70">
      <c r="A70" s="37"/>
      <c r="B70" s="49" t="str">
        <f>IFERROR(__xludf.DUMMYFUNCTION("""COMPUTED_VALUE"""),"Daanish Karim")</f>
        <v>Daanish Karim</v>
      </c>
      <c r="C70" s="5">
        <v>10.0</v>
      </c>
      <c r="D70" s="3">
        <f>countif('OTPI Scores'!C:C,B70)</f>
        <v>0</v>
      </c>
      <c r="E70" s="3">
        <f t="shared" si="1"/>
        <v>0</v>
      </c>
      <c r="F70" s="3">
        <f>sumif('OTPI Scores'!C:C,B70,'OTPI Scores'!T:T)</f>
        <v>0</v>
      </c>
      <c r="G70" s="3" t="str">
        <f>SUMIF('Match Subs Filter'!E:E,B70,'Match Subs Filter'!F:F)+sumif('Bank Transfers'!B:B,B70,'Bank Transfers'!C:C)</f>
        <v>#N/A</v>
      </c>
      <c r="H70" s="50" t="str">
        <f t="shared" si="2"/>
        <v>#N/A</v>
      </c>
      <c r="I70" s="51">
        <f t="array" ref="I70">IF(IFERROR(lookup(1,1/SEARCH(B70,'OTPI Scores'!C:C),'OTPI Scores'!E:E),0)="Vets",7,IFERROR(lookup(1,1/SEARCH(B70,'OTPI Scores'!C:C),'OTPI Scores'!E:E),0))</f>
        <v>0</v>
      </c>
      <c r="J70" s="37"/>
      <c r="K70" s="37"/>
      <c r="L70" s="37"/>
      <c r="M70" s="37"/>
      <c r="N70" s="37"/>
      <c r="O70" s="37"/>
      <c r="P70" s="37"/>
      <c r="Q70" s="37"/>
      <c r="R70" s="37"/>
      <c r="S70" s="37"/>
      <c r="T70" s="37"/>
      <c r="U70" s="37"/>
      <c r="V70" s="37"/>
      <c r="W70" s="37"/>
      <c r="X70" s="37"/>
    </row>
    <row r="71">
      <c r="A71" s="37"/>
      <c r="B71" s="49" t="str">
        <f>IFERROR(__xludf.DUMMYFUNCTION("""COMPUTED_VALUE"""),"Dan Brieger")</f>
        <v>Dan Brieger</v>
      </c>
      <c r="C71" s="5">
        <v>10.0</v>
      </c>
      <c r="D71" s="3">
        <f>countif('OTPI Scores'!C:C,B71)</f>
        <v>0</v>
      </c>
      <c r="E71" s="3">
        <f t="shared" si="1"/>
        <v>0</v>
      </c>
      <c r="F71" s="3">
        <f>sumif('OTPI Scores'!C:C,B71,'OTPI Scores'!T:T)</f>
        <v>0</v>
      </c>
      <c r="G71" s="3" t="str">
        <f>SUMIF('Match Subs Filter'!E:E,B71,'Match Subs Filter'!F:F)+sumif('Bank Transfers'!B:B,B71,'Bank Transfers'!C:C)</f>
        <v>#N/A</v>
      </c>
      <c r="H71" s="50" t="str">
        <f t="shared" si="2"/>
        <v>#N/A</v>
      </c>
      <c r="I71" s="51">
        <f t="array" ref="I71">IF(IFERROR(lookup(1,1/SEARCH(B71,'OTPI Scores'!C:C),'OTPI Scores'!E:E),0)="Vets",7,IFERROR(lookup(1,1/SEARCH(B71,'OTPI Scores'!C:C),'OTPI Scores'!E:E),0))</f>
        <v>0</v>
      </c>
      <c r="J71" s="37"/>
      <c r="K71" s="37"/>
      <c r="L71" s="37"/>
      <c r="M71" s="37"/>
      <c r="N71" s="37"/>
      <c r="O71" s="37"/>
      <c r="P71" s="37"/>
      <c r="Q71" s="37"/>
      <c r="R71" s="37"/>
      <c r="S71" s="37"/>
      <c r="T71" s="37"/>
      <c r="U71" s="37"/>
      <c r="V71" s="37"/>
      <c r="W71" s="37"/>
      <c r="X71" s="37"/>
    </row>
    <row r="72">
      <c r="A72" s="37"/>
      <c r="B72" s="49" t="str">
        <f>IFERROR(__xludf.DUMMYFUNCTION("""COMPUTED_VALUE"""),"Dan Klin")</f>
        <v>Dan Klin</v>
      </c>
      <c r="C72" s="5">
        <v>10.0</v>
      </c>
      <c r="D72" s="3">
        <f>countif('OTPI Scores'!C:C,B72)</f>
        <v>8</v>
      </c>
      <c r="E72" s="3">
        <f t="shared" si="1"/>
        <v>80</v>
      </c>
      <c r="F72" s="3">
        <f>sumif('OTPI Scores'!C:C,B72,'OTPI Scores'!T:T)</f>
        <v>75</v>
      </c>
      <c r="G72" s="3" t="str">
        <f>SUMIF('Match Subs Filter'!E:E,B72,'Match Subs Filter'!F:F)+sumif('Bank Transfers'!B:B,B72,'Bank Transfers'!C:C)</f>
        <v>#N/A</v>
      </c>
      <c r="H72" s="50" t="str">
        <f t="shared" si="2"/>
        <v>#N/A</v>
      </c>
      <c r="I72" s="51">
        <f t="array" ref="I72">IF(IFERROR(lookup(1,1/SEARCH(B72,'OTPI Scores'!C:C),'OTPI Scores'!E:E),0)="Vets",7,IFERROR(lookup(1,1/SEARCH(B72,'OTPI Scores'!C:C),'OTPI Scores'!E:E),0))</f>
        <v>3</v>
      </c>
      <c r="J72" s="37"/>
      <c r="K72" s="37"/>
      <c r="L72" s="37"/>
      <c r="M72" s="37"/>
      <c r="N72" s="37"/>
      <c r="O72" s="37"/>
      <c r="P72" s="37"/>
      <c r="Q72" s="37"/>
      <c r="R72" s="37"/>
      <c r="S72" s="37"/>
      <c r="T72" s="37"/>
      <c r="U72" s="37"/>
      <c r="V72" s="37"/>
      <c r="W72" s="37"/>
      <c r="X72" s="37"/>
    </row>
    <row r="73">
      <c r="A73" s="37"/>
      <c r="B73" s="49" t="str">
        <f>IFERROR(__xludf.DUMMYFUNCTION("""COMPUTED_VALUE"""),"Dan Lewis")</f>
        <v>Dan Lewis</v>
      </c>
      <c r="C73" s="5">
        <v>10.0</v>
      </c>
      <c r="D73" s="3">
        <f>countif('OTPI Scores'!C:C,B73)</f>
        <v>0</v>
      </c>
      <c r="E73" s="3">
        <f t="shared" si="1"/>
        <v>0</v>
      </c>
      <c r="F73" s="3">
        <f>sumif('OTPI Scores'!C:C,B73,'OTPI Scores'!T:T)</f>
        <v>0</v>
      </c>
      <c r="G73" s="3" t="str">
        <f>SUMIF('Match Subs Filter'!E:E,B73,'Match Subs Filter'!F:F)+sumif('Bank Transfers'!B:B,B73,'Bank Transfers'!C:C)</f>
        <v>#N/A</v>
      </c>
      <c r="H73" s="50" t="str">
        <f t="shared" si="2"/>
        <v>#N/A</v>
      </c>
      <c r="I73" s="51">
        <f t="array" ref="I73">IF(IFERROR(lookup(1,1/SEARCH(B73,'OTPI Scores'!C:C),'OTPI Scores'!E:E),0)="Vets",7,IFERROR(lookup(1,1/SEARCH(B73,'OTPI Scores'!C:C),'OTPI Scores'!E:E),0))</f>
        <v>0</v>
      </c>
      <c r="J73" s="37"/>
      <c r="K73" s="37"/>
      <c r="L73" s="37"/>
      <c r="M73" s="37"/>
      <c r="N73" s="37"/>
      <c r="O73" s="37"/>
      <c r="P73" s="37"/>
      <c r="Q73" s="37"/>
      <c r="R73" s="37"/>
      <c r="S73" s="37"/>
      <c r="T73" s="37"/>
      <c r="U73" s="37"/>
      <c r="V73" s="37"/>
      <c r="W73" s="37"/>
      <c r="X73" s="37"/>
    </row>
    <row r="74">
      <c r="A74" s="37"/>
      <c r="B74" s="49" t="str">
        <f>IFERROR(__xludf.DUMMYFUNCTION("""COMPUTED_VALUE"""),"Dan Mckimm")</f>
        <v>Dan Mckimm</v>
      </c>
      <c r="C74" s="5">
        <v>10.0</v>
      </c>
      <c r="D74" s="3">
        <f>countif('OTPI Scores'!C:C,B74)</f>
        <v>0</v>
      </c>
      <c r="E74" s="3">
        <f t="shared" si="1"/>
        <v>0</v>
      </c>
      <c r="F74" s="3">
        <f>sumif('OTPI Scores'!C:C,B74,'OTPI Scores'!T:T)</f>
        <v>0</v>
      </c>
      <c r="G74" s="3" t="str">
        <f>SUMIF('Match Subs Filter'!E:E,B74,'Match Subs Filter'!F:F)+sumif('Bank Transfers'!B:B,B74,'Bank Transfers'!C:C)</f>
        <v>#N/A</v>
      </c>
      <c r="H74" s="50" t="str">
        <f t="shared" si="2"/>
        <v>#N/A</v>
      </c>
      <c r="I74" s="51">
        <f t="array" ref="I74">IF(IFERROR(lookup(1,1/SEARCH(B74,'OTPI Scores'!C:C),'OTPI Scores'!E:E),0)="Vets",7,IFERROR(lookup(1,1/SEARCH(B74,'OTPI Scores'!C:C),'OTPI Scores'!E:E),0))</f>
        <v>0</v>
      </c>
      <c r="J74" s="37"/>
      <c r="K74" s="37"/>
      <c r="L74" s="37"/>
      <c r="M74" s="37"/>
      <c r="N74" s="37"/>
      <c r="O74" s="37"/>
      <c r="P74" s="37"/>
      <c r="Q74" s="37"/>
      <c r="R74" s="37"/>
      <c r="S74" s="37"/>
      <c r="T74" s="37"/>
      <c r="U74" s="37"/>
      <c r="V74" s="37"/>
      <c r="W74" s="37"/>
      <c r="X74" s="37"/>
    </row>
    <row r="75">
      <c r="A75" s="37"/>
      <c r="B75" s="49" t="str">
        <f>IFERROR(__xludf.DUMMYFUNCTION("""COMPUTED_VALUE"""),"Dan Russell")</f>
        <v>Dan Russell</v>
      </c>
      <c r="C75" s="5">
        <v>10.0</v>
      </c>
      <c r="D75" s="3">
        <f>countif('OTPI Scores'!C:C,B75)</f>
        <v>19</v>
      </c>
      <c r="E75" s="3">
        <f t="shared" si="1"/>
        <v>190</v>
      </c>
      <c r="F75" s="3">
        <f>sumif('OTPI Scores'!C:C,B75,'OTPI Scores'!T:T)</f>
        <v>92.5</v>
      </c>
      <c r="G75" s="3" t="str">
        <f>SUMIF('Match Subs Filter'!E:E,B75,'Match Subs Filter'!F:F)+sumif('Bank Transfers'!B:B,B75,'Bank Transfers'!C:C)</f>
        <v>#N/A</v>
      </c>
      <c r="H75" s="50" t="str">
        <f t="shared" si="2"/>
        <v>#N/A</v>
      </c>
      <c r="I75" s="51">
        <f t="array" ref="I75">IF(IFERROR(lookup(1,1/SEARCH(B75,'OTPI Scores'!C:C),'OTPI Scores'!E:E),0)="Vets",7,IFERROR(lookup(1,1/SEARCH(B75,'OTPI Scores'!C:C),'OTPI Scores'!E:E),0))</f>
        <v>3</v>
      </c>
      <c r="J75" s="37"/>
      <c r="K75" s="37"/>
      <c r="L75" s="37"/>
      <c r="M75" s="37"/>
      <c r="N75" s="37"/>
      <c r="O75" s="37"/>
      <c r="P75" s="37"/>
      <c r="Q75" s="37"/>
      <c r="R75" s="37"/>
      <c r="S75" s="37"/>
      <c r="T75" s="37"/>
      <c r="U75" s="37"/>
      <c r="V75" s="37"/>
      <c r="W75" s="37"/>
      <c r="X75" s="37"/>
    </row>
    <row r="76">
      <c r="A76" s="37"/>
      <c r="B76" s="49" t="str">
        <f>IFERROR(__xludf.DUMMYFUNCTION("""COMPUTED_VALUE"""),"Daniel Baynton")</f>
        <v>Daniel Baynton</v>
      </c>
      <c r="C76" s="5">
        <v>10.0</v>
      </c>
      <c r="D76" s="3">
        <f>countif('OTPI Scores'!C:C,B76)</f>
        <v>0</v>
      </c>
      <c r="E76" s="3">
        <f t="shared" si="1"/>
        <v>0</v>
      </c>
      <c r="F76" s="3">
        <f>sumif('OTPI Scores'!C:C,B76,'OTPI Scores'!T:T)</f>
        <v>0</v>
      </c>
      <c r="G76" s="3" t="str">
        <f>SUMIF('Match Subs Filter'!E:E,B76,'Match Subs Filter'!F:F)+sumif('Bank Transfers'!B:B,B76,'Bank Transfers'!C:C)</f>
        <v>#N/A</v>
      </c>
      <c r="H76" s="50" t="str">
        <f t="shared" si="2"/>
        <v>#N/A</v>
      </c>
      <c r="I76" s="51">
        <f t="array" ref="I76">IF(IFERROR(lookup(1,1/SEARCH(B76,'OTPI Scores'!C:C),'OTPI Scores'!E:E),0)="Vets",7,IFERROR(lookup(1,1/SEARCH(B76,'OTPI Scores'!C:C),'OTPI Scores'!E:E),0))</f>
        <v>0</v>
      </c>
      <c r="J76" s="37"/>
      <c r="K76" s="37"/>
      <c r="L76" s="37"/>
      <c r="M76" s="37"/>
      <c r="N76" s="37"/>
      <c r="O76" s="37"/>
      <c r="P76" s="37"/>
      <c r="Q76" s="37"/>
      <c r="R76" s="37"/>
      <c r="S76" s="37"/>
      <c r="T76" s="37"/>
      <c r="U76" s="37"/>
      <c r="V76" s="37"/>
      <c r="W76" s="37"/>
      <c r="X76" s="37"/>
    </row>
    <row r="77">
      <c r="A77" s="37"/>
      <c r="B77" s="49" t="str">
        <f>IFERROR(__xludf.DUMMYFUNCTION("""COMPUTED_VALUE"""),"Daniel Januario")</f>
        <v>Daniel Januario</v>
      </c>
      <c r="C77" s="5">
        <v>10.0</v>
      </c>
      <c r="D77" s="3">
        <f>countif('OTPI Scores'!C:C,B77)</f>
        <v>0</v>
      </c>
      <c r="E77" s="3">
        <f t="shared" si="1"/>
        <v>0</v>
      </c>
      <c r="F77" s="3">
        <f>sumif('OTPI Scores'!C:C,B77,'OTPI Scores'!T:T)</f>
        <v>0</v>
      </c>
      <c r="G77" s="3" t="str">
        <f>SUMIF('Match Subs Filter'!E:E,B77,'Match Subs Filter'!F:F)+sumif('Bank Transfers'!B:B,B77,'Bank Transfers'!C:C)</f>
        <v>#N/A</v>
      </c>
      <c r="H77" s="50" t="str">
        <f t="shared" si="2"/>
        <v>#N/A</v>
      </c>
      <c r="I77" s="51">
        <f t="array" ref="I77">IF(IFERROR(lookup(1,1/SEARCH(B77,'OTPI Scores'!C:C),'OTPI Scores'!E:E),0)="Vets",7,IFERROR(lookup(1,1/SEARCH(B77,'OTPI Scores'!C:C),'OTPI Scores'!E:E),0))</f>
        <v>0</v>
      </c>
      <c r="J77" s="37"/>
      <c r="K77" s="37"/>
      <c r="L77" s="37"/>
      <c r="M77" s="37"/>
      <c r="N77" s="37"/>
      <c r="O77" s="37"/>
      <c r="P77" s="37"/>
      <c r="Q77" s="37"/>
      <c r="R77" s="37"/>
      <c r="S77" s="37"/>
      <c r="T77" s="37"/>
      <c r="U77" s="37"/>
      <c r="V77" s="37"/>
      <c r="W77" s="37"/>
      <c r="X77" s="37"/>
    </row>
    <row r="78">
      <c r="A78" s="37"/>
      <c r="B78" s="49" t="str">
        <f>IFERROR(__xludf.DUMMYFUNCTION("""COMPUTED_VALUE"""),"Daniel Ofili")</f>
        <v>Daniel Ofili</v>
      </c>
      <c r="C78" s="5">
        <v>10.0</v>
      </c>
      <c r="D78" s="3">
        <f>countif('OTPI Scores'!C:C,B78)</f>
        <v>0</v>
      </c>
      <c r="E78" s="3">
        <f t="shared" si="1"/>
        <v>0</v>
      </c>
      <c r="F78" s="3">
        <f>sumif('OTPI Scores'!C:C,B78,'OTPI Scores'!T:T)</f>
        <v>0</v>
      </c>
      <c r="G78" s="3" t="str">
        <f>SUMIF('Match Subs Filter'!E:E,B78,'Match Subs Filter'!F:F)+sumif('Bank Transfers'!B:B,B78,'Bank Transfers'!C:C)</f>
        <v>#N/A</v>
      </c>
      <c r="H78" s="50" t="str">
        <f t="shared" si="2"/>
        <v>#N/A</v>
      </c>
      <c r="I78" s="51">
        <f t="array" ref="I78">IF(IFERROR(lookup(1,1/SEARCH(B78,'OTPI Scores'!C:C),'OTPI Scores'!E:E),0)="Vets",7,IFERROR(lookup(1,1/SEARCH(B78,'OTPI Scores'!C:C),'OTPI Scores'!E:E),0))</f>
        <v>0</v>
      </c>
      <c r="J78" s="37"/>
      <c r="K78" s="37"/>
      <c r="L78" s="37"/>
      <c r="M78" s="37"/>
      <c r="N78" s="37"/>
      <c r="O78" s="37"/>
      <c r="P78" s="37"/>
      <c r="Q78" s="37"/>
      <c r="R78" s="37"/>
      <c r="S78" s="37"/>
      <c r="T78" s="37"/>
      <c r="U78" s="37"/>
      <c r="V78" s="37"/>
      <c r="W78" s="37"/>
      <c r="X78" s="37"/>
    </row>
    <row r="79">
      <c r="A79" s="37"/>
      <c r="B79" s="49" t="str">
        <f>IFERROR(__xludf.DUMMYFUNCTION("""COMPUTED_VALUE"""),"Daniel Salazar Ponce")</f>
        <v>Daniel Salazar Ponce</v>
      </c>
      <c r="C79" s="5">
        <v>10.0</v>
      </c>
      <c r="D79" s="3">
        <f>countif('OTPI Scores'!C:C,B79)</f>
        <v>1</v>
      </c>
      <c r="E79" s="3">
        <f t="shared" si="1"/>
        <v>10</v>
      </c>
      <c r="F79" s="3">
        <f>sumif('OTPI Scores'!C:C,B79,'OTPI Scores'!T:T)</f>
        <v>10</v>
      </c>
      <c r="G79" s="3" t="str">
        <f>SUMIF('Match Subs Filter'!E:E,B79,'Match Subs Filter'!F:F)+sumif('Bank Transfers'!B:B,B79,'Bank Transfers'!C:C)</f>
        <v>#N/A</v>
      </c>
      <c r="H79" s="50" t="str">
        <f t="shared" si="2"/>
        <v>#N/A</v>
      </c>
      <c r="I79" s="51">
        <f t="array" ref="I79">IF(IFERROR(lookup(1,1/SEARCH(B79,'OTPI Scores'!C:C),'OTPI Scores'!E:E),0)="Vets",7,IFERROR(lookup(1,1/SEARCH(B79,'OTPI Scores'!C:C),'OTPI Scores'!E:E),0))</f>
        <v>5</v>
      </c>
      <c r="J79" s="37"/>
      <c r="K79" s="37"/>
      <c r="L79" s="37"/>
      <c r="M79" s="37"/>
      <c r="N79" s="37"/>
      <c r="O79" s="37"/>
      <c r="P79" s="37"/>
      <c r="Q79" s="37"/>
      <c r="R79" s="37"/>
      <c r="S79" s="37"/>
      <c r="T79" s="37"/>
      <c r="U79" s="37"/>
      <c r="V79" s="37"/>
      <c r="W79" s="37"/>
      <c r="X79" s="37"/>
    </row>
    <row r="80">
      <c r="A80" s="37"/>
      <c r="B80" s="49" t="str">
        <f>IFERROR(__xludf.DUMMYFUNCTION("""COMPUTED_VALUE"""),"Daniel Sheehan")</f>
        <v>Daniel Sheehan</v>
      </c>
      <c r="C80" s="5">
        <v>10.0</v>
      </c>
      <c r="D80" s="3">
        <f>countif('OTPI Scores'!C:C,B80)</f>
        <v>11</v>
      </c>
      <c r="E80" s="3">
        <f t="shared" si="1"/>
        <v>110</v>
      </c>
      <c r="F80" s="3">
        <f>sumif('OTPI Scores'!C:C,B80,'OTPI Scores'!T:T)</f>
        <v>107</v>
      </c>
      <c r="G80" s="3" t="str">
        <f>SUMIF('Match Subs Filter'!E:E,B80,'Match Subs Filter'!F:F)+sumif('Bank Transfers'!B:B,B80,'Bank Transfers'!C:C)</f>
        <v>#N/A</v>
      </c>
      <c r="H80" s="50" t="str">
        <f t="shared" si="2"/>
        <v>#N/A</v>
      </c>
      <c r="I80" s="51">
        <f t="array" ref="I80">IF(IFERROR(lookup(1,1/SEARCH(B80,'OTPI Scores'!C:C),'OTPI Scores'!E:E),0)="Vets",7,IFERROR(lookup(1,1/SEARCH(B80,'OTPI Scores'!C:C),'OTPI Scores'!E:E),0))</f>
        <v>6</v>
      </c>
      <c r="J80" s="37"/>
      <c r="K80" s="37"/>
      <c r="L80" s="37"/>
      <c r="M80" s="37"/>
      <c r="N80" s="37"/>
      <c r="O80" s="37"/>
      <c r="P80" s="37"/>
      <c r="Q80" s="37"/>
      <c r="R80" s="37"/>
      <c r="S80" s="37"/>
      <c r="T80" s="37"/>
      <c r="U80" s="37"/>
      <c r="V80" s="37"/>
      <c r="W80" s="37"/>
      <c r="X80" s="37"/>
    </row>
    <row r="81">
      <c r="A81" s="37"/>
      <c r="B81" s="49" t="str">
        <f>IFERROR(__xludf.DUMMYFUNCTION("""COMPUTED_VALUE"""),"Daniel Shenas")</f>
        <v>Daniel Shenas</v>
      </c>
      <c r="C81" s="5">
        <v>10.0</v>
      </c>
      <c r="D81" s="3">
        <f>countif('OTPI Scores'!C:C,B81)</f>
        <v>0</v>
      </c>
      <c r="E81" s="3">
        <f t="shared" si="1"/>
        <v>0</v>
      </c>
      <c r="F81" s="3">
        <f>sumif('OTPI Scores'!C:C,B81,'OTPI Scores'!T:T)</f>
        <v>0</v>
      </c>
      <c r="G81" s="3" t="str">
        <f>SUMIF('Match Subs Filter'!E:E,B81,'Match Subs Filter'!F:F)+sumif('Bank Transfers'!B:B,B81,'Bank Transfers'!C:C)</f>
        <v>#N/A</v>
      </c>
      <c r="H81" s="50" t="str">
        <f t="shared" si="2"/>
        <v>#N/A</v>
      </c>
      <c r="I81" s="51">
        <f t="array" ref="I81">IF(IFERROR(lookup(1,1/SEARCH(B81,'OTPI Scores'!C:C),'OTPI Scores'!E:E),0)="Vets",7,IFERROR(lookup(1,1/SEARCH(B81,'OTPI Scores'!C:C),'OTPI Scores'!E:E),0))</f>
        <v>0</v>
      </c>
      <c r="J81" s="37"/>
      <c r="K81" s="37"/>
      <c r="L81" s="37"/>
      <c r="M81" s="37"/>
      <c r="N81" s="37"/>
      <c r="O81" s="37"/>
      <c r="P81" s="37"/>
      <c r="Q81" s="37"/>
      <c r="R81" s="37"/>
      <c r="S81" s="37"/>
      <c r="T81" s="37"/>
      <c r="U81" s="37"/>
      <c r="V81" s="37"/>
      <c r="W81" s="37"/>
      <c r="X81" s="37"/>
    </row>
    <row r="82">
      <c r="A82" s="37"/>
      <c r="B82" s="49" t="str">
        <f>IFERROR(__xludf.DUMMYFUNCTION("""COMPUTED_VALUE"""),"Danny Alford")</f>
        <v>Danny Alford</v>
      </c>
      <c r="C82" s="5">
        <v>10.0</v>
      </c>
      <c r="D82" s="3">
        <f>countif('OTPI Scores'!C:C,B82)</f>
        <v>0</v>
      </c>
      <c r="E82" s="3">
        <f t="shared" si="1"/>
        <v>0</v>
      </c>
      <c r="F82" s="3">
        <f>sumif('OTPI Scores'!C:C,B82,'OTPI Scores'!T:T)</f>
        <v>0</v>
      </c>
      <c r="G82" s="3" t="str">
        <f>SUMIF('Match Subs Filter'!E:E,B82,'Match Subs Filter'!F:F)+sumif('Bank Transfers'!B:B,B82,'Bank Transfers'!C:C)</f>
        <v>#N/A</v>
      </c>
      <c r="H82" s="50" t="str">
        <f t="shared" si="2"/>
        <v>#N/A</v>
      </c>
      <c r="I82" s="51">
        <f t="array" ref="I82">IF(IFERROR(lookup(1,1/SEARCH(B82,'OTPI Scores'!C:C),'OTPI Scores'!E:E),0)="Vets",7,IFERROR(lookup(1,1/SEARCH(B82,'OTPI Scores'!C:C),'OTPI Scores'!E:E),0))</f>
        <v>0</v>
      </c>
      <c r="J82" s="37"/>
      <c r="K82" s="37"/>
      <c r="L82" s="37"/>
      <c r="M82" s="37"/>
      <c r="N82" s="37"/>
      <c r="O82" s="37"/>
      <c r="P82" s="37"/>
      <c r="Q82" s="37"/>
      <c r="R82" s="37"/>
      <c r="S82" s="37"/>
      <c r="T82" s="37"/>
      <c r="U82" s="37"/>
      <c r="V82" s="37"/>
      <c r="W82" s="37"/>
      <c r="X82" s="37"/>
    </row>
    <row r="83">
      <c r="A83" s="37"/>
      <c r="B83" s="49" t="str">
        <f>IFERROR(__xludf.DUMMYFUNCTION("""COMPUTED_VALUE"""),"Danny Claeys")</f>
        <v>Danny Claeys</v>
      </c>
      <c r="C83" s="5">
        <v>10.0</v>
      </c>
      <c r="D83" s="3">
        <f>countif('OTPI Scores'!C:C,B83)</f>
        <v>0</v>
      </c>
      <c r="E83" s="3">
        <f t="shared" si="1"/>
        <v>0</v>
      </c>
      <c r="F83" s="3">
        <f>sumif('OTPI Scores'!C:C,B83,'OTPI Scores'!T:T)</f>
        <v>0</v>
      </c>
      <c r="G83" s="3" t="str">
        <f>SUMIF('Match Subs Filter'!E:E,B83,'Match Subs Filter'!F:F)+sumif('Bank Transfers'!B:B,B83,'Bank Transfers'!C:C)</f>
        <v>#N/A</v>
      </c>
      <c r="H83" s="50" t="str">
        <f t="shared" si="2"/>
        <v>#N/A</v>
      </c>
      <c r="I83" s="51">
        <f t="array" ref="I83">IF(IFERROR(lookup(1,1/SEARCH(B83,'OTPI Scores'!C:C),'OTPI Scores'!E:E),0)="Vets",7,IFERROR(lookup(1,1/SEARCH(B83,'OTPI Scores'!C:C),'OTPI Scores'!E:E),0))</f>
        <v>0</v>
      </c>
      <c r="J83" s="37"/>
      <c r="K83" s="37"/>
      <c r="L83" s="37"/>
      <c r="M83" s="37"/>
      <c r="N83" s="37"/>
      <c r="O83" s="37"/>
      <c r="P83" s="37"/>
      <c r="Q83" s="37"/>
      <c r="R83" s="37"/>
      <c r="S83" s="37"/>
      <c r="T83" s="37"/>
      <c r="U83" s="37"/>
      <c r="V83" s="37"/>
      <c r="W83" s="37"/>
      <c r="X83" s="37"/>
    </row>
    <row r="84">
      <c r="A84" s="37"/>
      <c r="B84" s="49" t="str">
        <f>IFERROR(__xludf.DUMMYFUNCTION("""COMPUTED_VALUE"""),"Dave OWen")</f>
        <v>Dave OWen</v>
      </c>
      <c r="C84" s="5">
        <v>10.0</v>
      </c>
      <c r="D84" s="3">
        <f>countif('OTPI Scores'!C:C,B84)</f>
        <v>0</v>
      </c>
      <c r="E84" s="3">
        <f t="shared" si="1"/>
        <v>0</v>
      </c>
      <c r="F84" s="3">
        <f>sumif('OTPI Scores'!C:C,B84,'OTPI Scores'!T:T)</f>
        <v>0</v>
      </c>
      <c r="G84" s="3" t="str">
        <f>SUMIF('Match Subs Filter'!E:E,B84,'Match Subs Filter'!F:F)+sumif('Bank Transfers'!B:B,B84,'Bank Transfers'!C:C)</f>
        <v>#N/A</v>
      </c>
      <c r="H84" s="50" t="str">
        <f t="shared" si="2"/>
        <v>#N/A</v>
      </c>
      <c r="I84" s="51">
        <f t="array" ref="I84">IF(IFERROR(lookup(1,1/SEARCH(B84,'OTPI Scores'!C:C),'OTPI Scores'!E:E),0)="Vets",7,IFERROR(lookup(1,1/SEARCH(B84,'OTPI Scores'!C:C),'OTPI Scores'!E:E),0))</f>
        <v>0</v>
      </c>
      <c r="J84" s="37"/>
      <c r="K84" s="37"/>
      <c r="L84" s="37"/>
      <c r="M84" s="37"/>
      <c r="N84" s="37"/>
      <c r="O84" s="37"/>
      <c r="P84" s="37"/>
      <c r="Q84" s="37"/>
      <c r="R84" s="37"/>
      <c r="S84" s="37"/>
      <c r="T84" s="37"/>
      <c r="U84" s="37"/>
      <c r="V84" s="37"/>
      <c r="W84" s="37"/>
      <c r="X84" s="37"/>
    </row>
    <row r="85">
      <c r="A85" s="37"/>
      <c r="B85" s="49" t="str">
        <f>IFERROR(__xludf.DUMMYFUNCTION("""COMPUTED_VALUE"""),"Dave Webster")</f>
        <v>Dave Webster</v>
      </c>
      <c r="C85" s="5">
        <v>10.0</v>
      </c>
      <c r="D85" s="3">
        <f>countif('OTPI Scores'!C:C,B85)</f>
        <v>3</v>
      </c>
      <c r="E85" s="3">
        <f t="shared" si="1"/>
        <v>30</v>
      </c>
      <c r="F85" s="3">
        <f>sumif('OTPI Scores'!C:C,B85,'OTPI Scores'!T:T)</f>
        <v>30</v>
      </c>
      <c r="G85" s="3" t="str">
        <f>SUMIF('Match Subs Filter'!E:E,B85,'Match Subs Filter'!F:F)+sumif('Bank Transfers'!B:B,B85,'Bank Transfers'!C:C)</f>
        <v>#N/A</v>
      </c>
      <c r="H85" s="50" t="str">
        <f t="shared" si="2"/>
        <v>#N/A</v>
      </c>
      <c r="I85" s="51">
        <f t="array" ref="I85">IF(IFERROR(lookup(1,1/SEARCH(B85,'OTPI Scores'!C:C),'OTPI Scores'!E:E),0)="Vets",7,IFERROR(lookup(1,1/SEARCH(B85,'OTPI Scores'!C:C),'OTPI Scores'!E:E),0))</f>
        <v>3</v>
      </c>
      <c r="J85" s="37"/>
      <c r="K85" s="37"/>
      <c r="L85" s="37"/>
      <c r="M85" s="37"/>
      <c r="N85" s="37"/>
      <c r="O85" s="37"/>
      <c r="P85" s="37"/>
      <c r="Q85" s="37"/>
      <c r="R85" s="37"/>
      <c r="S85" s="37"/>
      <c r="T85" s="37"/>
      <c r="U85" s="37"/>
      <c r="V85" s="37"/>
      <c r="W85" s="37"/>
      <c r="X85" s="37"/>
    </row>
    <row r="86">
      <c r="A86" s="37"/>
      <c r="B86" s="49" t="str">
        <f>IFERROR(__xludf.DUMMYFUNCTION("""COMPUTED_VALUE"""),"David Holmes-White")</f>
        <v>David Holmes-White</v>
      </c>
      <c r="C86" s="5">
        <v>10.0</v>
      </c>
      <c r="D86" s="3">
        <f>countif('OTPI Scores'!C:C,B86)</f>
        <v>15</v>
      </c>
      <c r="E86" s="3">
        <f t="shared" si="1"/>
        <v>150</v>
      </c>
      <c r="F86" s="3">
        <f>sumif('OTPI Scores'!C:C,B86,'OTPI Scores'!T:T)</f>
        <v>145</v>
      </c>
      <c r="G86" s="3" t="str">
        <f>SUMIF('Match Subs Filter'!E:E,B86,'Match Subs Filter'!F:F)+sumif('Bank Transfers'!B:B,B86,'Bank Transfers'!C:C)</f>
        <v>#N/A</v>
      </c>
      <c r="H86" s="50" t="str">
        <f t="shared" si="2"/>
        <v>#N/A</v>
      </c>
      <c r="I86" s="51">
        <f t="array" ref="I86">IF(IFERROR(lookup(1,1/SEARCH(B86,'OTPI Scores'!C:C),'OTPI Scores'!E:E),0)="Vets",7,IFERROR(lookup(1,1/SEARCH(B86,'OTPI Scores'!C:C),'OTPI Scores'!E:E),0))</f>
        <v>6</v>
      </c>
      <c r="J86" s="37"/>
      <c r="K86" s="37"/>
      <c r="L86" s="37"/>
      <c r="M86" s="37"/>
      <c r="N86" s="37"/>
      <c r="O86" s="37"/>
      <c r="P86" s="37"/>
      <c r="Q86" s="37"/>
      <c r="R86" s="37"/>
      <c r="S86" s="37"/>
      <c r="T86" s="37"/>
      <c r="U86" s="37"/>
      <c r="V86" s="37"/>
      <c r="W86" s="37"/>
      <c r="X86" s="37"/>
    </row>
    <row r="87">
      <c r="A87" s="37"/>
      <c r="B87" s="49" t="str">
        <f>IFERROR(__xludf.DUMMYFUNCTION("""COMPUTED_VALUE"""),"David Nderitu")</f>
        <v>David Nderitu</v>
      </c>
      <c r="C87" s="5">
        <v>10.0</v>
      </c>
      <c r="D87" s="3">
        <f>countif('OTPI Scores'!C:C,B87)</f>
        <v>0</v>
      </c>
      <c r="E87" s="3">
        <f t="shared" si="1"/>
        <v>0</v>
      </c>
      <c r="F87" s="3">
        <f>sumif('OTPI Scores'!C:C,B87,'OTPI Scores'!T:T)</f>
        <v>0</v>
      </c>
      <c r="G87" s="3" t="str">
        <f>SUMIF('Match Subs Filter'!E:E,B87,'Match Subs Filter'!F:F)+sumif('Bank Transfers'!B:B,B87,'Bank Transfers'!C:C)</f>
        <v>#N/A</v>
      </c>
      <c r="H87" s="50" t="str">
        <f t="shared" si="2"/>
        <v>#N/A</v>
      </c>
      <c r="I87" s="51">
        <f t="array" ref="I87">IF(IFERROR(lookup(1,1/SEARCH(B87,'OTPI Scores'!C:C),'OTPI Scores'!E:E),0)="Vets",7,IFERROR(lookup(1,1/SEARCH(B87,'OTPI Scores'!C:C),'OTPI Scores'!E:E),0))</f>
        <v>0</v>
      </c>
      <c r="J87" s="37"/>
      <c r="K87" s="37"/>
      <c r="L87" s="37"/>
      <c r="M87" s="37"/>
      <c r="N87" s="37"/>
      <c r="O87" s="37"/>
      <c r="P87" s="37"/>
      <c r="Q87" s="37"/>
      <c r="R87" s="37"/>
      <c r="S87" s="37"/>
      <c r="T87" s="37"/>
      <c r="U87" s="37"/>
      <c r="V87" s="37"/>
      <c r="W87" s="37"/>
      <c r="X87" s="37"/>
    </row>
    <row r="88">
      <c r="A88" s="37"/>
      <c r="B88" s="49" t="str">
        <f>IFERROR(__xludf.DUMMYFUNCTION("""COMPUTED_VALUE"""),"David Salvador")</f>
        <v>David Salvador</v>
      </c>
      <c r="C88" s="5">
        <v>10.0</v>
      </c>
      <c r="D88" s="3">
        <f>countif('OTPI Scores'!C:C,B88)</f>
        <v>0</v>
      </c>
      <c r="E88" s="3">
        <f t="shared" si="1"/>
        <v>0</v>
      </c>
      <c r="F88" s="3">
        <f>sumif('OTPI Scores'!C:C,B88,'OTPI Scores'!T:T)</f>
        <v>0</v>
      </c>
      <c r="G88" s="3" t="str">
        <f>SUMIF('Match Subs Filter'!E:E,B88,'Match Subs Filter'!F:F)+sumif('Bank Transfers'!B:B,B88,'Bank Transfers'!C:C)</f>
        <v>#N/A</v>
      </c>
      <c r="H88" s="50" t="str">
        <f t="shared" si="2"/>
        <v>#N/A</v>
      </c>
      <c r="I88" s="51">
        <f t="array" ref="I88">IF(IFERROR(lookup(1,1/SEARCH(B88,'OTPI Scores'!C:C),'OTPI Scores'!E:E),0)="Vets",7,IFERROR(lookup(1,1/SEARCH(B88,'OTPI Scores'!C:C),'OTPI Scores'!E:E),0))</f>
        <v>0</v>
      </c>
      <c r="J88" s="37"/>
      <c r="K88" s="37"/>
      <c r="L88" s="37"/>
      <c r="M88" s="37"/>
      <c r="N88" s="37"/>
      <c r="O88" s="37"/>
      <c r="P88" s="37"/>
      <c r="Q88" s="37"/>
      <c r="R88" s="37"/>
      <c r="S88" s="37"/>
      <c r="T88" s="37"/>
      <c r="U88" s="37"/>
      <c r="V88" s="37"/>
      <c r="W88" s="37"/>
      <c r="X88" s="37"/>
    </row>
    <row r="89">
      <c r="A89" s="37"/>
      <c r="B89" s="49" t="str">
        <f>IFERROR(__xludf.DUMMYFUNCTION("""COMPUTED_VALUE"""),"Dean Owusu Sarpong")</f>
        <v>Dean Owusu Sarpong</v>
      </c>
      <c r="C89" s="5">
        <v>10.0</v>
      </c>
      <c r="D89" s="3">
        <f>countif('OTPI Scores'!C:C,B89)</f>
        <v>0</v>
      </c>
      <c r="E89" s="3">
        <f t="shared" si="1"/>
        <v>0</v>
      </c>
      <c r="F89" s="3">
        <f>sumif('OTPI Scores'!C:C,B89,'OTPI Scores'!T:T)</f>
        <v>0</v>
      </c>
      <c r="G89" s="3" t="str">
        <f>SUMIF('Match Subs Filter'!E:E,B89,'Match Subs Filter'!F:F)+sumif('Bank Transfers'!B:B,B89,'Bank Transfers'!C:C)</f>
        <v>#N/A</v>
      </c>
      <c r="H89" s="50" t="str">
        <f t="shared" si="2"/>
        <v>#N/A</v>
      </c>
      <c r="I89" s="51">
        <f t="array" ref="I89">IF(IFERROR(lookup(1,1/SEARCH(B89,'OTPI Scores'!C:C),'OTPI Scores'!E:E),0)="Vets",7,IFERROR(lookup(1,1/SEARCH(B89,'OTPI Scores'!C:C),'OTPI Scores'!E:E),0))</f>
        <v>0</v>
      </c>
      <c r="J89" s="37"/>
      <c r="K89" s="37"/>
      <c r="L89" s="37"/>
      <c r="M89" s="37"/>
      <c r="N89" s="37"/>
      <c r="O89" s="37"/>
      <c r="P89" s="37"/>
      <c r="Q89" s="37"/>
      <c r="R89" s="37"/>
      <c r="S89" s="37"/>
      <c r="T89" s="37"/>
      <c r="U89" s="37"/>
      <c r="V89" s="37"/>
      <c r="W89" s="37"/>
      <c r="X89" s="37"/>
    </row>
    <row r="90">
      <c r="A90" s="37"/>
      <c r="B90" s="49" t="str">
        <f>IFERROR(__xludf.DUMMYFUNCTION("""COMPUTED_VALUE"""),"Dean Wright")</f>
        <v>Dean Wright</v>
      </c>
      <c r="C90" s="5">
        <v>10.0</v>
      </c>
      <c r="D90" s="3">
        <f>countif('OTPI Scores'!C:C,B90)</f>
        <v>8</v>
      </c>
      <c r="E90" s="3">
        <f t="shared" si="1"/>
        <v>80</v>
      </c>
      <c r="F90" s="3">
        <f>sumif('OTPI Scores'!C:C,B90,'OTPI Scores'!T:T)</f>
        <v>80</v>
      </c>
      <c r="G90" s="3" t="str">
        <f>SUMIF('Match Subs Filter'!E:E,B90,'Match Subs Filter'!F:F)+sumif('Bank Transfers'!B:B,B90,'Bank Transfers'!C:C)</f>
        <v>#N/A</v>
      </c>
      <c r="H90" s="50" t="str">
        <f t="shared" si="2"/>
        <v>#N/A</v>
      </c>
      <c r="I90" s="51">
        <f t="array" ref="I90">IF(IFERROR(lookup(1,1/SEARCH(B90,'OTPI Scores'!C:C),'OTPI Scores'!E:E),0)="Vets",7,IFERROR(lookup(1,1/SEARCH(B90,'OTPI Scores'!C:C),'OTPI Scores'!E:E),0))</f>
        <v>4</v>
      </c>
      <c r="J90" s="37"/>
      <c r="K90" s="37"/>
      <c r="L90" s="37"/>
      <c r="M90" s="37"/>
      <c r="N90" s="37"/>
      <c r="O90" s="37"/>
      <c r="P90" s="37"/>
      <c r="Q90" s="37"/>
      <c r="R90" s="37"/>
      <c r="S90" s="37"/>
      <c r="T90" s="37"/>
      <c r="U90" s="37"/>
      <c r="V90" s="37"/>
      <c r="W90" s="37"/>
      <c r="X90" s="37"/>
    </row>
    <row r="91">
      <c r="A91" s="37"/>
      <c r="B91" s="49" t="str">
        <f>IFERROR(__xludf.DUMMYFUNCTION("""COMPUTED_VALUE"""),"Deji Ogunyemi")</f>
        <v>Deji Ogunyemi</v>
      </c>
      <c r="C91" s="5">
        <v>10.0</v>
      </c>
      <c r="D91" s="3">
        <f>countif('OTPI Scores'!C:C,B91)</f>
        <v>16</v>
      </c>
      <c r="E91" s="3">
        <f t="shared" si="1"/>
        <v>160</v>
      </c>
      <c r="F91" s="3">
        <f>sumif('OTPI Scores'!C:C,B91,'OTPI Scores'!T:T)</f>
        <v>150</v>
      </c>
      <c r="G91" s="3" t="str">
        <f>SUMIF('Match Subs Filter'!E:E,B91,'Match Subs Filter'!F:F)+sumif('Bank Transfers'!B:B,B91,'Bank Transfers'!C:C)</f>
        <v>#N/A</v>
      </c>
      <c r="H91" s="50" t="str">
        <f t="shared" si="2"/>
        <v>#N/A</v>
      </c>
      <c r="I91" s="51">
        <f t="array" ref="I91">IF(IFERROR(lookup(1,1/SEARCH(B91,'OTPI Scores'!C:C),'OTPI Scores'!E:E),0)="Vets",7,IFERROR(lookup(1,1/SEARCH(B91,'OTPI Scores'!C:C),'OTPI Scores'!E:E),0))</f>
        <v>5</v>
      </c>
      <c r="J91" s="37"/>
      <c r="K91" s="37"/>
      <c r="L91" s="37"/>
      <c r="M91" s="37"/>
      <c r="N91" s="37"/>
      <c r="O91" s="37"/>
      <c r="P91" s="37"/>
      <c r="Q91" s="37"/>
      <c r="R91" s="37"/>
      <c r="S91" s="37"/>
      <c r="T91" s="37"/>
      <c r="U91" s="37"/>
      <c r="V91" s="37"/>
      <c r="W91" s="37"/>
      <c r="X91" s="37"/>
    </row>
    <row r="92">
      <c r="A92" s="37"/>
      <c r="B92" s="49" t="str">
        <f>IFERROR(__xludf.DUMMYFUNCTION("""COMPUTED_VALUE"""),"Demari Joseph-Lawrence")</f>
        <v>Demari Joseph-Lawrence</v>
      </c>
      <c r="C92" s="5">
        <v>10.0</v>
      </c>
      <c r="D92" s="3">
        <f>countif('OTPI Scores'!C:C,B92)</f>
        <v>0</v>
      </c>
      <c r="E92" s="3">
        <f t="shared" si="1"/>
        <v>0</v>
      </c>
      <c r="F92" s="3">
        <f>sumif('OTPI Scores'!C:C,B92,'OTPI Scores'!T:T)</f>
        <v>0</v>
      </c>
      <c r="G92" s="3" t="str">
        <f>SUMIF('Match Subs Filter'!E:E,B92,'Match Subs Filter'!F:F)+sumif('Bank Transfers'!B:B,B92,'Bank Transfers'!C:C)</f>
        <v>#N/A</v>
      </c>
      <c r="H92" s="50" t="str">
        <f t="shared" si="2"/>
        <v>#N/A</v>
      </c>
      <c r="I92" s="51">
        <f t="array" ref="I92">IF(IFERROR(lookup(1,1/SEARCH(B92,'OTPI Scores'!C:C),'OTPI Scores'!E:E),0)="Vets",7,IFERROR(lookup(1,1/SEARCH(B92,'OTPI Scores'!C:C),'OTPI Scores'!E:E),0))</f>
        <v>0</v>
      </c>
      <c r="J92" s="37"/>
      <c r="K92" s="37"/>
      <c r="L92" s="37"/>
      <c r="M92" s="37"/>
      <c r="N92" s="37"/>
      <c r="O92" s="37"/>
      <c r="P92" s="37"/>
      <c r="Q92" s="37"/>
      <c r="R92" s="37"/>
      <c r="S92" s="37"/>
      <c r="T92" s="37"/>
      <c r="U92" s="37"/>
      <c r="V92" s="37"/>
      <c r="W92" s="37"/>
      <c r="X92" s="37"/>
    </row>
    <row r="93">
      <c r="A93" s="37"/>
      <c r="B93" s="49" t="str">
        <f>IFERROR(__xludf.DUMMYFUNCTION("""COMPUTED_VALUE"""),"Denver Lalonde")</f>
        <v>Denver Lalonde</v>
      </c>
      <c r="C93" s="5">
        <v>10.0</v>
      </c>
      <c r="D93" s="3">
        <f>countif('OTPI Scores'!C:C,B93)</f>
        <v>21</v>
      </c>
      <c r="E93" s="3">
        <f t="shared" si="1"/>
        <v>210</v>
      </c>
      <c r="F93" s="3">
        <f>sumif('OTPI Scores'!C:C,B93,'OTPI Scores'!T:T)</f>
        <v>29</v>
      </c>
      <c r="G93" s="3" t="str">
        <f>SUMIF('Match Subs Filter'!E:E,B93,'Match Subs Filter'!F:F)+sumif('Bank Transfers'!B:B,B93,'Bank Transfers'!C:C)</f>
        <v>#N/A</v>
      </c>
      <c r="H93" s="50" t="str">
        <f t="shared" si="2"/>
        <v>#N/A</v>
      </c>
      <c r="I93" s="51">
        <f t="array" ref="I93">IF(IFERROR(lookup(1,1/SEARCH(B93,'OTPI Scores'!C:C),'OTPI Scores'!E:E),0)="Vets",7,IFERROR(lookup(1,1/SEARCH(B93,'OTPI Scores'!C:C),'OTPI Scores'!E:E),0))</f>
        <v>3</v>
      </c>
      <c r="J93" s="37"/>
      <c r="K93" s="37"/>
      <c r="L93" s="37"/>
      <c r="M93" s="37"/>
      <c r="N93" s="37"/>
      <c r="O93" s="37"/>
      <c r="P93" s="37"/>
      <c r="Q93" s="37"/>
      <c r="R93" s="37"/>
      <c r="S93" s="37"/>
      <c r="T93" s="37"/>
      <c r="U93" s="37"/>
      <c r="V93" s="37"/>
      <c r="W93" s="37"/>
      <c r="X93" s="37"/>
    </row>
    <row r="94">
      <c r="A94" s="37"/>
      <c r="B94" s="49" t="str">
        <f>IFERROR(__xludf.DUMMYFUNCTION("""COMPUTED_VALUE"""),"Dereece Pinder")</f>
        <v>Dereece Pinder</v>
      </c>
      <c r="C94" s="5">
        <v>10.0</v>
      </c>
      <c r="D94" s="3">
        <f>countif('OTPI Scores'!C:C,B94)</f>
        <v>2</v>
      </c>
      <c r="E94" s="3">
        <f t="shared" si="1"/>
        <v>20</v>
      </c>
      <c r="F94" s="3">
        <f>sumif('OTPI Scores'!C:C,B94,'OTPI Scores'!T:T)</f>
        <v>20</v>
      </c>
      <c r="G94" s="3" t="str">
        <f>SUMIF('Match Subs Filter'!E:E,B94,'Match Subs Filter'!F:F)+sumif('Bank Transfers'!B:B,B94,'Bank Transfers'!C:C)</f>
        <v>#N/A</v>
      </c>
      <c r="H94" s="50" t="str">
        <f t="shared" si="2"/>
        <v>#N/A</v>
      </c>
      <c r="I94" s="51">
        <f t="array" ref="I94">IF(IFERROR(lookup(1,1/SEARCH(B94,'OTPI Scores'!C:C),'OTPI Scores'!E:E),0)="Vets",7,IFERROR(lookup(1,1/SEARCH(B94,'OTPI Scores'!C:C),'OTPI Scores'!E:E),0))</f>
        <v>6</v>
      </c>
      <c r="J94" s="37"/>
      <c r="K94" s="37"/>
      <c r="L94" s="37"/>
      <c r="M94" s="37"/>
      <c r="N94" s="37"/>
      <c r="O94" s="37"/>
      <c r="P94" s="37"/>
      <c r="Q94" s="37"/>
      <c r="R94" s="37"/>
      <c r="S94" s="37"/>
      <c r="T94" s="37"/>
      <c r="U94" s="37"/>
      <c r="V94" s="37"/>
      <c r="W94" s="37"/>
      <c r="X94" s="37"/>
    </row>
    <row r="95">
      <c r="A95" s="37"/>
      <c r="B95" s="49" t="str">
        <f>IFERROR(__xludf.DUMMYFUNCTION("""COMPUTED_VALUE"""),"Dmitry Firsanov")</f>
        <v>Dmitry Firsanov</v>
      </c>
      <c r="C95" s="5">
        <v>10.0</v>
      </c>
      <c r="D95" s="3">
        <f>countif('OTPI Scores'!C:C,B95)</f>
        <v>0</v>
      </c>
      <c r="E95" s="3">
        <f t="shared" si="1"/>
        <v>0</v>
      </c>
      <c r="F95" s="3">
        <f>sumif('OTPI Scores'!C:C,B95,'OTPI Scores'!T:T)</f>
        <v>0</v>
      </c>
      <c r="G95" s="3" t="str">
        <f>SUMIF('Match Subs Filter'!E:E,B95,'Match Subs Filter'!F:F)+sumif('Bank Transfers'!B:B,B95,'Bank Transfers'!C:C)</f>
        <v>#N/A</v>
      </c>
      <c r="H95" s="50" t="str">
        <f t="shared" si="2"/>
        <v>#N/A</v>
      </c>
      <c r="I95" s="51">
        <f t="array" ref="I95">IF(IFERROR(lookup(1,1/SEARCH(B95,'OTPI Scores'!C:C),'OTPI Scores'!E:E),0)="Vets",7,IFERROR(lookup(1,1/SEARCH(B95,'OTPI Scores'!C:C),'OTPI Scores'!E:E),0))</f>
        <v>0</v>
      </c>
      <c r="J95" s="37"/>
      <c r="K95" s="37"/>
      <c r="L95" s="37"/>
      <c r="M95" s="37"/>
      <c r="N95" s="37"/>
      <c r="O95" s="37"/>
      <c r="P95" s="37"/>
      <c r="Q95" s="37"/>
      <c r="R95" s="37"/>
      <c r="S95" s="37"/>
      <c r="T95" s="37"/>
      <c r="U95" s="37"/>
      <c r="V95" s="37"/>
      <c r="W95" s="37"/>
      <c r="X95" s="37"/>
    </row>
    <row r="96">
      <c r="A96" s="37"/>
      <c r="B96" s="49" t="str">
        <f>IFERROR(__xludf.DUMMYFUNCTION("""COMPUTED_VALUE"""),"Dom Robbins")</f>
        <v>Dom Robbins</v>
      </c>
      <c r="C96" s="5">
        <v>10.0</v>
      </c>
      <c r="D96" s="3">
        <f>countif('OTPI Scores'!C:C,B96)</f>
        <v>8</v>
      </c>
      <c r="E96" s="3">
        <f t="shared" si="1"/>
        <v>80</v>
      </c>
      <c r="F96" s="3">
        <f>sumif('OTPI Scores'!C:C,B96,'OTPI Scores'!T:T)</f>
        <v>40</v>
      </c>
      <c r="G96" s="3" t="str">
        <f>SUMIF('Match Subs Filter'!E:E,B96,'Match Subs Filter'!F:F)+sumif('Bank Transfers'!B:B,B96,'Bank Transfers'!C:C)</f>
        <v>#N/A</v>
      </c>
      <c r="H96" s="50" t="str">
        <f t="shared" si="2"/>
        <v>#N/A</v>
      </c>
      <c r="I96" s="51">
        <f t="array" ref="I96">IF(IFERROR(lookup(1,1/SEARCH(B96,'OTPI Scores'!C:C),'OTPI Scores'!E:E),0)="Vets",7,IFERROR(lookup(1,1/SEARCH(B96,'OTPI Scores'!C:C),'OTPI Scores'!E:E),0))</f>
        <v>3</v>
      </c>
      <c r="J96" s="37"/>
      <c r="K96" s="37"/>
      <c r="L96" s="37"/>
      <c r="M96" s="37"/>
      <c r="N96" s="37"/>
      <c r="O96" s="37"/>
      <c r="P96" s="37"/>
      <c r="Q96" s="37"/>
      <c r="R96" s="37"/>
      <c r="S96" s="37"/>
      <c r="T96" s="37"/>
      <c r="U96" s="37"/>
      <c r="V96" s="37"/>
      <c r="W96" s="37"/>
      <c r="X96" s="37"/>
    </row>
    <row r="97">
      <c r="A97" s="37"/>
      <c r="B97" s="49" t="str">
        <f>IFERROR(__xludf.DUMMYFUNCTION("""COMPUTED_VALUE"""),"Dominic Robbins")</f>
        <v>Dominic Robbins</v>
      </c>
      <c r="C97" s="5">
        <v>10.0</v>
      </c>
      <c r="D97" s="3">
        <f>countif('OTPI Scores'!C:C,B97)</f>
        <v>0</v>
      </c>
      <c r="E97" s="3">
        <f t="shared" si="1"/>
        <v>0</v>
      </c>
      <c r="F97" s="3">
        <f>sumif('OTPI Scores'!C:C,B97,'OTPI Scores'!T:T)</f>
        <v>0</v>
      </c>
      <c r="G97" s="3" t="str">
        <f>SUMIF('Match Subs Filter'!E:E,B97,'Match Subs Filter'!F:F)+sumif('Bank Transfers'!B:B,B97,'Bank Transfers'!C:C)</f>
        <v>#N/A</v>
      </c>
      <c r="H97" s="50" t="str">
        <f t="shared" si="2"/>
        <v>#N/A</v>
      </c>
      <c r="I97" s="51">
        <f t="array" ref="I97">IF(IFERROR(lookup(1,1/SEARCH(B97,'OTPI Scores'!C:C),'OTPI Scores'!E:E),0)="Vets",7,IFERROR(lookup(1,1/SEARCH(B97,'OTPI Scores'!C:C),'OTPI Scores'!E:E),0))</f>
        <v>0</v>
      </c>
      <c r="J97" s="37"/>
      <c r="K97" s="37"/>
      <c r="L97" s="37"/>
      <c r="M97" s="37"/>
      <c r="N97" s="37"/>
      <c r="O97" s="37"/>
      <c r="P97" s="37"/>
      <c r="Q97" s="37"/>
      <c r="R97" s="37"/>
      <c r="S97" s="37"/>
      <c r="T97" s="37"/>
      <c r="U97" s="37"/>
      <c r="V97" s="37"/>
      <c r="W97" s="37"/>
      <c r="X97" s="37"/>
    </row>
    <row r="98">
      <c r="A98" s="37"/>
      <c r="B98" s="49" t="str">
        <f>IFERROR(__xludf.DUMMYFUNCTION("""COMPUTED_VALUE"""),"Drew Page")</f>
        <v>Drew Page</v>
      </c>
      <c r="C98" s="5">
        <v>10.0</v>
      </c>
      <c r="D98" s="3">
        <f>countif('OTPI Scores'!C:C,B98)</f>
        <v>0</v>
      </c>
      <c r="E98" s="3">
        <f t="shared" si="1"/>
        <v>0</v>
      </c>
      <c r="F98" s="3">
        <f>sumif('OTPI Scores'!C:C,B98,'OTPI Scores'!T:T)</f>
        <v>0</v>
      </c>
      <c r="G98" s="3" t="str">
        <f>SUMIF('Match Subs Filter'!E:E,B98,'Match Subs Filter'!F:F)+sumif('Bank Transfers'!B:B,B98,'Bank Transfers'!C:C)</f>
        <v>#N/A</v>
      </c>
      <c r="H98" s="50" t="str">
        <f t="shared" si="2"/>
        <v>#N/A</v>
      </c>
      <c r="I98" s="51">
        <f t="array" ref="I98">IF(IFERROR(lookup(1,1/SEARCH(B98,'OTPI Scores'!C:C),'OTPI Scores'!E:E),0)="Vets",7,IFERROR(lookup(1,1/SEARCH(B98,'OTPI Scores'!C:C),'OTPI Scores'!E:E),0))</f>
        <v>0</v>
      </c>
      <c r="J98" s="37"/>
      <c r="K98" s="37"/>
      <c r="L98" s="37"/>
      <c r="M98" s="37"/>
      <c r="N98" s="37"/>
      <c r="O98" s="37"/>
      <c r="P98" s="37"/>
      <c r="Q98" s="37"/>
      <c r="R98" s="37"/>
      <c r="S98" s="37"/>
      <c r="T98" s="37"/>
      <c r="U98" s="37"/>
      <c r="V98" s="37"/>
      <c r="W98" s="37"/>
      <c r="X98" s="37"/>
    </row>
    <row r="99">
      <c r="A99" s="37"/>
      <c r="B99" s="49" t="str">
        <f>IFERROR(__xludf.DUMMYFUNCTION("""COMPUTED_VALUE"""),"Eamon Smith")</f>
        <v>Eamon Smith</v>
      </c>
      <c r="C99" s="5">
        <v>10.0</v>
      </c>
      <c r="D99" s="3">
        <f>countif('OTPI Scores'!C:C,B99)</f>
        <v>0</v>
      </c>
      <c r="E99" s="3">
        <f t="shared" si="1"/>
        <v>0</v>
      </c>
      <c r="F99" s="3">
        <f>sumif('OTPI Scores'!C:C,B99,'OTPI Scores'!T:T)</f>
        <v>0</v>
      </c>
      <c r="G99" s="3" t="str">
        <f>SUMIF('Match Subs Filter'!E:E,B99,'Match Subs Filter'!F:F)+sumif('Bank Transfers'!B:B,B99,'Bank Transfers'!C:C)</f>
        <v>#N/A</v>
      </c>
      <c r="H99" s="50" t="str">
        <f t="shared" si="2"/>
        <v>#N/A</v>
      </c>
      <c r="I99" s="51">
        <f t="array" ref="I99">IF(IFERROR(lookup(1,1/SEARCH(B99,'OTPI Scores'!C:C),'OTPI Scores'!E:E),0)="Vets",7,IFERROR(lookup(1,1/SEARCH(B99,'OTPI Scores'!C:C),'OTPI Scores'!E:E),0))</f>
        <v>0</v>
      </c>
      <c r="J99" s="37"/>
      <c r="K99" s="37"/>
      <c r="L99" s="37"/>
      <c r="M99" s="37"/>
      <c r="N99" s="37"/>
      <c r="O99" s="37"/>
      <c r="P99" s="37"/>
      <c r="Q99" s="37"/>
      <c r="R99" s="37"/>
      <c r="S99" s="37"/>
      <c r="T99" s="37"/>
      <c r="U99" s="37"/>
      <c r="V99" s="37"/>
      <c r="W99" s="37"/>
      <c r="X99" s="37"/>
    </row>
    <row r="100">
      <c r="A100" s="37"/>
      <c r="B100" s="49" t="str">
        <f>IFERROR(__xludf.DUMMYFUNCTION("""COMPUTED_VALUE"""),"Ed Lewis")</f>
        <v>Ed Lewis</v>
      </c>
      <c r="C100" s="5">
        <v>10.0</v>
      </c>
      <c r="D100" s="3">
        <f>countif('OTPI Scores'!C:C,B100)</f>
        <v>0</v>
      </c>
      <c r="E100" s="3">
        <f t="shared" si="1"/>
        <v>0</v>
      </c>
      <c r="F100" s="3">
        <f>sumif('OTPI Scores'!C:C,B100,'OTPI Scores'!T:T)</f>
        <v>0</v>
      </c>
      <c r="G100" s="3" t="str">
        <f>SUMIF('Match Subs Filter'!E:E,B100,'Match Subs Filter'!F:F)+sumif('Bank Transfers'!B:B,B100,'Bank Transfers'!C:C)</f>
        <v>#N/A</v>
      </c>
      <c r="H100" s="50" t="str">
        <f t="shared" si="2"/>
        <v>#N/A</v>
      </c>
      <c r="I100" s="51">
        <f t="array" ref="I100">IF(IFERROR(lookup(1,1/SEARCH(B100,'OTPI Scores'!C:C),'OTPI Scores'!E:E),0)="Vets",7,IFERROR(lookup(1,1/SEARCH(B100,'OTPI Scores'!C:C),'OTPI Scores'!E:E),0))</f>
        <v>0</v>
      </c>
      <c r="J100" s="37"/>
      <c r="K100" s="37"/>
      <c r="L100" s="37"/>
      <c r="M100" s="37"/>
      <c r="N100" s="37"/>
      <c r="O100" s="37"/>
      <c r="P100" s="37"/>
      <c r="Q100" s="37"/>
      <c r="R100" s="37"/>
      <c r="S100" s="37"/>
      <c r="T100" s="37"/>
      <c r="U100" s="37"/>
      <c r="V100" s="37"/>
      <c r="W100" s="37"/>
      <c r="X100" s="37"/>
    </row>
    <row r="101">
      <c r="A101" s="37"/>
      <c r="B101" s="49" t="str">
        <f>IFERROR(__xludf.DUMMYFUNCTION("""COMPUTED_VALUE"""),"Ed Wightman")</f>
        <v>Ed Wightman</v>
      </c>
      <c r="C101" s="5">
        <v>10.0</v>
      </c>
      <c r="D101" s="3">
        <f>countif('OTPI Scores'!C:C,B101)</f>
        <v>10</v>
      </c>
      <c r="E101" s="3">
        <f t="shared" si="1"/>
        <v>100</v>
      </c>
      <c r="F101" s="3">
        <f>sumif('OTPI Scores'!C:C,B101,'OTPI Scores'!T:T)</f>
        <v>95</v>
      </c>
      <c r="G101" s="3" t="str">
        <f>SUMIF('Match Subs Filter'!E:E,B101,'Match Subs Filter'!F:F)+sumif('Bank Transfers'!B:B,B101,'Bank Transfers'!C:C)</f>
        <v>#N/A</v>
      </c>
      <c r="H101" s="50" t="str">
        <f t="shared" si="2"/>
        <v>#N/A</v>
      </c>
      <c r="I101" s="51">
        <f t="array" ref="I101">IF(IFERROR(lookup(1,1/SEARCH(B101,'OTPI Scores'!C:C),'OTPI Scores'!E:E),0)="Vets",7,IFERROR(lookup(1,1/SEARCH(B101,'OTPI Scores'!C:C),'OTPI Scores'!E:E),0))</f>
        <v>4</v>
      </c>
      <c r="J101" s="37"/>
      <c r="K101" s="37"/>
      <c r="L101" s="37"/>
      <c r="M101" s="37"/>
      <c r="N101" s="37"/>
      <c r="O101" s="37"/>
      <c r="P101" s="37"/>
      <c r="Q101" s="37"/>
      <c r="R101" s="37"/>
      <c r="S101" s="37"/>
      <c r="T101" s="37"/>
      <c r="U101" s="37"/>
      <c r="V101" s="37"/>
      <c r="W101" s="37"/>
      <c r="X101" s="37"/>
    </row>
    <row r="102">
      <c r="A102" s="37"/>
      <c r="B102" s="49" t="str">
        <f>IFERROR(__xludf.DUMMYFUNCTION("""COMPUTED_VALUE"""),"Edward Caicedo")</f>
        <v>Edward Caicedo</v>
      </c>
      <c r="C102" s="5">
        <v>10.0</v>
      </c>
      <c r="D102" s="3">
        <f>countif('OTPI Scores'!C:C,B102)</f>
        <v>0</v>
      </c>
      <c r="E102" s="3">
        <f t="shared" si="1"/>
        <v>0</v>
      </c>
      <c r="F102" s="3">
        <f>sumif('OTPI Scores'!C:C,B102,'OTPI Scores'!T:T)</f>
        <v>0</v>
      </c>
      <c r="G102" s="3" t="str">
        <f>SUMIF('Match Subs Filter'!E:E,B102,'Match Subs Filter'!F:F)+sumif('Bank Transfers'!B:B,B102,'Bank Transfers'!C:C)</f>
        <v>#N/A</v>
      </c>
      <c r="H102" s="50" t="str">
        <f t="shared" si="2"/>
        <v>#N/A</v>
      </c>
      <c r="I102" s="51">
        <f t="array" ref="I102">IF(IFERROR(lookup(1,1/SEARCH(B102,'OTPI Scores'!C:C),'OTPI Scores'!E:E),0)="Vets",7,IFERROR(lookup(1,1/SEARCH(B102,'OTPI Scores'!C:C),'OTPI Scores'!E:E),0))</f>
        <v>0</v>
      </c>
      <c r="J102" s="37"/>
      <c r="K102" s="37"/>
      <c r="L102" s="37"/>
      <c r="M102" s="37"/>
      <c r="N102" s="37"/>
      <c r="O102" s="37"/>
      <c r="P102" s="37"/>
      <c r="Q102" s="37"/>
      <c r="R102" s="37"/>
      <c r="S102" s="37"/>
      <c r="T102" s="37"/>
      <c r="U102" s="37"/>
      <c r="V102" s="37"/>
      <c r="W102" s="37"/>
      <c r="X102" s="37"/>
    </row>
    <row r="103">
      <c r="A103" s="37"/>
      <c r="B103" s="49" t="str">
        <f>IFERROR(__xludf.DUMMYFUNCTION("""COMPUTED_VALUE"""),"Elinton Aliai")</f>
        <v>Elinton Aliai</v>
      </c>
      <c r="C103" s="5">
        <v>10.0</v>
      </c>
      <c r="D103" s="3">
        <f>countif('OTPI Scores'!C:C,B103)</f>
        <v>0</v>
      </c>
      <c r="E103" s="3">
        <f t="shared" si="1"/>
        <v>0</v>
      </c>
      <c r="F103" s="3">
        <f>sumif('OTPI Scores'!C:C,B103,'OTPI Scores'!T:T)</f>
        <v>0</v>
      </c>
      <c r="G103" s="3" t="str">
        <f>SUMIF('Match Subs Filter'!E:E,B103,'Match Subs Filter'!F:F)+sumif('Bank Transfers'!B:B,B103,'Bank Transfers'!C:C)</f>
        <v>#N/A</v>
      </c>
      <c r="H103" s="50" t="str">
        <f t="shared" si="2"/>
        <v>#N/A</v>
      </c>
      <c r="I103" s="51">
        <f t="array" ref="I103">IF(IFERROR(lookup(1,1/SEARCH(B103,'OTPI Scores'!C:C),'OTPI Scores'!E:E),0)="Vets",7,IFERROR(lookup(1,1/SEARCH(B103,'OTPI Scores'!C:C),'OTPI Scores'!E:E),0))</f>
        <v>0</v>
      </c>
      <c r="J103" s="37"/>
      <c r="K103" s="37"/>
      <c r="L103" s="37"/>
      <c r="M103" s="37"/>
      <c r="N103" s="37"/>
      <c r="O103" s="37"/>
      <c r="P103" s="37"/>
      <c r="Q103" s="37"/>
      <c r="R103" s="37"/>
      <c r="S103" s="37"/>
      <c r="T103" s="37"/>
      <c r="U103" s="37"/>
      <c r="V103" s="37"/>
      <c r="W103" s="37"/>
      <c r="X103" s="37"/>
    </row>
    <row r="104">
      <c r="A104" s="37"/>
      <c r="B104" s="49" t="str">
        <f>IFERROR(__xludf.DUMMYFUNCTION("""COMPUTED_VALUE"""),"Ellis Forrester")</f>
        <v>Ellis Forrester</v>
      </c>
      <c r="C104" s="5">
        <v>10.0</v>
      </c>
      <c r="D104" s="3">
        <f>countif('OTPI Scores'!C:C,B104)</f>
        <v>21</v>
      </c>
      <c r="E104" s="3">
        <f t="shared" si="1"/>
        <v>210</v>
      </c>
      <c r="F104" s="3">
        <f>sumif('OTPI Scores'!C:C,B104,'OTPI Scores'!T:T)</f>
        <v>92.5</v>
      </c>
      <c r="G104" s="3" t="str">
        <f>SUMIF('Match Subs Filter'!E:E,B104,'Match Subs Filter'!F:F)+sumif('Bank Transfers'!B:B,B104,'Bank Transfers'!C:C)</f>
        <v>#N/A</v>
      </c>
      <c r="H104" s="50" t="str">
        <f t="shared" si="2"/>
        <v>#N/A</v>
      </c>
      <c r="I104" s="51">
        <f t="array" ref="I104">IF(IFERROR(lookup(1,1/SEARCH(B104,'OTPI Scores'!C:C),'OTPI Scores'!E:E),0)="Vets",7,IFERROR(lookup(1,1/SEARCH(B104,'OTPI Scores'!C:C),'OTPI Scores'!E:E),0))</f>
        <v>6</v>
      </c>
      <c r="J104" s="37"/>
      <c r="K104" s="37"/>
      <c r="L104" s="37"/>
      <c r="M104" s="37"/>
      <c r="N104" s="37"/>
      <c r="O104" s="37"/>
      <c r="P104" s="37"/>
      <c r="Q104" s="37"/>
      <c r="R104" s="37"/>
      <c r="S104" s="37"/>
      <c r="T104" s="37"/>
      <c r="U104" s="37"/>
      <c r="V104" s="37"/>
      <c r="W104" s="37"/>
      <c r="X104" s="37"/>
    </row>
    <row r="105">
      <c r="A105" s="37"/>
      <c r="B105" s="49" t="str">
        <f>IFERROR(__xludf.DUMMYFUNCTION("""COMPUTED_VALUE"""),"Elmehdi Sdira")</f>
        <v>Elmehdi Sdira</v>
      </c>
      <c r="C105" s="5">
        <v>10.0</v>
      </c>
      <c r="D105" s="3">
        <f>countif('OTPI Scores'!C:C,B105)</f>
        <v>0</v>
      </c>
      <c r="E105" s="3">
        <f t="shared" si="1"/>
        <v>0</v>
      </c>
      <c r="F105" s="3">
        <f>sumif('OTPI Scores'!C:C,B105,'OTPI Scores'!T:T)</f>
        <v>0</v>
      </c>
      <c r="G105" s="3" t="str">
        <f>SUMIF('Match Subs Filter'!E:E,B105,'Match Subs Filter'!F:F)+sumif('Bank Transfers'!B:B,B105,'Bank Transfers'!C:C)</f>
        <v>#N/A</v>
      </c>
      <c r="H105" s="50" t="str">
        <f t="shared" si="2"/>
        <v>#N/A</v>
      </c>
      <c r="I105" s="51">
        <f t="array" ref="I105">IF(IFERROR(lookup(1,1/SEARCH(B105,'OTPI Scores'!C:C),'OTPI Scores'!E:E),0)="Vets",7,IFERROR(lookup(1,1/SEARCH(B105,'OTPI Scores'!C:C),'OTPI Scores'!E:E),0))</f>
        <v>0</v>
      </c>
      <c r="J105" s="37"/>
      <c r="K105" s="37"/>
      <c r="L105" s="37"/>
      <c r="M105" s="37"/>
      <c r="N105" s="37"/>
      <c r="O105" s="37"/>
      <c r="P105" s="37"/>
      <c r="Q105" s="37"/>
      <c r="R105" s="37"/>
      <c r="S105" s="37"/>
      <c r="T105" s="37"/>
      <c r="U105" s="37"/>
      <c r="V105" s="37"/>
      <c r="W105" s="37"/>
      <c r="X105" s="37"/>
    </row>
    <row r="106">
      <c r="A106" s="37"/>
      <c r="B106" s="49" t="str">
        <f>IFERROR(__xludf.DUMMYFUNCTION("""COMPUTED_VALUE"""),"Elyas Yakobi")</f>
        <v>Elyas Yakobi</v>
      </c>
      <c r="C106" s="5">
        <v>10.0</v>
      </c>
      <c r="D106" s="3">
        <f>countif('OTPI Scores'!C:C,B106)</f>
        <v>0</v>
      </c>
      <c r="E106" s="3">
        <f t="shared" si="1"/>
        <v>0</v>
      </c>
      <c r="F106" s="3">
        <f>sumif('OTPI Scores'!C:C,B106,'OTPI Scores'!T:T)</f>
        <v>0</v>
      </c>
      <c r="G106" s="3" t="str">
        <f>SUMIF('Match Subs Filter'!E:E,B106,'Match Subs Filter'!F:F)+sumif('Bank Transfers'!B:B,B106,'Bank Transfers'!C:C)</f>
        <v>#N/A</v>
      </c>
      <c r="H106" s="50" t="str">
        <f t="shared" si="2"/>
        <v>#N/A</v>
      </c>
      <c r="I106" s="51">
        <f t="array" ref="I106">IF(IFERROR(lookup(1,1/SEARCH(B106,'OTPI Scores'!C:C),'OTPI Scores'!E:E),0)="Vets",7,IFERROR(lookup(1,1/SEARCH(B106,'OTPI Scores'!C:C),'OTPI Scores'!E:E),0))</f>
        <v>0</v>
      </c>
      <c r="J106" s="37"/>
      <c r="K106" s="37"/>
      <c r="L106" s="37"/>
      <c r="M106" s="37"/>
      <c r="N106" s="37"/>
      <c r="O106" s="37"/>
      <c r="P106" s="37"/>
      <c r="Q106" s="37"/>
      <c r="R106" s="37"/>
      <c r="S106" s="37"/>
      <c r="T106" s="37"/>
      <c r="U106" s="37"/>
      <c r="V106" s="37"/>
      <c r="W106" s="37"/>
      <c r="X106" s="37"/>
    </row>
    <row r="107">
      <c r="A107" s="37"/>
      <c r="B107" s="49" t="str">
        <f>IFERROR(__xludf.DUMMYFUNCTION("""COMPUTED_VALUE"""),"Elyas Yakobia")</f>
        <v>Elyas Yakobia</v>
      </c>
      <c r="C107" s="5">
        <v>10.0</v>
      </c>
      <c r="D107" s="3">
        <f>countif('OTPI Scores'!C:C,B107)</f>
        <v>0</v>
      </c>
      <c r="E107" s="3">
        <f t="shared" si="1"/>
        <v>0</v>
      </c>
      <c r="F107" s="3">
        <f>sumif('OTPI Scores'!C:C,B107,'OTPI Scores'!T:T)</f>
        <v>0</v>
      </c>
      <c r="G107" s="3" t="str">
        <f>SUMIF('Match Subs Filter'!E:E,B107,'Match Subs Filter'!F:F)+sumif('Bank Transfers'!B:B,B107,'Bank Transfers'!C:C)</f>
        <v>#N/A</v>
      </c>
      <c r="H107" s="50" t="str">
        <f t="shared" si="2"/>
        <v>#N/A</v>
      </c>
      <c r="I107" s="51">
        <f t="array" ref="I107">IF(IFERROR(lookup(1,1/SEARCH(B107,'OTPI Scores'!C:C),'OTPI Scores'!E:E),0)="Vets",7,IFERROR(lookup(1,1/SEARCH(B107,'OTPI Scores'!C:C),'OTPI Scores'!E:E),0))</f>
        <v>0</v>
      </c>
      <c r="J107" s="37"/>
      <c r="K107" s="37"/>
      <c r="L107" s="37"/>
      <c r="M107" s="37"/>
      <c r="N107" s="37"/>
      <c r="O107" s="37"/>
      <c r="P107" s="37"/>
      <c r="Q107" s="37"/>
      <c r="R107" s="37"/>
      <c r="S107" s="37"/>
      <c r="T107" s="37"/>
      <c r="U107" s="37"/>
      <c r="V107" s="37"/>
      <c r="W107" s="37"/>
      <c r="X107" s="37"/>
    </row>
    <row r="108">
      <c r="A108" s="37"/>
      <c r="B108" s="49" t="str">
        <f>IFERROR(__xludf.DUMMYFUNCTION("""COMPUTED_VALUE"""),"Emi Muhadri")</f>
        <v>Emi Muhadri</v>
      </c>
      <c r="C108" s="5">
        <v>10.0</v>
      </c>
      <c r="D108" s="3">
        <f>countif('OTPI Scores'!C:C,B108)</f>
        <v>24</v>
      </c>
      <c r="E108" s="3">
        <f t="shared" si="1"/>
        <v>240</v>
      </c>
      <c r="F108" s="3">
        <f>sumif('OTPI Scores'!C:C,B108,'OTPI Scores'!T:T)</f>
        <v>225</v>
      </c>
      <c r="G108" s="3" t="str">
        <f>SUMIF('Match Subs Filter'!E:E,B108,'Match Subs Filter'!F:F)+sumif('Bank Transfers'!B:B,B108,'Bank Transfers'!C:C)</f>
        <v>#N/A</v>
      </c>
      <c r="H108" s="50" t="str">
        <f t="shared" si="2"/>
        <v>#N/A</v>
      </c>
      <c r="I108" s="51">
        <f t="array" ref="I108">IF(IFERROR(lookup(1,1/SEARCH(B108,'OTPI Scores'!C:C),'OTPI Scores'!E:E),0)="Vets",7,IFERROR(lookup(1,1/SEARCH(B108,'OTPI Scores'!C:C),'OTPI Scores'!E:E),0))</f>
        <v>6</v>
      </c>
      <c r="J108" s="37"/>
      <c r="K108" s="37"/>
      <c r="L108" s="37"/>
      <c r="M108" s="37"/>
      <c r="N108" s="37"/>
      <c r="O108" s="37"/>
      <c r="P108" s="37"/>
      <c r="Q108" s="37"/>
      <c r="R108" s="37"/>
      <c r="S108" s="37"/>
      <c r="T108" s="37"/>
      <c r="U108" s="37"/>
      <c r="V108" s="37"/>
      <c r="W108" s="37"/>
      <c r="X108" s="37"/>
    </row>
    <row r="109">
      <c r="A109" s="37"/>
      <c r="B109" s="49" t="str">
        <f>IFERROR(__xludf.DUMMYFUNCTION("""COMPUTED_VALUE"""),"Ethan Golding")</f>
        <v>Ethan Golding</v>
      </c>
      <c r="C109" s="5">
        <v>10.0</v>
      </c>
      <c r="D109" s="3">
        <f>countif('OTPI Scores'!C:C,B109)</f>
        <v>0</v>
      </c>
      <c r="E109" s="3">
        <f t="shared" si="1"/>
        <v>0</v>
      </c>
      <c r="F109" s="3">
        <f>sumif('OTPI Scores'!C:C,B109,'OTPI Scores'!T:T)</f>
        <v>0</v>
      </c>
      <c r="G109" s="3" t="str">
        <f>SUMIF('Match Subs Filter'!E:E,B109,'Match Subs Filter'!F:F)+sumif('Bank Transfers'!B:B,B109,'Bank Transfers'!C:C)</f>
        <v>#N/A</v>
      </c>
      <c r="H109" s="50" t="str">
        <f t="shared" si="2"/>
        <v>#N/A</v>
      </c>
      <c r="I109" s="51">
        <f t="array" ref="I109">IF(IFERROR(lookup(1,1/SEARCH(B109,'OTPI Scores'!C:C),'OTPI Scores'!E:E),0)="Vets",7,IFERROR(lookup(1,1/SEARCH(B109,'OTPI Scores'!C:C),'OTPI Scores'!E:E),0))</f>
        <v>0</v>
      </c>
      <c r="J109" s="37"/>
      <c r="K109" s="37"/>
      <c r="L109" s="37"/>
      <c r="M109" s="37"/>
      <c r="N109" s="37"/>
      <c r="O109" s="37"/>
      <c r="P109" s="37"/>
      <c r="Q109" s="37"/>
      <c r="R109" s="37"/>
      <c r="S109" s="37"/>
      <c r="T109" s="37"/>
      <c r="U109" s="37"/>
      <c r="V109" s="37"/>
      <c r="W109" s="37"/>
      <c r="X109" s="37"/>
    </row>
    <row r="110">
      <c r="A110" s="37"/>
      <c r="B110" s="49" t="str">
        <f>IFERROR(__xludf.DUMMYFUNCTION("""COMPUTED_VALUE"""),"Ewan Harris")</f>
        <v>Ewan Harris</v>
      </c>
      <c r="C110" s="5">
        <v>10.0</v>
      </c>
      <c r="D110" s="3">
        <f>countif('OTPI Scores'!C:C,B110)</f>
        <v>7</v>
      </c>
      <c r="E110" s="3">
        <f t="shared" si="1"/>
        <v>70</v>
      </c>
      <c r="F110" s="3">
        <f>sumif('OTPI Scores'!C:C,B110,'OTPI Scores'!T:T)</f>
        <v>70</v>
      </c>
      <c r="G110" s="3" t="str">
        <f>SUMIF('Match Subs Filter'!E:E,B110,'Match Subs Filter'!F:F)+sumif('Bank Transfers'!B:B,B110,'Bank Transfers'!C:C)</f>
        <v>#N/A</v>
      </c>
      <c r="H110" s="50" t="str">
        <f t="shared" si="2"/>
        <v>#N/A</v>
      </c>
      <c r="I110" s="51">
        <f t="array" ref="I110">IF(IFERROR(lookup(1,1/SEARCH(B110,'OTPI Scores'!C:C),'OTPI Scores'!E:E),0)="Vets",7,IFERROR(lookup(1,1/SEARCH(B110,'OTPI Scores'!C:C),'OTPI Scores'!E:E),0))</f>
        <v>2</v>
      </c>
      <c r="J110" s="37"/>
      <c r="K110" s="37"/>
      <c r="L110" s="37"/>
      <c r="M110" s="37"/>
      <c r="N110" s="37"/>
      <c r="O110" s="37"/>
      <c r="P110" s="37"/>
      <c r="Q110" s="37"/>
      <c r="R110" s="37"/>
      <c r="S110" s="37"/>
      <c r="T110" s="37"/>
      <c r="U110" s="37"/>
      <c r="V110" s="37"/>
      <c r="W110" s="37"/>
      <c r="X110" s="37"/>
    </row>
    <row r="111">
      <c r="A111" s="37"/>
      <c r="B111" s="49" t="str">
        <f>IFERROR(__xludf.DUMMYFUNCTION("""COMPUTED_VALUE"""),"Ewan Porteous")</f>
        <v>Ewan Porteous</v>
      </c>
      <c r="C111" s="5">
        <v>10.0</v>
      </c>
      <c r="D111" s="3">
        <f>countif('OTPI Scores'!C:C,B111)</f>
        <v>1</v>
      </c>
      <c r="E111" s="3">
        <f t="shared" si="1"/>
        <v>10</v>
      </c>
      <c r="F111" s="3">
        <f>sumif('OTPI Scores'!C:C,B111,'OTPI Scores'!T:T)</f>
        <v>10</v>
      </c>
      <c r="G111" s="3" t="str">
        <f>SUMIF('Match Subs Filter'!E:E,B111,'Match Subs Filter'!F:F)+sumif('Bank Transfers'!B:B,B111,'Bank Transfers'!C:C)</f>
        <v>#N/A</v>
      </c>
      <c r="H111" s="50" t="str">
        <f t="shared" si="2"/>
        <v>#N/A</v>
      </c>
      <c r="I111" s="51">
        <f t="array" ref="I111">IF(IFERROR(lookup(1,1/SEARCH(B111,'OTPI Scores'!C:C),'OTPI Scores'!E:E),0)="Vets",7,IFERROR(lookup(1,1/SEARCH(B111,'OTPI Scores'!C:C),'OTPI Scores'!E:E),0))</f>
        <v>2</v>
      </c>
      <c r="J111" s="37"/>
      <c r="K111" s="37"/>
      <c r="L111" s="37"/>
      <c r="M111" s="37"/>
      <c r="N111" s="37"/>
      <c r="O111" s="37"/>
      <c r="P111" s="37"/>
      <c r="Q111" s="37"/>
      <c r="R111" s="37"/>
      <c r="S111" s="37"/>
      <c r="T111" s="37"/>
      <c r="U111" s="37"/>
      <c r="V111" s="37"/>
      <c r="W111" s="37"/>
      <c r="X111" s="37"/>
    </row>
    <row r="112">
      <c r="A112" s="37"/>
      <c r="B112" s="49" t="str">
        <f>IFERROR(__xludf.DUMMYFUNCTION("""COMPUTED_VALUE"""),"Fabio Teixeira")</f>
        <v>Fabio Teixeira</v>
      </c>
      <c r="C112" s="5">
        <v>10.0</v>
      </c>
      <c r="D112" s="3">
        <f>countif('OTPI Scores'!C:C,B112)</f>
        <v>2</v>
      </c>
      <c r="E112" s="3">
        <f t="shared" si="1"/>
        <v>20</v>
      </c>
      <c r="F112" s="3">
        <f>sumif('OTPI Scores'!C:C,B112,'OTPI Scores'!T:T)</f>
        <v>10</v>
      </c>
      <c r="G112" s="3" t="str">
        <f>SUMIF('Match Subs Filter'!E:E,B112,'Match Subs Filter'!F:F)+sumif('Bank Transfers'!B:B,B112,'Bank Transfers'!C:C)</f>
        <v>#N/A</v>
      </c>
      <c r="H112" s="50" t="str">
        <f t="shared" si="2"/>
        <v>#N/A</v>
      </c>
      <c r="I112" s="51">
        <f t="array" ref="I112">IF(IFERROR(lookup(1,1/SEARCH(B112,'OTPI Scores'!C:C),'OTPI Scores'!E:E),0)="Vets",7,IFERROR(lookup(1,1/SEARCH(B112,'OTPI Scores'!C:C),'OTPI Scores'!E:E),0))</f>
        <v>4</v>
      </c>
      <c r="J112" s="37"/>
      <c r="K112" s="37"/>
      <c r="L112" s="37"/>
      <c r="M112" s="37"/>
      <c r="N112" s="37"/>
      <c r="O112" s="37"/>
      <c r="P112" s="37"/>
      <c r="Q112" s="37"/>
      <c r="R112" s="37"/>
      <c r="S112" s="37"/>
      <c r="T112" s="37"/>
      <c r="U112" s="37"/>
      <c r="V112" s="37"/>
      <c r="W112" s="37"/>
      <c r="X112" s="37"/>
    </row>
    <row r="113">
      <c r="A113" s="37"/>
      <c r="B113" s="49" t="str">
        <f>IFERROR(__xludf.DUMMYFUNCTION("""COMPUTED_VALUE"""),"Faisal Hossain")</f>
        <v>Faisal Hossain</v>
      </c>
      <c r="C113" s="5">
        <v>10.0</v>
      </c>
      <c r="D113" s="3">
        <f>countif('OTPI Scores'!C:C,B113)</f>
        <v>0</v>
      </c>
      <c r="E113" s="3">
        <f t="shared" si="1"/>
        <v>0</v>
      </c>
      <c r="F113" s="3">
        <f>sumif('OTPI Scores'!C:C,B113,'OTPI Scores'!T:T)</f>
        <v>0</v>
      </c>
      <c r="G113" s="3" t="str">
        <f>SUMIF('Match Subs Filter'!E:E,B113,'Match Subs Filter'!F:F)+sumif('Bank Transfers'!B:B,B113,'Bank Transfers'!C:C)</f>
        <v>#N/A</v>
      </c>
      <c r="H113" s="50" t="str">
        <f t="shared" si="2"/>
        <v>#N/A</v>
      </c>
      <c r="I113" s="51">
        <f t="array" ref="I113">IF(IFERROR(lookup(1,1/SEARCH(B113,'OTPI Scores'!C:C),'OTPI Scores'!E:E),0)="Vets",7,IFERROR(lookup(1,1/SEARCH(B113,'OTPI Scores'!C:C),'OTPI Scores'!E:E),0))</f>
        <v>0</v>
      </c>
      <c r="J113" s="37"/>
      <c r="K113" s="37"/>
      <c r="L113" s="37"/>
      <c r="M113" s="37"/>
      <c r="N113" s="37"/>
      <c r="O113" s="37"/>
      <c r="P113" s="37"/>
      <c r="Q113" s="37"/>
      <c r="R113" s="37"/>
      <c r="S113" s="37"/>
      <c r="T113" s="37"/>
      <c r="U113" s="37"/>
      <c r="V113" s="37"/>
      <c r="W113" s="37"/>
      <c r="X113" s="37"/>
    </row>
    <row r="114">
      <c r="A114" s="37"/>
      <c r="B114" s="49" t="str">
        <f>IFERROR(__xludf.DUMMYFUNCTION("""COMPUTED_VALUE"""),"Finn Coolen")</f>
        <v>Finn Coolen</v>
      </c>
      <c r="C114" s="5">
        <v>10.0</v>
      </c>
      <c r="D114" s="3">
        <f>countif('OTPI Scores'!C:C,B114)</f>
        <v>16</v>
      </c>
      <c r="E114" s="3">
        <f t="shared" si="1"/>
        <v>160</v>
      </c>
      <c r="F114" s="3">
        <f>sumif('OTPI Scores'!C:C,B114,'OTPI Scores'!T:T)</f>
        <v>77.5</v>
      </c>
      <c r="G114" s="3" t="str">
        <f>SUMIF('Match Subs Filter'!E:E,B114,'Match Subs Filter'!F:F)+sumif('Bank Transfers'!B:B,B114,'Bank Transfers'!C:C)</f>
        <v>#N/A</v>
      </c>
      <c r="H114" s="50" t="str">
        <f t="shared" si="2"/>
        <v>#N/A</v>
      </c>
      <c r="I114" s="51">
        <f t="array" ref="I114">IF(IFERROR(lookup(1,1/SEARCH(B114,'OTPI Scores'!C:C),'OTPI Scores'!E:E),0)="Vets",7,IFERROR(lookup(1,1/SEARCH(B114,'OTPI Scores'!C:C),'OTPI Scores'!E:E),0))</f>
        <v>2</v>
      </c>
      <c r="J114" s="37"/>
      <c r="K114" s="37"/>
      <c r="L114" s="37"/>
      <c r="M114" s="37"/>
      <c r="N114" s="37"/>
      <c r="O114" s="37"/>
      <c r="P114" s="37"/>
      <c r="Q114" s="37"/>
      <c r="R114" s="37"/>
      <c r="S114" s="37"/>
      <c r="T114" s="37"/>
      <c r="U114" s="37"/>
      <c r="V114" s="37"/>
      <c r="W114" s="37"/>
      <c r="X114" s="37"/>
    </row>
    <row r="115">
      <c r="A115" s="37"/>
      <c r="B115" s="49" t="str">
        <f>IFERROR(__xludf.DUMMYFUNCTION("""COMPUTED_VALUE"""),"Francis Bradley")</f>
        <v>Francis Bradley</v>
      </c>
      <c r="C115" s="5">
        <v>10.0</v>
      </c>
      <c r="D115" s="3">
        <f>countif('OTPI Scores'!C:C,B115)</f>
        <v>0</v>
      </c>
      <c r="E115" s="3">
        <f t="shared" si="1"/>
        <v>0</v>
      </c>
      <c r="F115" s="3">
        <f>sumif('OTPI Scores'!C:C,B115,'OTPI Scores'!T:T)</f>
        <v>0</v>
      </c>
      <c r="G115" s="3" t="str">
        <f>SUMIF('Match Subs Filter'!E:E,B115,'Match Subs Filter'!F:F)+sumif('Bank Transfers'!B:B,B115,'Bank Transfers'!C:C)</f>
        <v>#N/A</v>
      </c>
      <c r="H115" s="50" t="str">
        <f t="shared" si="2"/>
        <v>#N/A</v>
      </c>
      <c r="I115" s="51">
        <f t="array" ref="I115">IF(IFERROR(lookup(1,1/SEARCH(B115,'OTPI Scores'!C:C),'OTPI Scores'!E:E),0)="Vets",7,IFERROR(lookup(1,1/SEARCH(B115,'OTPI Scores'!C:C),'OTPI Scores'!E:E),0))</f>
        <v>0</v>
      </c>
      <c r="J115" s="37"/>
      <c r="K115" s="37"/>
      <c r="L115" s="37"/>
      <c r="M115" s="37"/>
      <c r="N115" s="37"/>
      <c r="O115" s="37"/>
      <c r="P115" s="37"/>
      <c r="Q115" s="37"/>
      <c r="R115" s="37"/>
      <c r="S115" s="37"/>
      <c r="T115" s="37"/>
      <c r="U115" s="37"/>
      <c r="V115" s="37"/>
      <c r="W115" s="37"/>
      <c r="X115" s="37"/>
    </row>
    <row r="116">
      <c r="A116" s="37"/>
      <c r="B116" s="49" t="str">
        <f>IFERROR(__xludf.DUMMYFUNCTION("""COMPUTED_VALUE"""),"Francisco Rocha")</f>
        <v>Francisco Rocha</v>
      </c>
      <c r="C116" s="5">
        <v>10.0</v>
      </c>
      <c r="D116" s="3">
        <f>countif('OTPI Scores'!C:C,B116)</f>
        <v>0</v>
      </c>
      <c r="E116" s="3">
        <f t="shared" si="1"/>
        <v>0</v>
      </c>
      <c r="F116" s="3">
        <f>sumif('OTPI Scores'!C:C,B116,'OTPI Scores'!T:T)</f>
        <v>0</v>
      </c>
      <c r="G116" s="3" t="str">
        <f>SUMIF('Match Subs Filter'!E:E,B116,'Match Subs Filter'!F:F)+sumif('Bank Transfers'!B:B,B116,'Bank Transfers'!C:C)</f>
        <v>#N/A</v>
      </c>
      <c r="H116" s="50" t="str">
        <f t="shared" si="2"/>
        <v>#N/A</v>
      </c>
      <c r="I116" s="51">
        <f t="array" ref="I116">IF(IFERROR(lookup(1,1/SEARCH(B116,'OTPI Scores'!C:C),'OTPI Scores'!E:E),0)="Vets",7,IFERROR(lookup(1,1/SEARCH(B116,'OTPI Scores'!C:C),'OTPI Scores'!E:E),0))</f>
        <v>0</v>
      </c>
      <c r="J116" s="37"/>
      <c r="K116" s="37"/>
      <c r="L116" s="37"/>
      <c r="M116" s="37"/>
      <c r="N116" s="37"/>
      <c r="O116" s="37"/>
      <c r="P116" s="37"/>
      <c r="Q116" s="37"/>
      <c r="R116" s="37"/>
      <c r="S116" s="37"/>
      <c r="T116" s="37"/>
      <c r="U116" s="37"/>
      <c r="V116" s="37"/>
      <c r="W116" s="37"/>
      <c r="X116" s="37"/>
    </row>
    <row r="117">
      <c r="A117" s="37"/>
      <c r="B117" s="49" t="str">
        <f>IFERROR(__xludf.DUMMYFUNCTION("""COMPUTED_VALUE"""),"Frank Dillon")</f>
        <v>Frank Dillon</v>
      </c>
      <c r="C117" s="5">
        <v>10.0</v>
      </c>
      <c r="D117" s="3">
        <f>countif('OTPI Scores'!C:C,B117)</f>
        <v>0</v>
      </c>
      <c r="E117" s="3">
        <f t="shared" si="1"/>
        <v>0</v>
      </c>
      <c r="F117" s="3">
        <f>sumif('OTPI Scores'!C:C,B117,'OTPI Scores'!T:T)</f>
        <v>0</v>
      </c>
      <c r="G117" s="3" t="str">
        <f>SUMIF('Match Subs Filter'!E:E,B117,'Match Subs Filter'!F:F)+sumif('Bank Transfers'!B:B,B117,'Bank Transfers'!C:C)</f>
        <v>#N/A</v>
      </c>
      <c r="H117" s="50" t="str">
        <f t="shared" si="2"/>
        <v>#N/A</v>
      </c>
      <c r="I117" s="51">
        <f t="array" ref="I117">IF(IFERROR(lookup(1,1/SEARCH(B117,'OTPI Scores'!C:C),'OTPI Scores'!E:E),0)="Vets",7,IFERROR(lookup(1,1/SEARCH(B117,'OTPI Scores'!C:C),'OTPI Scores'!E:E),0))</f>
        <v>0</v>
      </c>
      <c r="J117" s="37"/>
      <c r="K117" s="37"/>
      <c r="L117" s="37"/>
      <c r="M117" s="37"/>
      <c r="N117" s="37"/>
      <c r="O117" s="37"/>
      <c r="P117" s="37"/>
      <c r="Q117" s="37"/>
      <c r="R117" s="37"/>
      <c r="S117" s="37"/>
      <c r="T117" s="37"/>
      <c r="U117" s="37"/>
      <c r="V117" s="37"/>
      <c r="W117" s="37"/>
      <c r="X117" s="37"/>
    </row>
    <row r="118">
      <c r="A118" s="37"/>
      <c r="B118" s="49" t="str">
        <f>IFERROR(__xludf.DUMMYFUNCTION("""COMPUTED_VALUE"""),"Fraser Wylie")</f>
        <v>Fraser Wylie</v>
      </c>
      <c r="C118" s="5">
        <v>10.0</v>
      </c>
      <c r="D118" s="3">
        <f>countif('OTPI Scores'!C:C,B118)</f>
        <v>4</v>
      </c>
      <c r="E118" s="3">
        <f t="shared" si="1"/>
        <v>40</v>
      </c>
      <c r="F118" s="3">
        <f>sumif('OTPI Scores'!C:C,B118,'OTPI Scores'!T:T)</f>
        <v>30</v>
      </c>
      <c r="G118" s="3" t="str">
        <f>SUMIF('Match Subs Filter'!E:E,B118,'Match Subs Filter'!F:F)+sumif('Bank Transfers'!B:B,B118,'Bank Transfers'!C:C)</f>
        <v>#N/A</v>
      </c>
      <c r="H118" s="50" t="str">
        <f t="shared" si="2"/>
        <v>#N/A</v>
      </c>
      <c r="I118" s="51">
        <f t="array" ref="I118">IF(IFERROR(lookup(1,1/SEARCH(B118,'OTPI Scores'!C:C),'OTPI Scores'!E:E),0)="Vets",7,IFERROR(lookup(1,1/SEARCH(B118,'OTPI Scores'!C:C),'OTPI Scores'!E:E),0))</f>
        <v>6</v>
      </c>
      <c r="J118" s="37"/>
      <c r="K118" s="37"/>
      <c r="L118" s="37"/>
      <c r="M118" s="37"/>
      <c r="N118" s="37"/>
      <c r="O118" s="37"/>
      <c r="P118" s="37"/>
      <c r="Q118" s="37"/>
      <c r="R118" s="37"/>
      <c r="S118" s="37"/>
      <c r="T118" s="37"/>
      <c r="U118" s="37"/>
      <c r="V118" s="37"/>
      <c r="W118" s="37"/>
      <c r="X118" s="37"/>
    </row>
    <row r="119">
      <c r="A119" s="37"/>
      <c r="B119" s="49" t="str">
        <f>IFERROR(__xludf.DUMMYFUNCTION("""COMPUTED_VALUE"""),"Gaz Wheldale")</f>
        <v>Gaz Wheldale</v>
      </c>
      <c r="C119" s="5">
        <v>10.0</v>
      </c>
      <c r="D119" s="3">
        <f>countif('OTPI Scores'!C:C,B119)</f>
        <v>10</v>
      </c>
      <c r="E119" s="3">
        <f t="shared" si="1"/>
        <v>100</v>
      </c>
      <c r="F119" s="3">
        <f>sumif('OTPI Scores'!C:C,B119,'OTPI Scores'!T:T)</f>
        <v>90</v>
      </c>
      <c r="G119" s="3" t="str">
        <f>SUMIF('Match Subs Filter'!E:E,B119,'Match Subs Filter'!F:F)+sumif('Bank Transfers'!B:B,B119,'Bank Transfers'!C:C)</f>
        <v>#N/A</v>
      </c>
      <c r="H119" s="50" t="str">
        <f t="shared" si="2"/>
        <v>#N/A</v>
      </c>
      <c r="I119" s="51">
        <f t="array" ref="I119">IF(IFERROR(lookup(1,1/SEARCH(B119,'OTPI Scores'!C:C),'OTPI Scores'!E:E),0)="Vets",7,IFERROR(lookup(1,1/SEARCH(B119,'OTPI Scores'!C:C),'OTPI Scores'!E:E),0))</f>
        <v>3</v>
      </c>
      <c r="J119" s="37"/>
      <c r="K119" s="37"/>
      <c r="L119" s="37"/>
      <c r="M119" s="37"/>
      <c r="N119" s="37"/>
      <c r="O119" s="37"/>
      <c r="P119" s="37"/>
      <c r="Q119" s="37"/>
      <c r="R119" s="37"/>
      <c r="S119" s="37"/>
      <c r="T119" s="37"/>
      <c r="U119" s="37"/>
      <c r="V119" s="37"/>
      <c r="W119" s="37"/>
      <c r="X119" s="37"/>
    </row>
    <row r="120">
      <c r="A120" s="37"/>
      <c r="B120" s="49" t="str">
        <f>IFERROR(__xludf.DUMMYFUNCTION("""COMPUTED_VALUE"""),"George Connolly")</f>
        <v>George Connolly</v>
      </c>
      <c r="C120" s="5">
        <v>10.0</v>
      </c>
      <c r="D120" s="3">
        <f>countif('OTPI Scores'!C:C,B120)</f>
        <v>13</v>
      </c>
      <c r="E120" s="3">
        <f t="shared" si="1"/>
        <v>130</v>
      </c>
      <c r="F120" s="3">
        <f>sumif('OTPI Scores'!C:C,B120,'OTPI Scores'!T:T)</f>
        <v>65</v>
      </c>
      <c r="G120" s="3" t="str">
        <f>SUMIF('Match Subs Filter'!E:E,B120,'Match Subs Filter'!F:F)+sumif('Bank Transfers'!B:B,B120,'Bank Transfers'!C:C)</f>
        <v>#N/A</v>
      </c>
      <c r="H120" s="50" t="str">
        <f t="shared" si="2"/>
        <v>#N/A</v>
      </c>
      <c r="I120" s="51">
        <f t="array" ref="I120">IF(IFERROR(lookup(1,1/SEARCH(B120,'OTPI Scores'!C:C),'OTPI Scores'!E:E),0)="Vets",7,IFERROR(lookup(1,1/SEARCH(B120,'OTPI Scores'!C:C),'OTPI Scores'!E:E),0))</f>
        <v>3</v>
      </c>
      <c r="J120" s="37"/>
      <c r="K120" s="37"/>
      <c r="L120" s="37"/>
      <c r="M120" s="37"/>
      <c r="N120" s="37"/>
      <c r="O120" s="37"/>
      <c r="P120" s="37"/>
      <c r="Q120" s="37"/>
      <c r="R120" s="37"/>
      <c r="S120" s="37"/>
      <c r="T120" s="37"/>
      <c r="U120" s="37"/>
      <c r="V120" s="37"/>
      <c r="W120" s="37"/>
      <c r="X120" s="37"/>
    </row>
    <row r="121">
      <c r="A121" s="37"/>
      <c r="B121" s="49" t="str">
        <f>IFERROR(__xludf.DUMMYFUNCTION("""COMPUTED_VALUE"""),"George Havord")</f>
        <v>George Havord</v>
      </c>
      <c r="C121" s="5">
        <v>10.0</v>
      </c>
      <c r="D121" s="3">
        <f>countif('OTPI Scores'!C:C,B121)</f>
        <v>14</v>
      </c>
      <c r="E121" s="3">
        <f t="shared" si="1"/>
        <v>140</v>
      </c>
      <c r="F121" s="3">
        <f>sumif('OTPI Scores'!C:C,B121,'OTPI Scores'!T:T)</f>
        <v>120</v>
      </c>
      <c r="G121" s="3" t="str">
        <f>SUMIF('Match Subs Filter'!E:E,B121,'Match Subs Filter'!F:F)+sumif('Bank Transfers'!B:B,B121,'Bank Transfers'!C:C)</f>
        <v>#N/A</v>
      </c>
      <c r="H121" s="50" t="str">
        <f t="shared" si="2"/>
        <v>#N/A</v>
      </c>
      <c r="I121" s="51">
        <f t="array" ref="I121">IF(IFERROR(lookup(1,1/SEARCH(B121,'OTPI Scores'!C:C),'OTPI Scores'!E:E),0)="Vets",7,IFERROR(lookup(1,1/SEARCH(B121,'OTPI Scores'!C:C),'OTPI Scores'!E:E),0))</f>
        <v>6</v>
      </c>
      <c r="J121" s="37"/>
      <c r="K121" s="37"/>
      <c r="L121" s="37"/>
      <c r="M121" s="37"/>
      <c r="N121" s="37"/>
      <c r="O121" s="37"/>
      <c r="P121" s="37"/>
      <c r="Q121" s="37"/>
      <c r="R121" s="37"/>
      <c r="S121" s="37"/>
      <c r="T121" s="37"/>
      <c r="U121" s="37"/>
      <c r="V121" s="37"/>
      <c r="W121" s="37"/>
      <c r="X121" s="37"/>
    </row>
    <row r="122">
      <c r="A122" s="37"/>
      <c r="B122" s="49" t="str">
        <f>IFERROR(__xludf.DUMMYFUNCTION("""COMPUTED_VALUE"""),"George Marshall")</f>
        <v>George Marshall</v>
      </c>
      <c r="C122" s="5">
        <v>10.0</v>
      </c>
      <c r="D122" s="3">
        <f>countif('OTPI Scores'!C:C,B122)</f>
        <v>0</v>
      </c>
      <c r="E122" s="3">
        <f t="shared" si="1"/>
        <v>0</v>
      </c>
      <c r="F122" s="3">
        <f>sumif('OTPI Scores'!C:C,B122,'OTPI Scores'!T:T)</f>
        <v>0</v>
      </c>
      <c r="G122" s="3" t="str">
        <f>SUMIF('Match Subs Filter'!E:E,B122,'Match Subs Filter'!F:F)+sumif('Bank Transfers'!B:B,B122,'Bank Transfers'!C:C)</f>
        <v>#N/A</v>
      </c>
      <c r="H122" s="50" t="str">
        <f t="shared" si="2"/>
        <v>#N/A</v>
      </c>
      <c r="I122" s="51">
        <f t="array" ref="I122">IF(IFERROR(lookup(1,1/SEARCH(B122,'OTPI Scores'!C:C),'OTPI Scores'!E:E),0)="Vets",7,IFERROR(lookup(1,1/SEARCH(B122,'OTPI Scores'!C:C),'OTPI Scores'!E:E),0))</f>
        <v>0</v>
      </c>
      <c r="J122" s="37"/>
      <c r="K122" s="37"/>
      <c r="L122" s="37"/>
      <c r="M122" s="37"/>
      <c r="N122" s="37"/>
      <c r="O122" s="37"/>
      <c r="P122" s="37"/>
      <c r="Q122" s="37"/>
      <c r="R122" s="37"/>
      <c r="S122" s="37"/>
      <c r="T122" s="37"/>
      <c r="U122" s="37"/>
      <c r="V122" s="37"/>
      <c r="W122" s="37"/>
      <c r="X122" s="37"/>
    </row>
    <row r="123">
      <c r="A123" s="37"/>
      <c r="B123" s="49" t="str">
        <f>IFERROR(__xludf.DUMMYFUNCTION("""COMPUTED_VALUE"""),"George Williams")</f>
        <v>George Williams</v>
      </c>
      <c r="C123" s="5">
        <v>10.0</v>
      </c>
      <c r="D123" s="3">
        <f>countif('OTPI Scores'!C:C,B123)</f>
        <v>0</v>
      </c>
      <c r="E123" s="3">
        <f t="shared" si="1"/>
        <v>0</v>
      </c>
      <c r="F123" s="3">
        <f>sumif('OTPI Scores'!C:C,B123,'OTPI Scores'!T:T)</f>
        <v>0</v>
      </c>
      <c r="G123" s="3" t="str">
        <f>SUMIF('Match Subs Filter'!E:E,B123,'Match Subs Filter'!F:F)+sumif('Bank Transfers'!B:B,B123,'Bank Transfers'!C:C)</f>
        <v>#N/A</v>
      </c>
      <c r="H123" s="50" t="str">
        <f t="shared" si="2"/>
        <v>#N/A</v>
      </c>
      <c r="I123" s="51">
        <f t="array" ref="I123">IF(IFERROR(lookup(1,1/SEARCH(B123,'OTPI Scores'!C:C),'OTPI Scores'!E:E),0)="Vets",7,IFERROR(lookup(1,1/SEARCH(B123,'OTPI Scores'!C:C),'OTPI Scores'!E:E),0))</f>
        <v>0</v>
      </c>
      <c r="J123" s="37"/>
      <c r="K123" s="37"/>
      <c r="L123" s="37"/>
      <c r="M123" s="37"/>
      <c r="N123" s="37"/>
      <c r="O123" s="37"/>
      <c r="P123" s="37"/>
      <c r="Q123" s="37"/>
      <c r="R123" s="37"/>
      <c r="S123" s="37"/>
      <c r="T123" s="37"/>
      <c r="U123" s="37"/>
      <c r="V123" s="37"/>
      <c r="W123" s="37"/>
      <c r="X123" s="37"/>
    </row>
    <row r="124">
      <c r="A124" s="37"/>
      <c r="B124" s="49" t="str">
        <f>IFERROR(__xludf.DUMMYFUNCTION("""COMPUTED_VALUE"""),"Gonzalo Barros")</f>
        <v>Gonzalo Barros</v>
      </c>
      <c r="C124" s="5">
        <v>10.0</v>
      </c>
      <c r="D124" s="3">
        <f>countif('OTPI Scores'!C:C,B124)</f>
        <v>0</v>
      </c>
      <c r="E124" s="3">
        <f t="shared" si="1"/>
        <v>0</v>
      </c>
      <c r="F124" s="3">
        <f>sumif('OTPI Scores'!C:C,B124,'OTPI Scores'!T:T)</f>
        <v>0</v>
      </c>
      <c r="G124" s="3" t="str">
        <f>SUMIF('Match Subs Filter'!E:E,B124,'Match Subs Filter'!F:F)+sumif('Bank Transfers'!B:B,B124,'Bank Transfers'!C:C)</f>
        <v>#N/A</v>
      </c>
      <c r="H124" s="50" t="str">
        <f t="shared" si="2"/>
        <v>#N/A</v>
      </c>
      <c r="I124" s="51">
        <f t="array" ref="I124">IF(IFERROR(lookup(1,1/SEARCH(B124,'OTPI Scores'!C:C),'OTPI Scores'!E:E),0)="Vets",7,IFERROR(lookup(1,1/SEARCH(B124,'OTPI Scores'!C:C),'OTPI Scores'!E:E),0))</f>
        <v>0</v>
      </c>
      <c r="J124" s="37"/>
      <c r="K124" s="37"/>
      <c r="L124" s="37"/>
      <c r="M124" s="37"/>
      <c r="N124" s="37"/>
      <c r="O124" s="37"/>
      <c r="P124" s="37"/>
      <c r="Q124" s="37"/>
      <c r="R124" s="37"/>
      <c r="S124" s="37"/>
      <c r="T124" s="37"/>
      <c r="U124" s="37"/>
      <c r="V124" s="37"/>
      <c r="W124" s="37"/>
      <c r="X124" s="37"/>
    </row>
    <row r="125">
      <c r="A125" s="37"/>
      <c r="B125" s="49" t="str">
        <f>IFERROR(__xludf.DUMMYFUNCTION("""COMPUTED_VALUE"""),"Gulled Hersi")</f>
        <v>Gulled Hersi</v>
      </c>
      <c r="C125" s="5">
        <v>10.0</v>
      </c>
      <c r="D125" s="3">
        <f>countif('OTPI Scores'!C:C,B125)</f>
        <v>4</v>
      </c>
      <c r="E125" s="3">
        <f t="shared" si="1"/>
        <v>40</v>
      </c>
      <c r="F125" s="3">
        <f>sumif('OTPI Scores'!C:C,B125,'OTPI Scores'!T:T)</f>
        <v>40</v>
      </c>
      <c r="G125" s="3" t="str">
        <f>SUMIF('Match Subs Filter'!E:E,B125,'Match Subs Filter'!F:F)+sumif('Bank Transfers'!B:B,B125,'Bank Transfers'!C:C)</f>
        <v>#N/A</v>
      </c>
      <c r="H125" s="50" t="str">
        <f t="shared" si="2"/>
        <v>#N/A</v>
      </c>
      <c r="I125" s="51">
        <f t="array" ref="I125">IF(IFERROR(lookup(1,1/SEARCH(B125,'OTPI Scores'!C:C),'OTPI Scores'!E:E),0)="Vets",7,IFERROR(lookup(1,1/SEARCH(B125,'OTPI Scores'!C:C),'OTPI Scores'!E:E),0))</f>
        <v>6</v>
      </c>
      <c r="J125" s="37"/>
      <c r="K125" s="37"/>
      <c r="L125" s="37"/>
      <c r="M125" s="37"/>
      <c r="N125" s="37"/>
      <c r="O125" s="37"/>
      <c r="P125" s="37"/>
      <c r="Q125" s="37"/>
      <c r="R125" s="37"/>
      <c r="S125" s="37"/>
      <c r="T125" s="37"/>
      <c r="U125" s="37"/>
      <c r="V125" s="37"/>
      <c r="W125" s="37"/>
      <c r="X125" s="37"/>
    </row>
    <row r="126">
      <c r="A126" s="37"/>
      <c r="B126" s="49" t="str">
        <f>IFERROR(__xludf.DUMMYFUNCTION("""COMPUTED_VALUE"""),"Gus Neill")</f>
        <v>Gus Neill</v>
      </c>
      <c r="C126" s="5">
        <v>10.0</v>
      </c>
      <c r="D126" s="3">
        <f>countif('OTPI Scores'!C:C,B126)</f>
        <v>6</v>
      </c>
      <c r="E126" s="3">
        <f t="shared" si="1"/>
        <v>60</v>
      </c>
      <c r="F126" s="3">
        <f>sumif('OTPI Scores'!C:C,B126,'OTPI Scores'!T:T)</f>
        <v>55</v>
      </c>
      <c r="G126" s="3" t="str">
        <f>SUMIF('Match Subs Filter'!E:E,B126,'Match Subs Filter'!F:F)+sumif('Bank Transfers'!B:B,B126,'Bank Transfers'!C:C)</f>
        <v>#N/A</v>
      </c>
      <c r="H126" s="50" t="str">
        <f t="shared" si="2"/>
        <v>#N/A</v>
      </c>
      <c r="I126" s="51">
        <f t="array" ref="I126">IF(IFERROR(lookup(1,1/SEARCH(B126,'OTPI Scores'!C:C),'OTPI Scores'!E:E),0)="Vets",7,IFERROR(lookup(1,1/SEARCH(B126,'OTPI Scores'!C:C),'OTPI Scores'!E:E),0))</f>
        <v>4</v>
      </c>
      <c r="J126" s="37"/>
      <c r="K126" s="37"/>
      <c r="L126" s="37"/>
      <c r="M126" s="37"/>
      <c r="N126" s="37"/>
      <c r="O126" s="37"/>
      <c r="P126" s="37"/>
      <c r="Q126" s="37"/>
      <c r="R126" s="37"/>
      <c r="S126" s="37"/>
      <c r="T126" s="37"/>
      <c r="U126" s="37"/>
      <c r="V126" s="37"/>
      <c r="W126" s="37"/>
      <c r="X126" s="37"/>
    </row>
    <row r="127">
      <c r="A127" s="37"/>
      <c r="B127" s="49" t="str">
        <f>IFERROR(__xludf.DUMMYFUNCTION("""COMPUTED_VALUE"""),"Hallam Wye")</f>
        <v>Hallam Wye</v>
      </c>
      <c r="C127" s="5">
        <v>10.0</v>
      </c>
      <c r="D127" s="3">
        <f>countif('OTPI Scores'!C:C,B127)</f>
        <v>14</v>
      </c>
      <c r="E127" s="3">
        <f t="shared" si="1"/>
        <v>140</v>
      </c>
      <c r="F127" s="3">
        <f>sumif('OTPI Scores'!C:C,B127,'OTPI Scores'!T:T)</f>
        <v>130</v>
      </c>
      <c r="G127" s="3" t="str">
        <f>SUMIF('Match Subs Filter'!E:E,B127,'Match Subs Filter'!F:F)+sumif('Bank Transfers'!B:B,B127,'Bank Transfers'!C:C)</f>
        <v>#N/A</v>
      </c>
      <c r="H127" s="50" t="str">
        <f t="shared" si="2"/>
        <v>#N/A</v>
      </c>
      <c r="I127" s="51">
        <f t="array" ref="I127">IF(IFERROR(lookup(1,1/SEARCH(B127,'OTPI Scores'!C:C),'OTPI Scores'!E:E),0)="Vets",7,IFERROR(lookup(1,1/SEARCH(B127,'OTPI Scores'!C:C),'OTPI Scores'!E:E),0))</f>
        <v>4</v>
      </c>
      <c r="J127" s="37"/>
      <c r="K127" s="37"/>
      <c r="L127" s="37"/>
      <c r="M127" s="37"/>
      <c r="N127" s="37"/>
      <c r="O127" s="37"/>
      <c r="P127" s="37"/>
      <c r="Q127" s="37"/>
      <c r="R127" s="37"/>
      <c r="S127" s="37"/>
      <c r="T127" s="37"/>
      <c r="U127" s="37"/>
      <c r="V127" s="37"/>
      <c r="W127" s="37"/>
      <c r="X127" s="37"/>
    </row>
    <row r="128">
      <c r="A128" s="37"/>
      <c r="B128" s="49" t="str">
        <f>IFERROR(__xludf.DUMMYFUNCTION("""COMPUTED_VALUE"""),"Harold Kiyingi")</f>
        <v>Harold Kiyingi</v>
      </c>
      <c r="C128" s="5">
        <v>10.0</v>
      </c>
      <c r="D128" s="3">
        <f>countif('OTPI Scores'!C:C,B128)</f>
        <v>21</v>
      </c>
      <c r="E128" s="3">
        <f t="shared" si="1"/>
        <v>210</v>
      </c>
      <c r="F128" s="3">
        <f>sumif('OTPI Scores'!C:C,B128,'OTPI Scores'!T:T)</f>
        <v>180</v>
      </c>
      <c r="G128" s="3" t="str">
        <f>SUMIF('Match Subs Filter'!E:E,B128,'Match Subs Filter'!F:F)+sumif('Bank Transfers'!B:B,B128,'Bank Transfers'!C:C)</f>
        <v>#N/A</v>
      </c>
      <c r="H128" s="50" t="str">
        <f t="shared" si="2"/>
        <v>#N/A</v>
      </c>
      <c r="I128" s="51">
        <f t="array" ref="I128">IF(IFERROR(lookup(1,1/SEARCH(B128,'OTPI Scores'!C:C),'OTPI Scores'!E:E),0)="Vets",7,IFERROR(lookup(1,1/SEARCH(B128,'OTPI Scores'!C:C),'OTPI Scores'!E:E),0))</f>
        <v>3</v>
      </c>
      <c r="J128" s="37"/>
      <c r="K128" s="37"/>
      <c r="L128" s="37"/>
      <c r="M128" s="37"/>
      <c r="N128" s="37"/>
      <c r="O128" s="37"/>
      <c r="P128" s="37"/>
      <c r="Q128" s="37"/>
      <c r="R128" s="37"/>
      <c r="S128" s="37"/>
      <c r="T128" s="37"/>
      <c r="U128" s="37"/>
      <c r="V128" s="37"/>
      <c r="W128" s="37"/>
      <c r="X128" s="37"/>
    </row>
    <row r="129">
      <c r="A129" s="37"/>
      <c r="B129" s="49" t="str">
        <f>IFERROR(__xludf.DUMMYFUNCTION("""COMPUTED_VALUE"""),"Harrison Woolley")</f>
        <v>Harrison Woolley</v>
      </c>
      <c r="C129" s="5">
        <v>10.0</v>
      </c>
      <c r="D129" s="3">
        <f>countif('OTPI Scores'!C:C,B129)</f>
        <v>1</v>
      </c>
      <c r="E129" s="3">
        <f t="shared" si="1"/>
        <v>10</v>
      </c>
      <c r="F129" s="3">
        <f>sumif('OTPI Scores'!C:C,B129,'OTPI Scores'!T:T)</f>
        <v>5</v>
      </c>
      <c r="G129" s="3" t="str">
        <f>SUMIF('Match Subs Filter'!E:E,B129,'Match Subs Filter'!F:F)+sumif('Bank Transfers'!B:B,B129,'Bank Transfers'!C:C)</f>
        <v>#N/A</v>
      </c>
      <c r="H129" s="50" t="str">
        <f t="shared" si="2"/>
        <v>#N/A</v>
      </c>
      <c r="I129" s="51">
        <f t="array" ref="I129">IF(IFERROR(lookup(1,1/SEARCH(B129,'OTPI Scores'!C:C),'OTPI Scores'!E:E),0)="Vets",7,IFERROR(lookup(1,1/SEARCH(B129,'OTPI Scores'!C:C),'OTPI Scores'!E:E),0))</f>
        <v>5</v>
      </c>
      <c r="J129" s="37"/>
      <c r="K129" s="37"/>
      <c r="L129" s="37"/>
      <c r="M129" s="37"/>
      <c r="N129" s="37"/>
      <c r="O129" s="37"/>
      <c r="P129" s="37"/>
      <c r="Q129" s="37"/>
      <c r="R129" s="37"/>
      <c r="S129" s="37"/>
      <c r="T129" s="37"/>
      <c r="U129" s="37"/>
      <c r="V129" s="37"/>
      <c r="W129" s="37"/>
      <c r="X129" s="37"/>
    </row>
    <row r="130">
      <c r="A130" s="37"/>
      <c r="B130" s="49" t="str">
        <f>IFERROR(__xludf.DUMMYFUNCTION("""COMPUTED_VALUE"""),"Harry Calvesbert")</f>
        <v>Harry Calvesbert</v>
      </c>
      <c r="C130" s="5">
        <v>10.0</v>
      </c>
      <c r="D130" s="3">
        <f>countif('OTPI Scores'!C:C,B130)</f>
        <v>7</v>
      </c>
      <c r="E130" s="3">
        <f t="shared" si="1"/>
        <v>70</v>
      </c>
      <c r="F130" s="3">
        <f>sumif('OTPI Scores'!C:C,B130,'OTPI Scores'!T:T)</f>
        <v>65</v>
      </c>
      <c r="G130" s="3" t="str">
        <f>SUMIF('Match Subs Filter'!E:E,B130,'Match Subs Filter'!F:F)+sumif('Bank Transfers'!B:B,B130,'Bank Transfers'!C:C)</f>
        <v>#N/A</v>
      </c>
      <c r="H130" s="50" t="str">
        <f t="shared" si="2"/>
        <v>#N/A</v>
      </c>
      <c r="I130" s="51">
        <f t="array" ref="I130">IF(IFERROR(lookup(1,1/SEARCH(B130,'OTPI Scores'!C:C),'OTPI Scores'!E:E),0)="Vets",7,IFERROR(lookup(1,1/SEARCH(B130,'OTPI Scores'!C:C),'OTPI Scores'!E:E),0))</f>
        <v>2</v>
      </c>
      <c r="J130" s="37"/>
      <c r="K130" s="37"/>
      <c r="L130" s="37"/>
      <c r="M130" s="37"/>
      <c r="N130" s="37"/>
      <c r="O130" s="37"/>
      <c r="P130" s="37"/>
      <c r="Q130" s="37"/>
      <c r="R130" s="37"/>
      <c r="S130" s="37"/>
      <c r="T130" s="37"/>
      <c r="U130" s="37"/>
      <c r="V130" s="37"/>
      <c r="W130" s="37"/>
      <c r="X130" s="37"/>
    </row>
    <row r="131">
      <c r="A131" s="37"/>
      <c r="B131" s="49" t="str">
        <f>IFERROR(__xludf.DUMMYFUNCTION("""COMPUTED_VALUE"""),"Harry Fripp")</f>
        <v>Harry Fripp</v>
      </c>
      <c r="C131" s="5">
        <v>10.0</v>
      </c>
      <c r="D131" s="3">
        <f>countif('OTPI Scores'!C:C,B131)</f>
        <v>20</v>
      </c>
      <c r="E131" s="3">
        <f t="shared" si="1"/>
        <v>200</v>
      </c>
      <c r="F131" s="3">
        <f>sumif('OTPI Scores'!C:C,B131,'OTPI Scores'!T:T)</f>
        <v>187</v>
      </c>
      <c r="G131" s="3" t="str">
        <f>SUMIF('Match Subs Filter'!E:E,B131,'Match Subs Filter'!F:F)+sumif('Bank Transfers'!B:B,B131,'Bank Transfers'!C:C)</f>
        <v>#N/A</v>
      </c>
      <c r="H131" s="50" t="str">
        <f t="shared" si="2"/>
        <v>#N/A</v>
      </c>
      <c r="I131" s="51">
        <f t="array" ref="I131">IF(IFERROR(lookup(1,1/SEARCH(B131,'OTPI Scores'!C:C),'OTPI Scores'!E:E),0)="Vets",7,IFERROR(lookup(1,1/SEARCH(B131,'OTPI Scores'!C:C),'OTPI Scores'!E:E),0))</f>
        <v>5</v>
      </c>
      <c r="J131" s="37"/>
      <c r="K131" s="37"/>
      <c r="L131" s="37"/>
      <c r="M131" s="37"/>
      <c r="N131" s="37"/>
      <c r="O131" s="37"/>
      <c r="P131" s="37"/>
      <c r="Q131" s="37"/>
      <c r="R131" s="37"/>
      <c r="S131" s="37"/>
      <c r="T131" s="37"/>
      <c r="U131" s="37"/>
      <c r="V131" s="37"/>
      <c r="W131" s="37"/>
      <c r="X131" s="37"/>
    </row>
    <row r="132">
      <c r="A132" s="37"/>
      <c r="B132" s="49" t="str">
        <f>IFERROR(__xludf.DUMMYFUNCTION("""COMPUTED_VALUE"""),"Harry McAllister")</f>
        <v>Harry McAllister</v>
      </c>
      <c r="C132" s="5">
        <v>10.0</v>
      </c>
      <c r="D132" s="3">
        <f>countif('OTPI Scores'!C:C,B132)</f>
        <v>0</v>
      </c>
      <c r="E132" s="3">
        <f t="shared" si="1"/>
        <v>0</v>
      </c>
      <c r="F132" s="3">
        <f>sumif('OTPI Scores'!C:C,B132,'OTPI Scores'!T:T)</f>
        <v>0</v>
      </c>
      <c r="G132" s="3" t="str">
        <f>SUMIF('Match Subs Filter'!E:E,B132,'Match Subs Filter'!F:F)+sumif('Bank Transfers'!B:B,B132,'Bank Transfers'!C:C)</f>
        <v>#N/A</v>
      </c>
      <c r="H132" s="50" t="str">
        <f t="shared" si="2"/>
        <v>#N/A</v>
      </c>
      <c r="I132" s="51">
        <f t="array" ref="I132">IF(IFERROR(lookup(1,1/SEARCH(B132,'OTPI Scores'!C:C),'OTPI Scores'!E:E),0)="Vets",7,IFERROR(lookup(1,1/SEARCH(B132,'OTPI Scores'!C:C),'OTPI Scores'!E:E),0))</f>
        <v>0</v>
      </c>
      <c r="J132" s="37"/>
      <c r="K132" s="37"/>
      <c r="L132" s="37"/>
      <c r="M132" s="37"/>
      <c r="N132" s="37"/>
      <c r="O132" s="37"/>
      <c r="P132" s="37"/>
      <c r="Q132" s="37"/>
      <c r="R132" s="37"/>
      <c r="S132" s="37"/>
      <c r="T132" s="37"/>
      <c r="U132" s="37"/>
      <c r="V132" s="37"/>
      <c r="W132" s="37"/>
      <c r="X132" s="37"/>
    </row>
    <row r="133">
      <c r="A133" s="37"/>
      <c r="B133" s="49" t="str">
        <f>IFERROR(__xludf.DUMMYFUNCTION("""COMPUTED_VALUE"""),"Harry Rands")</f>
        <v>Harry Rands</v>
      </c>
      <c r="C133" s="5">
        <v>10.0</v>
      </c>
      <c r="D133" s="3">
        <f>countif('OTPI Scores'!C:C,B133)</f>
        <v>0</v>
      </c>
      <c r="E133" s="3">
        <f t="shared" si="1"/>
        <v>0</v>
      </c>
      <c r="F133" s="3">
        <f>sumif('OTPI Scores'!C:C,B133,'OTPI Scores'!T:T)</f>
        <v>0</v>
      </c>
      <c r="G133" s="3" t="str">
        <f>SUMIF('Match Subs Filter'!E:E,B133,'Match Subs Filter'!F:F)+sumif('Bank Transfers'!B:B,B133,'Bank Transfers'!C:C)</f>
        <v>#N/A</v>
      </c>
      <c r="H133" s="50" t="str">
        <f t="shared" si="2"/>
        <v>#N/A</v>
      </c>
      <c r="I133" s="51">
        <f t="array" ref="I133">IF(IFERROR(lookup(1,1/SEARCH(B133,'OTPI Scores'!C:C),'OTPI Scores'!E:E),0)="Vets",7,IFERROR(lookup(1,1/SEARCH(B133,'OTPI Scores'!C:C),'OTPI Scores'!E:E),0))</f>
        <v>0</v>
      </c>
      <c r="J133" s="37"/>
      <c r="K133" s="37"/>
      <c r="L133" s="37"/>
      <c r="M133" s="37"/>
      <c r="N133" s="37"/>
      <c r="O133" s="37"/>
      <c r="P133" s="37"/>
      <c r="Q133" s="37"/>
      <c r="R133" s="37"/>
      <c r="S133" s="37"/>
      <c r="T133" s="37"/>
      <c r="U133" s="37"/>
      <c r="V133" s="37"/>
      <c r="W133" s="37"/>
      <c r="X133" s="37"/>
    </row>
    <row r="134">
      <c r="A134" s="37"/>
      <c r="B134" s="49" t="str">
        <f>IFERROR(__xludf.DUMMYFUNCTION("""COMPUTED_VALUE"""),"Henry Pepperell")</f>
        <v>Henry Pepperell</v>
      </c>
      <c r="C134" s="5">
        <v>10.0</v>
      </c>
      <c r="D134" s="3">
        <f>countif('OTPI Scores'!C:C,B134)</f>
        <v>7</v>
      </c>
      <c r="E134" s="3">
        <f t="shared" si="1"/>
        <v>70</v>
      </c>
      <c r="F134" s="3">
        <f>sumif('OTPI Scores'!C:C,B134,'OTPI Scores'!T:T)</f>
        <v>65</v>
      </c>
      <c r="G134" s="3" t="str">
        <f>SUMIF('Match Subs Filter'!E:E,B134,'Match Subs Filter'!F:F)+sumif('Bank Transfers'!B:B,B134,'Bank Transfers'!C:C)</f>
        <v>#N/A</v>
      </c>
      <c r="H134" s="50" t="str">
        <f t="shared" si="2"/>
        <v>#N/A</v>
      </c>
      <c r="I134" s="51">
        <f t="array" ref="I134">IF(IFERROR(lookup(1,1/SEARCH(B134,'OTPI Scores'!C:C),'OTPI Scores'!E:E),0)="Vets",7,IFERROR(lookup(1,1/SEARCH(B134,'OTPI Scores'!C:C),'OTPI Scores'!E:E),0))</f>
        <v>2</v>
      </c>
      <c r="J134" s="37"/>
      <c r="K134" s="37"/>
      <c r="L134" s="37"/>
      <c r="M134" s="37"/>
      <c r="N134" s="37"/>
      <c r="O134" s="37"/>
      <c r="P134" s="37"/>
      <c r="Q134" s="37"/>
      <c r="R134" s="37"/>
      <c r="S134" s="37"/>
      <c r="T134" s="37"/>
      <c r="U134" s="37"/>
      <c r="V134" s="37"/>
      <c r="W134" s="37"/>
      <c r="X134" s="37"/>
    </row>
    <row r="135">
      <c r="A135" s="37"/>
      <c r="B135" s="49" t="str">
        <f>IFERROR(__xludf.DUMMYFUNCTION("""COMPUTED_VALUE"""),"Henry Smith")</f>
        <v>Henry Smith</v>
      </c>
      <c r="C135" s="5">
        <v>10.0</v>
      </c>
      <c r="D135" s="3">
        <f>countif('OTPI Scores'!C:C,B135)</f>
        <v>0</v>
      </c>
      <c r="E135" s="3">
        <f t="shared" si="1"/>
        <v>0</v>
      </c>
      <c r="F135" s="3">
        <f>sumif('OTPI Scores'!C:C,B135,'OTPI Scores'!T:T)</f>
        <v>0</v>
      </c>
      <c r="G135" s="3" t="str">
        <f>SUMIF('Match Subs Filter'!E:E,B135,'Match Subs Filter'!F:F)+sumif('Bank Transfers'!B:B,B135,'Bank Transfers'!C:C)</f>
        <v>#N/A</v>
      </c>
      <c r="H135" s="50" t="str">
        <f t="shared" si="2"/>
        <v>#N/A</v>
      </c>
      <c r="I135" s="51">
        <f t="array" ref="I135">IF(IFERROR(lookup(1,1/SEARCH(B135,'OTPI Scores'!C:C),'OTPI Scores'!E:E),0)="Vets",7,IFERROR(lookup(1,1/SEARCH(B135,'OTPI Scores'!C:C),'OTPI Scores'!E:E),0))</f>
        <v>0</v>
      </c>
      <c r="J135" s="37"/>
      <c r="K135" s="37"/>
      <c r="L135" s="37"/>
      <c r="M135" s="37"/>
      <c r="N135" s="37"/>
      <c r="O135" s="37"/>
      <c r="P135" s="37"/>
      <c r="Q135" s="37"/>
      <c r="R135" s="37"/>
      <c r="S135" s="37"/>
      <c r="T135" s="37"/>
      <c r="U135" s="37"/>
      <c r="V135" s="37"/>
      <c r="W135" s="37"/>
      <c r="X135" s="37"/>
    </row>
    <row r="136">
      <c r="A136" s="37"/>
      <c r="B136" s="49" t="str">
        <f>IFERROR(__xludf.DUMMYFUNCTION("""COMPUTED_VALUE"""),"Herick Assis")</f>
        <v>Herick Assis</v>
      </c>
      <c r="C136" s="5">
        <v>10.0</v>
      </c>
      <c r="D136" s="3">
        <f>countif('OTPI Scores'!C:C,B136)</f>
        <v>0</v>
      </c>
      <c r="E136" s="3">
        <f t="shared" si="1"/>
        <v>0</v>
      </c>
      <c r="F136" s="3">
        <f>sumif('OTPI Scores'!C:C,B136,'OTPI Scores'!T:T)</f>
        <v>0</v>
      </c>
      <c r="G136" s="3" t="str">
        <f>SUMIF('Match Subs Filter'!E:E,B136,'Match Subs Filter'!F:F)+sumif('Bank Transfers'!B:B,B136,'Bank Transfers'!C:C)</f>
        <v>#N/A</v>
      </c>
      <c r="H136" s="50" t="str">
        <f t="shared" si="2"/>
        <v>#N/A</v>
      </c>
      <c r="I136" s="51">
        <f t="array" ref="I136">IF(IFERROR(lookup(1,1/SEARCH(B136,'OTPI Scores'!C:C),'OTPI Scores'!E:E),0)="Vets",7,IFERROR(lookup(1,1/SEARCH(B136,'OTPI Scores'!C:C),'OTPI Scores'!E:E),0))</f>
        <v>0</v>
      </c>
      <c r="J136" s="37"/>
      <c r="K136" s="37"/>
      <c r="L136" s="37"/>
      <c r="M136" s="37"/>
      <c r="N136" s="37"/>
      <c r="O136" s="37"/>
      <c r="P136" s="37"/>
      <c r="Q136" s="37"/>
      <c r="R136" s="37"/>
      <c r="S136" s="37"/>
      <c r="T136" s="37"/>
      <c r="U136" s="37"/>
      <c r="V136" s="37"/>
      <c r="W136" s="37"/>
      <c r="X136" s="37"/>
    </row>
    <row r="137">
      <c r="A137" s="37"/>
      <c r="B137" s="49" t="str">
        <f>IFERROR(__xludf.DUMMYFUNCTION("""COMPUTED_VALUE"""),"Ibo Nezir")</f>
        <v>Ibo Nezir</v>
      </c>
      <c r="C137" s="5">
        <v>10.0</v>
      </c>
      <c r="D137" s="3">
        <f>countif('OTPI Scores'!C:C,B137)</f>
        <v>0</v>
      </c>
      <c r="E137" s="3">
        <f t="shared" si="1"/>
        <v>0</v>
      </c>
      <c r="F137" s="3">
        <f>sumif('OTPI Scores'!C:C,B137,'OTPI Scores'!T:T)</f>
        <v>0</v>
      </c>
      <c r="G137" s="3" t="str">
        <f>SUMIF('Match Subs Filter'!E:E,B137,'Match Subs Filter'!F:F)+sumif('Bank Transfers'!B:B,B137,'Bank Transfers'!C:C)</f>
        <v>#N/A</v>
      </c>
      <c r="H137" s="50" t="str">
        <f t="shared" si="2"/>
        <v>#N/A</v>
      </c>
      <c r="I137" s="51">
        <f t="array" ref="I137">IF(IFERROR(lookup(1,1/SEARCH(B137,'OTPI Scores'!C:C),'OTPI Scores'!E:E),0)="Vets",7,IFERROR(lookup(1,1/SEARCH(B137,'OTPI Scores'!C:C),'OTPI Scores'!E:E),0))</f>
        <v>0</v>
      </c>
      <c r="J137" s="37"/>
      <c r="K137" s="37"/>
      <c r="L137" s="37"/>
      <c r="M137" s="37"/>
      <c r="N137" s="37"/>
      <c r="O137" s="37"/>
      <c r="P137" s="37"/>
      <c r="Q137" s="37"/>
      <c r="R137" s="37"/>
      <c r="S137" s="37"/>
      <c r="T137" s="37"/>
      <c r="U137" s="37"/>
      <c r="V137" s="37"/>
      <c r="W137" s="37"/>
      <c r="X137" s="37"/>
    </row>
    <row r="138">
      <c r="A138" s="37"/>
      <c r="B138" s="49" t="str">
        <f>IFERROR(__xludf.DUMMYFUNCTION("""COMPUTED_VALUE"""),"Isaac Adepegba")</f>
        <v>Isaac Adepegba</v>
      </c>
      <c r="C138" s="5">
        <v>10.0</v>
      </c>
      <c r="D138" s="3">
        <f>countif('OTPI Scores'!C:C,B138)</f>
        <v>5</v>
      </c>
      <c r="E138" s="3">
        <f t="shared" si="1"/>
        <v>50</v>
      </c>
      <c r="F138" s="3">
        <f>sumif('OTPI Scores'!C:C,B138,'OTPI Scores'!T:T)</f>
        <v>45</v>
      </c>
      <c r="G138" s="3" t="str">
        <f>SUMIF('Match Subs Filter'!E:E,B138,'Match Subs Filter'!F:F)+sumif('Bank Transfers'!B:B,B138,'Bank Transfers'!C:C)</f>
        <v>#N/A</v>
      </c>
      <c r="H138" s="50" t="str">
        <f t="shared" si="2"/>
        <v>#N/A</v>
      </c>
      <c r="I138" s="51">
        <f t="array" ref="I138">IF(IFERROR(lookup(1,1/SEARCH(B138,'OTPI Scores'!C:C),'OTPI Scores'!E:E),0)="Vets",7,IFERROR(lookup(1,1/SEARCH(B138,'OTPI Scores'!C:C),'OTPI Scores'!E:E),0))</f>
        <v>5</v>
      </c>
      <c r="J138" s="37"/>
      <c r="K138" s="37"/>
      <c r="L138" s="37"/>
      <c r="M138" s="37"/>
      <c r="N138" s="37"/>
      <c r="O138" s="37"/>
      <c r="P138" s="37"/>
      <c r="Q138" s="37"/>
      <c r="R138" s="37"/>
      <c r="S138" s="37"/>
      <c r="T138" s="37"/>
      <c r="U138" s="37"/>
      <c r="V138" s="37"/>
      <c r="W138" s="37"/>
      <c r="X138" s="37"/>
    </row>
    <row r="139">
      <c r="A139" s="37"/>
      <c r="B139" s="49" t="str">
        <f>IFERROR(__xludf.DUMMYFUNCTION("""COMPUTED_VALUE"""),"Ismail Afenyo")</f>
        <v>Ismail Afenyo</v>
      </c>
      <c r="C139" s="5">
        <v>10.0</v>
      </c>
      <c r="D139" s="3">
        <f>countif('OTPI Scores'!C:C,B139)</f>
        <v>0</v>
      </c>
      <c r="E139" s="3">
        <f t="shared" si="1"/>
        <v>0</v>
      </c>
      <c r="F139" s="3">
        <f>sumif('OTPI Scores'!C:C,B139,'OTPI Scores'!T:T)</f>
        <v>0</v>
      </c>
      <c r="G139" s="3" t="str">
        <f>SUMIF('Match Subs Filter'!E:E,B139,'Match Subs Filter'!F:F)+sumif('Bank Transfers'!B:B,B139,'Bank Transfers'!C:C)</f>
        <v>#N/A</v>
      </c>
      <c r="H139" s="50" t="str">
        <f t="shared" si="2"/>
        <v>#N/A</v>
      </c>
      <c r="I139" s="51">
        <f t="array" ref="I139">IF(IFERROR(lookup(1,1/SEARCH(B139,'OTPI Scores'!C:C),'OTPI Scores'!E:E),0)="Vets",7,IFERROR(lookup(1,1/SEARCH(B139,'OTPI Scores'!C:C),'OTPI Scores'!E:E),0))</f>
        <v>0</v>
      </c>
      <c r="J139" s="37"/>
      <c r="K139" s="37"/>
      <c r="L139" s="37"/>
      <c r="M139" s="37"/>
      <c r="N139" s="37"/>
      <c r="O139" s="37"/>
      <c r="P139" s="37"/>
      <c r="Q139" s="37"/>
      <c r="R139" s="37"/>
      <c r="S139" s="37"/>
      <c r="T139" s="37"/>
      <c r="U139" s="37"/>
      <c r="V139" s="37"/>
      <c r="W139" s="37"/>
      <c r="X139" s="37"/>
    </row>
    <row r="140">
      <c r="A140" s="37"/>
      <c r="B140" s="49" t="str">
        <f>IFERROR(__xludf.DUMMYFUNCTION("""COMPUTED_VALUE"""),"Ismail Wall")</f>
        <v>Ismail Wall</v>
      </c>
      <c r="C140" s="5">
        <v>10.0</v>
      </c>
      <c r="D140" s="3">
        <f>countif('OTPI Scores'!C:C,B140)</f>
        <v>11</v>
      </c>
      <c r="E140" s="3">
        <f t="shared" si="1"/>
        <v>110</v>
      </c>
      <c r="F140" s="3">
        <f>sumif('OTPI Scores'!C:C,B140,'OTPI Scores'!T:T)</f>
        <v>55</v>
      </c>
      <c r="G140" s="3" t="str">
        <f>SUMIF('Match Subs Filter'!E:E,B140,'Match Subs Filter'!F:F)+sumif('Bank Transfers'!B:B,B140,'Bank Transfers'!C:C)</f>
        <v>#N/A</v>
      </c>
      <c r="H140" s="50" t="str">
        <f t="shared" si="2"/>
        <v>#N/A</v>
      </c>
      <c r="I140" s="51">
        <f t="array" ref="I140">IF(IFERROR(lookup(1,1/SEARCH(B140,'OTPI Scores'!C:C),'OTPI Scores'!E:E),0)="Vets",7,IFERROR(lookup(1,1/SEARCH(B140,'OTPI Scores'!C:C),'OTPI Scores'!E:E),0))</f>
        <v>3</v>
      </c>
      <c r="J140" s="37"/>
      <c r="K140" s="37"/>
      <c r="L140" s="37"/>
      <c r="M140" s="37"/>
      <c r="N140" s="37"/>
      <c r="O140" s="37"/>
      <c r="P140" s="37"/>
      <c r="Q140" s="37"/>
      <c r="R140" s="37"/>
      <c r="S140" s="37"/>
      <c r="T140" s="37"/>
      <c r="U140" s="37"/>
      <c r="V140" s="37"/>
      <c r="W140" s="37"/>
      <c r="X140" s="37"/>
    </row>
    <row r="141">
      <c r="A141" s="37"/>
      <c r="B141" s="49" t="str">
        <f>IFERROR(__xludf.DUMMYFUNCTION("""COMPUTED_VALUE"""),"Iyanuoluwa  Aina")</f>
        <v>Iyanuoluwa  Aina</v>
      </c>
      <c r="C141" s="5">
        <v>10.0</v>
      </c>
      <c r="D141" s="3">
        <f>countif('OTPI Scores'!C:C,B141)</f>
        <v>0</v>
      </c>
      <c r="E141" s="3">
        <f t="shared" si="1"/>
        <v>0</v>
      </c>
      <c r="F141" s="3">
        <f>sumif('OTPI Scores'!C:C,B141,'OTPI Scores'!T:T)</f>
        <v>0</v>
      </c>
      <c r="G141" s="3" t="str">
        <f>SUMIF('Match Subs Filter'!E:E,B141,'Match Subs Filter'!F:F)+sumif('Bank Transfers'!B:B,B141,'Bank Transfers'!C:C)</f>
        <v>#N/A</v>
      </c>
      <c r="H141" s="50" t="str">
        <f t="shared" si="2"/>
        <v>#N/A</v>
      </c>
      <c r="I141" s="51">
        <f t="array" ref="I141">IF(IFERROR(lookup(1,1/SEARCH(B141,'OTPI Scores'!C:C),'OTPI Scores'!E:E),0)="Vets",7,IFERROR(lookup(1,1/SEARCH(B141,'OTPI Scores'!C:C),'OTPI Scores'!E:E),0))</f>
        <v>0</v>
      </c>
      <c r="J141" s="37"/>
      <c r="K141" s="37"/>
      <c r="L141" s="37"/>
      <c r="M141" s="37"/>
      <c r="N141" s="37"/>
      <c r="O141" s="37"/>
      <c r="P141" s="37"/>
      <c r="Q141" s="37"/>
      <c r="R141" s="37"/>
      <c r="S141" s="37"/>
      <c r="T141" s="37"/>
      <c r="U141" s="37"/>
      <c r="V141" s="37"/>
      <c r="W141" s="37"/>
      <c r="X141" s="37"/>
    </row>
    <row r="142">
      <c r="A142" s="37"/>
      <c r="B142" s="49" t="str">
        <f>IFERROR(__xludf.DUMMYFUNCTION("""COMPUTED_VALUE"""),"Jabari Dixon")</f>
        <v>Jabari Dixon</v>
      </c>
      <c r="C142" s="5">
        <v>10.0</v>
      </c>
      <c r="D142" s="3">
        <f>countif('OTPI Scores'!C:C,B142)</f>
        <v>14</v>
      </c>
      <c r="E142" s="3">
        <f t="shared" si="1"/>
        <v>140</v>
      </c>
      <c r="F142" s="3">
        <f>sumif('OTPI Scores'!C:C,B142,'OTPI Scores'!T:T)</f>
        <v>140</v>
      </c>
      <c r="G142" s="3" t="str">
        <f>SUMIF('Match Subs Filter'!E:E,B142,'Match Subs Filter'!F:F)+sumif('Bank Transfers'!B:B,B142,'Bank Transfers'!C:C)</f>
        <v>#N/A</v>
      </c>
      <c r="H142" s="50" t="str">
        <f t="shared" si="2"/>
        <v>#N/A</v>
      </c>
      <c r="I142" s="51">
        <f t="array" ref="I142">IF(IFERROR(lookup(1,1/SEARCH(B142,'OTPI Scores'!C:C),'OTPI Scores'!E:E),0)="Vets",7,IFERROR(lookup(1,1/SEARCH(B142,'OTPI Scores'!C:C),'OTPI Scores'!E:E),0))</f>
        <v>6</v>
      </c>
      <c r="J142" s="37"/>
      <c r="K142" s="37"/>
      <c r="L142" s="37"/>
      <c r="M142" s="37"/>
      <c r="N142" s="37"/>
      <c r="O142" s="37"/>
      <c r="P142" s="37"/>
      <c r="Q142" s="37"/>
      <c r="R142" s="37"/>
      <c r="S142" s="37"/>
      <c r="T142" s="37"/>
      <c r="U142" s="37"/>
      <c r="V142" s="37"/>
      <c r="W142" s="37"/>
      <c r="X142" s="37"/>
    </row>
    <row r="143">
      <c r="A143" s="37"/>
      <c r="B143" s="49" t="str">
        <f>IFERROR(__xludf.DUMMYFUNCTION("""COMPUTED_VALUE"""),"Jack Allen")</f>
        <v>Jack Allen</v>
      </c>
      <c r="C143" s="5">
        <v>10.0</v>
      </c>
      <c r="D143" s="3">
        <f>countif('OTPI Scores'!C:C,B143)</f>
        <v>0</v>
      </c>
      <c r="E143" s="3">
        <f t="shared" si="1"/>
        <v>0</v>
      </c>
      <c r="F143" s="3">
        <f>sumif('OTPI Scores'!C:C,B143,'OTPI Scores'!T:T)</f>
        <v>0</v>
      </c>
      <c r="G143" s="3" t="str">
        <f>SUMIF('Match Subs Filter'!E:E,B143,'Match Subs Filter'!F:F)+sumif('Bank Transfers'!B:B,B143,'Bank Transfers'!C:C)</f>
        <v>#N/A</v>
      </c>
      <c r="H143" s="50" t="str">
        <f t="shared" si="2"/>
        <v>#N/A</v>
      </c>
      <c r="I143" s="51">
        <f t="array" ref="I143">IF(IFERROR(lookup(1,1/SEARCH(B143,'OTPI Scores'!C:C),'OTPI Scores'!E:E),0)="Vets",7,IFERROR(lookup(1,1/SEARCH(B143,'OTPI Scores'!C:C),'OTPI Scores'!E:E),0))</f>
        <v>0</v>
      </c>
      <c r="J143" s="37"/>
      <c r="K143" s="37"/>
      <c r="L143" s="37"/>
      <c r="M143" s="37"/>
      <c r="N143" s="37"/>
      <c r="O143" s="37"/>
      <c r="P143" s="37"/>
      <c r="Q143" s="37"/>
      <c r="R143" s="37"/>
      <c r="S143" s="37"/>
      <c r="T143" s="37"/>
      <c r="U143" s="37"/>
      <c r="V143" s="37"/>
      <c r="W143" s="37"/>
      <c r="X143" s="37"/>
    </row>
    <row r="144">
      <c r="A144" s="37"/>
      <c r="B144" s="49" t="str">
        <f>IFERROR(__xludf.DUMMYFUNCTION("""COMPUTED_VALUE"""),"Jack Burch")</f>
        <v>Jack Burch</v>
      </c>
      <c r="C144" s="5">
        <v>10.0</v>
      </c>
      <c r="D144" s="3">
        <f>countif('OTPI Scores'!C:C,B144)</f>
        <v>0</v>
      </c>
      <c r="E144" s="3">
        <f t="shared" si="1"/>
        <v>0</v>
      </c>
      <c r="F144" s="3">
        <f>sumif('OTPI Scores'!C:C,B144,'OTPI Scores'!T:T)</f>
        <v>0</v>
      </c>
      <c r="G144" s="3" t="str">
        <f>SUMIF('Match Subs Filter'!E:E,B144,'Match Subs Filter'!F:F)+sumif('Bank Transfers'!B:B,B144,'Bank Transfers'!C:C)</f>
        <v>#N/A</v>
      </c>
      <c r="H144" s="50" t="str">
        <f t="shared" si="2"/>
        <v>#N/A</v>
      </c>
      <c r="I144" s="51">
        <f t="array" ref="I144">IF(IFERROR(lookup(1,1/SEARCH(B144,'OTPI Scores'!C:C),'OTPI Scores'!E:E),0)="Vets",7,IFERROR(lookup(1,1/SEARCH(B144,'OTPI Scores'!C:C),'OTPI Scores'!E:E),0))</f>
        <v>0</v>
      </c>
      <c r="J144" s="37"/>
      <c r="K144" s="37"/>
      <c r="L144" s="37"/>
      <c r="M144" s="37"/>
      <c r="N144" s="37"/>
      <c r="O144" s="37"/>
      <c r="P144" s="37"/>
      <c r="Q144" s="37"/>
      <c r="R144" s="37"/>
      <c r="S144" s="37"/>
      <c r="T144" s="37"/>
      <c r="U144" s="37"/>
      <c r="V144" s="37"/>
      <c r="W144" s="37"/>
      <c r="X144" s="37"/>
    </row>
    <row r="145">
      <c r="A145" s="37"/>
      <c r="B145" s="49" t="str">
        <f>IFERROR(__xludf.DUMMYFUNCTION("""COMPUTED_VALUE"""),"Jack Butcher")</f>
        <v>Jack Butcher</v>
      </c>
      <c r="C145" s="5">
        <v>10.0</v>
      </c>
      <c r="D145" s="3">
        <f>countif('OTPI Scores'!C:C,B145)</f>
        <v>6</v>
      </c>
      <c r="E145" s="3">
        <f t="shared" si="1"/>
        <v>60</v>
      </c>
      <c r="F145" s="3">
        <f>sumif('OTPI Scores'!C:C,B145,'OTPI Scores'!T:T)</f>
        <v>60</v>
      </c>
      <c r="G145" s="3" t="str">
        <f>SUMIF('Match Subs Filter'!E:E,B145,'Match Subs Filter'!F:F)+sumif('Bank Transfers'!B:B,B145,'Bank Transfers'!C:C)</f>
        <v>#N/A</v>
      </c>
      <c r="H145" s="50" t="str">
        <f t="shared" si="2"/>
        <v>#N/A</v>
      </c>
      <c r="I145" s="51">
        <f t="array" ref="I145">IF(IFERROR(lookup(1,1/SEARCH(B145,'OTPI Scores'!C:C),'OTPI Scores'!E:E),0)="Vets",7,IFERROR(lookup(1,1/SEARCH(B145,'OTPI Scores'!C:C),'OTPI Scores'!E:E),0))</f>
        <v>6</v>
      </c>
      <c r="J145" s="37"/>
      <c r="K145" s="37"/>
      <c r="L145" s="37"/>
      <c r="M145" s="37"/>
      <c r="N145" s="37"/>
      <c r="O145" s="37"/>
      <c r="P145" s="37"/>
      <c r="Q145" s="37"/>
      <c r="R145" s="37"/>
      <c r="S145" s="37"/>
      <c r="T145" s="37"/>
      <c r="U145" s="37"/>
      <c r="V145" s="37"/>
      <c r="W145" s="37"/>
      <c r="X145" s="37"/>
    </row>
    <row r="146">
      <c r="A146" s="37"/>
      <c r="B146" s="49" t="str">
        <f>IFERROR(__xludf.DUMMYFUNCTION("""COMPUTED_VALUE"""),"Jack Bye")</f>
        <v>Jack Bye</v>
      </c>
      <c r="C146" s="5">
        <v>10.0</v>
      </c>
      <c r="D146" s="3">
        <f>countif('OTPI Scores'!C:C,B146)</f>
        <v>0</v>
      </c>
      <c r="E146" s="3">
        <f t="shared" si="1"/>
        <v>0</v>
      </c>
      <c r="F146" s="3">
        <f>sumif('OTPI Scores'!C:C,B146,'OTPI Scores'!T:T)</f>
        <v>0</v>
      </c>
      <c r="G146" s="3" t="str">
        <f>SUMIF('Match Subs Filter'!E:E,B146,'Match Subs Filter'!F:F)+sumif('Bank Transfers'!B:B,B146,'Bank Transfers'!C:C)</f>
        <v>#N/A</v>
      </c>
      <c r="H146" s="50" t="str">
        <f t="shared" si="2"/>
        <v>#N/A</v>
      </c>
      <c r="I146" s="51">
        <f t="array" ref="I146">IF(IFERROR(lookup(1,1/SEARCH(B146,'OTPI Scores'!C:C),'OTPI Scores'!E:E),0)="Vets",7,IFERROR(lookup(1,1/SEARCH(B146,'OTPI Scores'!C:C),'OTPI Scores'!E:E),0))</f>
        <v>0</v>
      </c>
      <c r="J146" s="37"/>
      <c r="K146" s="37"/>
      <c r="L146" s="37"/>
      <c r="M146" s="37"/>
      <c r="N146" s="37"/>
      <c r="O146" s="37"/>
      <c r="P146" s="37"/>
      <c r="Q146" s="37"/>
      <c r="R146" s="37"/>
      <c r="S146" s="37"/>
      <c r="T146" s="37"/>
      <c r="U146" s="37"/>
      <c r="V146" s="37"/>
      <c r="W146" s="37"/>
      <c r="X146" s="37"/>
    </row>
    <row r="147">
      <c r="A147" s="37"/>
      <c r="B147" s="49" t="str">
        <f>IFERROR(__xludf.DUMMYFUNCTION("""COMPUTED_VALUE"""),"Jack Harris")</f>
        <v>Jack Harris</v>
      </c>
      <c r="C147" s="5">
        <v>10.0</v>
      </c>
      <c r="D147" s="3">
        <f>countif('OTPI Scores'!C:C,B147)</f>
        <v>20</v>
      </c>
      <c r="E147" s="3">
        <f t="shared" si="1"/>
        <v>200</v>
      </c>
      <c r="F147" s="3">
        <f>sumif('OTPI Scores'!C:C,B147,'OTPI Scores'!T:T)</f>
        <v>200</v>
      </c>
      <c r="G147" s="3" t="str">
        <f>SUMIF('Match Subs Filter'!E:E,B147,'Match Subs Filter'!F:F)+sumif('Bank Transfers'!B:B,B147,'Bank Transfers'!C:C)</f>
        <v>#N/A</v>
      </c>
      <c r="H147" s="50" t="str">
        <f t="shared" si="2"/>
        <v>#N/A</v>
      </c>
      <c r="I147" s="51">
        <f t="array" ref="I147">IF(IFERROR(lookup(1,1/SEARCH(B147,'OTPI Scores'!C:C),'OTPI Scores'!E:E),0)="Vets",7,IFERROR(lookup(1,1/SEARCH(B147,'OTPI Scores'!C:C),'OTPI Scores'!E:E),0))</f>
        <v>5</v>
      </c>
      <c r="J147" s="37"/>
      <c r="K147" s="37"/>
      <c r="L147" s="37"/>
      <c r="M147" s="37"/>
      <c r="N147" s="37"/>
      <c r="O147" s="37"/>
      <c r="P147" s="37"/>
      <c r="Q147" s="37"/>
      <c r="R147" s="37"/>
      <c r="S147" s="37"/>
      <c r="T147" s="37"/>
      <c r="U147" s="37"/>
      <c r="V147" s="37"/>
      <c r="W147" s="37"/>
      <c r="X147" s="37"/>
    </row>
    <row r="148">
      <c r="A148" s="37"/>
      <c r="B148" s="49" t="str">
        <f>IFERROR(__xludf.DUMMYFUNCTION("""COMPUTED_VALUE"""),"Jack Hind")</f>
        <v>Jack Hind</v>
      </c>
      <c r="C148" s="5">
        <v>10.0</v>
      </c>
      <c r="D148" s="3">
        <f>countif('OTPI Scores'!C:C,B148)</f>
        <v>11</v>
      </c>
      <c r="E148" s="3">
        <f t="shared" si="1"/>
        <v>110</v>
      </c>
      <c r="F148" s="3">
        <f>sumif('OTPI Scores'!C:C,B148,'OTPI Scores'!T:T)</f>
        <v>105</v>
      </c>
      <c r="G148" s="3" t="str">
        <f>SUMIF('Match Subs Filter'!E:E,B148,'Match Subs Filter'!F:F)+sumif('Bank Transfers'!B:B,B148,'Bank Transfers'!C:C)</f>
        <v>#N/A</v>
      </c>
      <c r="H148" s="50" t="str">
        <f t="shared" si="2"/>
        <v>#N/A</v>
      </c>
      <c r="I148" s="51">
        <f t="array" ref="I148">IF(IFERROR(lookup(1,1/SEARCH(B148,'OTPI Scores'!C:C),'OTPI Scores'!E:E),0)="Vets",7,IFERROR(lookup(1,1/SEARCH(B148,'OTPI Scores'!C:C),'OTPI Scores'!E:E),0))</f>
        <v>6</v>
      </c>
      <c r="J148" s="37"/>
      <c r="K148" s="37"/>
      <c r="L148" s="37"/>
      <c r="M148" s="37"/>
      <c r="N148" s="37"/>
      <c r="O148" s="37"/>
      <c r="P148" s="37"/>
      <c r="Q148" s="37"/>
      <c r="R148" s="37"/>
      <c r="S148" s="37"/>
      <c r="T148" s="37"/>
      <c r="U148" s="37"/>
      <c r="V148" s="37"/>
      <c r="W148" s="37"/>
      <c r="X148" s="37"/>
    </row>
    <row r="149">
      <c r="A149" s="37"/>
      <c r="B149" s="49" t="str">
        <f>IFERROR(__xludf.DUMMYFUNCTION("""COMPUTED_VALUE"""),"Jack McLaren")</f>
        <v>Jack McLaren</v>
      </c>
      <c r="C149" s="5">
        <v>10.0</v>
      </c>
      <c r="D149" s="3">
        <f>countif('OTPI Scores'!C:C,B149)</f>
        <v>0</v>
      </c>
      <c r="E149" s="3">
        <f t="shared" si="1"/>
        <v>0</v>
      </c>
      <c r="F149" s="3">
        <f>sumif('OTPI Scores'!C:C,B149,'OTPI Scores'!T:T)</f>
        <v>0</v>
      </c>
      <c r="G149" s="3" t="str">
        <f>SUMIF('Match Subs Filter'!E:E,B149,'Match Subs Filter'!F:F)+sumif('Bank Transfers'!B:B,B149,'Bank Transfers'!C:C)</f>
        <v>#N/A</v>
      </c>
      <c r="H149" s="50" t="str">
        <f t="shared" si="2"/>
        <v>#N/A</v>
      </c>
      <c r="I149" s="51">
        <f t="array" ref="I149">IF(IFERROR(lookup(1,1/SEARCH(B149,'OTPI Scores'!C:C),'OTPI Scores'!E:E),0)="Vets",7,IFERROR(lookup(1,1/SEARCH(B149,'OTPI Scores'!C:C),'OTPI Scores'!E:E),0))</f>
        <v>0</v>
      </c>
      <c r="J149" s="37"/>
      <c r="K149" s="37"/>
      <c r="L149" s="37"/>
      <c r="M149" s="37"/>
      <c r="N149" s="37"/>
      <c r="O149" s="37"/>
      <c r="P149" s="37"/>
      <c r="Q149" s="37"/>
      <c r="R149" s="37"/>
      <c r="S149" s="37"/>
      <c r="T149" s="37"/>
      <c r="U149" s="37"/>
      <c r="V149" s="37"/>
      <c r="W149" s="37"/>
      <c r="X149" s="37"/>
    </row>
    <row r="150">
      <c r="A150" s="37"/>
      <c r="B150" s="49" t="str">
        <f>IFERROR(__xludf.DUMMYFUNCTION("""COMPUTED_VALUE"""),"Jack Rogers")</f>
        <v>Jack Rogers</v>
      </c>
      <c r="C150" s="5">
        <v>10.0</v>
      </c>
      <c r="D150" s="3">
        <f>countif('OTPI Scores'!C:C,B150)</f>
        <v>0</v>
      </c>
      <c r="E150" s="3">
        <f t="shared" si="1"/>
        <v>0</v>
      </c>
      <c r="F150" s="3">
        <f>sumif('OTPI Scores'!C:C,B150,'OTPI Scores'!T:T)</f>
        <v>0</v>
      </c>
      <c r="G150" s="3" t="str">
        <f>SUMIF('Match Subs Filter'!E:E,B150,'Match Subs Filter'!F:F)+sumif('Bank Transfers'!B:B,B150,'Bank Transfers'!C:C)</f>
        <v>#N/A</v>
      </c>
      <c r="H150" s="50" t="str">
        <f t="shared" si="2"/>
        <v>#N/A</v>
      </c>
      <c r="I150" s="51">
        <f t="array" ref="I150">IF(IFERROR(lookup(1,1/SEARCH(B150,'OTPI Scores'!C:C),'OTPI Scores'!E:E),0)="Vets",7,IFERROR(lookup(1,1/SEARCH(B150,'OTPI Scores'!C:C),'OTPI Scores'!E:E),0))</f>
        <v>0</v>
      </c>
      <c r="J150" s="37"/>
      <c r="K150" s="37"/>
      <c r="L150" s="37"/>
      <c r="M150" s="37"/>
      <c r="N150" s="37"/>
      <c r="O150" s="37"/>
      <c r="P150" s="37"/>
      <c r="Q150" s="37"/>
      <c r="R150" s="37"/>
      <c r="S150" s="37"/>
      <c r="T150" s="37"/>
      <c r="U150" s="37"/>
      <c r="V150" s="37"/>
      <c r="W150" s="37"/>
      <c r="X150" s="37"/>
    </row>
    <row r="151">
      <c r="A151" s="37"/>
      <c r="B151" s="49" t="str">
        <f>IFERROR(__xludf.DUMMYFUNCTION("""COMPUTED_VALUE"""),"Jaico Fung")</f>
        <v>Jaico Fung</v>
      </c>
      <c r="C151" s="5">
        <v>10.0</v>
      </c>
      <c r="D151" s="3">
        <f>countif('OTPI Scores'!C:C,B151)</f>
        <v>0</v>
      </c>
      <c r="E151" s="3">
        <f t="shared" si="1"/>
        <v>0</v>
      </c>
      <c r="F151" s="3">
        <f>sumif('OTPI Scores'!C:C,B151,'OTPI Scores'!T:T)</f>
        <v>0</v>
      </c>
      <c r="G151" s="3" t="str">
        <f>SUMIF('Match Subs Filter'!E:E,B151,'Match Subs Filter'!F:F)+sumif('Bank Transfers'!B:B,B151,'Bank Transfers'!C:C)</f>
        <v>#N/A</v>
      </c>
      <c r="H151" s="50" t="str">
        <f t="shared" si="2"/>
        <v>#N/A</v>
      </c>
      <c r="I151" s="51">
        <f t="array" ref="I151">IF(IFERROR(lookup(1,1/SEARCH(B151,'OTPI Scores'!C:C),'OTPI Scores'!E:E),0)="Vets",7,IFERROR(lookup(1,1/SEARCH(B151,'OTPI Scores'!C:C),'OTPI Scores'!E:E),0))</f>
        <v>0</v>
      </c>
      <c r="J151" s="37"/>
      <c r="K151" s="37"/>
      <c r="L151" s="37"/>
      <c r="M151" s="37"/>
      <c r="N151" s="37"/>
      <c r="O151" s="37"/>
      <c r="P151" s="37"/>
      <c r="Q151" s="37"/>
      <c r="R151" s="37"/>
      <c r="S151" s="37"/>
      <c r="T151" s="37"/>
      <c r="U151" s="37"/>
      <c r="V151" s="37"/>
      <c r="W151" s="37"/>
      <c r="X151" s="37"/>
    </row>
    <row r="152">
      <c r="A152" s="37"/>
      <c r="B152" s="49" t="str">
        <f>IFERROR(__xludf.DUMMYFUNCTION("""COMPUTED_VALUE"""),"James Arrowsmith")</f>
        <v>James Arrowsmith</v>
      </c>
      <c r="C152" s="5">
        <v>10.0</v>
      </c>
      <c r="D152" s="3">
        <f>countif('OTPI Scores'!C:C,B152)</f>
        <v>0</v>
      </c>
      <c r="E152" s="3">
        <f t="shared" si="1"/>
        <v>0</v>
      </c>
      <c r="F152" s="3">
        <f>sumif('OTPI Scores'!C:C,B152,'OTPI Scores'!T:T)</f>
        <v>0</v>
      </c>
      <c r="G152" s="3" t="str">
        <f>SUMIF('Match Subs Filter'!E:E,B152,'Match Subs Filter'!F:F)+sumif('Bank Transfers'!B:B,B152,'Bank Transfers'!C:C)</f>
        <v>#N/A</v>
      </c>
      <c r="H152" s="50" t="str">
        <f t="shared" si="2"/>
        <v>#N/A</v>
      </c>
      <c r="I152" s="51">
        <f t="array" ref="I152">IF(IFERROR(lookup(1,1/SEARCH(B152,'OTPI Scores'!C:C),'OTPI Scores'!E:E),0)="Vets",7,IFERROR(lookup(1,1/SEARCH(B152,'OTPI Scores'!C:C),'OTPI Scores'!E:E),0))</f>
        <v>0</v>
      </c>
      <c r="J152" s="37"/>
      <c r="K152" s="37"/>
      <c r="L152" s="37"/>
      <c r="M152" s="37"/>
      <c r="N152" s="37"/>
      <c r="O152" s="37"/>
      <c r="P152" s="37"/>
      <c r="Q152" s="37"/>
      <c r="R152" s="37"/>
      <c r="S152" s="37"/>
      <c r="T152" s="37"/>
      <c r="U152" s="37"/>
      <c r="V152" s="37"/>
      <c r="W152" s="37"/>
      <c r="X152" s="37"/>
    </row>
    <row r="153">
      <c r="A153" s="37"/>
      <c r="B153" s="49" t="str">
        <f>IFERROR(__xludf.DUMMYFUNCTION("""COMPUTED_VALUE"""),"James Bashford")</f>
        <v>James Bashford</v>
      </c>
      <c r="C153" s="5">
        <v>10.0</v>
      </c>
      <c r="D153" s="3">
        <f>countif('OTPI Scores'!C:C,B153)</f>
        <v>1</v>
      </c>
      <c r="E153" s="3">
        <f t="shared" si="1"/>
        <v>10</v>
      </c>
      <c r="F153" s="3">
        <f>sumif('OTPI Scores'!C:C,B153,'OTPI Scores'!T:T)</f>
        <v>5</v>
      </c>
      <c r="G153" s="3" t="str">
        <f>SUMIF('Match Subs Filter'!E:E,B153,'Match Subs Filter'!F:F)+sumif('Bank Transfers'!B:B,B153,'Bank Transfers'!C:C)</f>
        <v>#N/A</v>
      </c>
      <c r="H153" s="50" t="str">
        <f t="shared" si="2"/>
        <v>#N/A</v>
      </c>
      <c r="I153" s="51">
        <f t="array" ref="I153">IF(IFERROR(lookup(1,1/SEARCH(B153,'OTPI Scores'!C:C),'OTPI Scores'!E:E),0)="Vets",7,IFERROR(lookup(1,1/SEARCH(B153,'OTPI Scores'!C:C),'OTPI Scores'!E:E),0))</f>
        <v>4</v>
      </c>
      <c r="J153" s="37"/>
      <c r="K153" s="37"/>
      <c r="L153" s="37"/>
      <c r="M153" s="37"/>
      <c r="N153" s="37"/>
      <c r="O153" s="37"/>
      <c r="P153" s="37"/>
      <c r="Q153" s="37"/>
      <c r="R153" s="37"/>
      <c r="S153" s="37"/>
      <c r="T153" s="37"/>
      <c r="U153" s="37"/>
      <c r="V153" s="37"/>
      <c r="W153" s="37"/>
      <c r="X153" s="37"/>
    </row>
    <row r="154">
      <c r="A154" s="37"/>
      <c r="B154" s="49" t="str">
        <f>IFERROR(__xludf.DUMMYFUNCTION("""COMPUTED_VALUE"""),"James Black")</f>
        <v>James Black</v>
      </c>
      <c r="C154" s="5">
        <v>10.0</v>
      </c>
      <c r="D154" s="3">
        <f>countif('OTPI Scores'!C:C,B154)</f>
        <v>1</v>
      </c>
      <c r="E154" s="3">
        <f t="shared" si="1"/>
        <v>10</v>
      </c>
      <c r="F154" s="3">
        <f>sumif('OTPI Scores'!C:C,B154,'OTPI Scores'!T:T)</f>
        <v>5</v>
      </c>
      <c r="G154" s="3" t="str">
        <f>SUMIF('Match Subs Filter'!E:E,B154,'Match Subs Filter'!F:F)+sumif('Bank Transfers'!B:B,B154,'Bank Transfers'!C:C)</f>
        <v>#N/A</v>
      </c>
      <c r="H154" s="50" t="str">
        <f t="shared" si="2"/>
        <v>#N/A</v>
      </c>
      <c r="I154" s="51">
        <f t="array" ref="I154">IF(IFERROR(lookup(1,1/SEARCH(B154,'OTPI Scores'!C:C),'OTPI Scores'!E:E),0)="Vets",7,IFERROR(lookup(1,1/SEARCH(B154,'OTPI Scores'!C:C),'OTPI Scores'!E:E),0))</f>
        <v>2</v>
      </c>
      <c r="J154" s="37"/>
      <c r="K154" s="37"/>
      <c r="L154" s="37"/>
      <c r="M154" s="37"/>
      <c r="N154" s="37"/>
      <c r="O154" s="37"/>
      <c r="P154" s="37"/>
      <c r="Q154" s="37"/>
      <c r="R154" s="37"/>
      <c r="S154" s="37"/>
      <c r="T154" s="37"/>
      <c r="U154" s="37"/>
      <c r="V154" s="37"/>
      <c r="W154" s="37"/>
      <c r="X154" s="37"/>
    </row>
    <row r="155">
      <c r="A155" s="37"/>
      <c r="B155" s="49" t="str">
        <f>IFERROR(__xludf.DUMMYFUNCTION("""COMPUTED_VALUE"""),"James Channon")</f>
        <v>James Channon</v>
      </c>
      <c r="C155" s="5">
        <v>10.0</v>
      </c>
      <c r="D155" s="3">
        <f>countif('OTPI Scores'!C:C,B155)</f>
        <v>0</v>
      </c>
      <c r="E155" s="3">
        <f t="shared" si="1"/>
        <v>0</v>
      </c>
      <c r="F155" s="3">
        <f>sumif('OTPI Scores'!C:C,B155,'OTPI Scores'!T:T)</f>
        <v>0</v>
      </c>
      <c r="G155" s="3" t="str">
        <f>SUMIF('Match Subs Filter'!E:E,B155,'Match Subs Filter'!F:F)+sumif('Bank Transfers'!B:B,B155,'Bank Transfers'!C:C)</f>
        <v>#N/A</v>
      </c>
      <c r="H155" s="50" t="str">
        <f t="shared" si="2"/>
        <v>#N/A</v>
      </c>
      <c r="I155" s="51">
        <f t="array" ref="I155">IF(IFERROR(lookup(1,1/SEARCH(B155,'OTPI Scores'!C:C),'OTPI Scores'!E:E),0)="Vets",7,IFERROR(lookup(1,1/SEARCH(B155,'OTPI Scores'!C:C),'OTPI Scores'!E:E),0))</f>
        <v>0</v>
      </c>
      <c r="J155" s="37"/>
      <c r="K155" s="37"/>
      <c r="L155" s="37"/>
      <c r="M155" s="37"/>
      <c r="N155" s="37"/>
      <c r="O155" s="37"/>
      <c r="P155" s="37"/>
      <c r="Q155" s="37"/>
      <c r="R155" s="37"/>
      <c r="S155" s="37"/>
      <c r="T155" s="37"/>
      <c r="U155" s="37"/>
      <c r="V155" s="37"/>
      <c r="W155" s="37"/>
      <c r="X155" s="37"/>
    </row>
    <row r="156">
      <c r="A156" s="37"/>
      <c r="B156" s="49" t="str">
        <f>IFERROR(__xludf.DUMMYFUNCTION("""COMPUTED_VALUE"""),"James Forbes")</f>
        <v>James Forbes</v>
      </c>
      <c r="C156" s="5">
        <v>10.0</v>
      </c>
      <c r="D156" s="3">
        <f>countif('OTPI Scores'!C:C,B156)</f>
        <v>0</v>
      </c>
      <c r="E156" s="3">
        <f t="shared" si="1"/>
        <v>0</v>
      </c>
      <c r="F156" s="3">
        <f>sumif('OTPI Scores'!C:C,B156,'OTPI Scores'!T:T)</f>
        <v>0</v>
      </c>
      <c r="G156" s="3" t="str">
        <f>SUMIF('Match Subs Filter'!E:E,B156,'Match Subs Filter'!F:F)+sumif('Bank Transfers'!B:B,B156,'Bank Transfers'!C:C)</f>
        <v>#N/A</v>
      </c>
      <c r="H156" s="50" t="str">
        <f t="shared" si="2"/>
        <v>#N/A</v>
      </c>
      <c r="I156" s="51">
        <f t="array" ref="I156">IF(IFERROR(lookup(1,1/SEARCH(B156,'OTPI Scores'!C:C),'OTPI Scores'!E:E),0)="Vets",7,IFERROR(lookup(1,1/SEARCH(B156,'OTPI Scores'!C:C),'OTPI Scores'!E:E),0))</f>
        <v>0</v>
      </c>
      <c r="J156" s="37"/>
      <c r="K156" s="37"/>
      <c r="L156" s="37"/>
      <c r="M156" s="37"/>
      <c r="N156" s="37"/>
      <c r="O156" s="37"/>
      <c r="P156" s="37"/>
      <c r="Q156" s="37"/>
      <c r="R156" s="37"/>
      <c r="S156" s="37"/>
      <c r="T156" s="37"/>
      <c r="U156" s="37"/>
      <c r="V156" s="37"/>
      <c r="W156" s="37"/>
      <c r="X156" s="37"/>
    </row>
    <row r="157">
      <c r="A157" s="37"/>
      <c r="B157" s="49" t="str">
        <f>IFERROR(__xludf.DUMMYFUNCTION("""COMPUTED_VALUE"""),"James Hurley")</f>
        <v>James Hurley</v>
      </c>
      <c r="C157" s="5">
        <v>10.0</v>
      </c>
      <c r="D157" s="3">
        <f>countif('OTPI Scores'!C:C,B157)</f>
        <v>0</v>
      </c>
      <c r="E157" s="3">
        <f t="shared" si="1"/>
        <v>0</v>
      </c>
      <c r="F157" s="3">
        <f>sumif('OTPI Scores'!C:C,B157,'OTPI Scores'!T:T)</f>
        <v>0</v>
      </c>
      <c r="G157" s="3" t="str">
        <f>SUMIF('Match Subs Filter'!E:E,B157,'Match Subs Filter'!F:F)+sumif('Bank Transfers'!B:B,B157,'Bank Transfers'!C:C)</f>
        <v>#N/A</v>
      </c>
      <c r="H157" s="50" t="str">
        <f t="shared" si="2"/>
        <v>#N/A</v>
      </c>
      <c r="I157" s="51">
        <f t="array" ref="I157">IF(IFERROR(lookup(1,1/SEARCH(B157,'OTPI Scores'!C:C),'OTPI Scores'!E:E),0)="Vets",7,IFERROR(lookup(1,1/SEARCH(B157,'OTPI Scores'!C:C),'OTPI Scores'!E:E),0))</f>
        <v>0</v>
      </c>
      <c r="J157" s="37"/>
      <c r="K157" s="37"/>
      <c r="L157" s="37"/>
      <c r="M157" s="37"/>
      <c r="N157" s="37"/>
      <c r="O157" s="37"/>
      <c r="P157" s="37"/>
      <c r="Q157" s="37"/>
      <c r="R157" s="37"/>
      <c r="S157" s="37"/>
      <c r="T157" s="37"/>
      <c r="U157" s="37"/>
      <c r="V157" s="37"/>
      <c r="W157" s="37"/>
      <c r="X157" s="37"/>
    </row>
    <row r="158">
      <c r="A158" s="37"/>
      <c r="B158" s="49" t="str">
        <f>IFERROR(__xludf.DUMMYFUNCTION("""COMPUTED_VALUE"""),"James McNeilis")</f>
        <v>James McNeilis</v>
      </c>
      <c r="C158" s="5">
        <v>10.0</v>
      </c>
      <c r="D158" s="3">
        <f>countif('OTPI Scores'!C:C,B158)</f>
        <v>0</v>
      </c>
      <c r="E158" s="3">
        <f t="shared" si="1"/>
        <v>0</v>
      </c>
      <c r="F158" s="3">
        <f>sumif('OTPI Scores'!C:C,B158,'OTPI Scores'!T:T)</f>
        <v>0</v>
      </c>
      <c r="G158" s="3" t="str">
        <f>SUMIF('Match Subs Filter'!E:E,B158,'Match Subs Filter'!F:F)+sumif('Bank Transfers'!B:B,B158,'Bank Transfers'!C:C)</f>
        <v>#N/A</v>
      </c>
      <c r="H158" s="50" t="str">
        <f t="shared" si="2"/>
        <v>#N/A</v>
      </c>
      <c r="I158" s="51">
        <f t="array" ref="I158">IF(IFERROR(lookup(1,1/SEARCH(B158,'OTPI Scores'!C:C),'OTPI Scores'!E:E),0)="Vets",7,IFERROR(lookup(1,1/SEARCH(B158,'OTPI Scores'!C:C),'OTPI Scores'!E:E),0))</f>
        <v>0</v>
      </c>
      <c r="J158" s="37"/>
      <c r="K158" s="37"/>
      <c r="L158" s="37"/>
      <c r="M158" s="37"/>
      <c r="N158" s="37"/>
      <c r="O158" s="37"/>
      <c r="P158" s="37"/>
      <c r="Q158" s="37"/>
      <c r="R158" s="37"/>
      <c r="S158" s="37"/>
      <c r="T158" s="37"/>
      <c r="U158" s="37"/>
      <c r="V158" s="37"/>
      <c r="W158" s="37"/>
      <c r="X158" s="37"/>
    </row>
    <row r="159">
      <c r="A159" s="37"/>
      <c r="B159" s="49" t="str">
        <f>IFERROR(__xludf.DUMMYFUNCTION("""COMPUTED_VALUE"""),"James Rodriguez")</f>
        <v>James Rodriguez</v>
      </c>
      <c r="C159" s="5">
        <v>10.0</v>
      </c>
      <c r="D159" s="3">
        <f>countif('OTPI Scores'!C:C,B159)</f>
        <v>25</v>
      </c>
      <c r="E159" s="3">
        <f t="shared" si="1"/>
        <v>250</v>
      </c>
      <c r="F159" s="3">
        <f>sumif('OTPI Scores'!C:C,B159,'OTPI Scores'!T:T)</f>
        <v>138</v>
      </c>
      <c r="G159" s="3" t="str">
        <f>SUMIF('Match Subs Filter'!E:E,B159,'Match Subs Filter'!F:F)+sumif('Bank Transfers'!B:B,B159,'Bank Transfers'!C:C)</f>
        <v>#N/A</v>
      </c>
      <c r="H159" s="50" t="str">
        <f t="shared" si="2"/>
        <v>#N/A</v>
      </c>
      <c r="I159" s="51">
        <f t="array" ref="I159">IF(IFERROR(lookup(1,1/SEARCH(B159,'OTPI Scores'!C:C),'OTPI Scores'!E:E),0)="Vets",7,IFERROR(lookup(1,1/SEARCH(B159,'OTPI Scores'!C:C),'OTPI Scores'!E:E),0))</f>
        <v>1</v>
      </c>
      <c r="J159" s="37"/>
      <c r="K159" s="37"/>
      <c r="L159" s="37"/>
      <c r="M159" s="37"/>
      <c r="N159" s="37"/>
      <c r="O159" s="37"/>
      <c r="P159" s="37"/>
      <c r="Q159" s="37"/>
      <c r="R159" s="37"/>
      <c r="S159" s="37"/>
      <c r="T159" s="37"/>
      <c r="U159" s="37"/>
      <c r="V159" s="37"/>
      <c r="W159" s="37"/>
      <c r="X159" s="37"/>
    </row>
    <row r="160">
      <c r="A160" s="37"/>
      <c r="B160" s="49" t="str">
        <f>IFERROR(__xludf.DUMMYFUNCTION("""COMPUTED_VALUE"""),"James Timmins")</f>
        <v>James Timmins</v>
      </c>
      <c r="C160" s="5">
        <v>10.0</v>
      </c>
      <c r="D160" s="3">
        <f>countif('OTPI Scores'!C:C,B160)</f>
        <v>12</v>
      </c>
      <c r="E160" s="3">
        <f t="shared" si="1"/>
        <v>120</v>
      </c>
      <c r="F160" s="3">
        <f>sumif('OTPI Scores'!C:C,B160,'OTPI Scores'!T:T)</f>
        <v>100</v>
      </c>
      <c r="G160" s="3" t="str">
        <f>SUMIF('Match Subs Filter'!E:E,B160,'Match Subs Filter'!F:F)+sumif('Bank Transfers'!B:B,B160,'Bank Transfers'!C:C)</f>
        <v>#N/A</v>
      </c>
      <c r="H160" s="50" t="str">
        <f t="shared" si="2"/>
        <v>#N/A</v>
      </c>
      <c r="I160" s="51">
        <f t="array" ref="I160">IF(IFERROR(lookup(1,1/SEARCH(B160,'OTPI Scores'!C:C),'OTPI Scores'!E:E),0)="Vets",7,IFERROR(lookup(1,1/SEARCH(B160,'OTPI Scores'!C:C),'OTPI Scores'!E:E),0))</f>
        <v>6</v>
      </c>
      <c r="J160" s="37"/>
      <c r="K160" s="37"/>
      <c r="L160" s="37"/>
      <c r="M160" s="37"/>
      <c r="N160" s="37"/>
      <c r="O160" s="37"/>
      <c r="P160" s="37"/>
      <c r="Q160" s="37"/>
      <c r="R160" s="37"/>
      <c r="S160" s="37"/>
      <c r="T160" s="37"/>
      <c r="U160" s="37"/>
      <c r="V160" s="37"/>
      <c r="W160" s="37"/>
      <c r="X160" s="37"/>
    </row>
    <row r="161">
      <c r="A161" s="37"/>
      <c r="B161" s="49" t="str">
        <f>IFERROR(__xludf.DUMMYFUNCTION("""COMPUTED_VALUE"""),"James Urmston")</f>
        <v>James Urmston</v>
      </c>
      <c r="C161" s="5">
        <v>10.0</v>
      </c>
      <c r="D161" s="3">
        <f>countif('OTPI Scores'!C:C,B161)</f>
        <v>0</v>
      </c>
      <c r="E161" s="3">
        <f t="shared" si="1"/>
        <v>0</v>
      </c>
      <c r="F161" s="3">
        <f>sumif('OTPI Scores'!C:C,B161,'OTPI Scores'!T:T)</f>
        <v>0</v>
      </c>
      <c r="G161" s="3" t="str">
        <f>SUMIF('Match Subs Filter'!E:E,B161,'Match Subs Filter'!F:F)+sumif('Bank Transfers'!B:B,B161,'Bank Transfers'!C:C)</f>
        <v>#N/A</v>
      </c>
      <c r="H161" s="50" t="str">
        <f t="shared" si="2"/>
        <v>#N/A</v>
      </c>
      <c r="I161" s="51">
        <f t="array" ref="I161">IF(IFERROR(lookup(1,1/SEARCH(B161,'OTPI Scores'!C:C),'OTPI Scores'!E:E),0)="Vets",7,IFERROR(lookup(1,1/SEARCH(B161,'OTPI Scores'!C:C),'OTPI Scores'!E:E),0))</f>
        <v>0</v>
      </c>
      <c r="J161" s="37"/>
      <c r="K161" s="37"/>
      <c r="L161" s="37"/>
      <c r="M161" s="37"/>
      <c r="N161" s="37"/>
      <c r="O161" s="37"/>
      <c r="P161" s="37"/>
      <c r="Q161" s="37"/>
      <c r="R161" s="37"/>
      <c r="S161" s="37"/>
      <c r="T161" s="37"/>
      <c r="U161" s="37"/>
      <c r="V161" s="37"/>
      <c r="W161" s="37"/>
      <c r="X161" s="37"/>
    </row>
    <row r="162">
      <c r="A162" s="37"/>
      <c r="B162" s="49" t="str">
        <f>IFERROR(__xludf.DUMMYFUNCTION("""COMPUTED_VALUE"""),"Jamie Arkell")</f>
        <v>Jamie Arkell</v>
      </c>
      <c r="C162" s="5">
        <v>10.0</v>
      </c>
      <c r="D162" s="3">
        <f>countif('OTPI Scores'!C:C,B162)</f>
        <v>4</v>
      </c>
      <c r="E162" s="3">
        <f t="shared" si="1"/>
        <v>40</v>
      </c>
      <c r="F162" s="3">
        <f>sumif('OTPI Scores'!C:C,B162,'OTPI Scores'!T:T)</f>
        <v>30</v>
      </c>
      <c r="G162" s="3" t="str">
        <f>SUMIF('Match Subs Filter'!E:E,B162,'Match Subs Filter'!F:F)+sumif('Bank Transfers'!B:B,B162,'Bank Transfers'!C:C)</f>
        <v>#N/A</v>
      </c>
      <c r="H162" s="50" t="str">
        <f t="shared" si="2"/>
        <v>#N/A</v>
      </c>
      <c r="I162" s="51">
        <f t="array" ref="I162">IF(IFERROR(lookup(1,1/SEARCH(B162,'OTPI Scores'!C:C),'OTPI Scores'!E:E),0)="Vets",7,IFERROR(lookup(1,1/SEARCH(B162,'OTPI Scores'!C:C),'OTPI Scores'!E:E),0))</f>
        <v>7</v>
      </c>
      <c r="J162" s="37"/>
      <c r="K162" s="37"/>
      <c r="L162" s="37"/>
      <c r="M162" s="37"/>
      <c r="N162" s="37"/>
      <c r="O162" s="37"/>
      <c r="P162" s="37"/>
      <c r="Q162" s="37"/>
      <c r="R162" s="37"/>
      <c r="S162" s="37"/>
      <c r="T162" s="37"/>
      <c r="U162" s="37"/>
      <c r="V162" s="37"/>
      <c r="W162" s="37"/>
      <c r="X162" s="37"/>
    </row>
    <row r="163">
      <c r="A163" s="37"/>
      <c r="B163" s="49" t="str">
        <f>IFERROR(__xludf.DUMMYFUNCTION("""COMPUTED_VALUE"""),"Jamie Dedman")</f>
        <v>Jamie Dedman</v>
      </c>
      <c r="C163" s="5">
        <v>10.0</v>
      </c>
      <c r="D163" s="3">
        <f>countif('OTPI Scores'!C:C,B163)</f>
        <v>2</v>
      </c>
      <c r="E163" s="3">
        <f t="shared" si="1"/>
        <v>20</v>
      </c>
      <c r="F163" s="3">
        <f>sumif('OTPI Scores'!C:C,B163,'OTPI Scores'!T:T)</f>
        <v>20</v>
      </c>
      <c r="G163" s="3" t="str">
        <f>SUMIF('Match Subs Filter'!E:E,B163,'Match Subs Filter'!F:F)+sumif('Bank Transfers'!B:B,B163,'Bank Transfers'!C:C)</f>
        <v>#N/A</v>
      </c>
      <c r="H163" s="50" t="str">
        <f t="shared" si="2"/>
        <v>#N/A</v>
      </c>
      <c r="I163" s="51">
        <f t="array" ref="I163">IF(IFERROR(lookup(1,1/SEARCH(B163,'OTPI Scores'!C:C),'OTPI Scores'!E:E),0)="Vets",7,IFERROR(lookup(1,1/SEARCH(B163,'OTPI Scores'!C:C),'OTPI Scores'!E:E),0))</f>
        <v>5</v>
      </c>
      <c r="J163" s="37"/>
      <c r="K163" s="37"/>
      <c r="L163" s="37"/>
      <c r="M163" s="37"/>
      <c r="N163" s="37"/>
      <c r="O163" s="37"/>
      <c r="P163" s="37"/>
      <c r="Q163" s="37"/>
      <c r="R163" s="37"/>
      <c r="S163" s="37"/>
      <c r="T163" s="37"/>
      <c r="U163" s="37"/>
      <c r="V163" s="37"/>
      <c r="W163" s="37"/>
      <c r="X163" s="37"/>
    </row>
    <row r="164">
      <c r="A164" s="37"/>
      <c r="B164" s="49" t="str">
        <f>IFERROR(__xludf.DUMMYFUNCTION("""COMPUTED_VALUE"""),"Jamie Wood")</f>
        <v>Jamie Wood</v>
      </c>
      <c r="C164" s="5">
        <v>10.0</v>
      </c>
      <c r="D164" s="3">
        <f>countif('OTPI Scores'!C:C,B164)</f>
        <v>22</v>
      </c>
      <c r="E164" s="3">
        <f t="shared" si="1"/>
        <v>220</v>
      </c>
      <c r="F164" s="3">
        <f>sumif('OTPI Scores'!C:C,B164,'OTPI Scores'!T:T)</f>
        <v>196</v>
      </c>
      <c r="G164" s="3" t="str">
        <f>SUMIF('Match Subs Filter'!E:E,B164,'Match Subs Filter'!F:F)+sumif('Bank Transfers'!B:B,B164,'Bank Transfers'!C:C)</f>
        <v>#N/A</v>
      </c>
      <c r="H164" s="50" t="str">
        <f t="shared" si="2"/>
        <v>#N/A</v>
      </c>
      <c r="I164" s="51">
        <f t="array" ref="I164">IF(IFERROR(lookup(1,1/SEARCH(B164,'OTPI Scores'!C:C),'OTPI Scores'!E:E),0)="Vets",7,IFERROR(lookup(1,1/SEARCH(B164,'OTPI Scores'!C:C),'OTPI Scores'!E:E),0))</f>
        <v>1</v>
      </c>
      <c r="J164" s="37"/>
      <c r="K164" s="37"/>
      <c r="L164" s="37"/>
      <c r="M164" s="37"/>
      <c r="N164" s="37"/>
      <c r="O164" s="37"/>
      <c r="P164" s="37"/>
      <c r="Q164" s="37"/>
      <c r="R164" s="37"/>
      <c r="S164" s="37"/>
      <c r="T164" s="37"/>
      <c r="U164" s="37"/>
      <c r="V164" s="37"/>
      <c r="W164" s="37"/>
      <c r="X164" s="37"/>
    </row>
    <row r="165">
      <c r="A165" s="37"/>
      <c r="B165" s="49" t="str">
        <f>IFERROR(__xludf.DUMMYFUNCTION("""COMPUTED_VALUE"""),"Janam Satra")</f>
        <v>Janam Satra</v>
      </c>
      <c r="C165" s="5">
        <v>10.0</v>
      </c>
      <c r="D165" s="3">
        <f>countif('OTPI Scores'!C:C,B165)</f>
        <v>19</v>
      </c>
      <c r="E165" s="3">
        <f t="shared" si="1"/>
        <v>190</v>
      </c>
      <c r="F165" s="3">
        <f>sumif('OTPI Scores'!C:C,B165,'OTPI Scores'!T:T)</f>
        <v>115</v>
      </c>
      <c r="G165" s="3" t="str">
        <f>SUMIF('Match Subs Filter'!E:E,B165,'Match Subs Filter'!F:F)+sumif('Bank Transfers'!B:B,B165,'Bank Transfers'!C:C)</f>
        <v>#N/A</v>
      </c>
      <c r="H165" s="50" t="str">
        <f t="shared" si="2"/>
        <v>#N/A</v>
      </c>
      <c r="I165" s="51">
        <f t="array" ref="I165">IF(IFERROR(lookup(1,1/SEARCH(B165,'OTPI Scores'!C:C),'OTPI Scores'!E:E),0)="Vets",7,IFERROR(lookup(1,1/SEARCH(B165,'OTPI Scores'!C:C),'OTPI Scores'!E:E),0))</f>
        <v>6</v>
      </c>
      <c r="J165" s="37"/>
      <c r="K165" s="37"/>
      <c r="L165" s="37"/>
      <c r="M165" s="37"/>
      <c r="N165" s="37"/>
      <c r="O165" s="37"/>
      <c r="P165" s="37"/>
      <c r="Q165" s="37"/>
      <c r="R165" s="37"/>
      <c r="S165" s="37"/>
      <c r="T165" s="37"/>
      <c r="U165" s="37"/>
      <c r="V165" s="37"/>
      <c r="W165" s="37"/>
      <c r="X165" s="37"/>
    </row>
    <row r="166">
      <c r="A166" s="37"/>
      <c r="B166" s="49" t="str">
        <f>IFERROR(__xludf.DUMMYFUNCTION("""COMPUTED_VALUE"""),"Jaron Whyte")</f>
        <v>Jaron Whyte</v>
      </c>
      <c r="C166" s="5">
        <v>10.0</v>
      </c>
      <c r="D166" s="3">
        <f>countif('OTPI Scores'!C:C,B166)</f>
        <v>0</v>
      </c>
      <c r="E166" s="3">
        <f t="shared" si="1"/>
        <v>0</v>
      </c>
      <c r="F166" s="3">
        <f>sumif('OTPI Scores'!C:C,B166,'OTPI Scores'!T:T)</f>
        <v>0</v>
      </c>
      <c r="G166" s="3" t="str">
        <f>SUMIF('Match Subs Filter'!E:E,B166,'Match Subs Filter'!F:F)+sumif('Bank Transfers'!B:B,B166,'Bank Transfers'!C:C)</f>
        <v>#N/A</v>
      </c>
      <c r="H166" s="50" t="str">
        <f t="shared" si="2"/>
        <v>#N/A</v>
      </c>
      <c r="I166" s="51">
        <f t="array" ref="I166">IF(IFERROR(lookup(1,1/SEARCH(B166,'OTPI Scores'!C:C),'OTPI Scores'!E:E),0)="Vets",7,IFERROR(lookup(1,1/SEARCH(B166,'OTPI Scores'!C:C),'OTPI Scores'!E:E),0))</f>
        <v>0</v>
      </c>
      <c r="J166" s="37"/>
      <c r="K166" s="37"/>
      <c r="L166" s="37"/>
      <c r="M166" s="37"/>
      <c r="N166" s="37"/>
      <c r="O166" s="37"/>
      <c r="P166" s="37"/>
      <c r="Q166" s="37"/>
      <c r="R166" s="37"/>
      <c r="S166" s="37"/>
      <c r="T166" s="37"/>
      <c r="U166" s="37"/>
      <c r="V166" s="37"/>
      <c r="W166" s="37"/>
      <c r="X166" s="37"/>
    </row>
    <row r="167">
      <c r="A167" s="37"/>
      <c r="B167" s="49" t="str">
        <f>IFERROR(__xludf.DUMMYFUNCTION("""COMPUTED_VALUE"""),"Jarvis Cheek")</f>
        <v>Jarvis Cheek</v>
      </c>
      <c r="C167" s="5">
        <v>10.0</v>
      </c>
      <c r="D167" s="3">
        <f>countif('OTPI Scores'!C:C,B167)</f>
        <v>24</v>
      </c>
      <c r="E167" s="3">
        <f t="shared" si="1"/>
        <v>240</v>
      </c>
      <c r="F167" s="3">
        <f>sumif('OTPI Scores'!C:C,B167,'OTPI Scores'!T:T)</f>
        <v>190</v>
      </c>
      <c r="G167" s="3" t="str">
        <f>SUMIF('Match Subs Filter'!E:E,B167,'Match Subs Filter'!F:F)+sumif('Bank Transfers'!B:B,B167,'Bank Transfers'!C:C)</f>
        <v>#N/A</v>
      </c>
      <c r="H167" s="50" t="str">
        <f t="shared" si="2"/>
        <v>#N/A</v>
      </c>
      <c r="I167" s="51">
        <f t="array" ref="I167">IF(IFERROR(lookup(1,1/SEARCH(B167,'OTPI Scores'!C:C),'OTPI Scores'!E:E),0)="Vets",7,IFERROR(lookup(1,1/SEARCH(B167,'OTPI Scores'!C:C),'OTPI Scores'!E:E),0))</f>
        <v>1</v>
      </c>
      <c r="J167" s="37"/>
      <c r="K167" s="37"/>
      <c r="L167" s="37"/>
      <c r="M167" s="37"/>
      <c r="N167" s="37"/>
      <c r="O167" s="37"/>
      <c r="P167" s="37"/>
      <c r="Q167" s="37"/>
      <c r="R167" s="37"/>
      <c r="S167" s="37"/>
      <c r="T167" s="37"/>
      <c r="U167" s="37"/>
      <c r="V167" s="37"/>
      <c r="W167" s="37"/>
      <c r="X167" s="37"/>
    </row>
    <row r="168">
      <c r="A168" s="37"/>
      <c r="B168" s="49" t="str">
        <f>IFERROR(__xludf.DUMMYFUNCTION("""COMPUTED_VALUE"""),"Jason Heath")</f>
        <v>Jason Heath</v>
      </c>
      <c r="C168" s="5">
        <v>10.0</v>
      </c>
      <c r="D168" s="3">
        <f>countif('OTPI Scores'!C:C,B168)</f>
        <v>23</v>
      </c>
      <c r="E168" s="3">
        <f t="shared" si="1"/>
        <v>230</v>
      </c>
      <c r="F168" s="3">
        <f>sumif('OTPI Scores'!C:C,B168,'OTPI Scores'!T:T)</f>
        <v>155</v>
      </c>
      <c r="G168" s="3" t="str">
        <f>SUMIF('Match Subs Filter'!E:E,B168,'Match Subs Filter'!F:F)+sumif('Bank Transfers'!B:B,B168,'Bank Transfers'!C:C)</f>
        <v>#N/A</v>
      </c>
      <c r="H168" s="50" t="str">
        <f t="shared" si="2"/>
        <v>#N/A</v>
      </c>
      <c r="I168" s="51">
        <f t="array" ref="I168">IF(IFERROR(lookup(1,1/SEARCH(B168,'OTPI Scores'!C:C),'OTPI Scores'!E:E),0)="Vets",7,IFERROR(lookup(1,1/SEARCH(B168,'OTPI Scores'!C:C),'OTPI Scores'!E:E),0))</f>
        <v>6</v>
      </c>
      <c r="J168" s="37"/>
      <c r="K168" s="37"/>
      <c r="L168" s="37"/>
      <c r="M168" s="37"/>
      <c r="N168" s="37"/>
      <c r="O168" s="37"/>
      <c r="P168" s="37"/>
      <c r="Q168" s="37"/>
      <c r="R168" s="37"/>
      <c r="S168" s="37"/>
      <c r="T168" s="37"/>
      <c r="U168" s="37"/>
      <c r="V168" s="37"/>
      <c r="W168" s="37"/>
      <c r="X168" s="37"/>
    </row>
    <row r="169">
      <c r="A169" s="37"/>
      <c r="B169" s="49" t="str">
        <f>IFERROR(__xludf.DUMMYFUNCTION("""COMPUTED_VALUE"""),"Jason Miller")</f>
        <v>Jason Miller</v>
      </c>
      <c r="C169" s="5">
        <v>10.0</v>
      </c>
      <c r="D169" s="3">
        <f>countif('OTPI Scores'!C:C,B169)</f>
        <v>0</v>
      </c>
      <c r="E169" s="3">
        <f t="shared" si="1"/>
        <v>0</v>
      </c>
      <c r="F169" s="3">
        <f>sumif('OTPI Scores'!C:C,B169,'OTPI Scores'!T:T)</f>
        <v>0</v>
      </c>
      <c r="G169" s="3" t="str">
        <f>SUMIF('Match Subs Filter'!E:E,B169,'Match Subs Filter'!F:F)+sumif('Bank Transfers'!B:B,B169,'Bank Transfers'!C:C)</f>
        <v>#N/A</v>
      </c>
      <c r="H169" s="50" t="str">
        <f t="shared" si="2"/>
        <v>#N/A</v>
      </c>
      <c r="I169" s="51">
        <f t="array" ref="I169">IF(IFERROR(lookup(1,1/SEARCH(B169,'OTPI Scores'!C:C),'OTPI Scores'!E:E),0)="Vets",7,IFERROR(lookup(1,1/SEARCH(B169,'OTPI Scores'!C:C),'OTPI Scores'!E:E),0))</f>
        <v>0</v>
      </c>
      <c r="J169" s="37"/>
      <c r="K169" s="37"/>
      <c r="L169" s="37"/>
      <c r="M169" s="37"/>
      <c r="N169" s="37"/>
      <c r="O169" s="37"/>
      <c r="P169" s="37"/>
      <c r="Q169" s="37"/>
      <c r="R169" s="37"/>
      <c r="S169" s="37"/>
      <c r="T169" s="37"/>
      <c r="U169" s="37"/>
      <c r="V169" s="37"/>
      <c r="W169" s="37"/>
      <c r="X169" s="37"/>
    </row>
    <row r="170">
      <c r="A170" s="37"/>
      <c r="B170" s="49" t="str">
        <f>IFERROR(__xludf.DUMMYFUNCTION("""COMPUTED_VALUE"""),"Jason Nwakaeze")</f>
        <v>Jason Nwakaeze</v>
      </c>
      <c r="C170" s="5">
        <v>10.0</v>
      </c>
      <c r="D170" s="3">
        <f>countif('OTPI Scores'!C:C,B170)</f>
        <v>10</v>
      </c>
      <c r="E170" s="3">
        <f t="shared" si="1"/>
        <v>100</v>
      </c>
      <c r="F170" s="3">
        <f>sumif('OTPI Scores'!C:C,B170,'OTPI Scores'!T:T)</f>
        <v>90</v>
      </c>
      <c r="G170" s="3" t="str">
        <f>SUMIF('Match Subs Filter'!E:E,B170,'Match Subs Filter'!F:F)+sumif('Bank Transfers'!B:B,B170,'Bank Transfers'!C:C)</f>
        <v>#N/A</v>
      </c>
      <c r="H170" s="50" t="str">
        <f t="shared" si="2"/>
        <v>#N/A</v>
      </c>
      <c r="I170" s="51">
        <f t="array" ref="I170">IF(IFERROR(lookup(1,1/SEARCH(B170,'OTPI Scores'!C:C),'OTPI Scores'!E:E),0)="Vets",7,IFERROR(lookup(1,1/SEARCH(B170,'OTPI Scores'!C:C),'OTPI Scores'!E:E),0))</f>
        <v>3</v>
      </c>
      <c r="J170" s="37"/>
      <c r="K170" s="37"/>
      <c r="L170" s="37"/>
      <c r="M170" s="37"/>
      <c r="N170" s="37"/>
      <c r="O170" s="37"/>
      <c r="P170" s="37"/>
      <c r="Q170" s="37"/>
      <c r="R170" s="37"/>
      <c r="S170" s="37"/>
      <c r="T170" s="37"/>
      <c r="U170" s="37"/>
      <c r="V170" s="37"/>
      <c r="W170" s="37"/>
      <c r="X170" s="37"/>
    </row>
    <row r="171">
      <c r="A171" s="37"/>
      <c r="B171" s="49" t="str">
        <f>IFERROR(__xludf.DUMMYFUNCTION("""COMPUTED_VALUE"""),"Jason Raife")</f>
        <v>Jason Raife</v>
      </c>
      <c r="C171" s="5">
        <v>10.0</v>
      </c>
      <c r="D171" s="3">
        <f>countif('OTPI Scores'!C:C,B171)</f>
        <v>2</v>
      </c>
      <c r="E171" s="3">
        <f t="shared" si="1"/>
        <v>20</v>
      </c>
      <c r="F171" s="3">
        <f>sumif('OTPI Scores'!C:C,B171,'OTPI Scores'!T:T)</f>
        <v>15</v>
      </c>
      <c r="G171" s="3" t="str">
        <f>SUMIF('Match Subs Filter'!E:E,B171,'Match Subs Filter'!F:F)+sumif('Bank Transfers'!B:B,B171,'Bank Transfers'!C:C)</f>
        <v>#N/A</v>
      </c>
      <c r="H171" s="50" t="str">
        <f t="shared" si="2"/>
        <v>#N/A</v>
      </c>
      <c r="I171" s="51">
        <f t="array" ref="I171">IF(IFERROR(lookup(1,1/SEARCH(B171,'OTPI Scores'!C:C),'OTPI Scores'!E:E),0)="Vets",7,IFERROR(lookup(1,1/SEARCH(B171,'OTPI Scores'!C:C),'OTPI Scores'!E:E),0))</f>
        <v>7</v>
      </c>
      <c r="J171" s="37"/>
      <c r="K171" s="37"/>
      <c r="L171" s="37"/>
      <c r="M171" s="37"/>
      <c r="N171" s="37"/>
      <c r="O171" s="37"/>
      <c r="P171" s="37"/>
      <c r="Q171" s="37"/>
      <c r="R171" s="37"/>
      <c r="S171" s="37"/>
      <c r="T171" s="37"/>
      <c r="U171" s="37"/>
      <c r="V171" s="37"/>
      <c r="W171" s="37"/>
      <c r="X171" s="37"/>
    </row>
    <row r="172">
      <c r="A172" s="37"/>
      <c r="B172" s="49" t="str">
        <f>IFERROR(__xludf.DUMMYFUNCTION("""COMPUTED_VALUE"""),"Jay Mair")</f>
        <v>Jay Mair</v>
      </c>
      <c r="C172" s="5">
        <v>10.0</v>
      </c>
      <c r="D172" s="3">
        <f>countif('OTPI Scores'!C:C,B172)</f>
        <v>8</v>
      </c>
      <c r="E172" s="3">
        <f t="shared" si="1"/>
        <v>80</v>
      </c>
      <c r="F172" s="3">
        <f>sumif('OTPI Scores'!C:C,B172,'OTPI Scores'!T:T)</f>
        <v>65</v>
      </c>
      <c r="G172" s="3" t="str">
        <f>SUMIF('Match Subs Filter'!E:E,B172,'Match Subs Filter'!F:F)+sumif('Bank Transfers'!B:B,B172,'Bank Transfers'!C:C)</f>
        <v>#N/A</v>
      </c>
      <c r="H172" s="50" t="str">
        <f t="shared" si="2"/>
        <v>#N/A</v>
      </c>
      <c r="I172" s="51">
        <f t="array" ref="I172">IF(IFERROR(lookup(1,1/SEARCH(B172,'OTPI Scores'!C:C),'OTPI Scores'!E:E),0)="Vets",7,IFERROR(lookup(1,1/SEARCH(B172,'OTPI Scores'!C:C),'OTPI Scores'!E:E),0))</f>
        <v>6</v>
      </c>
      <c r="J172" s="37"/>
      <c r="K172" s="37"/>
      <c r="L172" s="37"/>
      <c r="M172" s="37"/>
      <c r="N172" s="37"/>
      <c r="O172" s="37"/>
      <c r="P172" s="37"/>
      <c r="Q172" s="37"/>
      <c r="R172" s="37"/>
      <c r="S172" s="37"/>
      <c r="T172" s="37"/>
      <c r="U172" s="37"/>
      <c r="V172" s="37"/>
      <c r="W172" s="37"/>
      <c r="X172" s="37"/>
    </row>
    <row r="173">
      <c r="A173" s="37"/>
      <c r="B173" s="52" t="str">
        <f>IFERROR(__xludf.DUMMYFUNCTION("""COMPUTED_VALUE"""),"Jayden Smith")</f>
        <v>Jayden Smith</v>
      </c>
      <c r="C173" s="5">
        <v>10.0</v>
      </c>
      <c r="D173" s="3">
        <f>countif('OTPI Scores'!C:C,B173)</f>
        <v>0</v>
      </c>
      <c r="E173" s="3">
        <f t="shared" si="1"/>
        <v>0</v>
      </c>
      <c r="F173" s="3">
        <f>sumif('OTPI Scores'!C:C,B173,'OTPI Scores'!T:T)</f>
        <v>0</v>
      </c>
      <c r="G173" s="3" t="str">
        <f>SUMIF('Match Subs Filter'!E:E,B173,'Match Subs Filter'!F:F)+sumif('Bank Transfers'!B:B,B173,'Bank Transfers'!C:C)</f>
        <v>#N/A</v>
      </c>
      <c r="H173" s="50" t="str">
        <f t="shared" si="2"/>
        <v>#N/A</v>
      </c>
      <c r="I173" s="51">
        <f t="array" ref="I173">IF(IFERROR(lookup(1,1/SEARCH(B173,'OTPI Scores'!C:C),'OTPI Scores'!E:E),0)="Vets",7,IFERROR(lookup(1,1/SEARCH(B173,'OTPI Scores'!C:C),'OTPI Scores'!E:E),0))</f>
        <v>0</v>
      </c>
      <c r="J173" s="37"/>
      <c r="K173" s="37"/>
      <c r="L173" s="37"/>
      <c r="M173" s="37"/>
      <c r="N173" s="37"/>
      <c r="O173" s="37"/>
      <c r="P173" s="37"/>
      <c r="Q173" s="37"/>
      <c r="R173" s="37"/>
      <c r="S173" s="37"/>
      <c r="T173" s="37"/>
      <c r="U173" s="37"/>
      <c r="V173" s="37"/>
      <c r="W173" s="37"/>
      <c r="X173" s="37"/>
    </row>
    <row r="174">
      <c r="A174" s="37"/>
      <c r="B174" s="49" t="str">
        <f>IFERROR(__xludf.DUMMYFUNCTION("""COMPUTED_VALUE"""),"Jayden Wong")</f>
        <v>Jayden Wong</v>
      </c>
      <c r="C174" s="5">
        <v>10.0</v>
      </c>
      <c r="D174" s="3">
        <f>countif('OTPI Scores'!C:C,B174)</f>
        <v>1</v>
      </c>
      <c r="E174" s="3">
        <f t="shared" si="1"/>
        <v>10</v>
      </c>
      <c r="F174" s="3">
        <f>sumif('OTPI Scores'!C:C,B174,'OTPI Scores'!T:T)</f>
        <v>10</v>
      </c>
      <c r="G174" s="3" t="str">
        <f>SUMIF('Match Subs Filter'!E:E,B174,'Match Subs Filter'!F:F)+sumif('Bank Transfers'!B:B,B174,'Bank Transfers'!C:C)</f>
        <v>#N/A</v>
      </c>
      <c r="H174" s="50" t="str">
        <f t="shared" si="2"/>
        <v>#N/A</v>
      </c>
      <c r="I174" s="51">
        <f t="array" ref="I174">IF(IFERROR(lookup(1,1/SEARCH(B174,'OTPI Scores'!C:C),'OTPI Scores'!E:E),0)="Vets",7,IFERROR(lookup(1,1/SEARCH(B174,'OTPI Scores'!C:C),'OTPI Scores'!E:E),0))</f>
        <v>6</v>
      </c>
      <c r="J174" s="37"/>
      <c r="K174" s="37"/>
      <c r="L174" s="37"/>
      <c r="M174" s="37"/>
      <c r="N174" s="37"/>
      <c r="O174" s="37"/>
      <c r="P174" s="37"/>
      <c r="Q174" s="37"/>
      <c r="R174" s="37"/>
      <c r="S174" s="37"/>
      <c r="T174" s="37"/>
      <c r="U174" s="37"/>
      <c r="V174" s="37"/>
      <c r="W174" s="37"/>
      <c r="X174" s="37"/>
    </row>
    <row r="175">
      <c r="A175" s="37"/>
      <c r="B175" s="49" t="str">
        <f>IFERROR(__xludf.DUMMYFUNCTION("""COMPUTED_VALUE"""),"Jed Evamy")</f>
        <v>Jed Evamy</v>
      </c>
      <c r="C175" s="5">
        <v>10.0</v>
      </c>
      <c r="D175" s="3">
        <f>countif('OTPI Scores'!C:C,B175)</f>
        <v>4</v>
      </c>
      <c r="E175" s="3">
        <f t="shared" si="1"/>
        <v>40</v>
      </c>
      <c r="F175" s="3">
        <f>sumif('OTPI Scores'!C:C,B175,'OTPI Scores'!T:T)</f>
        <v>28</v>
      </c>
      <c r="G175" s="3" t="str">
        <f>SUMIF('Match Subs Filter'!E:E,B175,'Match Subs Filter'!F:F)+sumif('Bank Transfers'!B:B,B175,'Bank Transfers'!C:C)</f>
        <v>#N/A</v>
      </c>
      <c r="H175" s="50" t="str">
        <f t="shared" si="2"/>
        <v>#N/A</v>
      </c>
      <c r="I175" s="51">
        <f t="array" ref="I175">IF(IFERROR(lookup(1,1/SEARCH(B175,'OTPI Scores'!C:C),'OTPI Scores'!E:E),0)="Vets",7,IFERROR(lookup(1,1/SEARCH(B175,'OTPI Scores'!C:C),'OTPI Scores'!E:E),0))</f>
        <v>1</v>
      </c>
      <c r="J175" s="37"/>
      <c r="K175" s="37"/>
      <c r="L175" s="37"/>
      <c r="M175" s="37"/>
      <c r="N175" s="37"/>
      <c r="O175" s="37"/>
      <c r="P175" s="37"/>
      <c r="Q175" s="37"/>
      <c r="R175" s="37"/>
      <c r="S175" s="37"/>
      <c r="T175" s="37"/>
      <c r="U175" s="37"/>
      <c r="V175" s="37"/>
      <c r="W175" s="37"/>
      <c r="X175" s="37"/>
    </row>
    <row r="176">
      <c r="A176" s="37"/>
      <c r="B176" s="49" t="str">
        <f>IFERROR(__xludf.DUMMYFUNCTION("""COMPUTED_VALUE"""),"Jerome Goncalves")</f>
        <v>Jerome Goncalves</v>
      </c>
      <c r="C176" s="5">
        <v>10.0</v>
      </c>
      <c r="D176" s="3">
        <f>countif('OTPI Scores'!C:C,B176)</f>
        <v>9</v>
      </c>
      <c r="E176" s="3">
        <f t="shared" si="1"/>
        <v>90</v>
      </c>
      <c r="F176" s="3">
        <f>sumif('OTPI Scores'!C:C,B176,'OTPI Scores'!T:T)</f>
        <v>65</v>
      </c>
      <c r="G176" s="3" t="str">
        <f>SUMIF('Match Subs Filter'!E:E,B176,'Match Subs Filter'!F:F)+sumif('Bank Transfers'!B:B,B176,'Bank Transfers'!C:C)</f>
        <v>#N/A</v>
      </c>
      <c r="H176" s="50" t="str">
        <f t="shared" si="2"/>
        <v>#N/A</v>
      </c>
      <c r="I176" s="51">
        <f t="array" ref="I176">IF(IFERROR(lookup(1,1/SEARCH(B176,'OTPI Scores'!C:C),'OTPI Scores'!E:E),0)="Vets",7,IFERROR(lookup(1,1/SEARCH(B176,'OTPI Scores'!C:C),'OTPI Scores'!E:E),0))</f>
        <v>6</v>
      </c>
      <c r="J176" s="37"/>
      <c r="K176" s="37"/>
      <c r="L176" s="37"/>
      <c r="M176" s="37"/>
      <c r="N176" s="37"/>
      <c r="O176" s="37"/>
      <c r="P176" s="37"/>
      <c r="Q176" s="37"/>
      <c r="R176" s="37"/>
      <c r="S176" s="37"/>
      <c r="T176" s="37"/>
      <c r="U176" s="37"/>
      <c r="V176" s="37"/>
      <c r="W176" s="37"/>
      <c r="X176" s="37"/>
    </row>
    <row r="177">
      <c r="A177" s="37"/>
      <c r="B177" s="49" t="str">
        <f>IFERROR(__xludf.DUMMYFUNCTION("""COMPUTED_VALUE"""),"Joe Aziz")</f>
        <v>Joe Aziz</v>
      </c>
      <c r="C177" s="5">
        <v>10.0</v>
      </c>
      <c r="D177" s="3">
        <f>countif('OTPI Scores'!C:C,B177)</f>
        <v>0</v>
      </c>
      <c r="E177" s="3">
        <f t="shared" si="1"/>
        <v>0</v>
      </c>
      <c r="F177" s="3">
        <f>sumif('OTPI Scores'!C:C,B177,'OTPI Scores'!T:T)</f>
        <v>0</v>
      </c>
      <c r="G177" s="3" t="str">
        <f>SUMIF('Match Subs Filter'!E:E,B177,'Match Subs Filter'!F:F)+sumif('Bank Transfers'!B:B,B177,'Bank Transfers'!C:C)</f>
        <v>#N/A</v>
      </c>
      <c r="H177" s="50" t="str">
        <f t="shared" si="2"/>
        <v>#N/A</v>
      </c>
      <c r="I177" s="51">
        <f t="array" ref="I177">IF(IFERROR(lookup(1,1/SEARCH(B177,'OTPI Scores'!C:C),'OTPI Scores'!E:E),0)="Vets",7,IFERROR(lookup(1,1/SEARCH(B177,'OTPI Scores'!C:C),'OTPI Scores'!E:E),0))</f>
        <v>0</v>
      </c>
      <c r="J177" s="37"/>
      <c r="K177" s="37"/>
      <c r="L177" s="37"/>
      <c r="M177" s="37"/>
      <c r="N177" s="37"/>
      <c r="O177" s="37"/>
      <c r="P177" s="37"/>
      <c r="Q177" s="37"/>
      <c r="R177" s="37"/>
      <c r="S177" s="37"/>
      <c r="T177" s="37"/>
      <c r="U177" s="37"/>
      <c r="V177" s="37"/>
      <c r="W177" s="37"/>
      <c r="X177" s="37"/>
    </row>
    <row r="178">
      <c r="A178" s="37"/>
      <c r="B178" s="49" t="str">
        <f>IFERROR(__xludf.DUMMYFUNCTION("""COMPUTED_VALUE"""),"Joe Docherty")</f>
        <v>Joe Docherty</v>
      </c>
      <c r="C178" s="5">
        <v>10.0</v>
      </c>
      <c r="D178" s="3">
        <f>countif('OTPI Scores'!C:C,B178)</f>
        <v>7</v>
      </c>
      <c r="E178" s="3">
        <f t="shared" si="1"/>
        <v>70</v>
      </c>
      <c r="F178" s="3">
        <f>sumif('OTPI Scores'!C:C,B178,'OTPI Scores'!T:T)</f>
        <v>70</v>
      </c>
      <c r="G178" s="3" t="str">
        <f>SUMIF('Match Subs Filter'!E:E,B178,'Match Subs Filter'!F:F)+sumif('Bank Transfers'!B:B,B178,'Bank Transfers'!C:C)</f>
        <v>#N/A</v>
      </c>
      <c r="H178" s="50" t="str">
        <f t="shared" si="2"/>
        <v>#N/A</v>
      </c>
      <c r="I178" s="51">
        <f t="array" ref="I178">IF(IFERROR(lookup(1,1/SEARCH(B178,'OTPI Scores'!C:C),'OTPI Scores'!E:E),0)="Vets",7,IFERROR(lookup(1,1/SEARCH(B178,'OTPI Scores'!C:C),'OTPI Scores'!E:E),0))</f>
        <v>2</v>
      </c>
      <c r="J178" s="37"/>
      <c r="K178" s="37"/>
      <c r="L178" s="37"/>
      <c r="M178" s="37"/>
      <c r="N178" s="37"/>
      <c r="O178" s="37"/>
      <c r="P178" s="37"/>
      <c r="Q178" s="37"/>
      <c r="R178" s="37"/>
      <c r="S178" s="37"/>
      <c r="T178" s="37"/>
      <c r="U178" s="37"/>
      <c r="V178" s="37"/>
      <c r="W178" s="37"/>
      <c r="X178" s="37"/>
    </row>
    <row r="179">
      <c r="A179" s="37"/>
      <c r="B179" s="49" t="str">
        <f>IFERROR(__xludf.DUMMYFUNCTION("""COMPUTED_VALUE"""),"Joe Fletcher")</f>
        <v>Joe Fletcher</v>
      </c>
      <c r="C179" s="5">
        <v>10.0</v>
      </c>
      <c r="D179" s="3">
        <f>countif('OTPI Scores'!C:C,B179)</f>
        <v>0</v>
      </c>
      <c r="E179" s="3">
        <f t="shared" si="1"/>
        <v>0</v>
      </c>
      <c r="F179" s="3">
        <f>sumif('OTPI Scores'!C:C,B179,'OTPI Scores'!T:T)</f>
        <v>0</v>
      </c>
      <c r="G179" s="3" t="str">
        <f>SUMIF('Match Subs Filter'!E:E,B179,'Match Subs Filter'!F:F)+sumif('Bank Transfers'!B:B,B179,'Bank Transfers'!C:C)</f>
        <v>#N/A</v>
      </c>
      <c r="H179" s="50" t="str">
        <f t="shared" si="2"/>
        <v>#N/A</v>
      </c>
      <c r="I179" s="51">
        <f t="array" ref="I179">IF(IFERROR(lookup(1,1/SEARCH(B179,'OTPI Scores'!C:C),'OTPI Scores'!E:E),0)="Vets",7,IFERROR(lookup(1,1/SEARCH(B179,'OTPI Scores'!C:C),'OTPI Scores'!E:E),0))</f>
        <v>0</v>
      </c>
      <c r="J179" s="37"/>
      <c r="K179" s="37"/>
      <c r="L179" s="37"/>
      <c r="M179" s="37"/>
      <c r="N179" s="37"/>
      <c r="O179" s="37"/>
      <c r="P179" s="37"/>
      <c r="Q179" s="37"/>
      <c r="R179" s="37"/>
      <c r="S179" s="37"/>
      <c r="T179" s="37"/>
      <c r="U179" s="37"/>
      <c r="V179" s="37"/>
      <c r="W179" s="37"/>
      <c r="X179" s="37"/>
    </row>
    <row r="180">
      <c r="A180" s="37"/>
      <c r="B180" s="49" t="str">
        <f>IFERROR(__xludf.DUMMYFUNCTION("""COMPUTED_VALUE"""),"Joe France")</f>
        <v>Joe France</v>
      </c>
      <c r="C180" s="5">
        <v>10.0</v>
      </c>
      <c r="D180" s="3">
        <f>countif('OTPI Scores'!C:C,B180)</f>
        <v>8</v>
      </c>
      <c r="E180" s="3">
        <f t="shared" si="1"/>
        <v>80</v>
      </c>
      <c r="F180" s="3">
        <f>sumif('OTPI Scores'!C:C,B180,'OTPI Scores'!T:T)</f>
        <v>80</v>
      </c>
      <c r="G180" s="3" t="str">
        <f>SUMIF('Match Subs Filter'!E:E,B180,'Match Subs Filter'!F:F)+sumif('Bank Transfers'!B:B,B180,'Bank Transfers'!C:C)</f>
        <v>#N/A</v>
      </c>
      <c r="H180" s="50" t="str">
        <f t="shared" si="2"/>
        <v>#N/A</v>
      </c>
      <c r="I180" s="51">
        <f t="array" ref="I180">IF(IFERROR(lookup(1,1/SEARCH(B180,'OTPI Scores'!C:C),'OTPI Scores'!E:E),0)="Vets",7,IFERROR(lookup(1,1/SEARCH(B180,'OTPI Scores'!C:C),'OTPI Scores'!E:E),0))</f>
        <v>4</v>
      </c>
      <c r="J180" s="37"/>
      <c r="K180" s="37"/>
      <c r="L180" s="37"/>
      <c r="M180" s="37"/>
      <c r="N180" s="37"/>
      <c r="O180" s="37"/>
      <c r="P180" s="37"/>
      <c r="Q180" s="37"/>
      <c r="R180" s="37"/>
      <c r="S180" s="37"/>
      <c r="T180" s="37"/>
      <c r="U180" s="37"/>
      <c r="V180" s="37"/>
      <c r="W180" s="37"/>
      <c r="X180" s="37"/>
    </row>
    <row r="181">
      <c r="A181" s="37"/>
      <c r="B181" s="49" t="str">
        <f>IFERROR(__xludf.DUMMYFUNCTION("""COMPUTED_VALUE"""),"Joe Mulligan")</f>
        <v>Joe Mulligan</v>
      </c>
      <c r="C181" s="5">
        <v>10.0</v>
      </c>
      <c r="D181" s="3">
        <f>countif('OTPI Scores'!C:C,B181)</f>
        <v>0</v>
      </c>
      <c r="E181" s="3">
        <f t="shared" si="1"/>
        <v>0</v>
      </c>
      <c r="F181" s="3">
        <f>sumif('OTPI Scores'!C:C,B181,'OTPI Scores'!T:T)</f>
        <v>0</v>
      </c>
      <c r="G181" s="3" t="str">
        <f>SUMIF('Match Subs Filter'!E:E,B181,'Match Subs Filter'!F:F)+sumif('Bank Transfers'!B:B,B181,'Bank Transfers'!C:C)</f>
        <v>#N/A</v>
      </c>
      <c r="H181" s="50" t="str">
        <f t="shared" si="2"/>
        <v>#N/A</v>
      </c>
      <c r="I181" s="51">
        <f t="array" ref="I181">IF(IFERROR(lookup(1,1/SEARCH(B181,'OTPI Scores'!C:C),'OTPI Scores'!E:E),0)="Vets",7,IFERROR(lookup(1,1/SEARCH(B181,'OTPI Scores'!C:C),'OTPI Scores'!E:E),0))</f>
        <v>0</v>
      </c>
      <c r="J181" s="37"/>
      <c r="K181" s="37"/>
      <c r="L181" s="37"/>
      <c r="M181" s="37"/>
      <c r="N181" s="37"/>
      <c r="O181" s="37"/>
      <c r="P181" s="37"/>
      <c r="Q181" s="37"/>
      <c r="R181" s="37"/>
      <c r="S181" s="37"/>
      <c r="T181" s="37"/>
      <c r="U181" s="37"/>
      <c r="V181" s="37"/>
      <c r="W181" s="37"/>
      <c r="X181" s="37"/>
    </row>
    <row r="182">
      <c r="A182" s="37"/>
      <c r="B182" s="49" t="str">
        <f>IFERROR(__xludf.DUMMYFUNCTION("""COMPUTED_VALUE"""),"Joe Tanner")</f>
        <v>Joe Tanner</v>
      </c>
      <c r="C182" s="5">
        <v>10.0</v>
      </c>
      <c r="D182" s="3">
        <f>countif('OTPI Scores'!C:C,B182)</f>
        <v>3</v>
      </c>
      <c r="E182" s="3">
        <f t="shared" si="1"/>
        <v>30</v>
      </c>
      <c r="F182" s="3">
        <f>sumif('OTPI Scores'!C:C,B182,'OTPI Scores'!T:T)</f>
        <v>27</v>
      </c>
      <c r="G182" s="3" t="str">
        <f>SUMIF('Match Subs Filter'!E:E,B182,'Match Subs Filter'!F:F)+sumif('Bank Transfers'!B:B,B182,'Bank Transfers'!C:C)</f>
        <v>#N/A</v>
      </c>
      <c r="H182" s="50" t="str">
        <f t="shared" si="2"/>
        <v>#N/A</v>
      </c>
      <c r="I182" s="51">
        <f t="array" ref="I182">IF(IFERROR(lookup(1,1/SEARCH(B182,'OTPI Scores'!C:C),'OTPI Scores'!E:E),0)="Vets",7,IFERROR(lookup(1,1/SEARCH(B182,'OTPI Scores'!C:C),'OTPI Scores'!E:E),0))</f>
        <v>5</v>
      </c>
      <c r="J182" s="37"/>
      <c r="K182" s="37"/>
      <c r="L182" s="37"/>
      <c r="M182" s="37"/>
      <c r="N182" s="37"/>
      <c r="O182" s="37"/>
      <c r="P182" s="37"/>
      <c r="Q182" s="37"/>
      <c r="R182" s="37"/>
      <c r="S182" s="37"/>
      <c r="T182" s="37"/>
      <c r="U182" s="37"/>
      <c r="V182" s="37"/>
      <c r="W182" s="37"/>
      <c r="X182" s="37"/>
    </row>
    <row r="183">
      <c r="A183" s="37"/>
      <c r="B183" s="49" t="str">
        <f>IFERROR(__xludf.DUMMYFUNCTION("""COMPUTED_VALUE"""),"Joe Vincent")</f>
        <v>Joe Vincent</v>
      </c>
      <c r="C183" s="5">
        <v>10.0</v>
      </c>
      <c r="D183" s="3">
        <f>countif('OTPI Scores'!C:C,B183)</f>
        <v>12</v>
      </c>
      <c r="E183" s="3">
        <f t="shared" si="1"/>
        <v>120</v>
      </c>
      <c r="F183" s="3">
        <f>sumif('OTPI Scores'!C:C,B183,'OTPI Scores'!T:T)</f>
        <v>120</v>
      </c>
      <c r="G183" s="3" t="str">
        <f>SUMIF('Match Subs Filter'!E:E,B183,'Match Subs Filter'!F:F)+sumif('Bank Transfers'!B:B,B183,'Bank Transfers'!C:C)</f>
        <v>#N/A</v>
      </c>
      <c r="H183" s="50" t="str">
        <f t="shared" si="2"/>
        <v>#N/A</v>
      </c>
      <c r="I183" s="51">
        <f t="array" ref="I183">IF(IFERROR(lookup(1,1/SEARCH(B183,'OTPI Scores'!C:C),'OTPI Scores'!E:E),0)="Vets",7,IFERROR(lookup(1,1/SEARCH(B183,'OTPI Scores'!C:C),'OTPI Scores'!E:E),0))</f>
        <v>3</v>
      </c>
      <c r="J183" s="37"/>
      <c r="K183" s="37"/>
      <c r="L183" s="37"/>
      <c r="M183" s="37"/>
      <c r="N183" s="37"/>
      <c r="O183" s="37"/>
      <c r="P183" s="37"/>
      <c r="Q183" s="37"/>
      <c r="R183" s="37"/>
      <c r="S183" s="37"/>
      <c r="T183" s="37"/>
      <c r="U183" s="37"/>
      <c r="V183" s="37"/>
      <c r="W183" s="37"/>
      <c r="X183" s="37"/>
    </row>
    <row r="184">
      <c r="A184" s="37"/>
      <c r="B184" s="49" t="str">
        <f>IFERROR(__xludf.DUMMYFUNCTION("""COMPUTED_VALUE"""),"Joel Wright")</f>
        <v>Joel Wright</v>
      </c>
      <c r="C184" s="5">
        <v>10.0</v>
      </c>
      <c r="D184" s="3">
        <f>countif('OTPI Scores'!C:C,B184)</f>
        <v>17</v>
      </c>
      <c r="E184" s="3">
        <f t="shared" si="1"/>
        <v>170</v>
      </c>
      <c r="F184" s="3">
        <f>sumif('OTPI Scores'!C:C,B184,'OTPI Scores'!T:T)</f>
        <v>155</v>
      </c>
      <c r="G184" s="3" t="str">
        <f>SUMIF('Match Subs Filter'!E:E,B184,'Match Subs Filter'!F:F)+sumif('Bank Transfers'!B:B,B184,'Bank Transfers'!C:C)</f>
        <v>#N/A</v>
      </c>
      <c r="H184" s="50" t="str">
        <f t="shared" si="2"/>
        <v>#N/A</v>
      </c>
      <c r="I184" s="51">
        <f t="array" ref="I184">IF(IFERROR(lookup(1,1/SEARCH(B184,'OTPI Scores'!C:C),'OTPI Scores'!E:E),0)="Vets",7,IFERROR(lookup(1,1/SEARCH(B184,'OTPI Scores'!C:C),'OTPI Scores'!E:E),0))</f>
        <v>5</v>
      </c>
      <c r="J184" s="37"/>
      <c r="K184" s="37"/>
      <c r="L184" s="37"/>
      <c r="M184" s="37"/>
      <c r="N184" s="37"/>
      <c r="O184" s="37"/>
      <c r="P184" s="37"/>
      <c r="Q184" s="37"/>
      <c r="R184" s="37"/>
      <c r="S184" s="37"/>
      <c r="T184" s="37"/>
      <c r="U184" s="37"/>
      <c r="V184" s="37"/>
      <c r="W184" s="37"/>
      <c r="X184" s="37"/>
    </row>
    <row r="185">
      <c r="A185" s="37"/>
      <c r="B185" s="49" t="str">
        <f>IFERROR(__xludf.DUMMYFUNCTION("""COMPUTED_VALUE"""),"Joey Wackrill")</f>
        <v>Joey Wackrill</v>
      </c>
      <c r="C185" s="5">
        <v>10.0</v>
      </c>
      <c r="D185" s="3">
        <f>countif('OTPI Scores'!C:C,B185)</f>
        <v>5</v>
      </c>
      <c r="E185" s="3">
        <f t="shared" si="1"/>
        <v>50</v>
      </c>
      <c r="F185" s="3">
        <f>sumif('OTPI Scores'!C:C,B185,'OTPI Scores'!T:T)</f>
        <v>40</v>
      </c>
      <c r="G185" s="3" t="str">
        <f>SUMIF('Match Subs Filter'!E:E,B185,'Match Subs Filter'!F:F)+sumif('Bank Transfers'!B:B,B185,'Bank Transfers'!C:C)</f>
        <v>#N/A</v>
      </c>
      <c r="H185" s="50" t="str">
        <f t="shared" si="2"/>
        <v>#N/A</v>
      </c>
      <c r="I185" s="51">
        <f t="array" ref="I185">IF(IFERROR(lookup(1,1/SEARCH(B185,'OTPI Scores'!C:C),'OTPI Scores'!E:E),0)="Vets",7,IFERROR(lookup(1,1/SEARCH(B185,'OTPI Scores'!C:C),'OTPI Scores'!E:E),0))</f>
        <v>2</v>
      </c>
      <c r="J185" s="37"/>
      <c r="K185" s="37"/>
      <c r="L185" s="37"/>
      <c r="M185" s="37"/>
      <c r="N185" s="37"/>
      <c r="O185" s="37"/>
      <c r="P185" s="37"/>
      <c r="Q185" s="37"/>
      <c r="R185" s="37"/>
      <c r="S185" s="37"/>
      <c r="T185" s="37"/>
      <c r="U185" s="37"/>
      <c r="V185" s="37"/>
      <c r="W185" s="37"/>
      <c r="X185" s="37"/>
    </row>
    <row r="186">
      <c r="A186" s="37"/>
      <c r="B186" s="49" t="str">
        <f>IFERROR(__xludf.DUMMYFUNCTION("""COMPUTED_VALUE"""),"John Harrison")</f>
        <v>John Harrison</v>
      </c>
      <c r="C186" s="5">
        <v>10.0</v>
      </c>
      <c r="D186" s="3">
        <f>countif('OTPI Scores'!C:C,B186)</f>
        <v>23</v>
      </c>
      <c r="E186" s="3">
        <f t="shared" si="1"/>
        <v>230</v>
      </c>
      <c r="F186" s="3">
        <f>sumif('OTPI Scores'!C:C,B186,'OTPI Scores'!T:T)</f>
        <v>200</v>
      </c>
      <c r="G186" s="3" t="str">
        <f>SUMIF('Match Subs Filter'!E:E,B186,'Match Subs Filter'!F:F)+sumif('Bank Transfers'!B:B,B186,'Bank Transfers'!C:C)</f>
        <v>#N/A</v>
      </c>
      <c r="H186" s="50" t="str">
        <f t="shared" si="2"/>
        <v>#N/A</v>
      </c>
      <c r="I186" s="51">
        <f t="array" ref="I186">IF(IFERROR(lookup(1,1/SEARCH(B186,'OTPI Scores'!C:C),'OTPI Scores'!E:E),0)="Vets",7,IFERROR(lookup(1,1/SEARCH(B186,'OTPI Scores'!C:C),'OTPI Scores'!E:E),0))</f>
        <v>1</v>
      </c>
      <c r="J186" s="37"/>
      <c r="K186" s="37"/>
      <c r="L186" s="37"/>
      <c r="M186" s="37"/>
      <c r="N186" s="37"/>
      <c r="O186" s="37"/>
      <c r="P186" s="37"/>
      <c r="Q186" s="37"/>
      <c r="R186" s="37"/>
      <c r="S186" s="37"/>
      <c r="T186" s="37"/>
      <c r="U186" s="37"/>
      <c r="V186" s="37"/>
      <c r="W186" s="37"/>
      <c r="X186" s="37"/>
    </row>
    <row r="187">
      <c r="A187" s="37"/>
      <c r="B187" s="49" t="str">
        <f>IFERROR(__xludf.DUMMYFUNCTION("""COMPUTED_VALUE"""),"Jonny Simmons")</f>
        <v>Jonny Simmons</v>
      </c>
      <c r="C187" s="5">
        <v>10.0</v>
      </c>
      <c r="D187" s="3">
        <f>countif('OTPI Scores'!C:C,B187)</f>
        <v>16</v>
      </c>
      <c r="E187" s="3">
        <f t="shared" si="1"/>
        <v>160</v>
      </c>
      <c r="F187" s="3">
        <f>sumif('OTPI Scores'!C:C,B187,'OTPI Scores'!T:T)</f>
        <v>160</v>
      </c>
      <c r="G187" s="3" t="str">
        <f>SUMIF('Match Subs Filter'!E:E,B187,'Match Subs Filter'!F:F)+sumif('Bank Transfers'!B:B,B187,'Bank Transfers'!C:C)</f>
        <v>#N/A</v>
      </c>
      <c r="H187" s="50" t="str">
        <f t="shared" si="2"/>
        <v>#N/A</v>
      </c>
      <c r="I187" s="51">
        <f t="array" ref="I187">IF(IFERROR(lookup(1,1/SEARCH(B187,'OTPI Scores'!C:C),'OTPI Scores'!E:E),0)="Vets",7,IFERROR(lookup(1,1/SEARCH(B187,'OTPI Scores'!C:C),'OTPI Scores'!E:E),0))</f>
        <v>3</v>
      </c>
      <c r="J187" s="37"/>
      <c r="K187" s="37"/>
      <c r="L187" s="37"/>
      <c r="M187" s="37"/>
      <c r="N187" s="37"/>
      <c r="O187" s="37"/>
      <c r="P187" s="37"/>
      <c r="Q187" s="37"/>
      <c r="R187" s="37"/>
      <c r="S187" s="37"/>
      <c r="T187" s="37"/>
      <c r="U187" s="37"/>
      <c r="V187" s="37"/>
      <c r="W187" s="37"/>
      <c r="X187" s="37"/>
    </row>
    <row r="188">
      <c r="A188" s="37"/>
      <c r="B188" s="49" t="str">
        <f>IFERROR(__xludf.DUMMYFUNCTION("""COMPUTED_VALUE"""),"Jordan Davis")</f>
        <v>Jordan Davis</v>
      </c>
      <c r="C188" s="5">
        <v>10.0</v>
      </c>
      <c r="D188" s="3">
        <f>countif('OTPI Scores'!C:C,B188)</f>
        <v>6</v>
      </c>
      <c r="E188" s="3">
        <f t="shared" si="1"/>
        <v>60</v>
      </c>
      <c r="F188" s="3">
        <f>sumif('OTPI Scores'!C:C,B188,'OTPI Scores'!T:T)</f>
        <v>50</v>
      </c>
      <c r="G188" s="3" t="str">
        <f>SUMIF('Match Subs Filter'!E:E,B188,'Match Subs Filter'!F:F)+sumif('Bank Transfers'!B:B,B188,'Bank Transfers'!C:C)</f>
        <v>#N/A</v>
      </c>
      <c r="H188" s="50" t="str">
        <f t="shared" si="2"/>
        <v>#N/A</v>
      </c>
      <c r="I188" s="51">
        <f t="array" ref="I188">IF(IFERROR(lookup(1,1/SEARCH(B188,'OTPI Scores'!C:C),'OTPI Scores'!E:E),0)="Vets",7,IFERROR(lookup(1,1/SEARCH(B188,'OTPI Scores'!C:C),'OTPI Scores'!E:E),0))</f>
        <v>3</v>
      </c>
      <c r="J188" s="37"/>
      <c r="K188" s="37"/>
      <c r="L188" s="37"/>
      <c r="M188" s="37"/>
      <c r="N188" s="37"/>
      <c r="O188" s="37"/>
      <c r="P188" s="37"/>
      <c r="Q188" s="37"/>
      <c r="R188" s="37"/>
      <c r="S188" s="37"/>
      <c r="T188" s="37"/>
      <c r="U188" s="37"/>
      <c r="V188" s="37"/>
      <c r="W188" s="37"/>
      <c r="X188" s="37"/>
    </row>
    <row r="189">
      <c r="A189" s="37"/>
      <c r="B189" s="49" t="str">
        <f>IFERROR(__xludf.DUMMYFUNCTION("""COMPUTED_VALUE"""),"Jorge Sabolotny")</f>
        <v>Jorge Sabolotny</v>
      </c>
      <c r="C189" s="5">
        <v>10.0</v>
      </c>
      <c r="D189" s="3">
        <f>countif('OTPI Scores'!C:C,B189)</f>
        <v>0</v>
      </c>
      <c r="E189" s="3">
        <f t="shared" si="1"/>
        <v>0</v>
      </c>
      <c r="F189" s="3">
        <f>sumif('OTPI Scores'!C:C,B189,'OTPI Scores'!T:T)</f>
        <v>0</v>
      </c>
      <c r="G189" s="3" t="str">
        <f>SUMIF('Match Subs Filter'!E:E,B189,'Match Subs Filter'!F:F)+sumif('Bank Transfers'!B:B,B189,'Bank Transfers'!C:C)</f>
        <v>#N/A</v>
      </c>
      <c r="H189" s="50" t="str">
        <f t="shared" si="2"/>
        <v>#N/A</v>
      </c>
      <c r="I189" s="51">
        <f t="array" ref="I189">IF(IFERROR(lookup(1,1/SEARCH(B189,'OTPI Scores'!C:C),'OTPI Scores'!E:E),0)="Vets",7,IFERROR(lookup(1,1/SEARCH(B189,'OTPI Scores'!C:C),'OTPI Scores'!E:E),0))</f>
        <v>0</v>
      </c>
      <c r="J189" s="37"/>
      <c r="K189" s="37"/>
      <c r="L189" s="37"/>
      <c r="M189" s="37"/>
      <c r="N189" s="37"/>
      <c r="O189" s="37"/>
      <c r="P189" s="37"/>
      <c r="Q189" s="37"/>
      <c r="R189" s="37"/>
      <c r="S189" s="37"/>
      <c r="T189" s="37"/>
      <c r="U189" s="37"/>
      <c r="V189" s="37"/>
      <c r="W189" s="37"/>
      <c r="X189" s="37"/>
    </row>
    <row r="190">
      <c r="A190" s="37"/>
      <c r="B190" s="49" t="str">
        <f>IFERROR(__xludf.DUMMYFUNCTION("""COMPUTED_VALUE"""),"Jorge Sabolotny	")</f>
        <v>Jorge Sabolotny	</v>
      </c>
      <c r="C190" s="5">
        <v>10.0</v>
      </c>
      <c r="D190" s="3">
        <f>countif('OTPI Scores'!C:C,B190)</f>
        <v>0</v>
      </c>
      <c r="E190" s="3">
        <f t="shared" si="1"/>
        <v>0</v>
      </c>
      <c r="F190" s="3">
        <f>sumif('OTPI Scores'!C:C,B190,'OTPI Scores'!T:T)</f>
        <v>0</v>
      </c>
      <c r="G190" s="3" t="str">
        <f>SUMIF('Match Subs Filter'!E:E,B190,'Match Subs Filter'!F:F)+sumif('Bank Transfers'!B:B,B190,'Bank Transfers'!C:C)</f>
        <v>#N/A</v>
      </c>
      <c r="H190" s="50" t="str">
        <f t="shared" si="2"/>
        <v>#N/A</v>
      </c>
      <c r="I190" s="51">
        <f t="array" ref="I190">IF(IFERROR(lookup(1,1/SEARCH(B190,'OTPI Scores'!C:C),'OTPI Scores'!E:E),0)="Vets",7,IFERROR(lookup(1,1/SEARCH(B190,'OTPI Scores'!C:C),'OTPI Scores'!E:E),0))</f>
        <v>0</v>
      </c>
      <c r="J190" s="37"/>
      <c r="K190" s="37"/>
      <c r="L190" s="37"/>
      <c r="M190" s="37"/>
      <c r="N190" s="37"/>
      <c r="O190" s="37"/>
      <c r="P190" s="37"/>
      <c r="Q190" s="37"/>
      <c r="R190" s="37"/>
      <c r="S190" s="37"/>
      <c r="T190" s="37"/>
      <c r="U190" s="37"/>
      <c r="V190" s="37"/>
      <c r="W190" s="37"/>
      <c r="X190" s="37"/>
    </row>
    <row r="191">
      <c r="A191" s="37"/>
      <c r="B191" s="52" t="str">
        <f>IFERROR(__xludf.DUMMYFUNCTION("""COMPUTED_VALUE"""),"Jose Castro")</f>
        <v>Jose Castro</v>
      </c>
      <c r="C191" s="5">
        <v>10.0</v>
      </c>
      <c r="D191" s="3">
        <f>countif('OTPI Scores'!C:C,B191)</f>
        <v>0</v>
      </c>
      <c r="E191" s="3">
        <f t="shared" si="1"/>
        <v>0</v>
      </c>
      <c r="F191" s="3">
        <f>sumif('OTPI Scores'!C:C,B191,'OTPI Scores'!T:T)</f>
        <v>0</v>
      </c>
      <c r="G191" s="3" t="str">
        <f>SUMIF('Match Subs Filter'!E:E,B191,'Match Subs Filter'!F:F)+sumif('Bank Transfers'!B:B,B191,'Bank Transfers'!C:C)</f>
        <v>#N/A</v>
      </c>
      <c r="H191" s="50" t="str">
        <f t="shared" si="2"/>
        <v>#N/A</v>
      </c>
      <c r="I191" s="51">
        <f t="array" ref="I191">IF(IFERROR(lookup(1,1/SEARCH(B191,'OTPI Scores'!C:C),'OTPI Scores'!E:E),0)="Vets",7,IFERROR(lookup(1,1/SEARCH(B191,'OTPI Scores'!C:C),'OTPI Scores'!E:E),0))</f>
        <v>0</v>
      </c>
      <c r="J191" s="37"/>
      <c r="K191" s="37"/>
      <c r="L191" s="37"/>
      <c r="M191" s="37"/>
      <c r="N191" s="37"/>
      <c r="O191" s="37"/>
      <c r="P191" s="37"/>
      <c r="Q191" s="37"/>
      <c r="R191" s="37"/>
      <c r="S191" s="37"/>
      <c r="T191" s="37"/>
      <c r="U191" s="37"/>
      <c r="V191" s="37"/>
      <c r="W191" s="37"/>
      <c r="X191" s="37"/>
    </row>
    <row r="192">
      <c r="A192" s="37"/>
      <c r="B192" s="49" t="str">
        <f>IFERROR(__xludf.DUMMYFUNCTION("""COMPUTED_VALUE"""),"Jose Cortez")</f>
        <v>Jose Cortez</v>
      </c>
      <c r="C192" s="5">
        <v>10.0</v>
      </c>
      <c r="D192" s="3">
        <f>countif('OTPI Scores'!C:C,B192)</f>
        <v>1</v>
      </c>
      <c r="E192" s="3">
        <f t="shared" si="1"/>
        <v>10</v>
      </c>
      <c r="F192" s="3">
        <f>sumif('OTPI Scores'!C:C,B192,'OTPI Scores'!T:T)</f>
        <v>10</v>
      </c>
      <c r="G192" s="3" t="str">
        <f>SUMIF('Match Subs Filter'!E:E,B192,'Match Subs Filter'!F:F)+sumif('Bank Transfers'!B:B,B192,'Bank Transfers'!C:C)</f>
        <v>#N/A</v>
      </c>
      <c r="H192" s="50" t="str">
        <f t="shared" si="2"/>
        <v>#N/A</v>
      </c>
      <c r="I192" s="51">
        <f t="array" ref="I192">IF(IFERROR(lookup(1,1/SEARCH(B192,'OTPI Scores'!C:C),'OTPI Scores'!E:E),0)="Vets",7,IFERROR(lookup(1,1/SEARCH(B192,'OTPI Scores'!C:C),'OTPI Scores'!E:E),0))</f>
        <v>6</v>
      </c>
      <c r="J192" s="37"/>
      <c r="K192" s="37"/>
      <c r="L192" s="37"/>
      <c r="M192" s="37"/>
      <c r="N192" s="37"/>
      <c r="O192" s="37"/>
      <c r="P192" s="37"/>
      <c r="Q192" s="37"/>
      <c r="R192" s="37"/>
      <c r="S192" s="37"/>
      <c r="T192" s="37"/>
      <c r="U192" s="37"/>
      <c r="V192" s="37"/>
      <c r="W192" s="37"/>
      <c r="X192" s="37"/>
    </row>
    <row r="193">
      <c r="A193" s="37"/>
      <c r="B193" s="49" t="str">
        <f>IFERROR(__xludf.DUMMYFUNCTION("""COMPUTED_VALUE"""),"Joseph Smith")</f>
        <v>Joseph Smith</v>
      </c>
      <c r="C193" s="5">
        <v>10.0</v>
      </c>
      <c r="D193" s="3">
        <f>countif('OTPI Scores'!C:C,B193)</f>
        <v>7</v>
      </c>
      <c r="E193" s="3">
        <f t="shared" si="1"/>
        <v>70</v>
      </c>
      <c r="F193" s="3">
        <f>sumif('OTPI Scores'!C:C,B193,'OTPI Scores'!T:T)</f>
        <v>65</v>
      </c>
      <c r="G193" s="3" t="str">
        <f>SUMIF('Match Subs Filter'!E:E,B193,'Match Subs Filter'!F:F)+sumif('Bank Transfers'!B:B,B193,'Bank Transfers'!C:C)</f>
        <v>#N/A</v>
      </c>
      <c r="H193" s="50" t="str">
        <f t="shared" si="2"/>
        <v>#N/A</v>
      </c>
      <c r="I193" s="51">
        <f t="array" ref="I193">IF(IFERROR(lookup(1,1/SEARCH(B193,'OTPI Scores'!C:C),'OTPI Scores'!E:E),0)="Vets",7,IFERROR(lookup(1,1/SEARCH(B193,'OTPI Scores'!C:C),'OTPI Scores'!E:E),0))</f>
        <v>4</v>
      </c>
      <c r="J193" s="37"/>
      <c r="K193" s="37"/>
      <c r="L193" s="37"/>
      <c r="M193" s="37"/>
      <c r="N193" s="37"/>
      <c r="O193" s="37"/>
      <c r="P193" s="37"/>
      <c r="Q193" s="37"/>
      <c r="R193" s="37"/>
      <c r="S193" s="37"/>
      <c r="T193" s="37"/>
      <c r="U193" s="37"/>
      <c r="V193" s="37"/>
      <c r="W193" s="37"/>
      <c r="X193" s="37"/>
    </row>
    <row r="194">
      <c r="A194" s="37"/>
      <c r="B194" s="49" t="str">
        <f>IFERROR(__xludf.DUMMYFUNCTION("""COMPUTED_VALUE"""),"Joseph Sullivan")</f>
        <v>Joseph Sullivan</v>
      </c>
      <c r="C194" s="5">
        <v>10.0</v>
      </c>
      <c r="D194" s="3">
        <f>countif('OTPI Scores'!C:C,B194)</f>
        <v>0</v>
      </c>
      <c r="E194" s="3">
        <f t="shared" si="1"/>
        <v>0</v>
      </c>
      <c r="F194" s="3">
        <f>sumif('OTPI Scores'!C:C,B194,'OTPI Scores'!T:T)</f>
        <v>0</v>
      </c>
      <c r="G194" s="3" t="str">
        <f>SUMIF('Match Subs Filter'!E:E,B194,'Match Subs Filter'!F:F)+sumif('Bank Transfers'!B:B,B194,'Bank Transfers'!C:C)</f>
        <v>#N/A</v>
      </c>
      <c r="H194" s="50" t="str">
        <f t="shared" si="2"/>
        <v>#N/A</v>
      </c>
      <c r="I194" s="51">
        <f t="array" ref="I194">IF(IFERROR(lookup(1,1/SEARCH(B194,'OTPI Scores'!C:C),'OTPI Scores'!E:E),0)="Vets",7,IFERROR(lookup(1,1/SEARCH(B194,'OTPI Scores'!C:C),'OTPI Scores'!E:E),0))</f>
        <v>0</v>
      </c>
      <c r="J194" s="37"/>
      <c r="K194" s="37"/>
      <c r="L194" s="37"/>
      <c r="M194" s="37"/>
      <c r="N194" s="37"/>
      <c r="O194" s="37"/>
      <c r="P194" s="37"/>
      <c r="Q194" s="37"/>
      <c r="R194" s="37"/>
      <c r="S194" s="37"/>
      <c r="T194" s="37"/>
      <c r="U194" s="37"/>
      <c r="V194" s="37"/>
      <c r="W194" s="37"/>
      <c r="X194" s="37"/>
    </row>
    <row r="195">
      <c r="A195" s="37"/>
      <c r="B195" s="49" t="str">
        <f>IFERROR(__xludf.DUMMYFUNCTION("""COMPUTED_VALUE"""),"Josh Billings")</f>
        <v>Josh Billings</v>
      </c>
      <c r="C195" s="5">
        <v>10.0</v>
      </c>
      <c r="D195" s="3">
        <f>countif('OTPI Scores'!C:C,B195)</f>
        <v>8</v>
      </c>
      <c r="E195" s="3">
        <f t="shared" si="1"/>
        <v>80</v>
      </c>
      <c r="F195" s="3">
        <f>sumif('OTPI Scores'!C:C,B195,'OTPI Scores'!T:T)</f>
        <v>75</v>
      </c>
      <c r="G195" s="3" t="str">
        <f>SUMIF('Match Subs Filter'!E:E,B195,'Match Subs Filter'!F:F)+sumif('Bank Transfers'!B:B,B195,'Bank Transfers'!C:C)</f>
        <v>#N/A</v>
      </c>
      <c r="H195" s="50" t="str">
        <f t="shared" si="2"/>
        <v>#N/A</v>
      </c>
      <c r="I195" s="51">
        <f t="array" ref="I195">IF(IFERROR(lookup(1,1/SEARCH(B195,'OTPI Scores'!C:C),'OTPI Scores'!E:E),0)="Vets",7,IFERROR(lookup(1,1/SEARCH(B195,'OTPI Scores'!C:C),'OTPI Scores'!E:E),0))</f>
        <v>5</v>
      </c>
      <c r="J195" s="37"/>
      <c r="K195" s="37"/>
      <c r="L195" s="37"/>
      <c r="M195" s="37"/>
      <c r="N195" s="37"/>
      <c r="O195" s="37"/>
      <c r="P195" s="37"/>
      <c r="Q195" s="37"/>
      <c r="R195" s="37"/>
      <c r="S195" s="37"/>
      <c r="T195" s="37"/>
      <c r="U195" s="37"/>
      <c r="V195" s="37"/>
      <c r="W195" s="37"/>
      <c r="X195" s="37"/>
    </row>
    <row r="196">
      <c r="A196" s="37"/>
      <c r="B196" s="49" t="str">
        <f>IFERROR(__xludf.DUMMYFUNCTION("""COMPUTED_VALUE"""),"Josh Sherriff-Jolly")</f>
        <v>Josh Sherriff-Jolly</v>
      </c>
      <c r="C196" s="5">
        <v>10.0</v>
      </c>
      <c r="D196" s="3">
        <f>countif('OTPI Scores'!C:C,B196)</f>
        <v>23</v>
      </c>
      <c r="E196" s="3">
        <f t="shared" si="1"/>
        <v>230</v>
      </c>
      <c r="F196" s="3">
        <f>sumif('OTPI Scores'!C:C,B196,'OTPI Scores'!T:T)</f>
        <v>175</v>
      </c>
      <c r="G196" s="3" t="str">
        <f>SUMIF('Match Subs Filter'!E:E,B196,'Match Subs Filter'!F:F)+sumif('Bank Transfers'!B:B,B196,'Bank Transfers'!C:C)</f>
        <v>#N/A</v>
      </c>
      <c r="H196" s="50" t="str">
        <f t="shared" si="2"/>
        <v>#N/A</v>
      </c>
      <c r="I196" s="51">
        <f t="array" ref="I196">IF(IFERROR(lookup(1,1/SEARCH(B196,'OTPI Scores'!C:C),'OTPI Scores'!E:E),0)="Vets",7,IFERROR(lookup(1,1/SEARCH(B196,'OTPI Scores'!C:C),'OTPI Scores'!E:E),0))</f>
        <v>1</v>
      </c>
      <c r="J196" s="37"/>
      <c r="K196" s="37"/>
      <c r="L196" s="37"/>
      <c r="M196" s="37"/>
      <c r="N196" s="37"/>
      <c r="O196" s="37"/>
      <c r="P196" s="37"/>
      <c r="Q196" s="37"/>
      <c r="R196" s="37"/>
      <c r="S196" s="37"/>
      <c r="T196" s="37"/>
      <c r="U196" s="37"/>
      <c r="V196" s="37"/>
      <c r="W196" s="37"/>
      <c r="X196" s="37"/>
    </row>
    <row r="197">
      <c r="A197" s="37"/>
      <c r="B197" s="49" t="str">
        <f>IFERROR(__xludf.DUMMYFUNCTION("""COMPUTED_VALUE"""),"Joshua Cox")</f>
        <v>Joshua Cox</v>
      </c>
      <c r="C197" s="5">
        <v>10.0</v>
      </c>
      <c r="D197" s="3">
        <f>countif('OTPI Scores'!C:C,B197)</f>
        <v>0</v>
      </c>
      <c r="E197" s="3">
        <f t="shared" si="1"/>
        <v>0</v>
      </c>
      <c r="F197" s="3">
        <f>sumif('OTPI Scores'!C:C,B197,'OTPI Scores'!T:T)</f>
        <v>0</v>
      </c>
      <c r="G197" s="3" t="str">
        <f>SUMIF('Match Subs Filter'!E:E,B197,'Match Subs Filter'!F:F)+sumif('Bank Transfers'!B:B,B197,'Bank Transfers'!C:C)</f>
        <v>#N/A</v>
      </c>
      <c r="H197" s="50" t="str">
        <f t="shared" si="2"/>
        <v>#N/A</v>
      </c>
      <c r="I197" s="51">
        <f t="array" ref="I197">IF(IFERROR(lookup(1,1/SEARCH(B197,'OTPI Scores'!C:C),'OTPI Scores'!E:E),0)="Vets",7,IFERROR(lookup(1,1/SEARCH(B197,'OTPI Scores'!C:C),'OTPI Scores'!E:E),0))</f>
        <v>0</v>
      </c>
      <c r="J197" s="37"/>
      <c r="K197" s="37"/>
      <c r="L197" s="37"/>
      <c r="M197" s="37"/>
      <c r="N197" s="37"/>
      <c r="O197" s="37"/>
      <c r="P197" s="37"/>
      <c r="Q197" s="37"/>
      <c r="R197" s="37"/>
      <c r="S197" s="37"/>
      <c r="T197" s="37"/>
      <c r="U197" s="37"/>
      <c r="V197" s="37"/>
      <c r="W197" s="37"/>
      <c r="X197" s="37"/>
    </row>
    <row r="198">
      <c r="A198" s="37"/>
      <c r="B198" s="49" t="str">
        <f>IFERROR(__xludf.DUMMYFUNCTION("""COMPUTED_VALUE"""),"Julio Tjahuha")</f>
        <v>Julio Tjahuha</v>
      </c>
      <c r="C198" s="5">
        <v>10.0</v>
      </c>
      <c r="D198" s="3">
        <f>countif('OTPI Scores'!C:C,B198)</f>
        <v>0</v>
      </c>
      <c r="E198" s="3">
        <f t="shared" si="1"/>
        <v>0</v>
      </c>
      <c r="F198" s="3">
        <f>sumif('OTPI Scores'!C:C,B198,'OTPI Scores'!T:T)</f>
        <v>0</v>
      </c>
      <c r="G198" s="3" t="str">
        <f>SUMIF('Match Subs Filter'!E:E,B198,'Match Subs Filter'!F:F)+sumif('Bank Transfers'!B:B,B198,'Bank Transfers'!C:C)</f>
        <v>#N/A</v>
      </c>
      <c r="H198" s="50" t="str">
        <f t="shared" si="2"/>
        <v>#N/A</v>
      </c>
      <c r="I198" s="51">
        <f t="array" ref="I198">IF(IFERROR(lookup(1,1/SEARCH(B198,'OTPI Scores'!C:C),'OTPI Scores'!E:E),0)="Vets",7,IFERROR(lookup(1,1/SEARCH(B198,'OTPI Scores'!C:C),'OTPI Scores'!E:E),0))</f>
        <v>0</v>
      </c>
      <c r="J198" s="37"/>
      <c r="K198" s="37"/>
      <c r="L198" s="37"/>
      <c r="M198" s="37"/>
      <c r="N198" s="37"/>
      <c r="O198" s="37"/>
      <c r="P198" s="37"/>
      <c r="Q198" s="37"/>
      <c r="R198" s="37"/>
      <c r="S198" s="37"/>
      <c r="T198" s="37"/>
      <c r="U198" s="37"/>
      <c r="V198" s="37"/>
      <c r="W198" s="37"/>
      <c r="X198" s="37"/>
    </row>
    <row r="199">
      <c r="A199" s="37"/>
      <c r="B199" s="49" t="str">
        <f>IFERROR(__xludf.DUMMYFUNCTION("""COMPUTED_VALUE"""),"Kahmarli Powlette")</f>
        <v>Kahmarli Powlette</v>
      </c>
      <c r="C199" s="5">
        <v>10.0</v>
      </c>
      <c r="D199" s="3">
        <f>countif('OTPI Scores'!C:C,B199)</f>
        <v>0</v>
      </c>
      <c r="E199" s="3">
        <f t="shared" si="1"/>
        <v>0</v>
      </c>
      <c r="F199" s="3">
        <f>sumif('OTPI Scores'!C:C,B199,'OTPI Scores'!T:T)</f>
        <v>0</v>
      </c>
      <c r="G199" s="3" t="str">
        <f>SUMIF('Match Subs Filter'!E:E,B199,'Match Subs Filter'!F:F)+sumif('Bank Transfers'!B:B,B199,'Bank Transfers'!C:C)</f>
        <v>#N/A</v>
      </c>
      <c r="H199" s="50" t="str">
        <f t="shared" si="2"/>
        <v>#N/A</v>
      </c>
      <c r="I199" s="51">
        <f t="array" ref="I199">IF(IFERROR(lookup(1,1/SEARCH(B199,'OTPI Scores'!C:C),'OTPI Scores'!E:E),0)="Vets",7,IFERROR(lookup(1,1/SEARCH(B199,'OTPI Scores'!C:C),'OTPI Scores'!E:E),0))</f>
        <v>0</v>
      </c>
      <c r="J199" s="37"/>
      <c r="K199" s="37"/>
      <c r="L199" s="37"/>
      <c r="M199" s="37"/>
      <c r="N199" s="37"/>
      <c r="O199" s="37"/>
      <c r="P199" s="37"/>
      <c r="Q199" s="37"/>
      <c r="R199" s="37"/>
      <c r="S199" s="37"/>
      <c r="T199" s="37"/>
      <c r="U199" s="37"/>
      <c r="V199" s="37"/>
      <c r="W199" s="37"/>
      <c r="X199" s="37"/>
    </row>
    <row r="200">
      <c r="A200" s="37"/>
      <c r="B200" s="49" t="str">
        <f>IFERROR(__xludf.DUMMYFUNCTION("""COMPUTED_VALUE"""),"Kai Clack")</f>
        <v>Kai Clack</v>
      </c>
      <c r="C200" s="5">
        <v>10.0</v>
      </c>
      <c r="D200" s="3">
        <f>countif('OTPI Scores'!C:C,B200)</f>
        <v>11</v>
      </c>
      <c r="E200" s="3">
        <f t="shared" si="1"/>
        <v>110</v>
      </c>
      <c r="F200" s="3">
        <f>sumif('OTPI Scores'!C:C,B200,'OTPI Scores'!T:T)</f>
        <v>94</v>
      </c>
      <c r="G200" s="3" t="str">
        <f>SUMIF('Match Subs Filter'!E:E,B200,'Match Subs Filter'!F:F)+sumif('Bank Transfers'!B:B,B200,'Bank Transfers'!C:C)</f>
        <v>#N/A</v>
      </c>
      <c r="H200" s="50" t="str">
        <f t="shared" si="2"/>
        <v>#N/A</v>
      </c>
      <c r="I200" s="51">
        <f t="array" ref="I200">IF(IFERROR(lookup(1,1/SEARCH(B200,'OTPI Scores'!C:C),'OTPI Scores'!E:E),0)="Vets",7,IFERROR(lookup(1,1/SEARCH(B200,'OTPI Scores'!C:C),'OTPI Scores'!E:E),0))</f>
        <v>6</v>
      </c>
      <c r="J200" s="37"/>
      <c r="K200" s="37"/>
      <c r="L200" s="37"/>
      <c r="M200" s="37"/>
      <c r="N200" s="37"/>
      <c r="O200" s="37"/>
      <c r="P200" s="37"/>
      <c r="Q200" s="37"/>
      <c r="R200" s="37"/>
      <c r="S200" s="37"/>
      <c r="T200" s="37"/>
      <c r="U200" s="37"/>
      <c r="V200" s="37"/>
      <c r="W200" s="37"/>
      <c r="X200" s="37"/>
    </row>
    <row r="201">
      <c r="A201" s="37"/>
      <c r="B201" s="49" t="str">
        <f>IFERROR(__xludf.DUMMYFUNCTION("""COMPUTED_VALUE"""),"Kampanart Truss")</f>
        <v>Kampanart Truss</v>
      </c>
      <c r="C201" s="5">
        <v>10.0</v>
      </c>
      <c r="D201" s="3">
        <f>countif('OTPI Scores'!C:C,B201)</f>
        <v>0</v>
      </c>
      <c r="E201" s="3">
        <f t="shared" si="1"/>
        <v>0</v>
      </c>
      <c r="F201" s="3">
        <f>sumif('OTPI Scores'!C:C,B201,'OTPI Scores'!T:T)</f>
        <v>0</v>
      </c>
      <c r="G201" s="3" t="str">
        <f>SUMIF('Match Subs Filter'!E:E,B201,'Match Subs Filter'!F:F)+sumif('Bank Transfers'!B:B,B201,'Bank Transfers'!C:C)</f>
        <v>#N/A</v>
      </c>
      <c r="H201" s="50" t="str">
        <f t="shared" si="2"/>
        <v>#N/A</v>
      </c>
      <c r="I201" s="51">
        <f t="array" ref="I201">IF(IFERROR(lookup(1,1/SEARCH(B201,'OTPI Scores'!C:C),'OTPI Scores'!E:E),0)="Vets",7,IFERROR(lookup(1,1/SEARCH(B201,'OTPI Scores'!C:C),'OTPI Scores'!E:E),0))</f>
        <v>0</v>
      </c>
      <c r="J201" s="37"/>
      <c r="K201" s="37"/>
      <c r="L201" s="37"/>
      <c r="M201" s="37"/>
      <c r="N201" s="37"/>
      <c r="O201" s="37"/>
      <c r="P201" s="37"/>
      <c r="Q201" s="37"/>
      <c r="R201" s="37"/>
      <c r="S201" s="37"/>
      <c r="T201" s="37"/>
      <c r="U201" s="37"/>
      <c r="V201" s="37"/>
      <c r="W201" s="37"/>
      <c r="X201" s="37"/>
    </row>
    <row r="202">
      <c r="A202" s="37"/>
      <c r="B202" s="49" t="str">
        <f>IFERROR(__xludf.DUMMYFUNCTION("""COMPUTED_VALUE"""),"Keaton Cohen")</f>
        <v>Keaton Cohen</v>
      </c>
      <c r="C202" s="5">
        <v>10.0</v>
      </c>
      <c r="D202" s="3">
        <f>countif('OTPI Scores'!C:C,B202)</f>
        <v>14</v>
      </c>
      <c r="E202" s="3">
        <f t="shared" si="1"/>
        <v>140</v>
      </c>
      <c r="F202" s="3">
        <f>sumif('OTPI Scores'!C:C,B202,'OTPI Scores'!T:T)</f>
        <v>76</v>
      </c>
      <c r="G202" s="3" t="str">
        <f>SUMIF('Match Subs Filter'!E:E,B202,'Match Subs Filter'!F:F)+sumif('Bank Transfers'!B:B,B202,'Bank Transfers'!C:C)</f>
        <v>#N/A</v>
      </c>
      <c r="H202" s="50" t="str">
        <f t="shared" si="2"/>
        <v>#N/A</v>
      </c>
      <c r="I202" s="51">
        <f t="array" ref="I202">IF(IFERROR(lookup(1,1/SEARCH(B202,'OTPI Scores'!C:C),'OTPI Scores'!E:E),0)="Vets",7,IFERROR(lookup(1,1/SEARCH(B202,'OTPI Scores'!C:C),'OTPI Scores'!E:E),0))</f>
        <v>1</v>
      </c>
      <c r="J202" s="37"/>
      <c r="K202" s="37"/>
      <c r="L202" s="37"/>
      <c r="M202" s="37"/>
      <c r="N202" s="37"/>
      <c r="O202" s="37"/>
      <c r="P202" s="37"/>
      <c r="Q202" s="37"/>
      <c r="R202" s="37"/>
      <c r="S202" s="37"/>
      <c r="T202" s="37"/>
      <c r="U202" s="37"/>
      <c r="V202" s="37"/>
      <c r="W202" s="37"/>
      <c r="X202" s="37"/>
    </row>
    <row r="203">
      <c r="A203" s="37"/>
      <c r="B203" s="49" t="str">
        <f>IFERROR(__xludf.DUMMYFUNCTION("""COMPUTED_VALUE"""),"Keshane Jackson")</f>
        <v>Keshane Jackson</v>
      </c>
      <c r="C203" s="5">
        <v>10.0</v>
      </c>
      <c r="D203" s="3">
        <f>countif('OTPI Scores'!C:C,B203)</f>
        <v>0</v>
      </c>
      <c r="E203" s="3">
        <f t="shared" si="1"/>
        <v>0</v>
      </c>
      <c r="F203" s="3">
        <f>sumif('OTPI Scores'!C:C,B203,'OTPI Scores'!T:T)</f>
        <v>0</v>
      </c>
      <c r="G203" s="3" t="str">
        <f>SUMIF('Match Subs Filter'!E:E,B203,'Match Subs Filter'!F:F)+sumif('Bank Transfers'!B:B,B203,'Bank Transfers'!C:C)</f>
        <v>#N/A</v>
      </c>
      <c r="H203" s="50" t="str">
        <f t="shared" si="2"/>
        <v>#N/A</v>
      </c>
      <c r="I203" s="51">
        <f t="array" ref="I203">IF(IFERROR(lookup(1,1/SEARCH(B203,'OTPI Scores'!C:C),'OTPI Scores'!E:E),0)="Vets",7,IFERROR(lookup(1,1/SEARCH(B203,'OTPI Scores'!C:C),'OTPI Scores'!E:E),0))</f>
        <v>0</v>
      </c>
      <c r="J203" s="37"/>
      <c r="K203" s="37"/>
      <c r="L203" s="37"/>
      <c r="M203" s="37"/>
      <c r="N203" s="37"/>
      <c r="O203" s="37"/>
      <c r="P203" s="37"/>
      <c r="Q203" s="37"/>
      <c r="R203" s="37"/>
      <c r="S203" s="37"/>
      <c r="T203" s="37"/>
      <c r="U203" s="37"/>
      <c r="V203" s="37"/>
      <c r="W203" s="37"/>
      <c r="X203" s="37"/>
    </row>
    <row r="204">
      <c r="A204" s="37"/>
      <c r="B204" s="49" t="str">
        <f>IFERROR(__xludf.DUMMYFUNCTION("""COMPUTED_VALUE"""),"Kevin Gonzalez")</f>
        <v>Kevin Gonzalez</v>
      </c>
      <c r="C204" s="5">
        <v>10.0</v>
      </c>
      <c r="D204" s="3">
        <f>countif('OTPI Scores'!C:C,B204)</f>
        <v>25</v>
      </c>
      <c r="E204" s="3">
        <f t="shared" si="1"/>
        <v>250</v>
      </c>
      <c r="F204" s="3">
        <f>sumif('OTPI Scores'!C:C,B204,'OTPI Scores'!T:T)</f>
        <v>122.5</v>
      </c>
      <c r="G204" s="3" t="str">
        <f>SUMIF('Match Subs Filter'!E:E,B204,'Match Subs Filter'!F:F)+sumif('Bank Transfers'!B:B,B204,'Bank Transfers'!C:C)</f>
        <v>#N/A</v>
      </c>
      <c r="H204" s="50" t="str">
        <f t="shared" si="2"/>
        <v>#N/A</v>
      </c>
      <c r="I204" s="51">
        <f t="array" ref="I204">IF(IFERROR(lookup(1,1/SEARCH(B204,'OTPI Scores'!C:C),'OTPI Scores'!E:E),0)="Vets",7,IFERROR(lookup(1,1/SEARCH(B204,'OTPI Scores'!C:C),'OTPI Scores'!E:E),0))</f>
        <v>4</v>
      </c>
      <c r="J204" s="37"/>
      <c r="K204" s="37"/>
      <c r="L204" s="37"/>
      <c r="M204" s="37"/>
      <c r="N204" s="37"/>
      <c r="O204" s="37"/>
      <c r="P204" s="37"/>
      <c r="Q204" s="37"/>
      <c r="R204" s="37"/>
      <c r="S204" s="37"/>
      <c r="T204" s="37"/>
      <c r="U204" s="37"/>
      <c r="V204" s="37"/>
      <c r="W204" s="37"/>
      <c r="X204" s="37"/>
    </row>
    <row r="205">
      <c r="A205" s="37"/>
      <c r="B205" s="49" t="str">
        <f>IFERROR(__xludf.DUMMYFUNCTION("""COMPUTED_VALUE"""),"Kevin Medina")</f>
        <v>Kevin Medina</v>
      </c>
      <c r="C205" s="5">
        <v>10.0</v>
      </c>
      <c r="D205" s="3">
        <f>countif('OTPI Scores'!C:C,B205)</f>
        <v>0</v>
      </c>
      <c r="E205" s="3">
        <f t="shared" si="1"/>
        <v>0</v>
      </c>
      <c r="F205" s="3">
        <f>sumif('OTPI Scores'!C:C,B205,'OTPI Scores'!T:T)</f>
        <v>0</v>
      </c>
      <c r="G205" s="3" t="str">
        <f>SUMIF('Match Subs Filter'!E:E,B205,'Match Subs Filter'!F:F)+sumif('Bank Transfers'!B:B,B205,'Bank Transfers'!C:C)</f>
        <v>#N/A</v>
      </c>
      <c r="H205" s="50" t="str">
        <f t="shared" si="2"/>
        <v>#N/A</v>
      </c>
      <c r="I205" s="51">
        <f t="array" ref="I205">IF(IFERROR(lookup(1,1/SEARCH(B205,'OTPI Scores'!C:C),'OTPI Scores'!E:E),0)="Vets",7,IFERROR(lookup(1,1/SEARCH(B205,'OTPI Scores'!C:C),'OTPI Scores'!E:E),0))</f>
        <v>0</v>
      </c>
      <c r="J205" s="37"/>
      <c r="K205" s="37"/>
      <c r="L205" s="37"/>
      <c r="M205" s="37"/>
      <c r="N205" s="37"/>
      <c r="O205" s="37"/>
      <c r="P205" s="37"/>
      <c r="Q205" s="37"/>
      <c r="R205" s="37"/>
      <c r="S205" s="37"/>
      <c r="T205" s="37"/>
      <c r="U205" s="37"/>
      <c r="V205" s="37"/>
      <c r="W205" s="37"/>
      <c r="X205" s="37"/>
    </row>
    <row r="206">
      <c r="A206" s="37"/>
      <c r="B206" s="49" t="str">
        <f>IFERROR(__xludf.DUMMYFUNCTION("""COMPUTED_VALUE"""),"Kian Leslie-Bigby")</f>
        <v>Kian Leslie-Bigby</v>
      </c>
      <c r="C206" s="5">
        <v>10.0</v>
      </c>
      <c r="D206" s="3">
        <f>countif('OTPI Scores'!C:C,B206)</f>
        <v>1</v>
      </c>
      <c r="E206" s="3">
        <f t="shared" si="1"/>
        <v>10</v>
      </c>
      <c r="F206" s="3">
        <f>sumif('OTPI Scores'!C:C,B206,'OTPI Scores'!T:T)</f>
        <v>10</v>
      </c>
      <c r="G206" s="3" t="str">
        <f>SUMIF('Match Subs Filter'!E:E,B206,'Match Subs Filter'!F:F)+sumif('Bank Transfers'!B:B,B206,'Bank Transfers'!C:C)</f>
        <v>#N/A</v>
      </c>
      <c r="H206" s="50" t="str">
        <f t="shared" si="2"/>
        <v>#N/A</v>
      </c>
      <c r="I206" s="51">
        <f t="array" ref="I206">IF(IFERROR(lookup(1,1/SEARCH(B206,'OTPI Scores'!C:C),'OTPI Scores'!E:E),0)="Vets",7,IFERROR(lookup(1,1/SEARCH(B206,'OTPI Scores'!C:C),'OTPI Scores'!E:E),0))</f>
        <v>5</v>
      </c>
      <c r="J206" s="37"/>
      <c r="K206" s="37"/>
      <c r="L206" s="37"/>
      <c r="M206" s="37"/>
      <c r="N206" s="37"/>
      <c r="O206" s="37"/>
      <c r="P206" s="37"/>
      <c r="Q206" s="37"/>
      <c r="R206" s="37"/>
      <c r="S206" s="37"/>
      <c r="T206" s="37"/>
      <c r="U206" s="37"/>
      <c r="V206" s="37"/>
      <c r="W206" s="37"/>
      <c r="X206" s="37"/>
    </row>
    <row r="207">
      <c r="A207" s="37"/>
      <c r="B207" s="49" t="str">
        <f>IFERROR(__xludf.DUMMYFUNCTION("""COMPUTED_VALUE"""),"Kim Jaeyoon")</f>
        <v>Kim Jaeyoon</v>
      </c>
      <c r="C207" s="5">
        <v>10.0</v>
      </c>
      <c r="D207" s="3">
        <f>countif('OTPI Scores'!C:C,B207)</f>
        <v>4</v>
      </c>
      <c r="E207" s="3">
        <f t="shared" si="1"/>
        <v>40</v>
      </c>
      <c r="F207" s="3">
        <f>sumif('OTPI Scores'!C:C,B207,'OTPI Scores'!T:T)</f>
        <v>40</v>
      </c>
      <c r="G207" s="3" t="str">
        <f>SUMIF('Match Subs Filter'!E:E,B207,'Match Subs Filter'!F:F)+sumif('Bank Transfers'!B:B,B207,'Bank Transfers'!C:C)</f>
        <v>#N/A</v>
      </c>
      <c r="H207" s="50" t="str">
        <f t="shared" si="2"/>
        <v>#N/A</v>
      </c>
      <c r="I207" s="51">
        <f t="array" ref="I207">IF(IFERROR(lookup(1,1/SEARCH(B207,'OTPI Scores'!C:C),'OTPI Scores'!E:E),0)="Vets",7,IFERROR(lookup(1,1/SEARCH(B207,'OTPI Scores'!C:C),'OTPI Scores'!E:E),0))</f>
        <v>2</v>
      </c>
      <c r="J207" s="37"/>
      <c r="K207" s="37"/>
      <c r="L207" s="37"/>
      <c r="M207" s="37"/>
      <c r="N207" s="37"/>
      <c r="O207" s="37"/>
      <c r="P207" s="37"/>
      <c r="Q207" s="37"/>
      <c r="R207" s="37"/>
      <c r="S207" s="37"/>
      <c r="T207" s="37"/>
      <c r="U207" s="37"/>
      <c r="V207" s="37"/>
      <c r="W207" s="37"/>
      <c r="X207" s="37"/>
    </row>
    <row r="208">
      <c r="A208" s="37"/>
      <c r="B208" s="49" t="str">
        <f>IFERROR(__xludf.DUMMYFUNCTION("""COMPUTED_VALUE"""),"Kirti Swift")</f>
        <v>Kirti Swift</v>
      </c>
      <c r="C208" s="5">
        <v>10.0</v>
      </c>
      <c r="D208" s="3">
        <f>countif('OTPI Scores'!C:C,B208)</f>
        <v>0</v>
      </c>
      <c r="E208" s="3">
        <f t="shared" si="1"/>
        <v>0</v>
      </c>
      <c r="F208" s="3">
        <f>sumif('OTPI Scores'!C:C,B208,'OTPI Scores'!T:T)</f>
        <v>0</v>
      </c>
      <c r="G208" s="3" t="str">
        <f>SUMIF('Match Subs Filter'!E:E,B208,'Match Subs Filter'!F:F)+sumif('Bank Transfers'!B:B,B208,'Bank Transfers'!C:C)</f>
        <v>#N/A</v>
      </c>
      <c r="H208" s="50" t="str">
        <f t="shared" si="2"/>
        <v>#N/A</v>
      </c>
      <c r="I208" s="51">
        <f t="array" ref="I208">IF(IFERROR(lookup(1,1/SEARCH(B208,'OTPI Scores'!C:C),'OTPI Scores'!E:E),0)="Vets",7,IFERROR(lookup(1,1/SEARCH(B208,'OTPI Scores'!C:C),'OTPI Scores'!E:E),0))</f>
        <v>0</v>
      </c>
      <c r="J208" s="37"/>
      <c r="K208" s="37"/>
      <c r="L208" s="37"/>
      <c r="M208" s="37"/>
      <c r="N208" s="37"/>
      <c r="O208" s="37"/>
      <c r="P208" s="37"/>
      <c r="Q208" s="37"/>
      <c r="R208" s="37"/>
      <c r="S208" s="37"/>
      <c r="T208" s="37"/>
      <c r="U208" s="37"/>
      <c r="V208" s="37"/>
      <c r="W208" s="37"/>
      <c r="X208" s="37"/>
    </row>
    <row r="209">
      <c r="A209" s="37"/>
      <c r="B209" s="49" t="str">
        <f>IFERROR(__xludf.DUMMYFUNCTION("""COMPUTED_VALUE"""),"Kolawole Kehinde")</f>
        <v>Kolawole Kehinde</v>
      </c>
      <c r="C209" s="5">
        <v>10.0</v>
      </c>
      <c r="D209" s="3">
        <f>countif('OTPI Scores'!C:C,B209)</f>
        <v>3</v>
      </c>
      <c r="E209" s="3">
        <f t="shared" si="1"/>
        <v>30</v>
      </c>
      <c r="F209" s="3">
        <f>sumif('OTPI Scores'!C:C,B209,'OTPI Scores'!T:T)</f>
        <v>15</v>
      </c>
      <c r="G209" s="3" t="str">
        <f>SUMIF('Match Subs Filter'!E:E,B209,'Match Subs Filter'!F:F)+sumif('Bank Transfers'!B:B,B209,'Bank Transfers'!C:C)</f>
        <v>#N/A</v>
      </c>
      <c r="H209" s="50" t="str">
        <f t="shared" si="2"/>
        <v>#N/A</v>
      </c>
      <c r="I209" s="51">
        <f t="array" ref="I209">IF(IFERROR(lookup(1,1/SEARCH(B209,'OTPI Scores'!C:C),'OTPI Scores'!E:E),0)="Vets",7,IFERROR(lookup(1,1/SEARCH(B209,'OTPI Scores'!C:C),'OTPI Scores'!E:E),0))</f>
        <v>4</v>
      </c>
      <c r="J209" s="37"/>
      <c r="K209" s="37"/>
      <c r="L209" s="37"/>
      <c r="M209" s="37"/>
      <c r="N209" s="37"/>
      <c r="O209" s="37"/>
      <c r="P209" s="37"/>
      <c r="Q209" s="37"/>
      <c r="R209" s="37"/>
      <c r="S209" s="37"/>
      <c r="T209" s="37"/>
      <c r="U209" s="37"/>
      <c r="V209" s="37"/>
      <c r="W209" s="37"/>
      <c r="X209" s="37"/>
    </row>
    <row r="210">
      <c r="A210" s="37"/>
      <c r="B210" s="49" t="str">
        <f>IFERROR(__xludf.DUMMYFUNCTION("""COMPUTED_VALUE"""),"Krishan Sivakumar")</f>
        <v>Krishan Sivakumar</v>
      </c>
      <c r="C210" s="5">
        <v>10.0</v>
      </c>
      <c r="D210" s="3">
        <f>countif('OTPI Scores'!C:C,B210)</f>
        <v>0</v>
      </c>
      <c r="E210" s="3">
        <f t="shared" si="1"/>
        <v>0</v>
      </c>
      <c r="F210" s="3">
        <f>sumif('OTPI Scores'!C:C,B210,'OTPI Scores'!T:T)</f>
        <v>0</v>
      </c>
      <c r="G210" s="3" t="str">
        <f>SUMIF('Match Subs Filter'!E:E,B210,'Match Subs Filter'!F:F)+sumif('Bank Transfers'!B:B,B210,'Bank Transfers'!C:C)</f>
        <v>#N/A</v>
      </c>
      <c r="H210" s="50" t="str">
        <f t="shared" si="2"/>
        <v>#N/A</v>
      </c>
      <c r="I210" s="51">
        <f t="array" ref="I210">IF(IFERROR(lookup(1,1/SEARCH(B210,'OTPI Scores'!C:C),'OTPI Scores'!E:E),0)="Vets",7,IFERROR(lookup(1,1/SEARCH(B210,'OTPI Scores'!C:C),'OTPI Scores'!E:E),0))</f>
        <v>0</v>
      </c>
      <c r="J210" s="37"/>
      <c r="K210" s="37"/>
      <c r="L210" s="37"/>
      <c r="M210" s="37"/>
      <c r="N210" s="37"/>
      <c r="O210" s="37"/>
      <c r="P210" s="37"/>
      <c r="Q210" s="37"/>
      <c r="R210" s="37"/>
      <c r="S210" s="37"/>
      <c r="T210" s="37"/>
      <c r="U210" s="37"/>
      <c r="V210" s="37"/>
      <c r="W210" s="37"/>
      <c r="X210" s="37"/>
    </row>
    <row r="211">
      <c r="A211" s="37"/>
      <c r="B211" s="52" t="str">
        <f>IFERROR(__xludf.DUMMYFUNCTION("""COMPUTED_VALUE"""),"Kyasat Nadeem")</f>
        <v>Kyasat Nadeem</v>
      </c>
      <c r="C211" s="5">
        <v>10.0</v>
      </c>
      <c r="D211" s="3">
        <f>countif('OTPI Scores'!C:C,B211)</f>
        <v>0</v>
      </c>
      <c r="E211" s="3">
        <f t="shared" si="1"/>
        <v>0</v>
      </c>
      <c r="F211" s="3">
        <f>sumif('OTPI Scores'!C:C,B211,'OTPI Scores'!T:T)</f>
        <v>0</v>
      </c>
      <c r="G211" s="3" t="str">
        <f>SUMIF('Match Subs Filter'!E:E,B211,'Match Subs Filter'!F:F)+sumif('Bank Transfers'!B:B,B211,'Bank Transfers'!C:C)</f>
        <v>#N/A</v>
      </c>
      <c r="H211" s="50" t="str">
        <f t="shared" si="2"/>
        <v>#N/A</v>
      </c>
      <c r="I211" s="51">
        <f t="array" ref="I211">IF(IFERROR(lookup(1,1/SEARCH(B211,'OTPI Scores'!C:C),'OTPI Scores'!E:E),0)="Vets",7,IFERROR(lookup(1,1/SEARCH(B211,'OTPI Scores'!C:C),'OTPI Scores'!E:E),0))</f>
        <v>0</v>
      </c>
      <c r="J211" s="37"/>
      <c r="K211" s="37"/>
      <c r="L211" s="37"/>
      <c r="M211" s="37"/>
      <c r="N211" s="37"/>
      <c r="O211" s="37"/>
      <c r="P211" s="37"/>
      <c r="Q211" s="37"/>
      <c r="R211" s="37"/>
      <c r="S211" s="37"/>
      <c r="T211" s="37"/>
      <c r="U211" s="37"/>
      <c r="V211" s="37"/>
      <c r="W211" s="37"/>
      <c r="X211" s="37"/>
    </row>
    <row r="212">
      <c r="A212" s="37"/>
      <c r="B212" s="49" t="str">
        <f>IFERROR(__xludf.DUMMYFUNCTION("""COMPUTED_VALUE"""),"Kye Williams")</f>
        <v>Kye Williams</v>
      </c>
      <c r="C212" s="5">
        <v>10.0</v>
      </c>
      <c r="D212" s="3">
        <f>countif('OTPI Scores'!C:C,B212)</f>
        <v>5</v>
      </c>
      <c r="E212" s="3">
        <f t="shared" si="1"/>
        <v>50</v>
      </c>
      <c r="F212" s="3">
        <f>sumif('OTPI Scores'!C:C,B212,'OTPI Scores'!T:T)</f>
        <v>25</v>
      </c>
      <c r="G212" s="3" t="str">
        <f>SUMIF('Match Subs Filter'!E:E,B212,'Match Subs Filter'!F:F)+sumif('Bank Transfers'!B:B,B212,'Bank Transfers'!C:C)</f>
        <v>#N/A</v>
      </c>
      <c r="H212" s="50" t="str">
        <f t="shared" si="2"/>
        <v>#N/A</v>
      </c>
      <c r="I212" s="51">
        <f t="array" ref="I212">IF(IFERROR(lookup(1,1/SEARCH(B212,'OTPI Scores'!C:C),'OTPI Scores'!E:E),0)="Vets",7,IFERROR(lookup(1,1/SEARCH(B212,'OTPI Scores'!C:C),'OTPI Scores'!E:E),0))</f>
        <v>3</v>
      </c>
      <c r="J212" s="37"/>
      <c r="K212" s="37"/>
      <c r="L212" s="37"/>
      <c r="M212" s="37"/>
      <c r="N212" s="37"/>
      <c r="O212" s="37"/>
      <c r="P212" s="37"/>
      <c r="Q212" s="37"/>
      <c r="R212" s="37"/>
      <c r="S212" s="37"/>
      <c r="T212" s="37"/>
      <c r="U212" s="37"/>
      <c r="V212" s="37"/>
      <c r="W212" s="37"/>
      <c r="X212" s="37"/>
    </row>
    <row r="213">
      <c r="A213" s="37"/>
      <c r="B213" s="49" t="str">
        <f>IFERROR(__xludf.DUMMYFUNCTION("""COMPUTED_VALUE"""),"Landry Naubo")</f>
        <v>Landry Naubo</v>
      </c>
      <c r="C213" s="5">
        <v>10.0</v>
      </c>
      <c r="D213" s="3">
        <f>countif('OTPI Scores'!C:C,B213)</f>
        <v>1</v>
      </c>
      <c r="E213" s="3">
        <f t="shared" si="1"/>
        <v>10</v>
      </c>
      <c r="F213" s="3">
        <f>sumif('OTPI Scores'!C:C,B213,'OTPI Scores'!T:T)</f>
        <v>10</v>
      </c>
      <c r="G213" s="3" t="str">
        <f>SUMIF('Match Subs Filter'!E:E,B213,'Match Subs Filter'!F:F)+sumif('Bank Transfers'!B:B,B213,'Bank Transfers'!C:C)</f>
        <v>#N/A</v>
      </c>
      <c r="H213" s="50" t="str">
        <f t="shared" si="2"/>
        <v>#N/A</v>
      </c>
      <c r="I213" s="51">
        <f t="array" ref="I213">IF(IFERROR(lookup(1,1/SEARCH(B213,'OTPI Scores'!C:C),'OTPI Scores'!E:E),0)="Vets",7,IFERROR(lookup(1,1/SEARCH(B213,'OTPI Scores'!C:C),'OTPI Scores'!E:E),0))</f>
        <v>5</v>
      </c>
      <c r="J213" s="37"/>
      <c r="K213" s="37"/>
      <c r="L213" s="37"/>
      <c r="M213" s="37"/>
      <c r="N213" s="37"/>
      <c r="O213" s="37"/>
      <c r="P213" s="37"/>
      <c r="Q213" s="37"/>
      <c r="R213" s="37"/>
      <c r="S213" s="37"/>
      <c r="T213" s="37"/>
      <c r="U213" s="37"/>
      <c r="V213" s="37"/>
      <c r="W213" s="37"/>
      <c r="X213" s="37"/>
    </row>
    <row r="214">
      <c r="A214" s="37"/>
      <c r="B214" s="49" t="str">
        <f>IFERROR(__xludf.DUMMYFUNCTION("""COMPUTED_VALUE"""),"Laurie Chrisp")</f>
        <v>Laurie Chrisp</v>
      </c>
      <c r="C214" s="5">
        <v>10.0</v>
      </c>
      <c r="D214" s="3">
        <f>countif('OTPI Scores'!C:C,B214)</f>
        <v>0</v>
      </c>
      <c r="E214" s="3">
        <f t="shared" si="1"/>
        <v>0</v>
      </c>
      <c r="F214" s="3">
        <f>sumif('OTPI Scores'!C:C,B214,'OTPI Scores'!T:T)</f>
        <v>0</v>
      </c>
      <c r="G214" s="3" t="str">
        <f>SUMIF('Match Subs Filter'!E:E,B214,'Match Subs Filter'!F:F)+sumif('Bank Transfers'!B:B,B214,'Bank Transfers'!C:C)</f>
        <v>#N/A</v>
      </c>
      <c r="H214" s="50" t="str">
        <f t="shared" si="2"/>
        <v>#N/A</v>
      </c>
      <c r="I214" s="51">
        <f t="array" ref="I214">IF(IFERROR(lookup(1,1/SEARCH(B214,'OTPI Scores'!C:C),'OTPI Scores'!E:E),0)="Vets",7,IFERROR(lookup(1,1/SEARCH(B214,'OTPI Scores'!C:C),'OTPI Scores'!E:E),0))</f>
        <v>0</v>
      </c>
      <c r="J214" s="37"/>
      <c r="K214" s="37"/>
      <c r="L214" s="37"/>
      <c r="M214" s="37"/>
      <c r="N214" s="37"/>
      <c r="O214" s="37"/>
      <c r="P214" s="37"/>
      <c r="Q214" s="37"/>
      <c r="R214" s="37"/>
      <c r="S214" s="37"/>
      <c r="T214" s="37"/>
      <c r="U214" s="37"/>
      <c r="V214" s="37"/>
      <c r="W214" s="37"/>
      <c r="X214" s="37"/>
    </row>
    <row r="215">
      <c r="A215" s="37"/>
      <c r="B215" s="49" t="str">
        <f>IFERROR(__xludf.DUMMYFUNCTION("""COMPUTED_VALUE"""),"Lawrence Asante")</f>
        <v>Lawrence Asante</v>
      </c>
      <c r="C215" s="5">
        <v>10.0</v>
      </c>
      <c r="D215" s="3">
        <f>countif('OTPI Scores'!C:C,B215)</f>
        <v>5</v>
      </c>
      <c r="E215" s="3">
        <f t="shared" si="1"/>
        <v>50</v>
      </c>
      <c r="F215" s="3">
        <f>sumif('OTPI Scores'!C:C,B215,'OTPI Scores'!T:T)</f>
        <v>25</v>
      </c>
      <c r="G215" s="3" t="str">
        <f>SUMIF('Match Subs Filter'!E:E,B215,'Match Subs Filter'!F:F)+sumif('Bank Transfers'!B:B,B215,'Bank Transfers'!C:C)</f>
        <v>#N/A</v>
      </c>
      <c r="H215" s="50" t="str">
        <f t="shared" si="2"/>
        <v>#N/A</v>
      </c>
      <c r="I215" s="51">
        <f t="array" ref="I215">IF(IFERROR(lookup(1,1/SEARCH(B215,'OTPI Scores'!C:C),'OTPI Scores'!E:E),0)="Vets",7,IFERROR(lookup(1,1/SEARCH(B215,'OTPI Scores'!C:C),'OTPI Scores'!E:E),0))</f>
        <v>6</v>
      </c>
      <c r="J215" s="37"/>
      <c r="K215" s="37"/>
      <c r="L215" s="37"/>
      <c r="M215" s="37"/>
      <c r="N215" s="37"/>
      <c r="O215" s="37"/>
      <c r="P215" s="37"/>
      <c r="Q215" s="37"/>
      <c r="R215" s="37"/>
      <c r="S215" s="37"/>
      <c r="T215" s="37"/>
      <c r="U215" s="37"/>
      <c r="V215" s="37"/>
      <c r="W215" s="37"/>
      <c r="X215" s="37"/>
    </row>
    <row r="216">
      <c r="A216" s="37"/>
      <c r="B216" s="49" t="str">
        <f>IFERROR(__xludf.DUMMYFUNCTION("""COMPUTED_VALUE"""),"Lee Clark")</f>
        <v>Lee Clark</v>
      </c>
      <c r="C216" s="5">
        <v>10.0</v>
      </c>
      <c r="D216" s="3">
        <f>countif('OTPI Scores'!C:C,B216)</f>
        <v>14</v>
      </c>
      <c r="E216" s="3">
        <f t="shared" si="1"/>
        <v>140</v>
      </c>
      <c r="F216" s="3">
        <f>sumif('OTPI Scores'!C:C,B216,'OTPI Scores'!T:T)</f>
        <v>115</v>
      </c>
      <c r="G216" s="3" t="str">
        <f>SUMIF('Match Subs Filter'!E:E,B216,'Match Subs Filter'!F:F)+sumif('Bank Transfers'!B:B,B216,'Bank Transfers'!C:C)</f>
        <v>#N/A</v>
      </c>
      <c r="H216" s="50" t="str">
        <f t="shared" si="2"/>
        <v>#N/A</v>
      </c>
      <c r="I216" s="51">
        <f t="array" ref="I216">IF(IFERROR(lookup(1,1/SEARCH(B216,'OTPI Scores'!C:C),'OTPI Scores'!E:E),0)="Vets",7,IFERROR(lookup(1,1/SEARCH(B216,'OTPI Scores'!C:C),'OTPI Scores'!E:E),0))</f>
        <v>5</v>
      </c>
      <c r="J216" s="37"/>
      <c r="K216" s="37"/>
      <c r="L216" s="37"/>
      <c r="M216" s="37"/>
      <c r="N216" s="37"/>
      <c r="O216" s="37"/>
      <c r="P216" s="37"/>
      <c r="Q216" s="37"/>
      <c r="R216" s="37"/>
      <c r="S216" s="37"/>
      <c r="T216" s="37"/>
      <c r="U216" s="37"/>
      <c r="V216" s="37"/>
      <c r="W216" s="37"/>
      <c r="X216" s="37"/>
    </row>
    <row r="217">
      <c r="A217" s="37"/>
      <c r="B217" s="49" t="str">
        <f>IFERROR(__xludf.DUMMYFUNCTION("""COMPUTED_VALUE"""),"Leigh Cremin")</f>
        <v>Leigh Cremin</v>
      </c>
      <c r="C217" s="5">
        <v>10.0</v>
      </c>
      <c r="D217" s="3">
        <f>countif('OTPI Scores'!C:C,B217)</f>
        <v>6</v>
      </c>
      <c r="E217" s="3">
        <f t="shared" si="1"/>
        <v>60</v>
      </c>
      <c r="F217" s="3">
        <f>sumif('OTPI Scores'!C:C,B217,'OTPI Scores'!T:T)</f>
        <v>50</v>
      </c>
      <c r="G217" s="3" t="str">
        <f>SUMIF('Match Subs Filter'!E:E,B217,'Match Subs Filter'!F:F)+sumif('Bank Transfers'!B:B,B217,'Bank Transfers'!C:C)</f>
        <v>#N/A</v>
      </c>
      <c r="H217" s="50" t="str">
        <f t="shared" si="2"/>
        <v>#N/A</v>
      </c>
      <c r="I217" s="51">
        <f t="array" ref="I217">IF(IFERROR(lookup(1,1/SEARCH(B217,'OTPI Scores'!C:C),'OTPI Scores'!E:E),0)="Vets",7,IFERROR(lookup(1,1/SEARCH(B217,'OTPI Scores'!C:C),'OTPI Scores'!E:E),0))</f>
        <v>6</v>
      </c>
      <c r="J217" s="37"/>
      <c r="K217" s="37"/>
      <c r="L217" s="37"/>
      <c r="M217" s="37"/>
      <c r="N217" s="37"/>
      <c r="O217" s="37"/>
      <c r="P217" s="37"/>
      <c r="Q217" s="37"/>
      <c r="R217" s="37"/>
      <c r="S217" s="37"/>
      <c r="T217" s="37"/>
      <c r="U217" s="37"/>
      <c r="V217" s="37"/>
      <c r="W217" s="37"/>
      <c r="X217" s="37"/>
    </row>
    <row r="218">
      <c r="A218" s="37"/>
      <c r="B218" s="49" t="str">
        <f>IFERROR(__xludf.DUMMYFUNCTION("""COMPUTED_VALUE"""),"Leuman Coronado")</f>
        <v>Leuman Coronado</v>
      </c>
      <c r="C218" s="5">
        <v>10.0</v>
      </c>
      <c r="D218" s="3">
        <f>countif('OTPI Scores'!C:C,B218)</f>
        <v>12</v>
      </c>
      <c r="E218" s="3">
        <f t="shared" si="1"/>
        <v>120</v>
      </c>
      <c r="F218" s="3">
        <f>sumif('OTPI Scores'!C:C,B218,'OTPI Scores'!T:T)</f>
        <v>110</v>
      </c>
      <c r="G218" s="3" t="str">
        <f>SUMIF('Match Subs Filter'!E:E,B218,'Match Subs Filter'!F:F)+sumif('Bank Transfers'!B:B,B218,'Bank Transfers'!C:C)</f>
        <v>#N/A</v>
      </c>
      <c r="H218" s="50" t="str">
        <f t="shared" si="2"/>
        <v>#N/A</v>
      </c>
      <c r="I218" s="51">
        <f t="array" ref="I218">IF(IFERROR(lookup(1,1/SEARCH(B218,'OTPI Scores'!C:C),'OTPI Scores'!E:E),0)="Vets",7,IFERROR(lookup(1,1/SEARCH(B218,'OTPI Scores'!C:C),'OTPI Scores'!E:E),0))</f>
        <v>6</v>
      </c>
      <c r="J218" s="37"/>
      <c r="K218" s="37"/>
      <c r="L218" s="37"/>
      <c r="M218" s="37"/>
      <c r="N218" s="37"/>
      <c r="O218" s="37"/>
      <c r="P218" s="37"/>
      <c r="Q218" s="37"/>
      <c r="R218" s="37"/>
      <c r="S218" s="37"/>
      <c r="T218" s="37"/>
      <c r="U218" s="37"/>
      <c r="V218" s="37"/>
      <c r="W218" s="37"/>
      <c r="X218" s="37"/>
    </row>
    <row r="219">
      <c r="A219" s="37"/>
      <c r="B219" s="49" t="str">
        <f>IFERROR(__xludf.DUMMYFUNCTION("""COMPUTED_VALUE"""),"Lewis Anderson")</f>
        <v>Lewis Anderson</v>
      </c>
      <c r="C219" s="5">
        <v>10.0</v>
      </c>
      <c r="D219" s="3">
        <f>countif('OTPI Scores'!C:C,B219)</f>
        <v>5</v>
      </c>
      <c r="E219" s="3">
        <f t="shared" si="1"/>
        <v>50</v>
      </c>
      <c r="F219" s="3">
        <f>sumif('OTPI Scores'!C:C,B219,'OTPI Scores'!T:T)</f>
        <v>40</v>
      </c>
      <c r="G219" s="3" t="str">
        <f>SUMIF('Match Subs Filter'!E:E,B219,'Match Subs Filter'!F:F)+sumif('Bank Transfers'!B:B,B219,'Bank Transfers'!C:C)</f>
        <v>#N/A</v>
      </c>
      <c r="H219" s="50" t="str">
        <f t="shared" si="2"/>
        <v>#N/A</v>
      </c>
      <c r="I219" s="51">
        <f t="array" ref="I219">IF(IFERROR(lookup(1,1/SEARCH(B219,'OTPI Scores'!C:C),'OTPI Scores'!E:E),0)="Vets",7,IFERROR(lookup(1,1/SEARCH(B219,'OTPI Scores'!C:C),'OTPI Scores'!E:E),0))</f>
        <v>3</v>
      </c>
      <c r="J219" s="37"/>
      <c r="K219" s="37"/>
      <c r="L219" s="37"/>
      <c r="M219" s="37"/>
      <c r="N219" s="37"/>
      <c r="O219" s="37"/>
      <c r="P219" s="37"/>
      <c r="Q219" s="37"/>
      <c r="R219" s="37"/>
      <c r="S219" s="37"/>
      <c r="T219" s="37"/>
      <c r="U219" s="37"/>
      <c r="V219" s="37"/>
      <c r="W219" s="37"/>
      <c r="X219" s="37"/>
    </row>
    <row r="220">
      <c r="A220" s="37"/>
      <c r="B220" s="49" t="str">
        <f>IFERROR(__xludf.DUMMYFUNCTION("""COMPUTED_VALUE"""),"Lewis Young")</f>
        <v>Lewis Young</v>
      </c>
      <c r="C220" s="5">
        <v>10.0</v>
      </c>
      <c r="D220" s="3">
        <f>countif('OTPI Scores'!C:C,B220)</f>
        <v>1</v>
      </c>
      <c r="E220" s="3">
        <f t="shared" si="1"/>
        <v>10</v>
      </c>
      <c r="F220" s="3">
        <f>sumif('OTPI Scores'!C:C,B220,'OTPI Scores'!T:T)</f>
        <v>5</v>
      </c>
      <c r="G220" s="3" t="str">
        <f>SUMIF('Match Subs Filter'!E:E,B220,'Match Subs Filter'!F:F)+sumif('Bank Transfers'!B:B,B220,'Bank Transfers'!C:C)</f>
        <v>#N/A</v>
      </c>
      <c r="H220" s="50" t="str">
        <f t="shared" si="2"/>
        <v>#N/A</v>
      </c>
      <c r="I220" s="51">
        <f t="array" ref="I220">IF(IFERROR(lookup(1,1/SEARCH(B220,'OTPI Scores'!C:C),'OTPI Scores'!E:E),0)="Vets",7,IFERROR(lookup(1,1/SEARCH(B220,'OTPI Scores'!C:C),'OTPI Scores'!E:E),0))</f>
        <v>6</v>
      </c>
      <c r="J220" s="37"/>
      <c r="K220" s="37"/>
      <c r="L220" s="37"/>
      <c r="M220" s="37"/>
      <c r="N220" s="37"/>
      <c r="O220" s="37"/>
      <c r="P220" s="37"/>
      <c r="Q220" s="37"/>
      <c r="R220" s="37"/>
      <c r="S220" s="37"/>
      <c r="T220" s="37"/>
      <c r="U220" s="37"/>
      <c r="V220" s="37"/>
      <c r="W220" s="37"/>
      <c r="X220" s="37"/>
    </row>
    <row r="221">
      <c r="A221" s="37"/>
      <c r="B221" s="49" t="str">
        <f>IFERROR(__xludf.DUMMYFUNCTION("""COMPUTED_VALUE"""),"Liam Gover")</f>
        <v>Liam Gover</v>
      </c>
      <c r="C221" s="5">
        <v>10.0</v>
      </c>
      <c r="D221" s="3">
        <f>countif('OTPI Scores'!C:C,B221)</f>
        <v>1</v>
      </c>
      <c r="E221" s="3">
        <f t="shared" si="1"/>
        <v>10</v>
      </c>
      <c r="F221" s="3">
        <f>sumif('OTPI Scores'!C:C,B221,'OTPI Scores'!T:T)</f>
        <v>10</v>
      </c>
      <c r="G221" s="3" t="str">
        <f>SUMIF('Match Subs Filter'!E:E,B221,'Match Subs Filter'!F:F)+sumif('Bank Transfers'!B:B,B221,'Bank Transfers'!C:C)</f>
        <v>#N/A</v>
      </c>
      <c r="H221" s="50" t="str">
        <f t="shared" si="2"/>
        <v>#N/A</v>
      </c>
      <c r="I221" s="51">
        <f t="array" ref="I221">IF(IFERROR(lookup(1,1/SEARCH(B221,'OTPI Scores'!C:C),'OTPI Scores'!E:E),0)="Vets",7,IFERROR(lookup(1,1/SEARCH(B221,'OTPI Scores'!C:C),'OTPI Scores'!E:E),0))</f>
        <v>7</v>
      </c>
      <c r="J221" s="37"/>
      <c r="K221" s="37"/>
      <c r="L221" s="37"/>
      <c r="M221" s="37"/>
      <c r="N221" s="37"/>
      <c r="O221" s="37"/>
      <c r="P221" s="37"/>
      <c r="Q221" s="37"/>
      <c r="R221" s="37"/>
      <c r="S221" s="37"/>
      <c r="T221" s="37"/>
      <c r="U221" s="37"/>
      <c r="V221" s="37"/>
      <c r="W221" s="37"/>
      <c r="X221" s="37"/>
    </row>
    <row r="222">
      <c r="A222" s="37"/>
      <c r="B222" s="49" t="str">
        <f>IFERROR(__xludf.DUMMYFUNCTION("""COMPUTED_VALUE"""),"Liam Gunn")</f>
        <v>Liam Gunn</v>
      </c>
      <c r="C222" s="5">
        <v>10.0</v>
      </c>
      <c r="D222" s="3">
        <f>countif('OTPI Scores'!C:C,B222)</f>
        <v>1</v>
      </c>
      <c r="E222" s="3">
        <f t="shared" si="1"/>
        <v>10</v>
      </c>
      <c r="F222" s="3">
        <f>sumif('OTPI Scores'!C:C,B222,'OTPI Scores'!T:T)</f>
        <v>2.5</v>
      </c>
      <c r="G222" s="3" t="str">
        <f>SUMIF('Match Subs Filter'!E:E,B222,'Match Subs Filter'!F:F)+sumif('Bank Transfers'!B:B,B222,'Bank Transfers'!C:C)</f>
        <v>#N/A</v>
      </c>
      <c r="H222" s="50" t="str">
        <f t="shared" si="2"/>
        <v>#N/A</v>
      </c>
      <c r="I222" s="51">
        <f t="array" ref="I222">IF(IFERROR(lookup(1,1/SEARCH(B222,'OTPI Scores'!C:C),'OTPI Scores'!E:E),0)="Vets",7,IFERROR(lookup(1,1/SEARCH(B222,'OTPI Scores'!C:C),'OTPI Scores'!E:E),0))</f>
        <v>4</v>
      </c>
      <c r="J222" s="37"/>
      <c r="K222" s="37"/>
      <c r="L222" s="37"/>
      <c r="M222" s="37"/>
      <c r="N222" s="37"/>
      <c r="O222" s="37"/>
      <c r="P222" s="37"/>
      <c r="Q222" s="37"/>
      <c r="R222" s="37"/>
      <c r="S222" s="37"/>
      <c r="T222" s="37"/>
      <c r="U222" s="37"/>
      <c r="V222" s="37"/>
      <c r="W222" s="37"/>
      <c r="X222" s="37"/>
    </row>
    <row r="223">
      <c r="A223" s="37"/>
      <c r="B223" s="49" t="str">
        <f>IFERROR(__xludf.DUMMYFUNCTION("""COMPUTED_VALUE"""),"Luke Dyges")</f>
        <v>Luke Dyges</v>
      </c>
      <c r="C223" s="5">
        <v>10.0</v>
      </c>
      <c r="D223" s="3">
        <f>countif('OTPI Scores'!C:C,B223)</f>
        <v>17</v>
      </c>
      <c r="E223" s="3">
        <f t="shared" si="1"/>
        <v>170</v>
      </c>
      <c r="F223" s="3">
        <f>sumif('OTPI Scores'!C:C,B223,'OTPI Scores'!T:T)</f>
        <v>97</v>
      </c>
      <c r="G223" s="3" t="str">
        <f>SUMIF('Match Subs Filter'!E:E,B223,'Match Subs Filter'!F:F)+sumif('Bank Transfers'!B:B,B223,'Bank Transfers'!C:C)</f>
        <v>#N/A</v>
      </c>
      <c r="H223" s="50" t="str">
        <f t="shared" si="2"/>
        <v>#N/A</v>
      </c>
      <c r="I223" s="51">
        <f t="array" ref="I223">IF(IFERROR(lookup(1,1/SEARCH(B223,'OTPI Scores'!C:C),'OTPI Scores'!E:E),0)="Vets",7,IFERROR(lookup(1,1/SEARCH(B223,'OTPI Scores'!C:C),'OTPI Scores'!E:E),0))</f>
        <v>1</v>
      </c>
      <c r="J223" s="37"/>
      <c r="K223" s="37"/>
      <c r="L223" s="37"/>
      <c r="M223" s="37"/>
      <c r="N223" s="37"/>
      <c r="O223" s="37"/>
      <c r="P223" s="37"/>
      <c r="Q223" s="37"/>
      <c r="R223" s="37"/>
      <c r="S223" s="37"/>
      <c r="T223" s="37"/>
      <c r="U223" s="37"/>
      <c r="V223" s="37"/>
      <c r="W223" s="37"/>
      <c r="X223" s="37"/>
    </row>
    <row r="224">
      <c r="A224" s="37"/>
      <c r="B224" s="49" t="str">
        <f>IFERROR(__xludf.DUMMYFUNCTION("""COMPUTED_VALUE"""),"Luke Hinds")</f>
        <v>Luke Hinds</v>
      </c>
      <c r="C224" s="5">
        <v>10.0</v>
      </c>
      <c r="D224" s="3">
        <f>countif('OTPI Scores'!C:C,B224)</f>
        <v>0</v>
      </c>
      <c r="E224" s="3">
        <f t="shared" si="1"/>
        <v>0</v>
      </c>
      <c r="F224" s="3">
        <f>sumif('OTPI Scores'!C:C,B224,'OTPI Scores'!T:T)</f>
        <v>0</v>
      </c>
      <c r="G224" s="3" t="str">
        <f>SUMIF('Match Subs Filter'!E:E,B224,'Match Subs Filter'!F:F)+sumif('Bank Transfers'!B:B,B224,'Bank Transfers'!C:C)</f>
        <v>#N/A</v>
      </c>
      <c r="H224" s="50" t="str">
        <f t="shared" si="2"/>
        <v>#N/A</v>
      </c>
      <c r="I224" s="51">
        <f t="array" ref="I224">IF(IFERROR(lookup(1,1/SEARCH(B224,'OTPI Scores'!C:C),'OTPI Scores'!E:E),0)="Vets",7,IFERROR(lookup(1,1/SEARCH(B224,'OTPI Scores'!C:C),'OTPI Scores'!E:E),0))</f>
        <v>0</v>
      </c>
      <c r="J224" s="37"/>
      <c r="K224" s="37"/>
      <c r="L224" s="37"/>
      <c r="M224" s="37"/>
      <c r="N224" s="37"/>
      <c r="O224" s="37"/>
      <c r="P224" s="37"/>
      <c r="Q224" s="37"/>
      <c r="R224" s="37"/>
      <c r="S224" s="37"/>
      <c r="T224" s="37"/>
      <c r="U224" s="37"/>
      <c r="V224" s="37"/>
      <c r="W224" s="37"/>
      <c r="X224" s="37"/>
    </row>
    <row r="225">
      <c r="A225" s="37"/>
      <c r="B225" s="49" t="str">
        <f>IFERROR(__xludf.DUMMYFUNCTION("""COMPUTED_VALUE"""),"Luke Kelly")</f>
        <v>Luke Kelly</v>
      </c>
      <c r="C225" s="5">
        <v>10.0</v>
      </c>
      <c r="D225" s="3">
        <f>countif('OTPI Scores'!C:C,B225)</f>
        <v>0</v>
      </c>
      <c r="E225" s="3">
        <f t="shared" si="1"/>
        <v>0</v>
      </c>
      <c r="F225" s="3">
        <f>sumif('OTPI Scores'!C:C,B225,'OTPI Scores'!T:T)</f>
        <v>0</v>
      </c>
      <c r="G225" s="3" t="str">
        <f>SUMIF('Match Subs Filter'!E:E,B225,'Match Subs Filter'!F:F)+sumif('Bank Transfers'!B:B,B225,'Bank Transfers'!C:C)</f>
        <v>#N/A</v>
      </c>
      <c r="H225" s="50" t="str">
        <f t="shared" si="2"/>
        <v>#N/A</v>
      </c>
      <c r="I225" s="51">
        <f t="array" ref="I225">IF(IFERROR(lookup(1,1/SEARCH(B225,'OTPI Scores'!C:C),'OTPI Scores'!E:E),0)="Vets",7,IFERROR(lookup(1,1/SEARCH(B225,'OTPI Scores'!C:C),'OTPI Scores'!E:E),0))</f>
        <v>0</v>
      </c>
      <c r="J225" s="37"/>
      <c r="K225" s="37"/>
      <c r="L225" s="37"/>
      <c r="M225" s="37"/>
      <c r="N225" s="37"/>
      <c r="O225" s="37"/>
      <c r="P225" s="37"/>
      <c r="Q225" s="37"/>
      <c r="R225" s="37"/>
      <c r="S225" s="37"/>
      <c r="T225" s="37"/>
      <c r="U225" s="37"/>
      <c r="V225" s="37"/>
      <c r="W225" s="37"/>
      <c r="X225" s="37"/>
    </row>
    <row r="226">
      <c r="A226" s="37"/>
      <c r="B226" s="49" t="str">
        <f>IFERROR(__xludf.DUMMYFUNCTION("""COMPUTED_VALUE"""),"Luke Mulligan")</f>
        <v>Luke Mulligan</v>
      </c>
      <c r="C226" s="5">
        <v>10.0</v>
      </c>
      <c r="D226" s="3">
        <f>countif('OTPI Scores'!C:C,B226)</f>
        <v>0</v>
      </c>
      <c r="E226" s="3">
        <f t="shared" si="1"/>
        <v>0</v>
      </c>
      <c r="F226" s="3">
        <f>sumif('OTPI Scores'!C:C,B226,'OTPI Scores'!T:T)</f>
        <v>0</v>
      </c>
      <c r="G226" s="3" t="str">
        <f>SUMIF('Match Subs Filter'!E:E,B226,'Match Subs Filter'!F:F)+sumif('Bank Transfers'!B:B,B226,'Bank Transfers'!C:C)</f>
        <v>#N/A</v>
      </c>
      <c r="H226" s="50" t="str">
        <f t="shared" si="2"/>
        <v>#N/A</v>
      </c>
      <c r="I226" s="51">
        <f t="array" ref="I226">IF(IFERROR(lookup(1,1/SEARCH(B226,'OTPI Scores'!C:C),'OTPI Scores'!E:E),0)="Vets",7,IFERROR(lookup(1,1/SEARCH(B226,'OTPI Scores'!C:C),'OTPI Scores'!E:E),0))</f>
        <v>0</v>
      </c>
      <c r="J226" s="37"/>
      <c r="K226" s="37"/>
      <c r="L226" s="37"/>
      <c r="M226" s="37"/>
      <c r="N226" s="37"/>
      <c r="O226" s="37"/>
      <c r="P226" s="37"/>
      <c r="Q226" s="37"/>
      <c r="R226" s="37"/>
      <c r="S226" s="37"/>
      <c r="T226" s="37"/>
      <c r="U226" s="37"/>
      <c r="V226" s="37"/>
      <c r="W226" s="37"/>
      <c r="X226" s="37"/>
    </row>
    <row r="227">
      <c r="A227" s="37"/>
      <c r="B227" s="49" t="str">
        <f>IFERROR(__xludf.DUMMYFUNCTION("""COMPUTED_VALUE"""),"Magno Pinto")</f>
        <v>Magno Pinto</v>
      </c>
      <c r="C227" s="5">
        <v>10.0</v>
      </c>
      <c r="D227" s="3">
        <f>countif('OTPI Scores'!C:C,B227)</f>
        <v>3</v>
      </c>
      <c r="E227" s="3">
        <f t="shared" si="1"/>
        <v>30</v>
      </c>
      <c r="F227" s="3">
        <f>sumif('OTPI Scores'!C:C,B227,'OTPI Scores'!T:T)</f>
        <v>20</v>
      </c>
      <c r="G227" s="3" t="str">
        <f>SUMIF('Match Subs Filter'!E:E,B227,'Match Subs Filter'!F:F)+sumif('Bank Transfers'!B:B,B227,'Bank Transfers'!C:C)</f>
        <v>#N/A</v>
      </c>
      <c r="H227" s="50" t="str">
        <f t="shared" si="2"/>
        <v>#N/A</v>
      </c>
      <c r="I227" s="51">
        <f t="array" ref="I227">IF(IFERROR(lookup(1,1/SEARCH(B227,'OTPI Scores'!C:C),'OTPI Scores'!E:E),0)="Vets",7,IFERROR(lookup(1,1/SEARCH(B227,'OTPI Scores'!C:C),'OTPI Scores'!E:E),0))</f>
        <v>6</v>
      </c>
      <c r="J227" s="37"/>
      <c r="K227" s="37"/>
      <c r="L227" s="37"/>
      <c r="M227" s="37"/>
      <c r="N227" s="37"/>
      <c r="O227" s="37"/>
      <c r="P227" s="37"/>
      <c r="Q227" s="37"/>
      <c r="R227" s="37"/>
      <c r="S227" s="37"/>
      <c r="T227" s="37"/>
      <c r="U227" s="37"/>
      <c r="V227" s="37"/>
      <c r="W227" s="37"/>
      <c r="X227" s="37"/>
    </row>
    <row r="228">
      <c r="A228" s="37"/>
      <c r="B228" s="49" t="str">
        <f>IFERROR(__xludf.DUMMYFUNCTION("""COMPUTED_VALUE"""),"Malick Gaye")</f>
        <v>Malick Gaye</v>
      </c>
      <c r="C228" s="5">
        <v>10.0</v>
      </c>
      <c r="D228" s="3">
        <f>countif('OTPI Scores'!C:C,B228)</f>
        <v>0</v>
      </c>
      <c r="E228" s="3">
        <f t="shared" si="1"/>
        <v>0</v>
      </c>
      <c r="F228" s="3">
        <f>sumif('OTPI Scores'!C:C,B228,'OTPI Scores'!T:T)</f>
        <v>0</v>
      </c>
      <c r="G228" s="3" t="str">
        <f>SUMIF('Match Subs Filter'!E:E,B228,'Match Subs Filter'!F:F)+sumif('Bank Transfers'!B:B,B228,'Bank Transfers'!C:C)</f>
        <v>#N/A</v>
      </c>
      <c r="H228" s="50" t="str">
        <f t="shared" si="2"/>
        <v>#N/A</v>
      </c>
      <c r="I228" s="51">
        <f t="array" ref="I228">IF(IFERROR(lookup(1,1/SEARCH(B228,'OTPI Scores'!C:C),'OTPI Scores'!E:E),0)="Vets",7,IFERROR(lookup(1,1/SEARCH(B228,'OTPI Scores'!C:C),'OTPI Scores'!E:E),0))</f>
        <v>0</v>
      </c>
      <c r="J228" s="37"/>
      <c r="K228" s="37"/>
      <c r="L228" s="37"/>
      <c r="M228" s="37"/>
      <c r="N228" s="37"/>
      <c r="O228" s="37"/>
      <c r="P228" s="37"/>
      <c r="Q228" s="37"/>
      <c r="R228" s="37"/>
      <c r="S228" s="37"/>
      <c r="T228" s="37"/>
      <c r="U228" s="37"/>
      <c r="V228" s="37"/>
      <c r="W228" s="37"/>
      <c r="X228" s="37"/>
    </row>
    <row r="229">
      <c r="A229" s="37"/>
      <c r="B229" s="49" t="str">
        <f>IFERROR(__xludf.DUMMYFUNCTION("""COMPUTED_VALUE"""),"Mark Cryer")</f>
        <v>Mark Cryer</v>
      </c>
      <c r="C229" s="5">
        <v>10.0</v>
      </c>
      <c r="D229" s="3">
        <f>countif('OTPI Scores'!C:C,B229)</f>
        <v>0</v>
      </c>
      <c r="E229" s="3">
        <f t="shared" si="1"/>
        <v>0</v>
      </c>
      <c r="F229" s="3">
        <f>sumif('OTPI Scores'!C:C,B229,'OTPI Scores'!T:T)</f>
        <v>0</v>
      </c>
      <c r="G229" s="3" t="str">
        <f>SUMIF('Match Subs Filter'!E:E,B229,'Match Subs Filter'!F:F)+sumif('Bank Transfers'!B:B,B229,'Bank Transfers'!C:C)</f>
        <v>#N/A</v>
      </c>
      <c r="H229" s="50" t="str">
        <f t="shared" si="2"/>
        <v>#N/A</v>
      </c>
      <c r="I229" s="51">
        <f t="array" ref="I229">IF(IFERROR(lookup(1,1/SEARCH(B229,'OTPI Scores'!C:C),'OTPI Scores'!E:E),0)="Vets",7,IFERROR(lookup(1,1/SEARCH(B229,'OTPI Scores'!C:C),'OTPI Scores'!E:E),0))</f>
        <v>0</v>
      </c>
      <c r="J229" s="37"/>
      <c r="K229" s="37"/>
      <c r="L229" s="37"/>
      <c r="M229" s="37"/>
      <c r="N229" s="37"/>
      <c r="O229" s="37"/>
      <c r="P229" s="37"/>
      <c r="Q229" s="37"/>
      <c r="R229" s="37"/>
      <c r="S229" s="37"/>
      <c r="T229" s="37"/>
      <c r="U229" s="37"/>
      <c r="V229" s="37"/>
      <c r="W229" s="37"/>
      <c r="X229" s="37"/>
    </row>
    <row r="230">
      <c r="A230" s="37"/>
      <c r="B230" s="49" t="str">
        <f>IFERROR(__xludf.DUMMYFUNCTION("""COMPUTED_VALUE"""),"Mark Gorman")</f>
        <v>Mark Gorman</v>
      </c>
      <c r="C230" s="5">
        <v>10.0</v>
      </c>
      <c r="D230" s="3">
        <f>countif('OTPI Scores'!C:C,B230)</f>
        <v>0</v>
      </c>
      <c r="E230" s="3">
        <f t="shared" si="1"/>
        <v>0</v>
      </c>
      <c r="F230" s="3">
        <f>sumif('OTPI Scores'!C:C,B230,'OTPI Scores'!T:T)</f>
        <v>0</v>
      </c>
      <c r="G230" s="3" t="str">
        <f>SUMIF('Match Subs Filter'!E:E,B230,'Match Subs Filter'!F:F)+sumif('Bank Transfers'!B:B,B230,'Bank Transfers'!C:C)</f>
        <v>#N/A</v>
      </c>
      <c r="H230" s="50" t="str">
        <f t="shared" si="2"/>
        <v>#N/A</v>
      </c>
      <c r="I230" s="51">
        <f t="array" ref="I230">IF(IFERROR(lookup(1,1/SEARCH(B230,'OTPI Scores'!C:C),'OTPI Scores'!E:E),0)="Vets",7,IFERROR(lookup(1,1/SEARCH(B230,'OTPI Scores'!C:C),'OTPI Scores'!E:E),0))</f>
        <v>0</v>
      </c>
      <c r="J230" s="37"/>
      <c r="K230" s="37"/>
      <c r="L230" s="37"/>
      <c r="M230" s="37"/>
      <c r="N230" s="37"/>
      <c r="O230" s="37"/>
      <c r="P230" s="37"/>
      <c r="Q230" s="37"/>
      <c r="R230" s="37"/>
      <c r="S230" s="37"/>
      <c r="T230" s="37"/>
      <c r="U230" s="37"/>
      <c r="V230" s="37"/>
      <c r="W230" s="37"/>
      <c r="X230" s="37"/>
    </row>
    <row r="231">
      <c r="A231" s="37"/>
      <c r="B231" s="49" t="str">
        <f>IFERROR(__xludf.DUMMYFUNCTION("""COMPUTED_VALUE"""),"Mark Roberts")</f>
        <v>Mark Roberts</v>
      </c>
      <c r="C231" s="5">
        <v>10.0</v>
      </c>
      <c r="D231" s="3">
        <f>countif('OTPI Scores'!C:C,B231)</f>
        <v>16</v>
      </c>
      <c r="E231" s="3">
        <f t="shared" si="1"/>
        <v>160</v>
      </c>
      <c r="F231" s="3">
        <f>sumif('OTPI Scores'!C:C,B231,'OTPI Scores'!T:T)</f>
        <v>160</v>
      </c>
      <c r="G231" s="3" t="str">
        <f>SUMIF('Match Subs Filter'!E:E,B231,'Match Subs Filter'!F:F)+sumif('Bank Transfers'!B:B,B231,'Bank Transfers'!C:C)</f>
        <v>#N/A</v>
      </c>
      <c r="H231" s="50" t="str">
        <f t="shared" si="2"/>
        <v>#N/A</v>
      </c>
      <c r="I231" s="51">
        <f t="array" ref="I231">IF(IFERROR(lookup(1,1/SEARCH(B231,'OTPI Scores'!C:C),'OTPI Scores'!E:E),0)="Vets",7,IFERROR(lookup(1,1/SEARCH(B231,'OTPI Scores'!C:C),'OTPI Scores'!E:E),0))</f>
        <v>6</v>
      </c>
      <c r="J231" s="37"/>
      <c r="K231" s="37"/>
      <c r="L231" s="37"/>
      <c r="M231" s="37"/>
      <c r="N231" s="37"/>
      <c r="O231" s="37"/>
      <c r="P231" s="37"/>
      <c r="Q231" s="37"/>
      <c r="R231" s="37"/>
      <c r="S231" s="37"/>
      <c r="T231" s="37"/>
      <c r="U231" s="37"/>
      <c r="V231" s="37"/>
      <c r="W231" s="37"/>
      <c r="X231" s="37"/>
    </row>
    <row r="232">
      <c r="A232" s="37"/>
      <c r="B232" s="49" t="str">
        <f>IFERROR(__xludf.DUMMYFUNCTION("""COMPUTED_VALUE"""),"Mark Rowntree")</f>
        <v>Mark Rowntree</v>
      </c>
      <c r="C232" s="5">
        <v>10.0</v>
      </c>
      <c r="D232" s="3">
        <f>countif('OTPI Scores'!C:C,B232)</f>
        <v>2</v>
      </c>
      <c r="E232" s="3">
        <f t="shared" si="1"/>
        <v>20</v>
      </c>
      <c r="F232" s="3">
        <f>sumif('OTPI Scores'!C:C,B232,'OTPI Scores'!T:T)</f>
        <v>10</v>
      </c>
      <c r="G232" s="3" t="str">
        <f>SUMIF('Match Subs Filter'!E:E,B232,'Match Subs Filter'!F:F)+sumif('Bank Transfers'!B:B,B232,'Bank Transfers'!C:C)</f>
        <v>#N/A</v>
      </c>
      <c r="H232" s="50" t="str">
        <f t="shared" si="2"/>
        <v>#N/A</v>
      </c>
      <c r="I232" s="51">
        <f t="array" ref="I232">IF(IFERROR(lookup(1,1/SEARCH(B232,'OTPI Scores'!C:C),'OTPI Scores'!E:E),0)="Vets",7,IFERROR(lookup(1,1/SEARCH(B232,'OTPI Scores'!C:C),'OTPI Scores'!E:E),0))</f>
        <v>7</v>
      </c>
      <c r="J232" s="37"/>
      <c r="K232" s="37"/>
      <c r="L232" s="37"/>
      <c r="M232" s="37"/>
      <c r="N232" s="37"/>
      <c r="O232" s="37"/>
      <c r="P232" s="37"/>
      <c r="Q232" s="37"/>
      <c r="R232" s="37"/>
      <c r="S232" s="37"/>
      <c r="T232" s="37"/>
      <c r="U232" s="37"/>
      <c r="V232" s="37"/>
      <c r="W232" s="37"/>
      <c r="X232" s="37"/>
    </row>
    <row r="233">
      <c r="A233" s="37"/>
      <c r="B233" s="49" t="str">
        <f>IFERROR(__xludf.DUMMYFUNCTION("""COMPUTED_VALUE"""),"Martin Goodson")</f>
        <v>Martin Goodson</v>
      </c>
      <c r="C233" s="5">
        <v>10.0</v>
      </c>
      <c r="D233" s="3">
        <f>countif('OTPI Scores'!C:C,B233)</f>
        <v>24</v>
      </c>
      <c r="E233" s="3">
        <f t="shared" si="1"/>
        <v>240</v>
      </c>
      <c r="F233" s="3">
        <f>sumif('OTPI Scores'!C:C,B233,'OTPI Scores'!T:T)</f>
        <v>150</v>
      </c>
      <c r="G233" s="3" t="str">
        <f>SUMIF('Match Subs Filter'!E:E,B233,'Match Subs Filter'!F:F)+sumif('Bank Transfers'!B:B,B233,'Bank Transfers'!C:C)</f>
        <v>#N/A</v>
      </c>
      <c r="H233" s="50" t="str">
        <f t="shared" si="2"/>
        <v>#N/A</v>
      </c>
      <c r="I233" s="51">
        <f t="array" ref="I233">IF(IFERROR(lookup(1,1/SEARCH(B233,'OTPI Scores'!C:C),'OTPI Scores'!E:E),0)="Vets",7,IFERROR(lookup(1,1/SEARCH(B233,'OTPI Scores'!C:C),'OTPI Scores'!E:E),0))</f>
        <v>6</v>
      </c>
      <c r="J233" s="37"/>
      <c r="K233" s="37"/>
      <c r="L233" s="37"/>
      <c r="M233" s="37"/>
      <c r="N233" s="37"/>
      <c r="O233" s="37"/>
      <c r="P233" s="37"/>
      <c r="Q233" s="37"/>
      <c r="R233" s="37"/>
      <c r="S233" s="37"/>
      <c r="T233" s="37"/>
      <c r="U233" s="37"/>
      <c r="V233" s="37"/>
      <c r="W233" s="37"/>
      <c r="X233" s="37"/>
    </row>
    <row r="234">
      <c r="A234" s="37"/>
      <c r="B234" s="49" t="str">
        <f>IFERROR(__xludf.DUMMYFUNCTION("""COMPUTED_VALUE"""),"Martin Stanley")</f>
        <v>Martin Stanley</v>
      </c>
      <c r="C234" s="5">
        <v>10.0</v>
      </c>
      <c r="D234" s="3">
        <f>countif('OTPI Scores'!C:C,B234)</f>
        <v>0</v>
      </c>
      <c r="E234" s="3">
        <f t="shared" si="1"/>
        <v>0</v>
      </c>
      <c r="F234" s="3">
        <f>sumif('OTPI Scores'!C:C,B234,'OTPI Scores'!T:T)</f>
        <v>0</v>
      </c>
      <c r="G234" s="3" t="str">
        <f>SUMIF('Match Subs Filter'!E:E,B234,'Match Subs Filter'!F:F)+sumif('Bank Transfers'!B:B,B234,'Bank Transfers'!C:C)</f>
        <v>#N/A</v>
      </c>
      <c r="H234" s="50" t="str">
        <f t="shared" si="2"/>
        <v>#N/A</v>
      </c>
      <c r="I234" s="51">
        <f t="array" ref="I234">IF(IFERROR(lookup(1,1/SEARCH(B234,'OTPI Scores'!C:C),'OTPI Scores'!E:E),0)="Vets",7,IFERROR(lookup(1,1/SEARCH(B234,'OTPI Scores'!C:C),'OTPI Scores'!E:E),0))</f>
        <v>0</v>
      </c>
      <c r="J234" s="37"/>
      <c r="K234" s="37"/>
      <c r="L234" s="37"/>
      <c r="M234" s="37"/>
      <c r="N234" s="37"/>
      <c r="O234" s="37"/>
      <c r="P234" s="37"/>
      <c r="Q234" s="37"/>
      <c r="R234" s="37"/>
      <c r="S234" s="37"/>
      <c r="T234" s="37"/>
      <c r="U234" s="37"/>
      <c r="V234" s="37"/>
      <c r="W234" s="37"/>
      <c r="X234" s="37"/>
    </row>
    <row r="235">
      <c r="A235" s="37"/>
      <c r="B235" s="49" t="str">
        <f>IFERROR(__xludf.DUMMYFUNCTION("""COMPUTED_VALUE"""),"Masood Hamidi")</f>
        <v>Masood Hamidi</v>
      </c>
      <c r="C235" s="5">
        <v>10.0</v>
      </c>
      <c r="D235" s="3">
        <f>countif('OTPI Scores'!C:C,B235)</f>
        <v>24</v>
      </c>
      <c r="E235" s="3">
        <f t="shared" si="1"/>
        <v>240</v>
      </c>
      <c r="F235" s="3">
        <f>sumif('OTPI Scores'!C:C,B235,'OTPI Scores'!T:T)</f>
        <v>240</v>
      </c>
      <c r="G235" s="3" t="str">
        <f>SUMIF('Match Subs Filter'!E:E,B235,'Match Subs Filter'!F:F)+sumif('Bank Transfers'!B:B,B235,'Bank Transfers'!C:C)</f>
        <v>#N/A</v>
      </c>
      <c r="H235" s="50" t="str">
        <f t="shared" si="2"/>
        <v>#N/A</v>
      </c>
      <c r="I235" s="51">
        <f t="array" ref="I235">IF(IFERROR(lookup(1,1/SEARCH(B235,'OTPI Scores'!C:C),'OTPI Scores'!E:E),0)="Vets",7,IFERROR(lookup(1,1/SEARCH(B235,'OTPI Scores'!C:C),'OTPI Scores'!E:E),0))</f>
        <v>4</v>
      </c>
      <c r="J235" s="37"/>
      <c r="K235" s="37"/>
      <c r="L235" s="37"/>
      <c r="M235" s="37"/>
      <c r="N235" s="37"/>
      <c r="O235" s="37"/>
      <c r="P235" s="37"/>
      <c r="Q235" s="37"/>
      <c r="R235" s="37"/>
      <c r="S235" s="37"/>
      <c r="T235" s="37"/>
      <c r="U235" s="37"/>
      <c r="V235" s="37"/>
      <c r="W235" s="37"/>
      <c r="X235" s="37"/>
    </row>
    <row r="236">
      <c r="A236" s="37"/>
      <c r="B236" s="49" t="str">
        <f>IFERROR(__xludf.DUMMYFUNCTION("""COMPUTED_VALUE"""),"Massimiliano Tagliapietra")</f>
        <v>Massimiliano Tagliapietra</v>
      </c>
      <c r="C236" s="5">
        <v>10.0</v>
      </c>
      <c r="D236" s="3">
        <f>countif('OTPI Scores'!C:C,B236)</f>
        <v>0</v>
      </c>
      <c r="E236" s="3">
        <f t="shared" si="1"/>
        <v>0</v>
      </c>
      <c r="F236" s="3">
        <f>sumif('OTPI Scores'!C:C,B236,'OTPI Scores'!T:T)</f>
        <v>0</v>
      </c>
      <c r="G236" s="3" t="str">
        <f>SUMIF('Match Subs Filter'!E:E,B236,'Match Subs Filter'!F:F)+sumif('Bank Transfers'!B:B,B236,'Bank Transfers'!C:C)</f>
        <v>#N/A</v>
      </c>
      <c r="H236" s="50" t="str">
        <f t="shared" si="2"/>
        <v>#N/A</v>
      </c>
      <c r="I236" s="51">
        <f t="array" ref="I236">IF(IFERROR(lookup(1,1/SEARCH(B236,'OTPI Scores'!C:C),'OTPI Scores'!E:E),0)="Vets",7,IFERROR(lookup(1,1/SEARCH(B236,'OTPI Scores'!C:C),'OTPI Scores'!E:E),0))</f>
        <v>0</v>
      </c>
      <c r="J236" s="37"/>
      <c r="K236" s="37"/>
      <c r="L236" s="37"/>
      <c r="M236" s="37"/>
      <c r="N236" s="37"/>
      <c r="O236" s="37"/>
      <c r="P236" s="37"/>
      <c r="Q236" s="37"/>
      <c r="R236" s="37"/>
      <c r="S236" s="37"/>
      <c r="T236" s="37"/>
      <c r="U236" s="37"/>
      <c r="V236" s="37"/>
      <c r="W236" s="37"/>
      <c r="X236" s="37"/>
    </row>
    <row r="237">
      <c r="A237" s="37"/>
      <c r="B237" s="49" t="str">
        <f>IFERROR(__xludf.DUMMYFUNCTION("""COMPUTED_VALUE"""),"Matt Batchelor")</f>
        <v>Matt Batchelor</v>
      </c>
      <c r="C237" s="5">
        <v>10.0</v>
      </c>
      <c r="D237" s="3">
        <f>countif('OTPI Scores'!C:C,B237)</f>
        <v>0</v>
      </c>
      <c r="E237" s="3">
        <f t="shared" si="1"/>
        <v>0</v>
      </c>
      <c r="F237" s="3">
        <f>sumif('OTPI Scores'!C:C,B237,'OTPI Scores'!T:T)</f>
        <v>0</v>
      </c>
      <c r="G237" s="3" t="str">
        <f>SUMIF('Match Subs Filter'!E:E,B237,'Match Subs Filter'!F:F)+sumif('Bank Transfers'!B:B,B237,'Bank Transfers'!C:C)</f>
        <v>#N/A</v>
      </c>
      <c r="H237" s="50" t="str">
        <f t="shared" si="2"/>
        <v>#N/A</v>
      </c>
      <c r="I237" s="51">
        <f t="array" ref="I237">IF(IFERROR(lookup(1,1/SEARCH(B237,'OTPI Scores'!C:C),'OTPI Scores'!E:E),0)="Vets",7,IFERROR(lookup(1,1/SEARCH(B237,'OTPI Scores'!C:C),'OTPI Scores'!E:E),0))</f>
        <v>0</v>
      </c>
      <c r="J237" s="37"/>
      <c r="K237" s="37"/>
      <c r="L237" s="37"/>
      <c r="M237" s="37"/>
      <c r="N237" s="37"/>
      <c r="O237" s="37"/>
      <c r="P237" s="37"/>
      <c r="Q237" s="37"/>
      <c r="R237" s="37"/>
      <c r="S237" s="37"/>
      <c r="T237" s="37"/>
      <c r="U237" s="37"/>
      <c r="V237" s="37"/>
      <c r="W237" s="37"/>
      <c r="X237" s="37"/>
    </row>
    <row r="238">
      <c r="A238" s="37"/>
      <c r="B238" s="49" t="str">
        <f>IFERROR(__xludf.DUMMYFUNCTION("""COMPUTED_VALUE"""),"Matt Cragg")</f>
        <v>Matt Cragg</v>
      </c>
      <c r="C238" s="5">
        <v>10.0</v>
      </c>
      <c r="D238" s="3">
        <f>countif('OTPI Scores'!C:C,B238)</f>
        <v>0</v>
      </c>
      <c r="E238" s="3">
        <f t="shared" si="1"/>
        <v>0</v>
      </c>
      <c r="F238" s="3">
        <f>sumif('OTPI Scores'!C:C,B238,'OTPI Scores'!T:T)</f>
        <v>0</v>
      </c>
      <c r="G238" s="3" t="str">
        <f>SUMIF('Match Subs Filter'!E:E,B238,'Match Subs Filter'!F:F)+sumif('Bank Transfers'!B:B,B238,'Bank Transfers'!C:C)</f>
        <v>#N/A</v>
      </c>
      <c r="H238" s="50" t="str">
        <f t="shared" si="2"/>
        <v>#N/A</v>
      </c>
      <c r="I238" s="51">
        <f t="array" ref="I238">IF(IFERROR(lookup(1,1/SEARCH(B238,'OTPI Scores'!C:C),'OTPI Scores'!E:E),0)="Vets",7,IFERROR(lookup(1,1/SEARCH(B238,'OTPI Scores'!C:C),'OTPI Scores'!E:E),0))</f>
        <v>0</v>
      </c>
      <c r="J238" s="37"/>
      <c r="K238" s="37"/>
      <c r="L238" s="37"/>
      <c r="M238" s="37"/>
      <c r="N238" s="37"/>
      <c r="O238" s="37"/>
      <c r="P238" s="37"/>
      <c r="Q238" s="37"/>
      <c r="R238" s="37"/>
      <c r="S238" s="37"/>
      <c r="T238" s="37"/>
      <c r="U238" s="37"/>
      <c r="V238" s="37"/>
      <c r="W238" s="37"/>
      <c r="X238" s="37"/>
    </row>
    <row r="239">
      <c r="A239" s="37"/>
      <c r="B239" s="49" t="str">
        <f>IFERROR(__xludf.DUMMYFUNCTION("""COMPUTED_VALUE"""),"Matt Crowe")</f>
        <v>Matt Crowe</v>
      </c>
      <c r="C239" s="5">
        <v>10.0</v>
      </c>
      <c r="D239" s="3">
        <f>countif('OTPI Scores'!C:C,B239)</f>
        <v>26</v>
      </c>
      <c r="E239" s="3">
        <f t="shared" si="1"/>
        <v>260</v>
      </c>
      <c r="F239" s="3">
        <f>sumif('OTPI Scores'!C:C,B239,'OTPI Scores'!T:T)</f>
        <v>247</v>
      </c>
      <c r="G239" s="3" t="str">
        <f>SUMIF('Match Subs Filter'!E:E,B239,'Match Subs Filter'!F:F)+sumif('Bank Transfers'!B:B,B239,'Bank Transfers'!C:C)</f>
        <v>#N/A</v>
      </c>
      <c r="H239" s="50" t="str">
        <f t="shared" si="2"/>
        <v>#N/A</v>
      </c>
      <c r="I239" s="51">
        <f t="array" ref="I239">IF(IFERROR(lookup(1,1/SEARCH(B239,'OTPI Scores'!C:C),'OTPI Scores'!E:E),0)="Vets",7,IFERROR(lookup(1,1/SEARCH(B239,'OTPI Scores'!C:C),'OTPI Scores'!E:E),0))</f>
        <v>1</v>
      </c>
      <c r="J239" s="37"/>
      <c r="K239" s="37"/>
      <c r="L239" s="37"/>
      <c r="M239" s="37"/>
      <c r="N239" s="37"/>
      <c r="O239" s="37"/>
      <c r="P239" s="37"/>
      <c r="Q239" s="37"/>
      <c r="R239" s="37"/>
      <c r="S239" s="37"/>
      <c r="T239" s="37"/>
      <c r="U239" s="37"/>
      <c r="V239" s="37"/>
      <c r="W239" s="37"/>
      <c r="X239" s="37"/>
    </row>
    <row r="240">
      <c r="A240" s="37"/>
      <c r="B240" s="49" t="str">
        <f>IFERROR(__xludf.DUMMYFUNCTION("""COMPUTED_VALUE"""),"Matt Hook")</f>
        <v>Matt Hook</v>
      </c>
      <c r="C240" s="5">
        <v>10.0</v>
      </c>
      <c r="D240" s="3">
        <f>countif('OTPI Scores'!C:C,B240)</f>
        <v>0</v>
      </c>
      <c r="E240" s="3">
        <f t="shared" si="1"/>
        <v>0</v>
      </c>
      <c r="F240" s="3">
        <f>sumif('OTPI Scores'!C:C,B240,'OTPI Scores'!T:T)</f>
        <v>0</v>
      </c>
      <c r="G240" s="3" t="str">
        <f>SUMIF('Match Subs Filter'!E:E,B240,'Match Subs Filter'!F:F)+sumif('Bank Transfers'!B:B,B240,'Bank Transfers'!C:C)</f>
        <v>#N/A</v>
      </c>
      <c r="H240" s="50" t="str">
        <f t="shared" si="2"/>
        <v>#N/A</v>
      </c>
      <c r="I240" s="51">
        <f t="array" ref="I240">IF(IFERROR(lookup(1,1/SEARCH(B240,'OTPI Scores'!C:C),'OTPI Scores'!E:E),0)="Vets",7,IFERROR(lookup(1,1/SEARCH(B240,'OTPI Scores'!C:C),'OTPI Scores'!E:E),0))</f>
        <v>0</v>
      </c>
      <c r="J240" s="37"/>
      <c r="K240" s="37"/>
      <c r="L240" s="37"/>
      <c r="M240" s="37"/>
      <c r="N240" s="37"/>
      <c r="O240" s="37"/>
      <c r="P240" s="37"/>
      <c r="Q240" s="37"/>
      <c r="R240" s="37"/>
      <c r="S240" s="37"/>
      <c r="T240" s="37"/>
      <c r="U240" s="37"/>
      <c r="V240" s="37"/>
      <c r="W240" s="37"/>
      <c r="X240" s="37"/>
    </row>
    <row r="241">
      <c r="A241" s="37"/>
      <c r="B241" s="49" t="str">
        <f>IFERROR(__xludf.DUMMYFUNCTION("""COMPUTED_VALUE"""),"Matt Hope")</f>
        <v>Matt Hope</v>
      </c>
      <c r="C241" s="5">
        <v>10.0</v>
      </c>
      <c r="D241" s="3">
        <f>countif('OTPI Scores'!C:C,B241)</f>
        <v>13</v>
      </c>
      <c r="E241" s="3">
        <f t="shared" si="1"/>
        <v>130</v>
      </c>
      <c r="F241" s="3">
        <f>sumif('OTPI Scores'!C:C,B241,'OTPI Scores'!T:T)</f>
        <v>120</v>
      </c>
      <c r="G241" s="3" t="str">
        <f>SUMIF('Match Subs Filter'!E:E,B241,'Match Subs Filter'!F:F)+sumif('Bank Transfers'!B:B,B241,'Bank Transfers'!C:C)</f>
        <v>#N/A</v>
      </c>
      <c r="H241" s="50" t="str">
        <f t="shared" si="2"/>
        <v>#N/A</v>
      </c>
      <c r="I241" s="51">
        <f t="array" ref="I241">IF(IFERROR(lookup(1,1/SEARCH(B241,'OTPI Scores'!C:C),'OTPI Scores'!E:E),0)="Vets",7,IFERROR(lookup(1,1/SEARCH(B241,'OTPI Scores'!C:C),'OTPI Scores'!E:E),0))</f>
        <v>6</v>
      </c>
      <c r="J241" s="37"/>
      <c r="K241" s="37"/>
      <c r="L241" s="37"/>
      <c r="M241" s="37"/>
      <c r="N241" s="37"/>
      <c r="O241" s="37"/>
      <c r="P241" s="37"/>
      <c r="Q241" s="37"/>
      <c r="R241" s="37"/>
      <c r="S241" s="37"/>
      <c r="T241" s="37"/>
      <c r="U241" s="37"/>
      <c r="V241" s="37"/>
      <c r="W241" s="37"/>
      <c r="X241" s="37"/>
    </row>
    <row r="242">
      <c r="A242" s="37"/>
      <c r="B242" s="49" t="str">
        <f>IFERROR(__xludf.DUMMYFUNCTION("""COMPUTED_VALUE"""),"Matt Pietrasik")</f>
        <v>Matt Pietrasik</v>
      </c>
      <c r="C242" s="5">
        <v>10.0</v>
      </c>
      <c r="D242" s="3">
        <f>countif('OTPI Scores'!C:C,B242)</f>
        <v>0</v>
      </c>
      <c r="E242" s="3">
        <f t="shared" si="1"/>
        <v>0</v>
      </c>
      <c r="F242" s="3">
        <f>sumif('OTPI Scores'!C:C,B242,'OTPI Scores'!T:T)</f>
        <v>0</v>
      </c>
      <c r="G242" s="3" t="str">
        <f>SUMIF('Match Subs Filter'!E:E,B242,'Match Subs Filter'!F:F)+sumif('Bank Transfers'!B:B,B242,'Bank Transfers'!C:C)</f>
        <v>#N/A</v>
      </c>
      <c r="H242" s="50" t="str">
        <f t="shared" si="2"/>
        <v>#N/A</v>
      </c>
      <c r="I242" s="51">
        <f t="array" ref="I242">IF(IFERROR(lookup(1,1/SEARCH(B242,'OTPI Scores'!C:C),'OTPI Scores'!E:E),0)="Vets",7,IFERROR(lookup(1,1/SEARCH(B242,'OTPI Scores'!C:C),'OTPI Scores'!E:E),0))</f>
        <v>0</v>
      </c>
      <c r="J242" s="37"/>
      <c r="K242" s="37"/>
      <c r="L242" s="37"/>
      <c r="M242" s="37"/>
      <c r="N242" s="37"/>
      <c r="O242" s="37"/>
      <c r="P242" s="37"/>
      <c r="Q242" s="37"/>
      <c r="R242" s="37"/>
      <c r="S242" s="37"/>
      <c r="T242" s="37"/>
      <c r="U242" s="37"/>
      <c r="V242" s="37"/>
      <c r="W242" s="37"/>
      <c r="X242" s="37"/>
    </row>
    <row r="243">
      <c r="A243" s="37"/>
      <c r="B243" s="49" t="str">
        <f>IFERROR(__xludf.DUMMYFUNCTION("""COMPUTED_VALUE"""),"Matt Powell")</f>
        <v>Matt Powell</v>
      </c>
      <c r="C243" s="5">
        <v>10.0</v>
      </c>
      <c r="D243" s="3">
        <f>countif('OTPI Scores'!C:C,B243)</f>
        <v>8</v>
      </c>
      <c r="E243" s="3">
        <f t="shared" si="1"/>
        <v>80</v>
      </c>
      <c r="F243" s="3">
        <f>sumif('OTPI Scores'!C:C,B243,'OTPI Scores'!T:T)</f>
        <v>60</v>
      </c>
      <c r="G243" s="3" t="str">
        <f>SUMIF('Match Subs Filter'!E:E,B243,'Match Subs Filter'!F:F)+sumif('Bank Transfers'!B:B,B243,'Bank Transfers'!C:C)</f>
        <v>#N/A</v>
      </c>
      <c r="H243" s="50" t="str">
        <f t="shared" si="2"/>
        <v>#N/A</v>
      </c>
      <c r="I243" s="51">
        <f t="array" ref="I243">IF(IFERROR(lookup(1,1/SEARCH(B243,'OTPI Scores'!C:C),'OTPI Scores'!E:E),0)="Vets",7,IFERROR(lookup(1,1/SEARCH(B243,'OTPI Scores'!C:C),'OTPI Scores'!E:E),0))</f>
        <v>6</v>
      </c>
      <c r="J243" s="37"/>
      <c r="K243" s="37"/>
      <c r="L243" s="37"/>
      <c r="M243" s="37"/>
      <c r="N243" s="37"/>
      <c r="O243" s="37"/>
      <c r="P243" s="37"/>
      <c r="Q243" s="37"/>
      <c r="R243" s="37"/>
      <c r="S243" s="37"/>
      <c r="T243" s="37"/>
      <c r="U243" s="37"/>
      <c r="V243" s="37"/>
      <c r="W243" s="37"/>
      <c r="X243" s="37"/>
    </row>
    <row r="244">
      <c r="A244" s="37"/>
      <c r="B244" s="49" t="str">
        <f>IFERROR(__xludf.DUMMYFUNCTION("""COMPUTED_VALUE"""),"Matt Price")</f>
        <v>Matt Price</v>
      </c>
      <c r="C244" s="5">
        <v>10.0</v>
      </c>
      <c r="D244" s="3">
        <f>countif('OTPI Scores'!C:C,B244)</f>
        <v>1</v>
      </c>
      <c r="E244" s="3">
        <f t="shared" si="1"/>
        <v>10</v>
      </c>
      <c r="F244" s="3">
        <f>sumif('OTPI Scores'!C:C,B244,'OTPI Scores'!T:T)</f>
        <v>10</v>
      </c>
      <c r="G244" s="3" t="str">
        <f>SUMIF('Match Subs Filter'!E:E,B244,'Match Subs Filter'!F:F)+sumif('Bank Transfers'!B:B,B244,'Bank Transfers'!C:C)</f>
        <v>#N/A</v>
      </c>
      <c r="H244" s="50" t="str">
        <f t="shared" si="2"/>
        <v>#N/A</v>
      </c>
      <c r="I244" s="51">
        <f t="array" ref="I244">IF(IFERROR(lookup(1,1/SEARCH(B244,'OTPI Scores'!C:C),'OTPI Scores'!E:E),0)="Vets",7,IFERROR(lookup(1,1/SEARCH(B244,'OTPI Scores'!C:C),'OTPI Scores'!E:E),0))</f>
        <v>2</v>
      </c>
      <c r="J244" s="37"/>
      <c r="K244" s="37"/>
      <c r="L244" s="37"/>
      <c r="M244" s="37"/>
      <c r="N244" s="37"/>
      <c r="O244" s="37"/>
      <c r="P244" s="37"/>
      <c r="Q244" s="37"/>
      <c r="R244" s="37"/>
      <c r="S244" s="37"/>
      <c r="T244" s="37"/>
      <c r="U244" s="37"/>
      <c r="V244" s="37"/>
      <c r="W244" s="37"/>
      <c r="X244" s="37"/>
    </row>
    <row r="245">
      <c r="A245" s="37"/>
      <c r="B245" s="49" t="str">
        <f>IFERROR(__xludf.DUMMYFUNCTION("""COMPUTED_VALUE"""),"Matthew Thomas")</f>
        <v>Matthew Thomas</v>
      </c>
      <c r="C245" s="5">
        <v>10.0</v>
      </c>
      <c r="D245" s="3">
        <f>countif('OTPI Scores'!C:C,B245)</f>
        <v>19</v>
      </c>
      <c r="E245" s="3">
        <f t="shared" si="1"/>
        <v>190</v>
      </c>
      <c r="F245" s="3">
        <f>sumif('OTPI Scores'!C:C,B245,'OTPI Scores'!T:T)</f>
        <v>150</v>
      </c>
      <c r="G245" s="3" t="str">
        <f>SUMIF('Match Subs Filter'!E:E,B245,'Match Subs Filter'!F:F)+sumif('Bank Transfers'!B:B,B245,'Bank Transfers'!C:C)</f>
        <v>#N/A</v>
      </c>
      <c r="H245" s="50" t="str">
        <f t="shared" si="2"/>
        <v>#N/A</v>
      </c>
      <c r="I245" s="51">
        <f t="array" ref="I245">IF(IFERROR(lookup(1,1/SEARCH(B245,'OTPI Scores'!C:C),'OTPI Scores'!E:E),0)="Vets",7,IFERROR(lookup(1,1/SEARCH(B245,'OTPI Scores'!C:C),'OTPI Scores'!E:E),0))</f>
        <v>1</v>
      </c>
      <c r="J245" s="37"/>
      <c r="K245" s="37"/>
      <c r="L245" s="37"/>
      <c r="M245" s="37"/>
      <c r="N245" s="37"/>
      <c r="O245" s="37"/>
      <c r="P245" s="37"/>
      <c r="Q245" s="37"/>
      <c r="R245" s="37"/>
      <c r="S245" s="37"/>
      <c r="T245" s="37"/>
      <c r="U245" s="37"/>
      <c r="V245" s="37"/>
      <c r="W245" s="37"/>
      <c r="X245" s="37"/>
    </row>
    <row r="246">
      <c r="A246" s="37"/>
      <c r="B246" s="49" t="str">
        <f>IFERROR(__xludf.DUMMYFUNCTION("""COMPUTED_VALUE"""),"Matty Ollerenshaw")</f>
        <v>Matty Ollerenshaw</v>
      </c>
      <c r="C246" s="5">
        <v>10.0</v>
      </c>
      <c r="D246" s="3">
        <f>countif('OTPI Scores'!C:C,B246)</f>
        <v>0</v>
      </c>
      <c r="E246" s="3">
        <f t="shared" si="1"/>
        <v>0</v>
      </c>
      <c r="F246" s="3">
        <f>sumif('OTPI Scores'!C:C,B246,'OTPI Scores'!T:T)</f>
        <v>0</v>
      </c>
      <c r="G246" s="3" t="str">
        <f>SUMIF('Match Subs Filter'!E:E,B246,'Match Subs Filter'!F:F)+sumif('Bank Transfers'!B:B,B246,'Bank Transfers'!C:C)</f>
        <v>#N/A</v>
      </c>
      <c r="H246" s="50" t="str">
        <f t="shared" si="2"/>
        <v>#N/A</v>
      </c>
      <c r="I246" s="51">
        <f t="array" ref="I246">IF(IFERROR(lookup(1,1/SEARCH(B246,'OTPI Scores'!C:C),'OTPI Scores'!E:E),0)="Vets",7,IFERROR(lookup(1,1/SEARCH(B246,'OTPI Scores'!C:C),'OTPI Scores'!E:E),0))</f>
        <v>0</v>
      </c>
      <c r="J246" s="37"/>
      <c r="K246" s="37"/>
      <c r="L246" s="37"/>
      <c r="M246" s="37"/>
      <c r="N246" s="37"/>
      <c r="O246" s="37"/>
      <c r="P246" s="37"/>
      <c r="Q246" s="37"/>
      <c r="R246" s="37"/>
      <c r="S246" s="37"/>
      <c r="T246" s="37"/>
      <c r="U246" s="37"/>
      <c r="V246" s="37"/>
      <c r="W246" s="37"/>
      <c r="X246" s="37"/>
    </row>
    <row r="247">
      <c r="A247" s="37"/>
      <c r="B247" s="49" t="str">
        <f>IFERROR(__xludf.DUMMYFUNCTION("""COMPUTED_VALUE"""),"Max Miles")</f>
        <v>Max Miles</v>
      </c>
      <c r="C247" s="5">
        <v>10.0</v>
      </c>
      <c r="D247" s="3">
        <f>countif('OTPI Scores'!C:C,B247)</f>
        <v>13</v>
      </c>
      <c r="E247" s="3">
        <f t="shared" si="1"/>
        <v>130</v>
      </c>
      <c r="F247" s="3">
        <f>sumif('OTPI Scores'!C:C,B247,'OTPI Scores'!T:T)</f>
        <v>60.5</v>
      </c>
      <c r="G247" s="3" t="str">
        <f>SUMIF('Match Subs Filter'!E:E,B247,'Match Subs Filter'!F:F)+sumif('Bank Transfers'!B:B,B247,'Bank Transfers'!C:C)</f>
        <v>#N/A</v>
      </c>
      <c r="H247" s="50" t="str">
        <f t="shared" si="2"/>
        <v>#N/A</v>
      </c>
      <c r="I247" s="51">
        <f t="array" ref="I247">IF(IFERROR(lookup(1,1/SEARCH(B247,'OTPI Scores'!C:C),'OTPI Scores'!E:E),0)="Vets",7,IFERROR(lookup(1,1/SEARCH(B247,'OTPI Scores'!C:C),'OTPI Scores'!E:E),0))</f>
        <v>4</v>
      </c>
      <c r="J247" s="37"/>
      <c r="K247" s="37"/>
      <c r="L247" s="37"/>
      <c r="M247" s="37"/>
      <c r="N247" s="37"/>
      <c r="O247" s="37"/>
      <c r="P247" s="37"/>
      <c r="Q247" s="37"/>
      <c r="R247" s="37"/>
      <c r="S247" s="37"/>
      <c r="T247" s="37"/>
      <c r="U247" s="37"/>
      <c r="V247" s="37"/>
      <c r="W247" s="37"/>
      <c r="X247" s="37"/>
    </row>
    <row r="248">
      <c r="A248" s="37"/>
      <c r="B248" s="49" t="str">
        <f>IFERROR(__xludf.DUMMYFUNCTION("""COMPUTED_VALUE"""),"Max Watson")</f>
        <v>Max Watson</v>
      </c>
      <c r="C248" s="5">
        <v>10.0</v>
      </c>
      <c r="D248" s="3">
        <f>countif('OTPI Scores'!C:C,B248)</f>
        <v>17</v>
      </c>
      <c r="E248" s="3">
        <f t="shared" si="1"/>
        <v>170</v>
      </c>
      <c r="F248" s="3">
        <f>sumif('OTPI Scores'!C:C,B248,'OTPI Scores'!T:T)</f>
        <v>155</v>
      </c>
      <c r="G248" s="3" t="str">
        <f>SUMIF('Match Subs Filter'!E:E,B248,'Match Subs Filter'!F:F)+sumif('Bank Transfers'!B:B,B248,'Bank Transfers'!C:C)</f>
        <v>#N/A</v>
      </c>
      <c r="H248" s="50" t="str">
        <f t="shared" si="2"/>
        <v>#N/A</v>
      </c>
      <c r="I248" s="51">
        <f t="array" ref="I248">IF(IFERROR(lookup(1,1/SEARCH(B248,'OTPI Scores'!C:C),'OTPI Scores'!E:E),0)="Vets",7,IFERROR(lookup(1,1/SEARCH(B248,'OTPI Scores'!C:C),'OTPI Scores'!E:E),0))</f>
        <v>2</v>
      </c>
      <c r="J248" s="37"/>
      <c r="K248" s="37"/>
      <c r="L248" s="37"/>
      <c r="M248" s="37"/>
      <c r="N248" s="37"/>
      <c r="O248" s="37"/>
      <c r="P248" s="37"/>
      <c r="Q248" s="37"/>
      <c r="R248" s="37"/>
      <c r="S248" s="37"/>
      <c r="T248" s="37"/>
      <c r="U248" s="37"/>
      <c r="V248" s="37"/>
      <c r="W248" s="37"/>
      <c r="X248" s="37"/>
    </row>
    <row r="249">
      <c r="A249" s="37"/>
      <c r="B249" s="49" t="str">
        <f>IFERROR(__xludf.DUMMYFUNCTION("""COMPUTED_VALUE"""),"Mehdi Sdira")</f>
        <v>Mehdi Sdira</v>
      </c>
      <c r="C249" s="5">
        <v>10.0</v>
      </c>
      <c r="D249" s="3">
        <f>countif('OTPI Scores'!C:C,B249)</f>
        <v>0</v>
      </c>
      <c r="E249" s="3">
        <f t="shared" si="1"/>
        <v>0</v>
      </c>
      <c r="F249" s="3">
        <f>sumif('OTPI Scores'!C:C,B249,'OTPI Scores'!T:T)</f>
        <v>0</v>
      </c>
      <c r="G249" s="3" t="str">
        <f>SUMIF('Match Subs Filter'!E:E,B249,'Match Subs Filter'!F:F)+sumif('Bank Transfers'!B:B,B249,'Bank Transfers'!C:C)</f>
        <v>#N/A</v>
      </c>
      <c r="H249" s="50" t="str">
        <f t="shared" si="2"/>
        <v>#N/A</v>
      </c>
      <c r="I249" s="51">
        <f t="array" ref="I249">IF(IFERROR(lookup(1,1/SEARCH(B249,'OTPI Scores'!C:C),'OTPI Scores'!E:E),0)="Vets",7,IFERROR(lookup(1,1/SEARCH(B249,'OTPI Scores'!C:C),'OTPI Scores'!E:E),0))</f>
        <v>0</v>
      </c>
      <c r="J249" s="37"/>
      <c r="K249" s="37"/>
      <c r="L249" s="37"/>
      <c r="M249" s="37"/>
      <c r="N249" s="37"/>
      <c r="O249" s="37"/>
      <c r="P249" s="37"/>
      <c r="Q249" s="37"/>
      <c r="R249" s="37"/>
      <c r="S249" s="37"/>
      <c r="T249" s="37"/>
      <c r="U249" s="37"/>
      <c r="V249" s="37"/>
      <c r="W249" s="37"/>
      <c r="X249" s="37"/>
    </row>
    <row r="250">
      <c r="A250" s="37"/>
      <c r="B250" s="49" t="str">
        <f>IFERROR(__xludf.DUMMYFUNCTION("""COMPUTED_VALUE"""),"Micah Pinnock")</f>
        <v>Micah Pinnock</v>
      </c>
      <c r="C250" s="5">
        <v>10.0</v>
      </c>
      <c r="D250" s="3">
        <f>countif('OTPI Scores'!C:C,B250)</f>
        <v>10</v>
      </c>
      <c r="E250" s="3">
        <f t="shared" si="1"/>
        <v>100</v>
      </c>
      <c r="F250" s="3">
        <f>sumif('OTPI Scores'!C:C,B250,'OTPI Scores'!T:T)</f>
        <v>42.5</v>
      </c>
      <c r="G250" s="3" t="str">
        <f>SUMIF('Match Subs Filter'!E:E,B250,'Match Subs Filter'!F:F)+sumif('Bank Transfers'!B:B,B250,'Bank Transfers'!C:C)</f>
        <v>#N/A</v>
      </c>
      <c r="H250" s="50" t="str">
        <f t="shared" si="2"/>
        <v>#N/A</v>
      </c>
      <c r="I250" s="51">
        <f t="array" ref="I250">IF(IFERROR(lookup(1,1/SEARCH(B250,'OTPI Scores'!C:C),'OTPI Scores'!E:E),0)="Vets",7,IFERROR(lookup(1,1/SEARCH(B250,'OTPI Scores'!C:C),'OTPI Scores'!E:E),0))</f>
        <v>2</v>
      </c>
      <c r="J250" s="37"/>
      <c r="K250" s="37"/>
      <c r="L250" s="37"/>
      <c r="M250" s="37"/>
      <c r="N250" s="37"/>
      <c r="O250" s="37"/>
      <c r="P250" s="37"/>
      <c r="Q250" s="37"/>
      <c r="R250" s="37"/>
      <c r="S250" s="37"/>
      <c r="T250" s="37"/>
      <c r="U250" s="37"/>
      <c r="V250" s="37"/>
      <c r="W250" s="37"/>
      <c r="X250" s="37"/>
    </row>
    <row r="251">
      <c r="A251" s="37"/>
      <c r="B251" s="49" t="str">
        <f>IFERROR(__xludf.DUMMYFUNCTION("""COMPUTED_VALUE"""),"Michael Dill")</f>
        <v>Michael Dill</v>
      </c>
      <c r="C251" s="5">
        <v>10.0</v>
      </c>
      <c r="D251" s="3">
        <f>countif('OTPI Scores'!C:C,B251)</f>
        <v>4</v>
      </c>
      <c r="E251" s="3">
        <f t="shared" si="1"/>
        <v>40</v>
      </c>
      <c r="F251" s="3">
        <f>sumif('OTPI Scores'!C:C,B251,'OTPI Scores'!T:T)</f>
        <v>40</v>
      </c>
      <c r="G251" s="3" t="str">
        <f>SUMIF('Match Subs Filter'!E:E,B251,'Match Subs Filter'!F:F)+sumif('Bank Transfers'!B:B,B251,'Bank Transfers'!C:C)</f>
        <v>#N/A</v>
      </c>
      <c r="H251" s="50" t="str">
        <f t="shared" si="2"/>
        <v>#N/A</v>
      </c>
      <c r="I251" s="51">
        <f t="array" ref="I251">IF(IFERROR(lookup(1,1/SEARCH(B251,'OTPI Scores'!C:C),'OTPI Scores'!E:E),0)="Vets",7,IFERROR(lookup(1,1/SEARCH(B251,'OTPI Scores'!C:C),'OTPI Scores'!E:E),0))</f>
        <v>3</v>
      </c>
      <c r="J251" s="37"/>
      <c r="K251" s="37"/>
      <c r="L251" s="37"/>
      <c r="M251" s="37"/>
      <c r="N251" s="37"/>
      <c r="O251" s="37"/>
      <c r="P251" s="37"/>
      <c r="Q251" s="37"/>
      <c r="R251" s="37"/>
      <c r="S251" s="37"/>
      <c r="T251" s="37"/>
      <c r="U251" s="37"/>
      <c r="V251" s="37"/>
      <c r="W251" s="37"/>
      <c r="X251" s="37"/>
    </row>
    <row r="252">
      <c r="A252" s="37"/>
      <c r="B252" s="49" t="str">
        <f>IFERROR(__xludf.DUMMYFUNCTION("""COMPUTED_VALUE"""),"Michael Falabake")</f>
        <v>Michael Falabake</v>
      </c>
      <c r="C252" s="5">
        <v>10.0</v>
      </c>
      <c r="D252" s="3">
        <f>countif('OTPI Scores'!C:C,B252)</f>
        <v>0</v>
      </c>
      <c r="E252" s="3">
        <f t="shared" si="1"/>
        <v>0</v>
      </c>
      <c r="F252" s="3">
        <f>sumif('OTPI Scores'!C:C,B252,'OTPI Scores'!T:T)</f>
        <v>0</v>
      </c>
      <c r="G252" s="3" t="str">
        <f>SUMIF('Match Subs Filter'!E:E,B252,'Match Subs Filter'!F:F)+sumif('Bank Transfers'!B:B,B252,'Bank Transfers'!C:C)</f>
        <v>#N/A</v>
      </c>
      <c r="H252" s="50" t="str">
        <f t="shared" si="2"/>
        <v>#N/A</v>
      </c>
      <c r="I252" s="51">
        <f t="array" ref="I252">IF(IFERROR(lookup(1,1/SEARCH(B252,'OTPI Scores'!C:C),'OTPI Scores'!E:E),0)="Vets",7,IFERROR(lookup(1,1/SEARCH(B252,'OTPI Scores'!C:C),'OTPI Scores'!E:E),0))</f>
        <v>0</v>
      </c>
      <c r="J252" s="37"/>
      <c r="K252" s="37"/>
      <c r="L252" s="37"/>
      <c r="M252" s="37"/>
      <c r="N252" s="37"/>
      <c r="O252" s="37"/>
      <c r="P252" s="37"/>
      <c r="Q252" s="37"/>
      <c r="R252" s="37"/>
      <c r="S252" s="37"/>
      <c r="T252" s="37"/>
      <c r="U252" s="37"/>
      <c r="V252" s="37"/>
      <c r="W252" s="37"/>
      <c r="X252" s="37"/>
    </row>
    <row r="253">
      <c r="A253" s="37"/>
      <c r="B253" s="49" t="str">
        <f>IFERROR(__xludf.DUMMYFUNCTION("""COMPUTED_VALUE"""),"Michael Jansen")</f>
        <v>Michael Jansen</v>
      </c>
      <c r="C253" s="5">
        <v>10.0</v>
      </c>
      <c r="D253" s="3">
        <f>countif('OTPI Scores'!C:C,B253)</f>
        <v>0</v>
      </c>
      <c r="E253" s="3">
        <f t="shared" si="1"/>
        <v>0</v>
      </c>
      <c r="F253" s="3">
        <f>sumif('OTPI Scores'!C:C,B253,'OTPI Scores'!T:T)</f>
        <v>0</v>
      </c>
      <c r="G253" s="3" t="str">
        <f>SUMIF('Match Subs Filter'!E:E,B253,'Match Subs Filter'!F:F)+sumif('Bank Transfers'!B:B,B253,'Bank Transfers'!C:C)</f>
        <v>#N/A</v>
      </c>
      <c r="H253" s="50" t="str">
        <f t="shared" si="2"/>
        <v>#N/A</v>
      </c>
      <c r="I253" s="51">
        <f t="array" ref="I253">IF(IFERROR(lookup(1,1/SEARCH(B253,'OTPI Scores'!C:C),'OTPI Scores'!E:E),0)="Vets",7,IFERROR(lookup(1,1/SEARCH(B253,'OTPI Scores'!C:C),'OTPI Scores'!E:E),0))</f>
        <v>0</v>
      </c>
      <c r="J253" s="37"/>
      <c r="K253" s="37"/>
      <c r="L253" s="37"/>
      <c r="M253" s="37"/>
      <c r="N253" s="37"/>
      <c r="O253" s="37"/>
      <c r="P253" s="37"/>
      <c r="Q253" s="37"/>
      <c r="R253" s="37"/>
      <c r="S253" s="37"/>
      <c r="T253" s="37"/>
      <c r="U253" s="37"/>
      <c r="V253" s="37"/>
      <c r="W253" s="37"/>
      <c r="X253" s="37"/>
    </row>
    <row r="254">
      <c r="A254" s="37"/>
      <c r="B254" s="49" t="str">
        <f>IFERROR(__xludf.DUMMYFUNCTION("""COMPUTED_VALUE"""),"Michael Murphy")</f>
        <v>Michael Murphy</v>
      </c>
      <c r="C254" s="5">
        <v>10.0</v>
      </c>
      <c r="D254" s="3">
        <f>countif('OTPI Scores'!C:C,B254)</f>
        <v>0</v>
      </c>
      <c r="E254" s="3">
        <f t="shared" si="1"/>
        <v>0</v>
      </c>
      <c r="F254" s="3">
        <f>sumif('OTPI Scores'!C:C,B254,'OTPI Scores'!T:T)</f>
        <v>0</v>
      </c>
      <c r="G254" s="3" t="str">
        <f>SUMIF('Match Subs Filter'!E:E,B254,'Match Subs Filter'!F:F)+sumif('Bank Transfers'!B:B,B254,'Bank Transfers'!C:C)</f>
        <v>#N/A</v>
      </c>
      <c r="H254" s="50" t="str">
        <f t="shared" si="2"/>
        <v>#N/A</v>
      </c>
      <c r="I254" s="51">
        <f t="array" ref="I254">IF(IFERROR(lookup(1,1/SEARCH(B254,'OTPI Scores'!C:C),'OTPI Scores'!E:E),0)="Vets",7,IFERROR(lookup(1,1/SEARCH(B254,'OTPI Scores'!C:C),'OTPI Scores'!E:E),0))</f>
        <v>0</v>
      </c>
      <c r="J254" s="37"/>
      <c r="K254" s="37"/>
      <c r="L254" s="37"/>
      <c r="M254" s="37"/>
      <c r="N254" s="37"/>
      <c r="O254" s="37"/>
      <c r="P254" s="37"/>
      <c r="Q254" s="37"/>
      <c r="R254" s="37"/>
      <c r="S254" s="37"/>
      <c r="T254" s="37"/>
      <c r="U254" s="37"/>
      <c r="V254" s="37"/>
      <c r="W254" s="37"/>
      <c r="X254" s="37"/>
    </row>
    <row r="255">
      <c r="A255" s="37"/>
      <c r="B255" s="49" t="str">
        <f>IFERROR(__xludf.DUMMYFUNCTION("""COMPUTED_VALUE"""),"Mike Day")</f>
        <v>Mike Day</v>
      </c>
      <c r="C255" s="5">
        <v>10.0</v>
      </c>
      <c r="D255" s="3">
        <f>countif('OTPI Scores'!C:C,B255)</f>
        <v>0</v>
      </c>
      <c r="E255" s="3">
        <f t="shared" si="1"/>
        <v>0</v>
      </c>
      <c r="F255" s="3">
        <f>sumif('OTPI Scores'!C:C,B255,'OTPI Scores'!T:T)</f>
        <v>0</v>
      </c>
      <c r="G255" s="3" t="str">
        <f>SUMIF('Match Subs Filter'!E:E,B255,'Match Subs Filter'!F:F)+sumif('Bank Transfers'!B:B,B255,'Bank Transfers'!C:C)</f>
        <v>#N/A</v>
      </c>
      <c r="H255" s="50" t="str">
        <f t="shared" si="2"/>
        <v>#N/A</v>
      </c>
      <c r="I255" s="51">
        <f t="array" ref="I255">IF(IFERROR(lookup(1,1/SEARCH(B255,'OTPI Scores'!C:C),'OTPI Scores'!E:E),0)="Vets",7,IFERROR(lookup(1,1/SEARCH(B255,'OTPI Scores'!C:C),'OTPI Scores'!E:E),0))</f>
        <v>0</v>
      </c>
      <c r="J255" s="37"/>
      <c r="K255" s="37"/>
      <c r="L255" s="37"/>
      <c r="M255" s="37"/>
      <c r="N255" s="37"/>
      <c r="O255" s="37"/>
      <c r="P255" s="37"/>
      <c r="Q255" s="37"/>
      <c r="R255" s="37"/>
      <c r="S255" s="37"/>
      <c r="T255" s="37"/>
      <c r="U255" s="37"/>
      <c r="V255" s="37"/>
      <c r="W255" s="37"/>
      <c r="X255" s="37"/>
    </row>
    <row r="256">
      <c r="A256" s="37"/>
      <c r="B256" s="49" t="str">
        <f>IFERROR(__xludf.DUMMYFUNCTION("""COMPUTED_VALUE"""),"Mike Moon")</f>
        <v>Mike Moon</v>
      </c>
      <c r="C256" s="5">
        <v>10.0</v>
      </c>
      <c r="D256" s="3">
        <f>countif('OTPI Scores'!C:C,B256)</f>
        <v>2</v>
      </c>
      <c r="E256" s="3">
        <f t="shared" si="1"/>
        <v>20</v>
      </c>
      <c r="F256" s="3">
        <f>sumif('OTPI Scores'!C:C,B256,'OTPI Scores'!T:T)</f>
        <v>20</v>
      </c>
      <c r="G256" s="3" t="str">
        <f>SUMIF('Match Subs Filter'!E:E,B256,'Match Subs Filter'!F:F)+sumif('Bank Transfers'!B:B,B256,'Bank Transfers'!C:C)</f>
        <v>#N/A</v>
      </c>
      <c r="H256" s="50" t="str">
        <f t="shared" si="2"/>
        <v>#N/A</v>
      </c>
      <c r="I256" s="51">
        <f t="array" ref="I256">IF(IFERROR(lookup(1,1/SEARCH(B256,'OTPI Scores'!C:C),'OTPI Scores'!E:E),0)="Vets",7,IFERROR(lookup(1,1/SEARCH(B256,'OTPI Scores'!C:C),'OTPI Scores'!E:E),0))</f>
        <v>6</v>
      </c>
      <c r="J256" s="37"/>
      <c r="K256" s="37"/>
      <c r="L256" s="37"/>
      <c r="M256" s="37"/>
      <c r="N256" s="37"/>
      <c r="O256" s="37"/>
      <c r="P256" s="37"/>
      <c r="Q256" s="37"/>
      <c r="R256" s="37"/>
      <c r="S256" s="37"/>
      <c r="T256" s="37"/>
      <c r="U256" s="37"/>
      <c r="V256" s="37"/>
      <c r="W256" s="37"/>
      <c r="X256" s="37"/>
    </row>
    <row r="257">
      <c r="A257" s="37"/>
      <c r="B257" s="49" t="str">
        <f>IFERROR(__xludf.DUMMYFUNCTION("""COMPUTED_VALUE"""),"Mileek Delisser")</f>
        <v>Mileek Delisser</v>
      </c>
      <c r="C257" s="5">
        <v>10.0</v>
      </c>
      <c r="D257" s="3">
        <f>countif('OTPI Scores'!C:C,B257)</f>
        <v>1</v>
      </c>
      <c r="E257" s="3">
        <f t="shared" si="1"/>
        <v>10</v>
      </c>
      <c r="F257" s="3">
        <f>sumif('OTPI Scores'!C:C,B257,'OTPI Scores'!T:T)</f>
        <v>5</v>
      </c>
      <c r="G257" s="3" t="str">
        <f>SUMIF('Match Subs Filter'!E:E,B257,'Match Subs Filter'!F:F)+sumif('Bank Transfers'!B:B,B257,'Bank Transfers'!C:C)</f>
        <v>#N/A</v>
      </c>
      <c r="H257" s="50" t="str">
        <f t="shared" si="2"/>
        <v>#N/A</v>
      </c>
      <c r="I257" s="51">
        <f t="array" ref="I257">IF(IFERROR(lookup(1,1/SEARCH(B257,'OTPI Scores'!C:C),'OTPI Scores'!E:E),0)="Vets",7,IFERROR(lookup(1,1/SEARCH(B257,'OTPI Scores'!C:C),'OTPI Scores'!E:E),0))</f>
        <v>3</v>
      </c>
      <c r="J257" s="37"/>
      <c r="K257" s="37"/>
      <c r="L257" s="37"/>
      <c r="M257" s="37"/>
      <c r="N257" s="37"/>
      <c r="O257" s="37"/>
      <c r="P257" s="37"/>
      <c r="Q257" s="37"/>
      <c r="R257" s="37"/>
      <c r="S257" s="37"/>
      <c r="T257" s="37"/>
      <c r="U257" s="37"/>
      <c r="V257" s="37"/>
      <c r="W257" s="37"/>
      <c r="X257" s="37"/>
    </row>
    <row r="258">
      <c r="A258" s="37"/>
      <c r="B258" s="49" t="str">
        <f>IFERROR(__xludf.DUMMYFUNCTION("""COMPUTED_VALUE"""),"Miles Shirtcliffe")</f>
        <v>Miles Shirtcliffe</v>
      </c>
      <c r="C258" s="5">
        <v>10.0</v>
      </c>
      <c r="D258" s="3">
        <f>countif('OTPI Scores'!C:C,B258)</f>
        <v>1</v>
      </c>
      <c r="E258" s="3">
        <f t="shared" si="1"/>
        <v>10</v>
      </c>
      <c r="F258" s="3">
        <f>sumif('OTPI Scores'!C:C,B258,'OTPI Scores'!T:T)</f>
        <v>0</v>
      </c>
      <c r="G258" s="3" t="str">
        <f>SUMIF('Match Subs Filter'!E:E,B258,'Match Subs Filter'!F:F)+sumif('Bank Transfers'!B:B,B258,'Bank Transfers'!C:C)</f>
        <v>#N/A</v>
      </c>
      <c r="H258" s="50" t="str">
        <f t="shared" si="2"/>
        <v>#N/A</v>
      </c>
      <c r="I258" s="51">
        <f t="array" ref="I258">IF(IFERROR(lookup(1,1/SEARCH(B258,'OTPI Scores'!C:C),'OTPI Scores'!E:E),0)="Vets",7,IFERROR(lookup(1,1/SEARCH(B258,'OTPI Scores'!C:C),'OTPI Scores'!E:E),0))</f>
        <v>3</v>
      </c>
      <c r="J258" s="37"/>
      <c r="K258" s="37"/>
      <c r="L258" s="37"/>
      <c r="M258" s="37"/>
      <c r="N258" s="37"/>
      <c r="O258" s="37"/>
      <c r="P258" s="37"/>
      <c r="Q258" s="37"/>
      <c r="R258" s="37"/>
      <c r="S258" s="37"/>
      <c r="T258" s="37"/>
      <c r="U258" s="37"/>
      <c r="V258" s="37"/>
      <c r="W258" s="37"/>
      <c r="X258" s="37"/>
    </row>
    <row r="259">
      <c r="A259" s="37"/>
      <c r="B259" s="49" t="str">
        <f>IFERROR(__xludf.DUMMYFUNCTION("""COMPUTED_VALUE"""),"Mohamed Elnaggar")</f>
        <v>Mohamed Elnaggar</v>
      </c>
      <c r="C259" s="5">
        <v>10.0</v>
      </c>
      <c r="D259" s="3">
        <f>countif('OTPI Scores'!C:C,B259)</f>
        <v>0</v>
      </c>
      <c r="E259" s="3">
        <f t="shared" si="1"/>
        <v>0</v>
      </c>
      <c r="F259" s="3">
        <f>sumif('OTPI Scores'!C:C,B259,'OTPI Scores'!T:T)</f>
        <v>0</v>
      </c>
      <c r="G259" s="3" t="str">
        <f>SUMIF('Match Subs Filter'!E:E,B259,'Match Subs Filter'!F:F)+sumif('Bank Transfers'!B:B,B259,'Bank Transfers'!C:C)</f>
        <v>#N/A</v>
      </c>
      <c r="H259" s="50" t="str">
        <f t="shared" si="2"/>
        <v>#N/A</v>
      </c>
      <c r="I259" s="51">
        <f t="array" ref="I259">IF(IFERROR(lookup(1,1/SEARCH(B259,'OTPI Scores'!C:C),'OTPI Scores'!E:E),0)="Vets",7,IFERROR(lookup(1,1/SEARCH(B259,'OTPI Scores'!C:C),'OTPI Scores'!E:E),0))</f>
        <v>0</v>
      </c>
      <c r="J259" s="37"/>
      <c r="K259" s="37"/>
      <c r="L259" s="37"/>
      <c r="M259" s="37"/>
      <c r="N259" s="37"/>
      <c r="O259" s="37"/>
      <c r="P259" s="37"/>
      <c r="Q259" s="37"/>
      <c r="R259" s="37"/>
      <c r="S259" s="37"/>
      <c r="T259" s="37"/>
      <c r="U259" s="37"/>
      <c r="V259" s="37"/>
      <c r="W259" s="37"/>
      <c r="X259" s="37"/>
    </row>
    <row r="260">
      <c r="A260" s="37"/>
      <c r="B260" s="49" t="str">
        <f>IFERROR(__xludf.DUMMYFUNCTION("""COMPUTED_VALUE"""),"Morris MacDonagh")</f>
        <v>Morris MacDonagh</v>
      </c>
      <c r="C260" s="5">
        <v>10.0</v>
      </c>
      <c r="D260" s="3">
        <f>countif('OTPI Scores'!C:C,B260)</f>
        <v>0</v>
      </c>
      <c r="E260" s="3">
        <f t="shared" si="1"/>
        <v>0</v>
      </c>
      <c r="F260" s="3">
        <f>sumif('OTPI Scores'!C:C,B260,'OTPI Scores'!T:T)</f>
        <v>0</v>
      </c>
      <c r="G260" s="3" t="str">
        <f>SUMIF('Match Subs Filter'!E:E,B260,'Match Subs Filter'!F:F)+sumif('Bank Transfers'!B:B,B260,'Bank Transfers'!C:C)</f>
        <v>#N/A</v>
      </c>
      <c r="H260" s="50" t="str">
        <f t="shared" si="2"/>
        <v>#N/A</v>
      </c>
      <c r="I260" s="51">
        <f t="array" ref="I260">IF(IFERROR(lookup(1,1/SEARCH(B260,'OTPI Scores'!C:C),'OTPI Scores'!E:E),0)="Vets",7,IFERROR(lookup(1,1/SEARCH(B260,'OTPI Scores'!C:C),'OTPI Scores'!E:E),0))</f>
        <v>0</v>
      </c>
      <c r="J260" s="37"/>
      <c r="K260" s="37"/>
      <c r="L260" s="37"/>
      <c r="M260" s="37"/>
      <c r="N260" s="37"/>
      <c r="O260" s="37"/>
      <c r="P260" s="37"/>
      <c r="Q260" s="37"/>
      <c r="R260" s="37"/>
      <c r="S260" s="37"/>
      <c r="T260" s="37"/>
      <c r="U260" s="37"/>
      <c r="V260" s="37"/>
      <c r="W260" s="37"/>
      <c r="X260" s="37"/>
    </row>
    <row r="261">
      <c r="A261" s="37"/>
      <c r="B261" s="49" t="str">
        <f>IFERROR(__xludf.DUMMYFUNCTION("""COMPUTED_VALUE"""),"Muhammad Kinoo")</f>
        <v>Muhammad Kinoo</v>
      </c>
      <c r="C261" s="5">
        <v>10.0</v>
      </c>
      <c r="D261" s="3">
        <f>countif('OTPI Scores'!C:C,B261)</f>
        <v>0</v>
      </c>
      <c r="E261" s="3">
        <f t="shared" si="1"/>
        <v>0</v>
      </c>
      <c r="F261" s="3">
        <f>sumif('OTPI Scores'!C:C,B261,'OTPI Scores'!T:T)</f>
        <v>0</v>
      </c>
      <c r="G261" s="3" t="str">
        <f>SUMIF('Match Subs Filter'!E:E,B261,'Match Subs Filter'!F:F)+sumif('Bank Transfers'!B:B,B261,'Bank Transfers'!C:C)</f>
        <v>#N/A</v>
      </c>
      <c r="H261" s="50" t="str">
        <f t="shared" si="2"/>
        <v>#N/A</v>
      </c>
      <c r="I261" s="51">
        <f t="array" ref="I261">IF(IFERROR(lookup(1,1/SEARCH(B261,'OTPI Scores'!C:C),'OTPI Scores'!E:E),0)="Vets",7,IFERROR(lookup(1,1/SEARCH(B261,'OTPI Scores'!C:C),'OTPI Scores'!E:E),0))</f>
        <v>0</v>
      </c>
      <c r="J261" s="37"/>
      <c r="K261" s="37"/>
      <c r="L261" s="37"/>
      <c r="M261" s="37"/>
      <c r="N261" s="37"/>
      <c r="O261" s="37"/>
      <c r="P261" s="37"/>
      <c r="Q261" s="37"/>
      <c r="R261" s="37"/>
      <c r="S261" s="37"/>
      <c r="T261" s="37"/>
      <c r="U261" s="37"/>
      <c r="V261" s="37"/>
      <c r="W261" s="37"/>
      <c r="X261" s="37"/>
    </row>
    <row r="262">
      <c r="A262" s="37"/>
      <c r="B262" s="49" t="str">
        <f>IFERROR(__xludf.DUMMYFUNCTION("""COMPUTED_VALUE"""),"Musa Mulueka")</f>
        <v>Musa Mulueka</v>
      </c>
      <c r="C262" s="5">
        <v>10.0</v>
      </c>
      <c r="D262" s="3">
        <f>countif('OTPI Scores'!C:C,B262)</f>
        <v>0</v>
      </c>
      <c r="E262" s="3">
        <f t="shared" si="1"/>
        <v>0</v>
      </c>
      <c r="F262" s="3">
        <f>sumif('OTPI Scores'!C:C,B262,'OTPI Scores'!T:T)</f>
        <v>0</v>
      </c>
      <c r="G262" s="3" t="str">
        <f>SUMIF('Match Subs Filter'!E:E,B262,'Match Subs Filter'!F:F)+sumif('Bank Transfers'!B:B,B262,'Bank Transfers'!C:C)</f>
        <v>#N/A</v>
      </c>
      <c r="H262" s="50" t="str">
        <f t="shared" si="2"/>
        <v>#N/A</v>
      </c>
      <c r="I262" s="51">
        <f t="array" ref="I262">IF(IFERROR(lookup(1,1/SEARCH(B262,'OTPI Scores'!C:C),'OTPI Scores'!E:E),0)="Vets",7,IFERROR(lookup(1,1/SEARCH(B262,'OTPI Scores'!C:C),'OTPI Scores'!E:E),0))</f>
        <v>0</v>
      </c>
      <c r="J262" s="37"/>
      <c r="K262" s="37"/>
      <c r="L262" s="37"/>
      <c r="M262" s="37"/>
      <c r="N262" s="37"/>
      <c r="O262" s="37"/>
      <c r="P262" s="37"/>
      <c r="Q262" s="37"/>
      <c r="R262" s="37"/>
      <c r="S262" s="37"/>
      <c r="T262" s="37"/>
      <c r="U262" s="37"/>
      <c r="V262" s="37"/>
      <c r="W262" s="37"/>
      <c r="X262" s="37"/>
    </row>
    <row r="263">
      <c r="A263" s="37"/>
      <c r="B263" s="49" t="str">
        <f>IFERROR(__xludf.DUMMYFUNCTION("""COMPUTED_VALUE"""),"Mustafa Jung")</f>
        <v>Mustafa Jung</v>
      </c>
      <c r="C263" s="5">
        <v>10.0</v>
      </c>
      <c r="D263" s="3">
        <f>countif('OTPI Scores'!C:C,B263)</f>
        <v>0</v>
      </c>
      <c r="E263" s="3">
        <f t="shared" si="1"/>
        <v>0</v>
      </c>
      <c r="F263" s="3">
        <f>sumif('OTPI Scores'!C:C,B263,'OTPI Scores'!T:T)</f>
        <v>0</v>
      </c>
      <c r="G263" s="3" t="str">
        <f>SUMIF('Match Subs Filter'!E:E,B263,'Match Subs Filter'!F:F)+sumif('Bank Transfers'!B:B,B263,'Bank Transfers'!C:C)</f>
        <v>#N/A</v>
      </c>
      <c r="H263" s="50" t="str">
        <f t="shared" si="2"/>
        <v>#N/A</v>
      </c>
      <c r="I263" s="51">
        <f t="array" ref="I263">IF(IFERROR(lookup(1,1/SEARCH(B263,'OTPI Scores'!C:C),'OTPI Scores'!E:E),0)="Vets",7,IFERROR(lookup(1,1/SEARCH(B263,'OTPI Scores'!C:C),'OTPI Scores'!E:E),0))</f>
        <v>0</v>
      </c>
      <c r="J263" s="37"/>
      <c r="K263" s="37"/>
      <c r="L263" s="37"/>
      <c r="M263" s="37"/>
      <c r="N263" s="37"/>
      <c r="O263" s="37"/>
      <c r="P263" s="37"/>
      <c r="Q263" s="37"/>
      <c r="R263" s="37"/>
      <c r="S263" s="37"/>
      <c r="T263" s="37"/>
      <c r="U263" s="37"/>
      <c r="V263" s="37"/>
      <c r="W263" s="37"/>
      <c r="X263" s="37"/>
    </row>
    <row r="264">
      <c r="A264" s="37"/>
      <c r="B264" s="49" t="str">
        <f>IFERROR(__xludf.DUMMYFUNCTION("""COMPUTED_VALUE"""),"Muzaffar Saidov")</f>
        <v>Muzaffar Saidov</v>
      </c>
      <c r="C264" s="5">
        <v>10.0</v>
      </c>
      <c r="D264" s="3">
        <f>countif('OTPI Scores'!C:C,B264)</f>
        <v>0</v>
      </c>
      <c r="E264" s="3">
        <f t="shared" si="1"/>
        <v>0</v>
      </c>
      <c r="F264" s="3">
        <f>sumif('OTPI Scores'!C:C,B264,'OTPI Scores'!T:T)</f>
        <v>0</v>
      </c>
      <c r="G264" s="3" t="str">
        <f>SUMIF('Match Subs Filter'!E:E,B264,'Match Subs Filter'!F:F)+sumif('Bank Transfers'!B:B,B264,'Bank Transfers'!C:C)</f>
        <v>#N/A</v>
      </c>
      <c r="H264" s="50" t="str">
        <f t="shared" si="2"/>
        <v>#N/A</v>
      </c>
      <c r="I264" s="51">
        <f t="array" ref="I264">IF(IFERROR(lookup(1,1/SEARCH(B264,'OTPI Scores'!C:C),'OTPI Scores'!E:E),0)="Vets",7,IFERROR(lookup(1,1/SEARCH(B264,'OTPI Scores'!C:C),'OTPI Scores'!E:E),0))</f>
        <v>0</v>
      </c>
      <c r="J264" s="37"/>
      <c r="K264" s="37"/>
      <c r="L264" s="37"/>
      <c r="M264" s="37"/>
      <c r="N264" s="37"/>
      <c r="O264" s="37"/>
      <c r="P264" s="37"/>
      <c r="Q264" s="37"/>
      <c r="R264" s="37"/>
      <c r="S264" s="37"/>
      <c r="T264" s="37"/>
      <c r="U264" s="37"/>
      <c r="V264" s="37"/>
      <c r="W264" s="37"/>
      <c r="X264" s="37"/>
    </row>
    <row r="265">
      <c r="A265" s="37"/>
      <c r="B265" s="49" t="str">
        <f>IFERROR(__xludf.DUMMYFUNCTION("""COMPUTED_VALUE"""),"Nadir Simanca")</f>
        <v>Nadir Simanca</v>
      </c>
      <c r="C265" s="5">
        <v>10.0</v>
      </c>
      <c r="D265" s="3">
        <f>countif('OTPI Scores'!C:C,B265)</f>
        <v>0</v>
      </c>
      <c r="E265" s="3">
        <f t="shared" si="1"/>
        <v>0</v>
      </c>
      <c r="F265" s="3">
        <f>sumif('OTPI Scores'!C:C,B265,'OTPI Scores'!T:T)</f>
        <v>0</v>
      </c>
      <c r="G265" s="3" t="str">
        <f>SUMIF('Match Subs Filter'!E:E,B265,'Match Subs Filter'!F:F)+sumif('Bank Transfers'!B:B,B265,'Bank Transfers'!C:C)</f>
        <v>#N/A</v>
      </c>
      <c r="H265" s="50" t="str">
        <f t="shared" si="2"/>
        <v>#N/A</v>
      </c>
      <c r="I265" s="51">
        <f t="array" ref="I265">IF(IFERROR(lookup(1,1/SEARCH(B265,'OTPI Scores'!C:C),'OTPI Scores'!E:E),0)="Vets",7,IFERROR(lookup(1,1/SEARCH(B265,'OTPI Scores'!C:C),'OTPI Scores'!E:E),0))</f>
        <v>0</v>
      </c>
      <c r="J265" s="37"/>
      <c r="K265" s="37"/>
      <c r="L265" s="37"/>
      <c r="M265" s="37"/>
      <c r="N265" s="37"/>
      <c r="O265" s="37"/>
      <c r="P265" s="37"/>
      <c r="Q265" s="37"/>
      <c r="R265" s="37"/>
      <c r="S265" s="37"/>
      <c r="T265" s="37"/>
      <c r="U265" s="37"/>
      <c r="V265" s="37"/>
      <c r="W265" s="37"/>
      <c r="X265" s="37"/>
    </row>
    <row r="266">
      <c r="A266" s="37"/>
      <c r="B266" s="49" t="str">
        <f>IFERROR(__xludf.DUMMYFUNCTION("""COMPUTED_VALUE"""),"Nassim Sandjakeddine")</f>
        <v>Nassim Sandjakeddine</v>
      </c>
      <c r="C266" s="5">
        <v>10.0</v>
      </c>
      <c r="D266" s="3">
        <f>countif('OTPI Scores'!C:C,B266)</f>
        <v>2</v>
      </c>
      <c r="E266" s="3">
        <f t="shared" si="1"/>
        <v>20</v>
      </c>
      <c r="F266" s="3">
        <f>sumif('OTPI Scores'!C:C,B266,'OTPI Scores'!T:T)</f>
        <v>10</v>
      </c>
      <c r="G266" s="3" t="str">
        <f>SUMIF('Match Subs Filter'!E:E,B266,'Match Subs Filter'!F:F)+sumif('Bank Transfers'!B:B,B266,'Bank Transfers'!C:C)</f>
        <v>#N/A</v>
      </c>
      <c r="H266" s="50" t="str">
        <f t="shared" si="2"/>
        <v>#N/A</v>
      </c>
      <c r="I266" s="51">
        <f t="array" ref="I266">IF(IFERROR(lookup(1,1/SEARCH(B266,'OTPI Scores'!C:C),'OTPI Scores'!E:E),0)="Vets",7,IFERROR(lookup(1,1/SEARCH(B266,'OTPI Scores'!C:C),'OTPI Scores'!E:E),0))</f>
        <v>5</v>
      </c>
      <c r="J266" s="37"/>
      <c r="K266" s="37"/>
      <c r="L266" s="37"/>
      <c r="M266" s="37"/>
      <c r="N266" s="37"/>
      <c r="O266" s="37"/>
      <c r="P266" s="37"/>
      <c r="Q266" s="37"/>
      <c r="R266" s="37"/>
      <c r="S266" s="37"/>
      <c r="T266" s="37"/>
      <c r="U266" s="37"/>
      <c r="V266" s="37"/>
      <c r="W266" s="37"/>
      <c r="X266" s="37"/>
    </row>
    <row r="267">
      <c r="A267" s="37"/>
      <c r="B267" s="49" t="str">
        <f>IFERROR(__xludf.DUMMYFUNCTION("""COMPUTED_VALUE"""),"Nassir Choudry")</f>
        <v>Nassir Choudry</v>
      </c>
      <c r="C267" s="5">
        <v>10.0</v>
      </c>
      <c r="D267" s="3">
        <f>countif('OTPI Scores'!C:C,B267)</f>
        <v>0</v>
      </c>
      <c r="E267" s="3">
        <f t="shared" si="1"/>
        <v>0</v>
      </c>
      <c r="F267" s="3">
        <f>sumif('OTPI Scores'!C:C,B267,'OTPI Scores'!T:T)</f>
        <v>0</v>
      </c>
      <c r="G267" s="3" t="str">
        <f>SUMIF('Match Subs Filter'!E:E,B267,'Match Subs Filter'!F:F)+sumif('Bank Transfers'!B:B,B267,'Bank Transfers'!C:C)</f>
        <v>#N/A</v>
      </c>
      <c r="H267" s="50" t="str">
        <f t="shared" si="2"/>
        <v>#N/A</v>
      </c>
      <c r="I267" s="51">
        <f t="array" ref="I267">IF(IFERROR(lookup(1,1/SEARCH(B267,'OTPI Scores'!C:C),'OTPI Scores'!E:E),0)="Vets",7,IFERROR(lookup(1,1/SEARCH(B267,'OTPI Scores'!C:C),'OTPI Scores'!E:E),0))</f>
        <v>0</v>
      </c>
      <c r="J267" s="37"/>
      <c r="K267" s="37"/>
      <c r="L267" s="37"/>
      <c r="M267" s="37"/>
      <c r="N267" s="37"/>
      <c r="O267" s="37"/>
      <c r="P267" s="37"/>
      <c r="Q267" s="37"/>
      <c r="R267" s="37"/>
      <c r="S267" s="37"/>
      <c r="T267" s="37"/>
      <c r="U267" s="37"/>
      <c r="V267" s="37"/>
      <c r="W267" s="37"/>
      <c r="X267" s="37"/>
    </row>
    <row r="268">
      <c r="A268" s="37"/>
      <c r="B268" s="49" t="str">
        <f>IFERROR(__xludf.DUMMYFUNCTION("""COMPUTED_VALUE"""),"Nathan Baverstock")</f>
        <v>Nathan Baverstock</v>
      </c>
      <c r="C268" s="5">
        <v>10.0</v>
      </c>
      <c r="D268" s="3">
        <f>countif('OTPI Scores'!C:C,B268)</f>
        <v>19</v>
      </c>
      <c r="E268" s="3">
        <f t="shared" si="1"/>
        <v>190</v>
      </c>
      <c r="F268" s="3">
        <f>sumif('OTPI Scores'!C:C,B268,'OTPI Scores'!T:T)</f>
        <v>178</v>
      </c>
      <c r="G268" s="3" t="str">
        <f>SUMIF('Match Subs Filter'!E:E,B268,'Match Subs Filter'!F:F)+sumif('Bank Transfers'!B:B,B268,'Bank Transfers'!C:C)</f>
        <v>#N/A</v>
      </c>
      <c r="H268" s="50" t="str">
        <f t="shared" si="2"/>
        <v>#N/A</v>
      </c>
      <c r="I268" s="51">
        <f t="array" ref="I268">IF(IFERROR(lookup(1,1/SEARCH(B268,'OTPI Scores'!C:C),'OTPI Scores'!E:E),0)="Vets",7,IFERROR(lookup(1,1/SEARCH(B268,'OTPI Scores'!C:C),'OTPI Scores'!E:E),0))</f>
        <v>3</v>
      </c>
      <c r="J268" s="37"/>
      <c r="K268" s="37"/>
      <c r="L268" s="37"/>
      <c r="M268" s="37"/>
      <c r="N268" s="37"/>
      <c r="O268" s="37"/>
      <c r="P268" s="37"/>
      <c r="Q268" s="37"/>
      <c r="R268" s="37"/>
      <c r="S268" s="37"/>
      <c r="T268" s="37"/>
      <c r="U268" s="37"/>
      <c r="V268" s="37"/>
      <c r="W268" s="37"/>
      <c r="X268" s="37"/>
    </row>
    <row r="269">
      <c r="A269" s="37"/>
      <c r="B269" s="49" t="str">
        <f>IFERROR(__xludf.DUMMYFUNCTION("""COMPUTED_VALUE"""),"Nathan Davis")</f>
        <v>Nathan Davis</v>
      </c>
      <c r="C269" s="5">
        <v>10.0</v>
      </c>
      <c r="D269" s="3">
        <f>countif('OTPI Scores'!C:C,B269)</f>
        <v>2</v>
      </c>
      <c r="E269" s="3">
        <f t="shared" si="1"/>
        <v>20</v>
      </c>
      <c r="F269" s="3">
        <f>sumif('OTPI Scores'!C:C,B269,'OTPI Scores'!T:T)</f>
        <v>20</v>
      </c>
      <c r="G269" s="3" t="str">
        <f>SUMIF('Match Subs Filter'!E:E,B269,'Match Subs Filter'!F:F)+sumif('Bank Transfers'!B:B,B269,'Bank Transfers'!C:C)</f>
        <v>#N/A</v>
      </c>
      <c r="H269" s="50" t="str">
        <f t="shared" si="2"/>
        <v>#N/A</v>
      </c>
      <c r="I269" s="51">
        <f t="array" ref="I269">IF(IFERROR(lookup(1,1/SEARCH(B269,'OTPI Scores'!C:C),'OTPI Scores'!E:E),0)="Vets",7,IFERROR(lookup(1,1/SEARCH(B269,'OTPI Scores'!C:C),'OTPI Scores'!E:E),0))</f>
        <v>2</v>
      </c>
      <c r="J269" s="37"/>
      <c r="K269" s="37"/>
      <c r="L269" s="37"/>
      <c r="M269" s="37"/>
      <c r="N269" s="37"/>
      <c r="O269" s="37"/>
      <c r="P269" s="37"/>
      <c r="Q269" s="37"/>
      <c r="R269" s="37"/>
      <c r="S269" s="37"/>
      <c r="T269" s="37"/>
      <c r="U269" s="37"/>
      <c r="V269" s="37"/>
      <c r="W269" s="37"/>
      <c r="X269" s="37"/>
    </row>
    <row r="270">
      <c r="A270" s="37"/>
      <c r="B270" s="49" t="str">
        <f>IFERROR(__xludf.DUMMYFUNCTION("""COMPUTED_VALUE"""),"Nathan Nzau")</f>
        <v>Nathan Nzau</v>
      </c>
      <c r="C270" s="5">
        <v>10.0</v>
      </c>
      <c r="D270" s="3">
        <f>countif('OTPI Scores'!C:C,B270)</f>
        <v>4</v>
      </c>
      <c r="E270" s="3">
        <f t="shared" si="1"/>
        <v>40</v>
      </c>
      <c r="F270" s="3">
        <f>sumif('OTPI Scores'!C:C,B270,'OTPI Scores'!T:T)</f>
        <v>40</v>
      </c>
      <c r="G270" s="3" t="str">
        <f>SUMIF('Match Subs Filter'!E:E,B270,'Match Subs Filter'!F:F)+sumif('Bank Transfers'!B:B,B270,'Bank Transfers'!C:C)</f>
        <v>#N/A</v>
      </c>
      <c r="H270" s="50" t="str">
        <f t="shared" si="2"/>
        <v>#N/A</v>
      </c>
      <c r="I270" s="51">
        <f t="array" ref="I270">IF(IFERROR(lookup(1,1/SEARCH(B270,'OTPI Scores'!C:C),'OTPI Scores'!E:E),0)="Vets",7,IFERROR(lookup(1,1/SEARCH(B270,'OTPI Scores'!C:C),'OTPI Scores'!E:E),0))</f>
        <v>3</v>
      </c>
      <c r="J270" s="37"/>
      <c r="K270" s="37"/>
      <c r="L270" s="37"/>
      <c r="M270" s="37"/>
      <c r="N270" s="37"/>
      <c r="O270" s="37"/>
      <c r="P270" s="37"/>
      <c r="Q270" s="37"/>
      <c r="R270" s="37"/>
      <c r="S270" s="37"/>
      <c r="T270" s="37"/>
      <c r="U270" s="37"/>
      <c r="V270" s="37"/>
      <c r="W270" s="37"/>
      <c r="X270" s="37"/>
    </row>
    <row r="271">
      <c r="A271" s="37"/>
      <c r="B271" s="49" t="str">
        <f>IFERROR(__xludf.DUMMYFUNCTION("""COMPUTED_VALUE"""),"Niall Wootten")</f>
        <v>Niall Wootten</v>
      </c>
      <c r="C271" s="5">
        <v>10.0</v>
      </c>
      <c r="D271" s="3">
        <f>countif('OTPI Scores'!C:C,B271)</f>
        <v>10</v>
      </c>
      <c r="E271" s="3">
        <f t="shared" si="1"/>
        <v>100</v>
      </c>
      <c r="F271" s="3">
        <f>sumif('OTPI Scores'!C:C,B271,'OTPI Scores'!T:T)</f>
        <v>88</v>
      </c>
      <c r="G271" s="3" t="str">
        <f>SUMIF('Match Subs Filter'!E:E,B271,'Match Subs Filter'!F:F)+sumif('Bank Transfers'!B:B,B271,'Bank Transfers'!C:C)</f>
        <v>#N/A</v>
      </c>
      <c r="H271" s="50" t="str">
        <f t="shared" si="2"/>
        <v>#N/A</v>
      </c>
      <c r="I271" s="51">
        <f t="array" ref="I271">IF(IFERROR(lookup(1,1/SEARCH(B271,'OTPI Scores'!C:C),'OTPI Scores'!E:E),0)="Vets",7,IFERROR(lookup(1,1/SEARCH(B271,'OTPI Scores'!C:C),'OTPI Scores'!E:E),0))</f>
        <v>6</v>
      </c>
      <c r="J271" s="37"/>
      <c r="K271" s="37"/>
      <c r="L271" s="37"/>
      <c r="M271" s="37"/>
      <c r="N271" s="37"/>
      <c r="O271" s="37"/>
      <c r="P271" s="37"/>
      <c r="Q271" s="37"/>
      <c r="R271" s="37"/>
      <c r="S271" s="37"/>
      <c r="T271" s="37"/>
      <c r="U271" s="37"/>
      <c r="V271" s="37"/>
      <c r="W271" s="37"/>
      <c r="X271" s="37"/>
    </row>
    <row r="272">
      <c r="A272" s="37"/>
      <c r="B272" s="49" t="str">
        <f>IFERROR(__xludf.DUMMYFUNCTION("""COMPUTED_VALUE"""),"Nick Chimonides")</f>
        <v>Nick Chimonides</v>
      </c>
      <c r="C272" s="5">
        <v>10.0</v>
      </c>
      <c r="D272" s="3">
        <f>countif('OTPI Scores'!C:C,B272)</f>
        <v>19</v>
      </c>
      <c r="E272" s="3">
        <f t="shared" si="1"/>
        <v>190</v>
      </c>
      <c r="F272" s="3">
        <f>sumif('OTPI Scores'!C:C,B272,'OTPI Scores'!T:T)</f>
        <v>180</v>
      </c>
      <c r="G272" s="3" t="str">
        <f>SUMIF('Match Subs Filter'!E:E,B272,'Match Subs Filter'!F:F)+sumif('Bank Transfers'!B:B,B272,'Bank Transfers'!C:C)</f>
        <v>#N/A</v>
      </c>
      <c r="H272" s="50" t="str">
        <f t="shared" si="2"/>
        <v>#N/A</v>
      </c>
      <c r="I272" s="51">
        <f t="array" ref="I272">IF(IFERROR(lookup(1,1/SEARCH(B272,'OTPI Scores'!C:C),'OTPI Scores'!E:E),0)="Vets",7,IFERROR(lookup(1,1/SEARCH(B272,'OTPI Scores'!C:C),'OTPI Scores'!E:E),0))</f>
        <v>3</v>
      </c>
      <c r="J272" s="37"/>
      <c r="K272" s="37"/>
      <c r="L272" s="37"/>
      <c r="M272" s="37"/>
      <c r="N272" s="37"/>
      <c r="O272" s="37"/>
      <c r="P272" s="37"/>
      <c r="Q272" s="37"/>
      <c r="R272" s="37"/>
      <c r="S272" s="37"/>
      <c r="T272" s="37"/>
      <c r="U272" s="37"/>
      <c r="V272" s="37"/>
      <c r="W272" s="37"/>
      <c r="X272" s="37"/>
    </row>
    <row r="273">
      <c r="A273" s="37"/>
      <c r="B273" s="49" t="str">
        <f>IFERROR(__xludf.DUMMYFUNCTION("""COMPUTED_VALUE"""),"Nick Daley")</f>
        <v>Nick Daley</v>
      </c>
      <c r="C273" s="5">
        <v>10.0</v>
      </c>
      <c r="D273" s="3">
        <f>countif('OTPI Scores'!C:C,B273)</f>
        <v>1</v>
      </c>
      <c r="E273" s="3">
        <f t="shared" si="1"/>
        <v>10</v>
      </c>
      <c r="F273" s="3">
        <f>sumif('OTPI Scores'!C:C,B273,'OTPI Scores'!T:T)</f>
        <v>10</v>
      </c>
      <c r="G273" s="3" t="str">
        <f>SUMIF('Match Subs Filter'!E:E,B273,'Match Subs Filter'!F:F)+sumif('Bank Transfers'!B:B,B273,'Bank Transfers'!C:C)</f>
        <v>#N/A</v>
      </c>
      <c r="H273" s="50" t="str">
        <f t="shared" si="2"/>
        <v>#N/A</v>
      </c>
      <c r="I273" s="51">
        <f t="array" ref="I273">IF(IFERROR(lookup(1,1/SEARCH(B273,'OTPI Scores'!C:C),'OTPI Scores'!E:E),0)="Vets",7,IFERROR(lookup(1,1/SEARCH(B273,'OTPI Scores'!C:C),'OTPI Scores'!E:E),0))</f>
        <v>7</v>
      </c>
      <c r="J273" s="37"/>
      <c r="K273" s="37"/>
      <c r="L273" s="37"/>
      <c r="M273" s="37"/>
      <c r="N273" s="37"/>
      <c r="O273" s="37"/>
      <c r="P273" s="37"/>
      <c r="Q273" s="37"/>
      <c r="R273" s="37"/>
      <c r="S273" s="37"/>
      <c r="T273" s="37"/>
      <c r="U273" s="37"/>
      <c r="V273" s="37"/>
      <c r="W273" s="37"/>
      <c r="X273" s="37"/>
    </row>
    <row r="274">
      <c r="A274" s="37"/>
      <c r="B274" s="49" t="str">
        <f>IFERROR(__xludf.DUMMYFUNCTION("""COMPUTED_VALUE"""),"Nick Fernando")</f>
        <v>Nick Fernando</v>
      </c>
      <c r="C274" s="5">
        <v>10.0</v>
      </c>
      <c r="D274" s="3">
        <f>countif('OTPI Scores'!C:C,B274)</f>
        <v>0</v>
      </c>
      <c r="E274" s="3">
        <f t="shared" si="1"/>
        <v>0</v>
      </c>
      <c r="F274" s="3">
        <f>sumif('OTPI Scores'!C:C,B274,'OTPI Scores'!T:T)</f>
        <v>0</v>
      </c>
      <c r="G274" s="3" t="str">
        <f>SUMIF('Match Subs Filter'!E:E,B274,'Match Subs Filter'!F:F)+sumif('Bank Transfers'!B:B,B274,'Bank Transfers'!C:C)</f>
        <v>#N/A</v>
      </c>
      <c r="H274" s="50" t="str">
        <f t="shared" si="2"/>
        <v>#N/A</v>
      </c>
      <c r="I274" s="51">
        <f t="array" ref="I274">IF(IFERROR(lookup(1,1/SEARCH(B274,'OTPI Scores'!C:C),'OTPI Scores'!E:E),0)="Vets",7,IFERROR(lookup(1,1/SEARCH(B274,'OTPI Scores'!C:C),'OTPI Scores'!E:E),0))</f>
        <v>0</v>
      </c>
      <c r="J274" s="37"/>
      <c r="K274" s="37"/>
      <c r="L274" s="37"/>
      <c r="M274" s="37"/>
      <c r="N274" s="37"/>
      <c r="O274" s="37"/>
      <c r="P274" s="37"/>
      <c r="Q274" s="37"/>
      <c r="R274" s="37"/>
      <c r="S274" s="37"/>
      <c r="T274" s="37"/>
      <c r="U274" s="37"/>
      <c r="V274" s="37"/>
      <c r="W274" s="37"/>
      <c r="X274" s="37"/>
    </row>
    <row r="275">
      <c r="A275" s="37"/>
      <c r="B275" s="49" t="str">
        <f>IFERROR(__xludf.DUMMYFUNCTION("""COMPUTED_VALUE"""),"Nicolas Prieto Bautista")</f>
        <v>Nicolas Prieto Bautista</v>
      </c>
      <c r="C275" s="5">
        <v>10.0</v>
      </c>
      <c r="D275" s="3">
        <f>countif('OTPI Scores'!C:C,B275)</f>
        <v>0</v>
      </c>
      <c r="E275" s="3">
        <f t="shared" si="1"/>
        <v>0</v>
      </c>
      <c r="F275" s="3">
        <f>sumif('OTPI Scores'!C:C,B275,'OTPI Scores'!T:T)</f>
        <v>0</v>
      </c>
      <c r="G275" s="3" t="str">
        <f>SUMIF('Match Subs Filter'!E:E,B275,'Match Subs Filter'!F:F)+sumif('Bank Transfers'!B:B,B275,'Bank Transfers'!C:C)</f>
        <v>#N/A</v>
      </c>
      <c r="H275" s="50" t="str">
        <f t="shared" si="2"/>
        <v>#N/A</v>
      </c>
      <c r="I275" s="51">
        <f t="array" ref="I275">IF(IFERROR(lookup(1,1/SEARCH(B275,'OTPI Scores'!C:C),'OTPI Scores'!E:E),0)="Vets",7,IFERROR(lookup(1,1/SEARCH(B275,'OTPI Scores'!C:C),'OTPI Scores'!E:E),0))</f>
        <v>0</v>
      </c>
      <c r="J275" s="37"/>
      <c r="K275" s="37"/>
      <c r="L275" s="37"/>
      <c r="M275" s="37"/>
      <c r="N275" s="37"/>
      <c r="O275" s="37"/>
      <c r="P275" s="37"/>
      <c r="Q275" s="37"/>
      <c r="R275" s="37"/>
      <c r="S275" s="37"/>
      <c r="T275" s="37"/>
      <c r="U275" s="37"/>
      <c r="V275" s="37"/>
      <c r="W275" s="37"/>
      <c r="X275" s="37"/>
    </row>
    <row r="276">
      <c r="A276" s="37"/>
      <c r="B276" s="49" t="str">
        <f>IFERROR(__xludf.DUMMYFUNCTION("""COMPUTED_VALUE"""),"Nicolo Sodaro")</f>
        <v>Nicolo Sodaro</v>
      </c>
      <c r="C276" s="5">
        <v>10.0</v>
      </c>
      <c r="D276" s="3">
        <f>countif('OTPI Scores'!C:C,B276)</f>
        <v>0</v>
      </c>
      <c r="E276" s="3">
        <f t="shared" si="1"/>
        <v>0</v>
      </c>
      <c r="F276" s="3">
        <f>sumif('OTPI Scores'!C:C,B276,'OTPI Scores'!T:T)</f>
        <v>0</v>
      </c>
      <c r="G276" s="3" t="str">
        <f>SUMIF('Match Subs Filter'!E:E,B276,'Match Subs Filter'!F:F)+sumif('Bank Transfers'!B:B,B276,'Bank Transfers'!C:C)</f>
        <v>#N/A</v>
      </c>
      <c r="H276" s="50" t="str">
        <f t="shared" si="2"/>
        <v>#N/A</v>
      </c>
      <c r="I276" s="51">
        <f t="array" ref="I276">IF(IFERROR(lookup(1,1/SEARCH(B276,'OTPI Scores'!C:C),'OTPI Scores'!E:E),0)="Vets",7,IFERROR(lookup(1,1/SEARCH(B276,'OTPI Scores'!C:C),'OTPI Scores'!E:E),0))</f>
        <v>0</v>
      </c>
      <c r="J276" s="37"/>
      <c r="K276" s="37"/>
      <c r="L276" s="37"/>
      <c r="M276" s="37"/>
      <c r="N276" s="37"/>
      <c r="O276" s="37"/>
      <c r="P276" s="37"/>
      <c r="Q276" s="37"/>
      <c r="R276" s="37"/>
      <c r="S276" s="37"/>
      <c r="T276" s="37"/>
      <c r="U276" s="37"/>
      <c r="V276" s="37"/>
      <c r="W276" s="37"/>
      <c r="X276" s="37"/>
    </row>
    <row r="277">
      <c r="A277" s="37"/>
      <c r="B277" s="49" t="str">
        <f>IFERROR(__xludf.DUMMYFUNCTION("""COMPUTED_VALUE"""),"Nikolay Machev")</f>
        <v>Nikolay Machev</v>
      </c>
      <c r="C277" s="5">
        <v>10.0</v>
      </c>
      <c r="D277" s="3">
        <f>countif('OTPI Scores'!C:C,B277)</f>
        <v>2</v>
      </c>
      <c r="E277" s="3">
        <f t="shared" si="1"/>
        <v>20</v>
      </c>
      <c r="F277" s="3">
        <f>sumif('OTPI Scores'!C:C,B277,'OTPI Scores'!T:T)</f>
        <v>20</v>
      </c>
      <c r="G277" s="3" t="str">
        <f>SUMIF('Match Subs Filter'!E:E,B277,'Match Subs Filter'!F:F)+sumif('Bank Transfers'!B:B,B277,'Bank Transfers'!C:C)</f>
        <v>#N/A</v>
      </c>
      <c r="H277" s="50" t="str">
        <f t="shared" si="2"/>
        <v>#N/A</v>
      </c>
      <c r="I277" s="51">
        <f t="array" ref="I277">IF(IFERROR(lookup(1,1/SEARCH(B277,'OTPI Scores'!C:C),'OTPI Scores'!E:E),0)="Vets",7,IFERROR(lookup(1,1/SEARCH(B277,'OTPI Scores'!C:C),'OTPI Scores'!E:E),0))</f>
        <v>6</v>
      </c>
      <c r="J277" s="37"/>
      <c r="K277" s="37"/>
      <c r="L277" s="37"/>
      <c r="M277" s="37"/>
      <c r="N277" s="37"/>
      <c r="O277" s="37"/>
      <c r="P277" s="37"/>
      <c r="Q277" s="37"/>
      <c r="R277" s="37"/>
      <c r="S277" s="37"/>
      <c r="T277" s="37"/>
      <c r="U277" s="37"/>
      <c r="V277" s="37"/>
      <c r="W277" s="37"/>
      <c r="X277" s="37"/>
    </row>
    <row r="278">
      <c r="A278" s="37"/>
      <c r="B278" s="49" t="str">
        <f>IFERROR(__xludf.DUMMYFUNCTION("""COMPUTED_VALUE"""),"Nima Naghdi")</f>
        <v>Nima Naghdi</v>
      </c>
      <c r="C278" s="5">
        <v>10.0</v>
      </c>
      <c r="D278" s="3">
        <f>countif('OTPI Scores'!C:C,B278)</f>
        <v>26</v>
      </c>
      <c r="E278" s="3">
        <f t="shared" si="1"/>
        <v>260</v>
      </c>
      <c r="F278" s="3">
        <f>sumif('OTPI Scores'!C:C,B278,'OTPI Scores'!T:T)</f>
        <v>5</v>
      </c>
      <c r="G278" s="3" t="str">
        <f>SUMIF('Match Subs Filter'!E:E,B278,'Match Subs Filter'!F:F)+sumif('Bank Transfers'!B:B,B278,'Bank Transfers'!C:C)</f>
        <v>#N/A</v>
      </c>
      <c r="H278" s="50" t="str">
        <f t="shared" si="2"/>
        <v>#N/A</v>
      </c>
      <c r="I278" s="51">
        <f t="array" ref="I278">IF(IFERROR(lookup(1,1/SEARCH(B278,'OTPI Scores'!C:C),'OTPI Scores'!E:E),0)="Vets",7,IFERROR(lookup(1,1/SEARCH(B278,'OTPI Scores'!C:C),'OTPI Scores'!E:E),0))</f>
        <v>4</v>
      </c>
      <c r="J278" s="37"/>
      <c r="K278" s="37"/>
      <c r="L278" s="37"/>
      <c r="M278" s="37"/>
      <c r="N278" s="37"/>
      <c r="O278" s="37"/>
      <c r="P278" s="37"/>
      <c r="Q278" s="37"/>
      <c r="R278" s="37"/>
      <c r="S278" s="37"/>
      <c r="T278" s="37"/>
      <c r="U278" s="37"/>
      <c r="V278" s="37"/>
      <c r="W278" s="37"/>
      <c r="X278" s="37"/>
    </row>
    <row r="279">
      <c r="A279" s="37"/>
      <c r="B279" s="49" t="str">
        <f>IFERROR(__xludf.DUMMYFUNCTION("""COMPUTED_VALUE"""),"Noah Warwick")</f>
        <v>Noah Warwick</v>
      </c>
      <c r="C279" s="5">
        <v>10.0</v>
      </c>
      <c r="D279" s="3">
        <f>countif('OTPI Scores'!C:C,B279)</f>
        <v>0</v>
      </c>
      <c r="E279" s="3">
        <f t="shared" si="1"/>
        <v>0</v>
      </c>
      <c r="F279" s="3">
        <f>sumif('OTPI Scores'!C:C,B279,'OTPI Scores'!T:T)</f>
        <v>0</v>
      </c>
      <c r="G279" s="3" t="str">
        <f>SUMIF('Match Subs Filter'!E:E,B279,'Match Subs Filter'!F:F)+sumif('Bank Transfers'!B:B,B279,'Bank Transfers'!C:C)</f>
        <v>#N/A</v>
      </c>
      <c r="H279" s="50" t="str">
        <f t="shared" si="2"/>
        <v>#N/A</v>
      </c>
      <c r="I279" s="51">
        <f t="array" ref="I279">IF(IFERROR(lookup(1,1/SEARCH(B279,'OTPI Scores'!C:C),'OTPI Scores'!E:E),0)="Vets",7,IFERROR(lookup(1,1/SEARCH(B279,'OTPI Scores'!C:C),'OTPI Scores'!E:E),0))</f>
        <v>0</v>
      </c>
      <c r="J279" s="37"/>
      <c r="K279" s="37"/>
      <c r="L279" s="37"/>
      <c r="M279" s="37"/>
      <c r="N279" s="37"/>
      <c r="O279" s="37"/>
      <c r="P279" s="37"/>
      <c r="Q279" s="37"/>
      <c r="R279" s="37"/>
      <c r="S279" s="37"/>
      <c r="T279" s="37"/>
      <c r="U279" s="37"/>
      <c r="V279" s="37"/>
      <c r="W279" s="37"/>
      <c r="X279" s="37"/>
    </row>
    <row r="280">
      <c r="A280" s="37"/>
      <c r="B280" s="49" t="str">
        <f>IFERROR(__xludf.DUMMYFUNCTION("""COMPUTED_VALUE"""),"Oli Barton")</f>
        <v>Oli Barton</v>
      </c>
      <c r="C280" s="5">
        <v>10.0</v>
      </c>
      <c r="D280" s="3">
        <f>countif('OTPI Scores'!C:C,B280)</f>
        <v>14</v>
      </c>
      <c r="E280" s="3">
        <f t="shared" si="1"/>
        <v>140</v>
      </c>
      <c r="F280" s="3">
        <f>sumif('OTPI Scores'!C:C,B280,'OTPI Scores'!T:T)</f>
        <v>140</v>
      </c>
      <c r="G280" s="3" t="str">
        <f>SUMIF('Match Subs Filter'!E:E,B280,'Match Subs Filter'!F:F)+sumif('Bank Transfers'!B:B,B280,'Bank Transfers'!C:C)</f>
        <v>#N/A</v>
      </c>
      <c r="H280" s="50" t="str">
        <f t="shared" si="2"/>
        <v>#N/A</v>
      </c>
      <c r="I280" s="51">
        <f t="array" ref="I280">IF(IFERROR(lookup(1,1/SEARCH(B280,'OTPI Scores'!C:C),'OTPI Scores'!E:E),0)="Vets",7,IFERROR(lookup(1,1/SEARCH(B280,'OTPI Scores'!C:C),'OTPI Scores'!E:E),0))</f>
        <v>3</v>
      </c>
      <c r="J280" s="37"/>
      <c r="K280" s="37"/>
      <c r="L280" s="37"/>
      <c r="M280" s="37"/>
      <c r="N280" s="37"/>
      <c r="O280" s="37"/>
      <c r="P280" s="37"/>
      <c r="Q280" s="37"/>
      <c r="R280" s="37"/>
      <c r="S280" s="37"/>
      <c r="T280" s="37"/>
      <c r="U280" s="37"/>
      <c r="V280" s="37"/>
      <c r="W280" s="37"/>
      <c r="X280" s="37"/>
    </row>
    <row r="281">
      <c r="A281" s="37"/>
      <c r="B281" s="49" t="str">
        <f>IFERROR(__xludf.DUMMYFUNCTION("""COMPUTED_VALUE"""),"Oliver Golzari")</f>
        <v>Oliver Golzari</v>
      </c>
      <c r="C281" s="5">
        <v>10.0</v>
      </c>
      <c r="D281" s="3">
        <f>countif('OTPI Scores'!C:C,B281)</f>
        <v>6</v>
      </c>
      <c r="E281" s="3">
        <f t="shared" si="1"/>
        <v>60</v>
      </c>
      <c r="F281" s="3">
        <f>sumif('OTPI Scores'!C:C,B281,'OTPI Scores'!T:T)</f>
        <v>35</v>
      </c>
      <c r="G281" s="3" t="str">
        <f>SUMIF('Match Subs Filter'!E:E,B281,'Match Subs Filter'!F:F)+sumif('Bank Transfers'!B:B,B281,'Bank Transfers'!C:C)</f>
        <v>#N/A</v>
      </c>
      <c r="H281" s="50" t="str">
        <f t="shared" si="2"/>
        <v>#N/A</v>
      </c>
      <c r="I281" s="51">
        <f t="array" ref="I281">IF(IFERROR(lookup(1,1/SEARCH(B281,'OTPI Scores'!C:C),'OTPI Scores'!E:E),0)="Vets",7,IFERROR(lookup(1,1/SEARCH(B281,'OTPI Scores'!C:C),'OTPI Scores'!E:E),0))</f>
        <v>2</v>
      </c>
      <c r="J281" s="37"/>
      <c r="K281" s="37"/>
      <c r="L281" s="37"/>
      <c r="M281" s="37"/>
      <c r="N281" s="37"/>
      <c r="O281" s="37"/>
      <c r="P281" s="37"/>
      <c r="Q281" s="37"/>
      <c r="R281" s="37"/>
      <c r="S281" s="37"/>
      <c r="T281" s="37"/>
      <c r="U281" s="37"/>
      <c r="V281" s="37"/>
      <c r="W281" s="37"/>
      <c r="X281" s="37"/>
    </row>
    <row r="282">
      <c r="A282" s="37"/>
      <c r="B282" s="49" t="str">
        <f>IFERROR(__xludf.DUMMYFUNCTION("""COMPUTED_VALUE"""),"Ollie Chesterman")</f>
        <v>Ollie Chesterman</v>
      </c>
      <c r="C282" s="5">
        <v>10.0</v>
      </c>
      <c r="D282" s="3">
        <f>countif('OTPI Scores'!C:C,B282)</f>
        <v>0</v>
      </c>
      <c r="E282" s="3">
        <f t="shared" si="1"/>
        <v>0</v>
      </c>
      <c r="F282" s="3">
        <f>sumif('OTPI Scores'!C:C,B282,'OTPI Scores'!T:T)</f>
        <v>0</v>
      </c>
      <c r="G282" s="3" t="str">
        <f>SUMIF('Match Subs Filter'!E:E,B282,'Match Subs Filter'!F:F)+sumif('Bank Transfers'!B:B,B282,'Bank Transfers'!C:C)</f>
        <v>#N/A</v>
      </c>
      <c r="H282" s="50" t="str">
        <f t="shared" si="2"/>
        <v>#N/A</v>
      </c>
      <c r="I282" s="51">
        <f t="array" ref="I282">IF(IFERROR(lookup(1,1/SEARCH(B282,'OTPI Scores'!C:C),'OTPI Scores'!E:E),0)="Vets",7,IFERROR(lookup(1,1/SEARCH(B282,'OTPI Scores'!C:C),'OTPI Scores'!E:E),0))</f>
        <v>0</v>
      </c>
      <c r="J282" s="37"/>
      <c r="K282" s="37"/>
      <c r="L282" s="37"/>
      <c r="M282" s="37"/>
      <c r="N282" s="37"/>
      <c r="O282" s="37"/>
      <c r="P282" s="37"/>
      <c r="Q282" s="37"/>
      <c r="R282" s="37"/>
      <c r="S282" s="37"/>
      <c r="T282" s="37"/>
      <c r="U282" s="37"/>
      <c r="V282" s="37"/>
      <c r="W282" s="37"/>
      <c r="X282" s="37"/>
    </row>
    <row r="283">
      <c r="A283" s="37"/>
      <c r="B283" s="49" t="str">
        <f>IFERROR(__xludf.DUMMYFUNCTION("""COMPUTED_VALUE"""),"Ollie Conetta")</f>
        <v>Ollie Conetta</v>
      </c>
      <c r="C283" s="5">
        <v>10.0</v>
      </c>
      <c r="D283" s="3">
        <f>countif('OTPI Scores'!C:C,B283)</f>
        <v>0</v>
      </c>
      <c r="E283" s="3">
        <f t="shared" si="1"/>
        <v>0</v>
      </c>
      <c r="F283" s="3">
        <f>sumif('OTPI Scores'!C:C,B283,'OTPI Scores'!T:T)</f>
        <v>0</v>
      </c>
      <c r="G283" s="3" t="str">
        <f>SUMIF('Match Subs Filter'!E:E,B283,'Match Subs Filter'!F:F)+sumif('Bank Transfers'!B:B,B283,'Bank Transfers'!C:C)</f>
        <v>#N/A</v>
      </c>
      <c r="H283" s="50" t="str">
        <f t="shared" si="2"/>
        <v>#N/A</v>
      </c>
      <c r="I283" s="51">
        <f t="array" ref="I283">IF(IFERROR(lookup(1,1/SEARCH(B283,'OTPI Scores'!C:C),'OTPI Scores'!E:E),0)="Vets",7,IFERROR(lookup(1,1/SEARCH(B283,'OTPI Scores'!C:C),'OTPI Scores'!E:E),0))</f>
        <v>0</v>
      </c>
      <c r="J283" s="37"/>
      <c r="K283" s="37"/>
      <c r="L283" s="37"/>
      <c r="M283" s="37"/>
      <c r="N283" s="37"/>
      <c r="O283" s="37"/>
      <c r="P283" s="37"/>
      <c r="Q283" s="37"/>
      <c r="R283" s="37"/>
      <c r="S283" s="37"/>
      <c r="T283" s="37"/>
      <c r="U283" s="37"/>
      <c r="V283" s="37"/>
      <c r="W283" s="37"/>
      <c r="X283" s="37"/>
    </row>
    <row r="284">
      <c r="A284" s="37"/>
      <c r="B284" s="49" t="str">
        <f>IFERROR(__xludf.DUMMYFUNCTION("""COMPUTED_VALUE"""),"Ollie Eldridge")</f>
        <v>Ollie Eldridge</v>
      </c>
      <c r="C284" s="5">
        <v>10.0</v>
      </c>
      <c r="D284" s="3">
        <f>countif('OTPI Scores'!C:C,B284)</f>
        <v>1</v>
      </c>
      <c r="E284" s="3">
        <f t="shared" si="1"/>
        <v>10</v>
      </c>
      <c r="F284" s="3">
        <f>sumif('OTPI Scores'!C:C,B284,'OTPI Scores'!T:T)</f>
        <v>10</v>
      </c>
      <c r="G284" s="3" t="str">
        <f>SUMIF('Match Subs Filter'!E:E,B284,'Match Subs Filter'!F:F)+sumif('Bank Transfers'!B:B,B284,'Bank Transfers'!C:C)</f>
        <v>#N/A</v>
      </c>
      <c r="H284" s="50" t="str">
        <f t="shared" si="2"/>
        <v>#N/A</v>
      </c>
      <c r="I284" s="51">
        <f t="array" ref="I284">IF(IFERROR(lookup(1,1/SEARCH(B284,'OTPI Scores'!C:C),'OTPI Scores'!E:E),0)="Vets",7,IFERROR(lookup(1,1/SEARCH(B284,'OTPI Scores'!C:C),'OTPI Scores'!E:E),0))</f>
        <v>5</v>
      </c>
      <c r="J284" s="37"/>
      <c r="K284" s="37"/>
      <c r="L284" s="37"/>
      <c r="M284" s="37"/>
      <c r="N284" s="37"/>
      <c r="O284" s="37"/>
      <c r="P284" s="37"/>
      <c r="Q284" s="37"/>
      <c r="R284" s="37"/>
      <c r="S284" s="37"/>
      <c r="T284" s="37"/>
      <c r="U284" s="37"/>
      <c r="V284" s="37"/>
      <c r="W284" s="37"/>
      <c r="X284" s="37"/>
    </row>
    <row r="285">
      <c r="A285" s="37"/>
      <c r="B285" s="49" t="str">
        <f>IFERROR(__xludf.DUMMYFUNCTION("""COMPUTED_VALUE"""),"Ollie Sewell")</f>
        <v>Ollie Sewell</v>
      </c>
      <c r="C285" s="5">
        <v>10.0</v>
      </c>
      <c r="D285" s="3">
        <f>countif('OTPI Scores'!C:C,B285)</f>
        <v>18</v>
      </c>
      <c r="E285" s="3">
        <f t="shared" si="1"/>
        <v>180</v>
      </c>
      <c r="F285" s="3">
        <f>sumif('OTPI Scores'!C:C,B285,'OTPI Scores'!T:T)</f>
        <v>75</v>
      </c>
      <c r="G285" s="3" t="str">
        <f>SUMIF('Match Subs Filter'!E:E,B285,'Match Subs Filter'!F:F)+sumif('Bank Transfers'!B:B,B285,'Bank Transfers'!C:C)</f>
        <v>#N/A</v>
      </c>
      <c r="H285" s="50" t="str">
        <f t="shared" si="2"/>
        <v>#N/A</v>
      </c>
      <c r="I285" s="51">
        <f t="array" ref="I285">IF(IFERROR(lookup(1,1/SEARCH(B285,'OTPI Scores'!C:C),'OTPI Scores'!E:E),0)="Vets",7,IFERROR(lookup(1,1/SEARCH(B285,'OTPI Scores'!C:C),'OTPI Scores'!E:E),0))</f>
        <v>1</v>
      </c>
      <c r="J285" s="37"/>
      <c r="K285" s="37"/>
      <c r="L285" s="37"/>
      <c r="M285" s="37"/>
      <c r="N285" s="37"/>
      <c r="O285" s="37"/>
      <c r="P285" s="37"/>
      <c r="Q285" s="37"/>
      <c r="R285" s="37"/>
      <c r="S285" s="37"/>
      <c r="T285" s="37"/>
      <c r="U285" s="37"/>
      <c r="V285" s="37"/>
      <c r="W285" s="37"/>
      <c r="X285" s="37"/>
    </row>
    <row r="286">
      <c r="A286" s="37"/>
      <c r="B286" s="49" t="str">
        <f>IFERROR(__xludf.DUMMYFUNCTION("""COMPUTED_VALUE"""),"Olly Mason")</f>
        <v>Olly Mason</v>
      </c>
      <c r="C286" s="5">
        <v>10.0</v>
      </c>
      <c r="D286" s="3">
        <f>countif('OTPI Scores'!C:C,B286)</f>
        <v>3</v>
      </c>
      <c r="E286" s="3">
        <f t="shared" si="1"/>
        <v>30</v>
      </c>
      <c r="F286" s="3">
        <f>sumif('OTPI Scores'!C:C,B286,'OTPI Scores'!T:T)</f>
        <v>25</v>
      </c>
      <c r="G286" s="3" t="str">
        <f>SUMIF('Match Subs Filter'!E:E,B286,'Match Subs Filter'!F:F)+sumif('Bank Transfers'!B:B,B286,'Bank Transfers'!C:C)</f>
        <v>#N/A</v>
      </c>
      <c r="H286" s="50" t="str">
        <f t="shared" si="2"/>
        <v>#N/A</v>
      </c>
      <c r="I286" s="51">
        <f t="array" ref="I286">IF(IFERROR(lookup(1,1/SEARCH(B286,'OTPI Scores'!C:C),'OTPI Scores'!E:E),0)="Vets",7,IFERROR(lookup(1,1/SEARCH(B286,'OTPI Scores'!C:C),'OTPI Scores'!E:E),0))</f>
        <v>3</v>
      </c>
      <c r="J286" s="37"/>
      <c r="K286" s="37"/>
      <c r="L286" s="37"/>
      <c r="M286" s="37"/>
      <c r="N286" s="37"/>
      <c r="O286" s="37"/>
      <c r="P286" s="37"/>
      <c r="Q286" s="37"/>
      <c r="R286" s="37"/>
      <c r="S286" s="37"/>
      <c r="T286" s="37"/>
      <c r="U286" s="37"/>
      <c r="V286" s="37"/>
      <c r="W286" s="37"/>
      <c r="X286" s="37"/>
    </row>
    <row r="287">
      <c r="A287" s="37"/>
      <c r="B287" s="49" t="str">
        <f>IFERROR(__xludf.DUMMYFUNCTION("""COMPUTED_VALUE"""),"Oussama Boulbadaoui")</f>
        <v>Oussama Boulbadaoui</v>
      </c>
      <c r="C287" s="5">
        <v>10.0</v>
      </c>
      <c r="D287" s="3">
        <f>countif('OTPI Scores'!C:C,B287)</f>
        <v>0</v>
      </c>
      <c r="E287" s="3">
        <f t="shared" si="1"/>
        <v>0</v>
      </c>
      <c r="F287" s="3">
        <f>sumif('OTPI Scores'!C:C,B287,'OTPI Scores'!T:T)</f>
        <v>0</v>
      </c>
      <c r="G287" s="3" t="str">
        <f>SUMIF('Match Subs Filter'!E:E,B287,'Match Subs Filter'!F:F)+sumif('Bank Transfers'!B:B,B287,'Bank Transfers'!C:C)</f>
        <v>#N/A</v>
      </c>
      <c r="H287" s="50" t="str">
        <f t="shared" si="2"/>
        <v>#N/A</v>
      </c>
      <c r="I287" s="51">
        <f t="array" ref="I287">IF(IFERROR(lookup(1,1/SEARCH(B287,'OTPI Scores'!C:C),'OTPI Scores'!E:E),0)="Vets",7,IFERROR(lookup(1,1/SEARCH(B287,'OTPI Scores'!C:C),'OTPI Scores'!E:E),0))</f>
        <v>0</v>
      </c>
      <c r="J287" s="37"/>
      <c r="K287" s="37"/>
      <c r="L287" s="37"/>
      <c r="M287" s="37"/>
      <c r="N287" s="37"/>
      <c r="O287" s="37"/>
      <c r="P287" s="37"/>
      <c r="Q287" s="37"/>
      <c r="R287" s="37"/>
      <c r="S287" s="37"/>
      <c r="T287" s="37"/>
      <c r="U287" s="37"/>
      <c r="V287" s="37"/>
      <c r="W287" s="37"/>
      <c r="X287" s="37"/>
    </row>
    <row r="288">
      <c r="A288" s="37"/>
      <c r="B288" s="49" t="str">
        <f>IFERROR(__xludf.DUMMYFUNCTION("""COMPUTED_VALUE"""),"Paddy Troy")</f>
        <v>Paddy Troy</v>
      </c>
      <c r="C288" s="5">
        <v>10.0</v>
      </c>
      <c r="D288" s="3">
        <f>countif('OTPI Scores'!C:C,B288)</f>
        <v>2</v>
      </c>
      <c r="E288" s="3">
        <f t="shared" si="1"/>
        <v>20</v>
      </c>
      <c r="F288" s="3">
        <f>sumif('OTPI Scores'!C:C,B288,'OTPI Scores'!T:T)</f>
        <v>20</v>
      </c>
      <c r="G288" s="3" t="str">
        <f>SUMIF('Match Subs Filter'!E:E,B288,'Match Subs Filter'!F:F)+sumif('Bank Transfers'!B:B,B288,'Bank Transfers'!C:C)</f>
        <v>#N/A</v>
      </c>
      <c r="H288" s="50" t="str">
        <f t="shared" si="2"/>
        <v>#N/A</v>
      </c>
      <c r="I288" s="51">
        <f t="array" ref="I288">IF(IFERROR(lookup(1,1/SEARCH(B288,'OTPI Scores'!C:C),'OTPI Scores'!E:E),0)="Vets",7,IFERROR(lookup(1,1/SEARCH(B288,'OTPI Scores'!C:C),'OTPI Scores'!E:E),0))</f>
        <v>6</v>
      </c>
      <c r="J288" s="37"/>
      <c r="K288" s="37"/>
      <c r="L288" s="37"/>
      <c r="M288" s="37"/>
      <c r="N288" s="37"/>
      <c r="O288" s="37"/>
      <c r="P288" s="37"/>
      <c r="Q288" s="37"/>
      <c r="R288" s="37"/>
      <c r="S288" s="37"/>
      <c r="T288" s="37"/>
      <c r="U288" s="37"/>
      <c r="V288" s="37"/>
      <c r="W288" s="37"/>
      <c r="X288" s="37"/>
    </row>
    <row r="289">
      <c r="A289" s="37"/>
      <c r="B289" s="49" t="str">
        <f>IFERROR(__xludf.DUMMYFUNCTION("""COMPUTED_VALUE"""),"Parimal Patel")</f>
        <v>Parimal Patel</v>
      </c>
      <c r="C289" s="5">
        <v>10.0</v>
      </c>
      <c r="D289" s="3">
        <f>countif('OTPI Scores'!C:C,B289)</f>
        <v>16</v>
      </c>
      <c r="E289" s="3">
        <f t="shared" si="1"/>
        <v>160</v>
      </c>
      <c r="F289" s="3">
        <f>sumif('OTPI Scores'!C:C,B289,'OTPI Scores'!T:T)</f>
        <v>100</v>
      </c>
      <c r="G289" s="3" t="str">
        <f>SUMIF('Match Subs Filter'!E:E,B289,'Match Subs Filter'!F:F)+sumif('Bank Transfers'!B:B,B289,'Bank Transfers'!C:C)</f>
        <v>#N/A</v>
      </c>
      <c r="H289" s="50" t="str">
        <f t="shared" si="2"/>
        <v>#N/A</v>
      </c>
      <c r="I289" s="51">
        <f t="array" ref="I289">IF(IFERROR(lookup(1,1/SEARCH(B289,'OTPI Scores'!C:C),'OTPI Scores'!E:E),0)="Vets",7,IFERROR(lookup(1,1/SEARCH(B289,'OTPI Scores'!C:C),'OTPI Scores'!E:E),0))</f>
        <v>1</v>
      </c>
      <c r="J289" s="37"/>
      <c r="K289" s="37"/>
      <c r="L289" s="37"/>
      <c r="M289" s="37"/>
      <c r="N289" s="37"/>
      <c r="O289" s="37"/>
      <c r="P289" s="37"/>
      <c r="Q289" s="37"/>
      <c r="R289" s="37"/>
      <c r="S289" s="37"/>
      <c r="T289" s="37"/>
      <c r="U289" s="37"/>
      <c r="V289" s="37"/>
      <c r="W289" s="37"/>
      <c r="X289" s="37"/>
    </row>
    <row r="290">
      <c r="A290" s="37"/>
      <c r="B290" s="49" t="str">
        <f>IFERROR(__xludf.DUMMYFUNCTION("""COMPUTED_VALUE"""),"Paul Ball")</f>
        <v>Paul Ball</v>
      </c>
      <c r="C290" s="5">
        <v>10.0</v>
      </c>
      <c r="D290" s="3">
        <f>countif('OTPI Scores'!C:C,B290)</f>
        <v>18</v>
      </c>
      <c r="E290" s="3">
        <f t="shared" si="1"/>
        <v>180</v>
      </c>
      <c r="F290" s="3">
        <f>sumif('OTPI Scores'!C:C,B290,'OTPI Scores'!T:T)</f>
        <v>180</v>
      </c>
      <c r="G290" s="3" t="str">
        <f>SUMIF('Match Subs Filter'!E:E,B290,'Match Subs Filter'!F:F)+sumif('Bank Transfers'!B:B,B290,'Bank Transfers'!C:C)</f>
        <v>#N/A</v>
      </c>
      <c r="H290" s="50" t="str">
        <f t="shared" si="2"/>
        <v>#N/A</v>
      </c>
      <c r="I290" s="51">
        <f t="array" ref="I290">IF(IFERROR(lookup(1,1/SEARCH(B290,'OTPI Scores'!C:C),'OTPI Scores'!E:E),0)="Vets",7,IFERROR(lookup(1,1/SEARCH(B290,'OTPI Scores'!C:C),'OTPI Scores'!E:E),0))</f>
        <v>2</v>
      </c>
      <c r="J290" s="37"/>
      <c r="K290" s="37"/>
      <c r="L290" s="37"/>
      <c r="M290" s="37"/>
      <c r="N290" s="37"/>
      <c r="O290" s="37"/>
      <c r="P290" s="37"/>
      <c r="Q290" s="37"/>
      <c r="R290" s="37"/>
      <c r="S290" s="37"/>
      <c r="T290" s="37"/>
      <c r="U290" s="37"/>
      <c r="V290" s="37"/>
      <c r="W290" s="37"/>
      <c r="X290" s="37"/>
    </row>
    <row r="291">
      <c r="A291" s="37"/>
      <c r="B291" s="49" t="str">
        <f>IFERROR(__xludf.DUMMYFUNCTION("""COMPUTED_VALUE"""),"Paul Jalil")</f>
        <v>Paul Jalil</v>
      </c>
      <c r="C291" s="5">
        <v>10.0</v>
      </c>
      <c r="D291" s="3">
        <f>countif('OTPI Scores'!C:C,B291)</f>
        <v>9</v>
      </c>
      <c r="E291" s="3">
        <f t="shared" si="1"/>
        <v>90</v>
      </c>
      <c r="F291" s="3">
        <f>sumif('OTPI Scores'!C:C,B291,'OTPI Scores'!T:T)</f>
        <v>80</v>
      </c>
      <c r="G291" s="3" t="str">
        <f>SUMIF('Match Subs Filter'!E:E,B291,'Match Subs Filter'!F:F)+sumif('Bank Transfers'!B:B,B291,'Bank Transfers'!C:C)</f>
        <v>#N/A</v>
      </c>
      <c r="H291" s="50" t="str">
        <f t="shared" si="2"/>
        <v>#N/A</v>
      </c>
      <c r="I291" s="51">
        <f t="array" ref="I291">IF(IFERROR(lookup(1,1/SEARCH(B291,'OTPI Scores'!C:C),'OTPI Scores'!E:E),0)="Vets",7,IFERROR(lookup(1,1/SEARCH(B291,'OTPI Scores'!C:C),'OTPI Scores'!E:E),0))</f>
        <v>7</v>
      </c>
      <c r="J291" s="37"/>
      <c r="K291" s="37"/>
      <c r="L291" s="37"/>
      <c r="M291" s="37"/>
      <c r="N291" s="37"/>
      <c r="O291" s="37"/>
      <c r="P291" s="37"/>
      <c r="Q291" s="37"/>
      <c r="R291" s="37"/>
      <c r="S291" s="37"/>
      <c r="T291" s="37"/>
      <c r="U291" s="37"/>
      <c r="V291" s="37"/>
      <c r="W291" s="37"/>
      <c r="X291" s="37"/>
    </row>
    <row r="292">
      <c r="A292" s="37"/>
      <c r="B292" s="49" t="str">
        <f>IFERROR(__xludf.DUMMYFUNCTION("""COMPUTED_VALUE"""),"Pearl Bakengela")</f>
        <v>Pearl Bakengela</v>
      </c>
      <c r="C292" s="5">
        <v>10.0</v>
      </c>
      <c r="D292" s="3">
        <f>countif('OTPI Scores'!C:C,B292)</f>
        <v>12</v>
      </c>
      <c r="E292" s="3">
        <f t="shared" si="1"/>
        <v>120</v>
      </c>
      <c r="F292" s="3">
        <f>sumif('OTPI Scores'!C:C,B292,'OTPI Scores'!T:T)</f>
        <v>80</v>
      </c>
      <c r="G292" s="3" t="str">
        <f>SUMIF('Match Subs Filter'!E:E,B292,'Match Subs Filter'!F:F)+sumif('Bank Transfers'!B:B,B292,'Bank Transfers'!C:C)</f>
        <v>#N/A</v>
      </c>
      <c r="H292" s="50" t="str">
        <f t="shared" si="2"/>
        <v>#N/A</v>
      </c>
      <c r="I292" s="51">
        <f t="array" ref="I292">IF(IFERROR(lookup(1,1/SEARCH(B292,'OTPI Scores'!C:C),'OTPI Scores'!E:E),0)="Vets",7,IFERROR(lookup(1,1/SEARCH(B292,'OTPI Scores'!C:C),'OTPI Scores'!E:E),0))</f>
        <v>6</v>
      </c>
      <c r="J292" s="37"/>
      <c r="K292" s="37"/>
      <c r="L292" s="37"/>
      <c r="M292" s="37"/>
      <c r="N292" s="37"/>
      <c r="O292" s="37"/>
      <c r="P292" s="37"/>
      <c r="Q292" s="37"/>
      <c r="R292" s="37"/>
      <c r="S292" s="37"/>
      <c r="T292" s="37"/>
      <c r="U292" s="37"/>
      <c r="V292" s="37"/>
      <c r="W292" s="37"/>
      <c r="X292" s="37"/>
    </row>
    <row r="293">
      <c r="A293" s="37"/>
      <c r="B293" s="49" t="str">
        <f>IFERROR(__xludf.DUMMYFUNCTION("""COMPUTED_VALUE"""),"Peter Green")</f>
        <v>Peter Green</v>
      </c>
      <c r="C293" s="5">
        <v>10.0</v>
      </c>
      <c r="D293" s="3">
        <f>countif('OTPI Scores'!C:C,B293)</f>
        <v>15</v>
      </c>
      <c r="E293" s="3">
        <f t="shared" si="1"/>
        <v>150</v>
      </c>
      <c r="F293" s="3">
        <f>sumif('OTPI Scores'!C:C,B293,'OTPI Scores'!T:T)</f>
        <v>70</v>
      </c>
      <c r="G293" s="3" t="str">
        <f>SUMIF('Match Subs Filter'!E:E,B293,'Match Subs Filter'!F:F)+sumif('Bank Transfers'!B:B,B293,'Bank Transfers'!C:C)</f>
        <v>#N/A</v>
      </c>
      <c r="H293" s="50" t="str">
        <f t="shared" si="2"/>
        <v>#N/A</v>
      </c>
      <c r="I293" s="51">
        <f t="array" ref="I293">IF(IFERROR(lookup(1,1/SEARCH(B293,'OTPI Scores'!C:C),'OTPI Scores'!E:E),0)="Vets",7,IFERROR(lookup(1,1/SEARCH(B293,'OTPI Scores'!C:C),'OTPI Scores'!E:E),0))</f>
        <v>6</v>
      </c>
      <c r="J293" s="37"/>
      <c r="K293" s="37"/>
      <c r="L293" s="37"/>
      <c r="M293" s="37"/>
      <c r="N293" s="37"/>
      <c r="O293" s="37"/>
      <c r="P293" s="37"/>
      <c r="Q293" s="37"/>
      <c r="R293" s="37"/>
      <c r="S293" s="37"/>
      <c r="T293" s="37"/>
      <c r="U293" s="37"/>
      <c r="V293" s="37"/>
      <c r="W293" s="37"/>
      <c r="X293" s="37"/>
    </row>
    <row r="294">
      <c r="A294" s="37"/>
      <c r="B294" s="49" t="str">
        <f>IFERROR(__xludf.DUMMYFUNCTION("""COMPUTED_VALUE"""),"Phil Boden")</f>
        <v>Phil Boden</v>
      </c>
      <c r="C294" s="5">
        <v>10.0</v>
      </c>
      <c r="D294" s="3">
        <f>countif('OTPI Scores'!C:C,B294)</f>
        <v>5</v>
      </c>
      <c r="E294" s="3">
        <f t="shared" si="1"/>
        <v>50</v>
      </c>
      <c r="F294" s="3">
        <f>sumif('OTPI Scores'!C:C,B294,'OTPI Scores'!T:T)</f>
        <v>35</v>
      </c>
      <c r="G294" s="3" t="str">
        <f>SUMIF('Match Subs Filter'!E:E,B294,'Match Subs Filter'!F:F)+sumif('Bank Transfers'!B:B,B294,'Bank Transfers'!C:C)</f>
        <v>#N/A</v>
      </c>
      <c r="H294" s="50" t="str">
        <f t="shared" si="2"/>
        <v>#N/A</v>
      </c>
      <c r="I294" s="51">
        <f t="array" ref="I294">IF(IFERROR(lookup(1,1/SEARCH(B294,'OTPI Scores'!C:C),'OTPI Scores'!E:E),0)="Vets",7,IFERROR(lookup(1,1/SEARCH(B294,'OTPI Scores'!C:C),'OTPI Scores'!E:E),0))</f>
        <v>7</v>
      </c>
      <c r="J294" s="37"/>
      <c r="K294" s="37"/>
      <c r="L294" s="37"/>
      <c r="M294" s="37"/>
      <c r="N294" s="37"/>
      <c r="O294" s="37"/>
      <c r="P294" s="37"/>
      <c r="Q294" s="37"/>
      <c r="R294" s="37"/>
      <c r="S294" s="37"/>
      <c r="T294" s="37"/>
      <c r="U294" s="37"/>
      <c r="V294" s="37"/>
      <c r="W294" s="37"/>
      <c r="X294" s="37"/>
    </row>
    <row r="295">
      <c r="A295" s="37"/>
      <c r="B295" s="49" t="str">
        <f>IFERROR(__xludf.DUMMYFUNCTION("""COMPUTED_VALUE"""),"Pierce Bennett")</f>
        <v>Pierce Bennett</v>
      </c>
      <c r="C295" s="5">
        <v>10.0</v>
      </c>
      <c r="D295" s="3">
        <f>countif('OTPI Scores'!C:C,B295)</f>
        <v>8</v>
      </c>
      <c r="E295" s="3">
        <f t="shared" si="1"/>
        <v>80</v>
      </c>
      <c r="F295" s="3">
        <f>sumif('OTPI Scores'!C:C,B295,'OTPI Scores'!T:T)</f>
        <v>80</v>
      </c>
      <c r="G295" s="3" t="str">
        <f>SUMIF('Match Subs Filter'!E:E,B295,'Match Subs Filter'!F:F)+sumif('Bank Transfers'!B:B,B295,'Bank Transfers'!C:C)</f>
        <v>#N/A</v>
      </c>
      <c r="H295" s="50" t="str">
        <f t="shared" si="2"/>
        <v>#N/A</v>
      </c>
      <c r="I295" s="51">
        <f t="array" ref="I295">IF(IFERROR(lookup(1,1/SEARCH(B295,'OTPI Scores'!C:C),'OTPI Scores'!E:E),0)="Vets",7,IFERROR(lookup(1,1/SEARCH(B295,'OTPI Scores'!C:C),'OTPI Scores'!E:E),0))</f>
        <v>6</v>
      </c>
      <c r="J295" s="37"/>
      <c r="K295" s="37"/>
      <c r="L295" s="37"/>
      <c r="M295" s="37"/>
      <c r="N295" s="37"/>
      <c r="O295" s="37"/>
      <c r="P295" s="37"/>
      <c r="Q295" s="37"/>
      <c r="R295" s="37"/>
      <c r="S295" s="37"/>
      <c r="T295" s="37"/>
      <c r="U295" s="37"/>
      <c r="V295" s="37"/>
      <c r="W295" s="37"/>
      <c r="X295" s="37"/>
    </row>
    <row r="296">
      <c r="A296" s="37"/>
      <c r="B296" s="49" t="str">
        <f>IFERROR(__xludf.DUMMYFUNCTION("""COMPUTED_VALUE"""),"Raj Ramful")</f>
        <v>Raj Ramful</v>
      </c>
      <c r="C296" s="5">
        <v>10.0</v>
      </c>
      <c r="D296" s="3">
        <f>countif('OTPI Scores'!C:C,B296)</f>
        <v>9</v>
      </c>
      <c r="E296" s="3">
        <f t="shared" si="1"/>
        <v>90</v>
      </c>
      <c r="F296" s="3">
        <f>sumif('OTPI Scores'!C:C,B296,'OTPI Scores'!T:T)</f>
        <v>65</v>
      </c>
      <c r="G296" s="3" t="str">
        <f>SUMIF('Match Subs Filter'!E:E,B296,'Match Subs Filter'!F:F)+sumif('Bank Transfers'!B:B,B296,'Bank Transfers'!C:C)</f>
        <v>#N/A</v>
      </c>
      <c r="H296" s="50" t="str">
        <f t="shared" si="2"/>
        <v>#N/A</v>
      </c>
      <c r="I296" s="51">
        <f t="array" ref="I296">IF(IFERROR(lookup(1,1/SEARCH(B296,'OTPI Scores'!C:C),'OTPI Scores'!E:E),0)="Vets",7,IFERROR(lookup(1,1/SEARCH(B296,'OTPI Scores'!C:C),'OTPI Scores'!E:E),0))</f>
        <v>6</v>
      </c>
      <c r="J296" s="37"/>
      <c r="K296" s="37"/>
      <c r="L296" s="37"/>
      <c r="M296" s="37"/>
      <c r="N296" s="37"/>
      <c r="O296" s="37"/>
      <c r="P296" s="37"/>
      <c r="Q296" s="37"/>
      <c r="R296" s="37"/>
      <c r="S296" s="37"/>
      <c r="T296" s="37"/>
      <c r="U296" s="37"/>
      <c r="V296" s="37"/>
      <c r="W296" s="37"/>
      <c r="X296" s="37"/>
    </row>
    <row r="297">
      <c r="A297" s="37"/>
      <c r="B297" s="49" t="str">
        <f>IFERROR(__xludf.DUMMYFUNCTION("""COMPUTED_VALUE"""),"Reece Cudjoe")</f>
        <v>Reece Cudjoe</v>
      </c>
      <c r="C297" s="5">
        <v>10.0</v>
      </c>
      <c r="D297" s="3">
        <f>countif('OTPI Scores'!C:C,B297)</f>
        <v>0</v>
      </c>
      <c r="E297" s="3">
        <f t="shared" si="1"/>
        <v>0</v>
      </c>
      <c r="F297" s="3">
        <f>sumif('OTPI Scores'!C:C,B297,'OTPI Scores'!T:T)</f>
        <v>0</v>
      </c>
      <c r="G297" s="3" t="str">
        <f>SUMIF('Match Subs Filter'!E:E,B297,'Match Subs Filter'!F:F)+sumif('Bank Transfers'!B:B,B297,'Bank Transfers'!C:C)</f>
        <v>#N/A</v>
      </c>
      <c r="H297" s="50" t="str">
        <f t="shared" si="2"/>
        <v>#N/A</v>
      </c>
      <c r="I297" s="51">
        <f t="array" ref="I297">IF(IFERROR(lookup(1,1/SEARCH(B297,'OTPI Scores'!C:C),'OTPI Scores'!E:E),0)="Vets",7,IFERROR(lookup(1,1/SEARCH(B297,'OTPI Scores'!C:C),'OTPI Scores'!E:E),0))</f>
        <v>0</v>
      </c>
      <c r="J297" s="37"/>
      <c r="K297" s="37"/>
      <c r="L297" s="37"/>
      <c r="M297" s="37"/>
      <c r="N297" s="37"/>
      <c r="O297" s="37"/>
      <c r="P297" s="37"/>
      <c r="Q297" s="37"/>
      <c r="R297" s="37"/>
      <c r="S297" s="37"/>
      <c r="T297" s="37"/>
      <c r="U297" s="37"/>
      <c r="V297" s="37"/>
      <c r="W297" s="37"/>
      <c r="X297" s="37"/>
    </row>
    <row r="298">
      <c r="A298" s="37"/>
      <c r="B298" s="49" t="str">
        <f>IFERROR(__xludf.DUMMYFUNCTION("""COMPUTED_VALUE"""),"Reiss Hutton")</f>
        <v>Reiss Hutton</v>
      </c>
      <c r="C298" s="5">
        <v>10.0</v>
      </c>
      <c r="D298" s="3">
        <f>countif('OTPI Scores'!C:C,B298)</f>
        <v>6</v>
      </c>
      <c r="E298" s="3">
        <f t="shared" si="1"/>
        <v>60</v>
      </c>
      <c r="F298" s="3">
        <f>sumif('OTPI Scores'!C:C,B298,'OTPI Scores'!T:T)</f>
        <v>35</v>
      </c>
      <c r="G298" s="3" t="str">
        <f>SUMIF('Match Subs Filter'!E:E,B298,'Match Subs Filter'!F:F)+sumif('Bank Transfers'!B:B,B298,'Bank Transfers'!C:C)</f>
        <v>#N/A</v>
      </c>
      <c r="H298" s="50" t="str">
        <f t="shared" si="2"/>
        <v>#N/A</v>
      </c>
      <c r="I298" s="51">
        <f t="array" ref="I298">IF(IFERROR(lookup(1,1/SEARCH(B298,'OTPI Scores'!C:C),'OTPI Scores'!E:E),0)="Vets",7,IFERROR(lookup(1,1/SEARCH(B298,'OTPI Scores'!C:C),'OTPI Scores'!E:E),0))</f>
        <v>1</v>
      </c>
      <c r="J298" s="37"/>
      <c r="K298" s="37"/>
      <c r="L298" s="37"/>
      <c r="M298" s="37"/>
      <c r="N298" s="37"/>
      <c r="O298" s="37"/>
      <c r="P298" s="37"/>
      <c r="Q298" s="37"/>
      <c r="R298" s="37"/>
      <c r="S298" s="37"/>
      <c r="T298" s="37"/>
      <c r="U298" s="37"/>
      <c r="V298" s="37"/>
      <c r="W298" s="37"/>
      <c r="X298" s="37"/>
    </row>
    <row r="299">
      <c r="A299" s="37"/>
      <c r="B299" s="49" t="str">
        <f>IFERROR(__xludf.DUMMYFUNCTION("""COMPUTED_VALUE"""),"Remi Sellers")</f>
        <v>Remi Sellers</v>
      </c>
      <c r="C299" s="5">
        <v>10.0</v>
      </c>
      <c r="D299" s="3">
        <f>countif('OTPI Scores'!C:C,B299)</f>
        <v>2</v>
      </c>
      <c r="E299" s="3">
        <f t="shared" si="1"/>
        <v>20</v>
      </c>
      <c r="F299" s="3">
        <f>sumif('OTPI Scores'!C:C,B299,'OTPI Scores'!T:T)</f>
        <v>20</v>
      </c>
      <c r="G299" s="3" t="str">
        <f>SUMIF('Match Subs Filter'!E:E,B299,'Match Subs Filter'!F:F)+sumif('Bank Transfers'!B:B,B299,'Bank Transfers'!C:C)</f>
        <v>#N/A</v>
      </c>
      <c r="H299" s="50" t="str">
        <f t="shared" si="2"/>
        <v>#N/A</v>
      </c>
      <c r="I299" s="51">
        <f t="array" ref="I299">IF(IFERROR(lookup(1,1/SEARCH(B299,'OTPI Scores'!C:C),'OTPI Scores'!E:E),0)="Vets",7,IFERROR(lookup(1,1/SEARCH(B299,'OTPI Scores'!C:C),'OTPI Scores'!E:E),0))</f>
        <v>7</v>
      </c>
      <c r="J299" s="37"/>
      <c r="K299" s="37"/>
      <c r="L299" s="37"/>
      <c r="M299" s="37"/>
      <c r="N299" s="37"/>
      <c r="O299" s="37"/>
      <c r="P299" s="37"/>
      <c r="Q299" s="37"/>
      <c r="R299" s="37"/>
      <c r="S299" s="37"/>
      <c r="T299" s="37"/>
      <c r="U299" s="37"/>
      <c r="V299" s="37"/>
      <c r="W299" s="37"/>
      <c r="X299" s="37"/>
    </row>
    <row r="300">
      <c r="A300" s="37"/>
      <c r="B300" s="49" t="str">
        <f>IFERROR(__xludf.DUMMYFUNCTION("""COMPUTED_VALUE"""),"Rich Lundie")</f>
        <v>Rich Lundie</v>
      </c>
      <c r="C300" s="5">
        <v>10.0</v>
      </c>
      <c r="D300" s="3">
        <f>countif('OTPI Scores'!C:C,B300)</f>
        <v>23</v>
      </c>
      <c r="E300" s="3">
        <f t="shared" si="1"/>
        <v>230</v>
      </c>
      <c r="F300" s="3">
        <f>sumif('OTPI Scores'!C:C,B300,'OTPI Scores'!T:T)</f>
        <v>180</v>
      </c>
      <c r="G300" s="3" t="str">
        <f>SUMIF('Match Subs Filter'!E:E,B300,'Match Subs Filter'!F:F)+sumif('Bank Transfers'!B:B,B300,'Bank Transfers'!C:C)</f>
        <v>#N/A</v>
      </c>
      <c r="H300" s="50" t="str">
        <f t="shared" si="2"/>
        <v>#N/A</v>
      </c>
      <c r="I300" s="51">
        <f t="array" ref="I300">IF(IFERROR(lookup(1,1/SEARCH(B300,'OTPI Scores'!C:C),'OTPI Scores'!E:E),0)="Vets",7,IFERROR(lookup(1,1/SEARCH(B300,'OTPI Scores'!C:C),'OTPI Scores'!E:E),0))</f>
        <v>3</v>
      </c>
      <c r="J300" s="37"/>
      <c r="K300" s="37"/>
      <c r="L300" s="37"/>
      <c r="M300" s="37"/>
      <c r="N300" s="37"/>
      <c r="O300" s="37"/>
      <c r="P300" s="37"/>
      <c r="Q300" s="37"/>
      <c r="R300" s="37"/>
      <c r="S300" s="37"/>
      <c r="T300" s="37"/>
      <c r="U300" s="37"/>
      <c r="V300" s="37"/>
      <c r="W300" s="37"/>
      <c r="X300" s="37"/>
    </row>
    <row r="301">
      <c r="A301" s="37"/>
      <c r="B301" s="49" t="str">
        <f>IFERROR(__xludf.DUMMYFUNCTION("""COMPUTED_VALUE"""),"Rich Robinson")</f>
        <v>Rich Robinson</v>
      </c>
      <c r="C301" s="5">
        <v>10.0</v>
      </c>
      <c r="D301" s="3">
        <f>countif('OTPI Scores'!C:C,B301)</f>
        <v>2</v>
      </c>
      <c r="E301" s="3">
        <f t="shared" si="1"/>
        <v>20</v>
      </c>
      <c r="F301" s="3">
        <f>sumif('OTPI Scores'!C:C,B301,'OTPI Scores'!T:T)</f>
        <v>0</v>
      </c>
      <c r="G301" s="3" t="str">
        <f>SUMIF('Match Subs Filter'!E:E,B301,'Match Subs Filter'!F:F)+sumif('Bank Transfers'!B:B,B301,'Bank Transfers'!C:C)</f>
        <v>#N/A</v>
      </c>
      <c r="H301" s="50" t="str">
        <f t="shared" si="2"/>
        <v>#N/A</v>
      </c>
      <c r="I301" s="51">
        <f t="array" ref="I301">IF(IFERROR(lookup(1,1/SEARCH(B301,'OTPI Scores'!C:C),'OTPI Scores'!E:E),0)="Vets",7,IFERROR(lookup(1,1/SEARCH(B301,'OTPI Scores'!C:C),'OTPI Scores'!E:E),0))</f>
        <v>3</v>
      </c>
      <c r="J301" s="37"/>
      <c r="K301" s="37"/>
      <c r="L301" s="37"/>
      <c r="M301" s="37"/>
      <c r="N301" s="37"/>
      <c r="O301" s="37"/>
      <c r="P301" s="37"/>
      <c r="Q301" s="37"/>
      <c r="R301" s="37"/>
      <c r="S301" s="37"/>
      <c r="T301" s="37"/>
      <c r="U301" s="37"/>
      <c r="V301" s="37"/>
      <c r="W301" s="37"/>
      <c r="X301" s="37"/>
    </row>
    <row r="302">
      <c r="A302" s="37"/>
      <c r="B302" s="49" t="str">
        <f>IFERROR(__xludf.DUMMYFUNCTION("""COMPUTED_VALUE"""),"Richard Jones")</f>
        <v>Richard Jones</v>
      </c>
      <c r="C302" s="5">
        <v>10.0</v>
      </c>
      <c r="D302" s="3">
        <f>countif('OTPI Scores'!C:C,B302)</f>
        <v>17</v>
      </c>
      <c r="E302" s="3">
        <f t="shared" si="1"/>
        <v>170</v>
      </c>
      <c r="F302" s="3">
        <f>sumif('OTPI Scores'!C:C,B302,'OTPI Scores'!T:T)</f>
        <v>165</v>
      </c>
      <c r="G302" s="3" t="str">
        <f>SUMIF('Match Subs Filter'!E:E,B302,'Match Subs Filter'!F:F)+sumif('Bank Transfers'!B:B,B302,'Bank Transfers'!C:C)</f>
        <v>#N/A</v>
      </c>
      <c r="H302" s="50" t="str">
        <f t="shared" si="2"/>
        <v>#N/A</v>
      </c>
      <c r="I302" s="51">
        <f t="array" ref="I302">IF(IFERROR(lookup(1,1/SEARCH(B302,'OTPI Scores'!C:C),'OTPI Scores'!E:E),0)="Vets",7,IFERROR(lookup(1,1/SEARCH(B302,'OTPI Scores'!C:C),'OTPI Scores'!E:E),0))</f>
        <v>3</v>
      </c>
      <c r="J302" s="37"/>
      <c r="K302" s="37"/>
      <c r="L302" s="37"/>
      <c r="M302" s="37"/>
      <c r="N302" s="37"/>
      <c r="O302" s="37"/>
      <c r="P302" s="37"/>
      <c r="Q302" s="37"/>
      <c r="R302" s="37"/>
      <c r="S302" s="37"/>
      <c r="T302" s="37"/>
      <c r="U302" s="37"/>
      <c r="V302" s="37"/>
      <c r="W302" s="37"/>
      <c r="X302" s="37"/>
    </row>
    <row r="303">
      <c r="A303" s="37"/>
      <c r="B303" s="49" t="str">
        <f>IFERROR(__xludf.DUMMYFUNCTION("""COMPUTED_VALUE"""),"Richard Scott")</f>
        <v>Richard Scott</v>
      </c>
      <c r="C303" s="5">
        <v>10.0</v>
      </c>
      <c r="D303" s="3">
        <f>countif('OTPI Scores'!C:C,B303)</f>
        <v>6</v>
      </c>
      <c r="E303" s="3">
        <f t="shared" si="1"/>
        <v>60</v>
      </c>
      <c r="F303" s="3">
        <f>sumif('OTPI Scores'!C:C,B303,'OTPI Scores'!T:T)</f>
        <v>60</v>
      </c>
      <c r="G303" s="3" t="str">
        <f>SUMIF('Match Subs Filter'!E:E,B303,'Match Subs Filter'!F:F)+sumif('Bank Transfers'!B:B,B303,'Bank Transfers'!C:C)</f>
        <v>#N/A</v>
      </c>
      <c r="H303" s="50" t="str">
        <f t="shared" si="2"/>
        <v>#N/A</v>
      </c>
      <c r="I303" s="51">
        <f t="array" ref="I303">IF(IFERROR(lookup(1,1/SEARCH(B303,'OTPI Scores'!C:C),'OTPI Scores'!E:E),0)="Vets",7,IFERROR(lookup(1,1/SEARCH(B303,'OTPI Scores'!C:C),'OTPI Scores'!E:E),0))</f>
        <v>7</v>
      </c>
      <c r="J303" s="37"/>
      <c r="K303" s="37"/>
      <c r="L303" s="37"/>
      <c r="M303" s="37"/>
      <c r="N303" s="37"/>
      <c r="O303" s="37"/>
      <c r="P303" s="37"/>
      <c r="Q303" s="37"/>
      <c r="R303" s="37"/>
      <c r="S303" s="37"/>
      <c r="T303" s="37"/>
      <c r="U303" s="37"/>
      <c r="V303" s="37"/>
      <c r="W303" s="37"/>
      <c r="X303" s="37"/>
    </row>
    <row r="304">
      <c r="A304" s="37"/>
      <c r="B304" s="49" t="str">
        <f>IFERROR(__xludf.DUMMYFUNCTION("""COMPUTED_VALUE"""),"Richard Sissons")</f>
        <v>Richard Sissons</v>
      </c>
      <c r="C304" s="5">
        <v>10.0</v>
      </c>
      <c r="D304" s="3">
        <f>countif('OTPI Scores'!C:C,B304)</f>
        <v>0</v>
      </c>
      <c r="E304" s="3">
        <f t="shared" si="1"/>
        <v>0</v>
      </c>
      <c r="F304" s="3">
        <f>sumif('OTPI Scores'!C:C,B304,'OTPI Scores'!T:T)</f>
        <v>0</v>
      </c>
      <c r="G304" s="3" t="str">
        <f>SUMIF('Match Subs Filter'!E:E,B304,'Match Subs Filter'!F:F)+sumif('Bank Transfers'!B:B,B304,'Bank Transfers'!C:C)</f>
        <v>#N/A</v>
      </c>
      <c r="H304" s="50" t="str">
        <f t="shared" si="2"/>
        <v>#N/A</v>
      </c>
      <c r="I304" s="51">
        <f t="array" ref="I304">IF(IFERROR(lookup(1,1/SEARCH(B304,'OTPI Scores'!C:C),'OTPI Scores'!E:E),0)="Vets",7,IFERROR(lookup(1,1/SEARCH(B304,'OTPI Scores'!C:C),'OTPI Scores'!E:E),0))</f>
        <v>0</v>
      </c>
      <c r="J304" s="37"/>
      <c r="K304" s="37"/>
      <c r="L304" s="37"/>
      <c r="M304" s="37"/>
      <c r="N304" s="37"/>
      <c r="O304" s="37"/>
      <c r="P304" s="37"/>
      <c r="Q304" s="37"/>
      <c r="R304" s="37"/>
      <c r="S304" s="37"/>
      <c r="T304" s="37"/>
      <c r="U304" s="37"/>
      <c r="V304" s="37"/>
      <c r="W304" s="37"/>
      <c r="X304" s="37"/>
    </row>
    <row r="305">
      <c r="A305" s="37"/>
      <c r="B305" s="49" t="str">
        <f>IFERROR(__xludf.DUMMYFUNCTION("""COMPUTED_VALUE"""),"Ridwan Hassan")</f>
        <v>Ridwan Hassan</v>
      </c>
      <c r="C305" s="5">
        <v>10.0</v>
      </c>
      <c r="D305" s="3">
        <f>countif('OTPI Scores'!C:C,B305)</f>
        <v>0</v>
      </c>
      <c r="E305" s="3">
        <f t="shared" si="1"/>
        <v>0</v>
      </c>
      <c r="F305" s="3">
        <f>sumif('OTPI Scores'!C:C,B305,'OTPI Scores'!T:T)</f>
        <v>0</v>
      </c>
      <c r="G305" s="3" t="str">
        <f>SUMIF('Match Subs Filter'!E:E,B305,'Match Subs Filter'!F:F)+sumif('Bank Transfers'!B:B,B305,'Bank Transfers'!C:C)</f>
        <v>#N/A</v>
      </c>
      <c r="H305" s="50" t="str">
        <f t="shared" si="2"/>
        <v>#N/A</v>
      </c>
      <c r="I305" s="51">
        <f t="array" ref="I305">IF(IFERROR(lookup(1,1/SEARCH(B305,'OTPI Scores'!C:C),'OTPI Scores'!E:E),0)="Vets",7,IFERROR(lookup(1,1/SEARCH(B305,'OTPI Scores'!C:C),'OTPI Scores'!E:E),0))</f>
        <v>0</v>
      </c>
      <c r="J305" s="37"/>
      <c r="K305" s="37"/>
      <c r="L305" s="37"/>
      <c r="M305" s="37"/>
      <c r="N305" s="37"/>
      <c r="O305" s="37"/>
      <c r="P305" s="37"/>
      <c r="Q305" s="37"/>
      <c r="R305" s="37"/>
      <c r="S305" s="37"/>
      <c r="T305" s="37"/>
      <c r="U305" s="37"/>
      <c r="V305" s="37"/>
      <c r="W305" s="37"/>
      <c r="X305" s="37"/>
    </row>
    <row r="306">
      <c r="A306" s="37"/>
      <c r="B306" s="49" t="str">
        <f>IFERROR(__xludf.DUMMYFUNCTION("""COMPUTED_VALUE"""),"Rob Edmonds")</f>
        <v>Rob Edmonds</v>
      </c>
      <c r="C306" s="5">
        <v>10.0</v>
      </c>
      <c r="D306" s="3">
        <f>countif('OTPI Scores'!C:C,B306)</f>
        <v>11</v>
      </c>
      <c r="E306" s="3">
        <f t="shared" si="1"/>
        <v>110</v>
      </c>
      <c r="F306" s="3">
        <f>sumif('OTPI Scores'!C:C,B306,'OTPI Scores'!T:T)</f>
        <v>110</v>
      </c>
      <c r="G306" s="3" t="str">
        <f>SUMIF('Match Subs Filter'!E:E,B306,'Match Subs Filter'!F:F)+sumif('Bank Transfers'!B:B,B306,'Bank Transfers'!C:C)</f>
        <v>#N/A</v>
      </c>
      <c r="H306" s="50" t="str">
        <f t="shared" si="2"/>
        <v>#N/A</v>
      </c>
      <c r="I306" s="51">
        <f t="array" ref="I306">IF(IFERROR(lookup(1,1/SEARCH(B306,'OTPI Scores'!C:C),'OTPI Scores'!E:E),0)="Vets",7,IFERROR(lookup(1,1/SEARCH(B306,'OTPI Scores'!C:C),'OTPI Scores'!E:E),0))</f>
        <v>3</v>
      </c>
      <c r="J306" s="37"/>
      <c r="K306" s="37"/>
      <c r="L306" s="37"/>
      <c r="M306" s="37"/>
      <c r="N306" s="37"/>
      <c r="O306" s="37"/>
      <c r="P306" s="37"/>
      <c r="Q306" s="37"/>
      <c r="R306" s="37"/>
      <c r="S306" s="37"/>
      <c r="T306" s="37"/>
      <c r="U306" s="37"/>
      <c r="V306" s="37"/>
      <c r="W306" s="37"/>
      <c r="X306" s="37"/>
    </row>
    <row r="307">
      <c r="A307" s="37"/>
      <c r="B307" s="49" t="str">
        <f>IFERROR(__xludf.DUMMYFUNCTION("""COMPUTED_VALUE"""),"Rob Hiza")</f>
        <v>Rob Hiza</v>
      </c>
      <c r="C307" s="5">
        <v>10.0</v>
      </c>
      <c r="D307" s="3">
        <f>countif('OTPI Scores'!C:C,B307)</f>
        <v>0</v>
      </c>
      <c r="E307" s="3">
        <f t="shared" si="1"/>
        <v>0</v>
      </c>
      <c r="F307" s="3">
        <f>sumif('OTPI Scores'!C:C,B307,'OTPI Scores'!T:T)</f>
        <v>0</v>
      </c>
      <c r="G307" s="3" t="str">
        <f>SUMIF('Match Subs Filter'!E:E,B307,'Match Subs Filter'!F:F)+sumif('Bank Transfers'!B:B,B307,'Bank Transfers'!C:C)</f>
        <v>#N/A</v>
      </c>
      <c r="H307" s="50" t="str">
        <f t="shared" si="2"/>
        <v>#N/A</v>
      </c>
      <c r="I307" s="51">
        <f t="array" ref="I307">IF(IFERROR(lookup(1,1/SEARCH(B307,'OTPI Scores'!C:C),'OTPI Scores'!E:E),0)="Vets",7,IFERROR(lookup(1,1/SEARCH(B307,'OTPI Scores'!C:C),'OTPI Scores'!E:E),0))</f>
        <v>0</v>
      </c>
      <c r="J307" s="37"/>
      <c r="K307" s="37"/>
      <c r="L307" s="37"/>
      <c r="M307" s="37"/>
      <c r="N307" s="37"/>
      <c r="O307" s="37"/>
      <c r="P307" s="37"/>
      <c r="Q307" s="37"/>
      <c r="R307" s="37"/>
      <c r="S307" s="37"/>
      <c r="T307" s="37"/>
      <c r="U307" s="37"/>
      <c r="V307" s="37"/>
      <c r="W307" s="37"/>
      <c r="X307" s="37"/>
    </row>
    <row r="308">
      <c r="A308" s="37"/>
      <c r="B308" s="49" t="str">
        <f>IFERROR(__xludf.DUMMYFUNCTION("""COMPUTED_VALUE"""),"Rob Pritchard-Jones")</f>
        <v>Rob Pritchard-Jones</v>
      </c>
      <c r="C308" s="5">
        <v>10.0</v>
      </c>
      <c r="D308" s="3">
        <f>countif('OTPI Scores'!C:C,B308)</f>
        <v>6</v>
      </c>
      <c r="E308" s="3">
        <f t="shared" si="1"/>
        <v>60</v>
      </c>
      <c r="F308" s="3">
        <f>sumif('OTPI Scores'!C:C,B308,'OTPI Scores'!T:T)</f>
        <v>15</v>
      </c>
      <c r="G308" s="3" t="str">
        <f>SUMIF('Match Subs Filter'!E:E,B308,'Match Subs Filter'!F:F)+sumif('Bank Transfers'!B:B,B308,'Bank Transfers'!C:C)</f>
        <v>#N/A</v>
      </c>
      <c r="H308" s="50" t="str">
        <f t="shared" si="2"/>
        <v>#N/A</v>
      </c>
      <c r="I308" s="51">
        <f t="array" ref="I308">IF(IFERROR(lookup(1,1/SEARCH(B308,'OTPI Scores'!C:C),'OTPI Scores'!E:E),0)="Vets",7,IFERROR(lookup(1,1/SEARCH(B308,'OTPI Scores'!C:C),'OTPI Scores'!E:E),0))</f>
        <v>3</v>
      </c>
      <c r="J308" s="37"/>
      <c r="K308" s="37"/>
      <c r="L308" s="37"/>
      <c r="M308" s="37"/>
      <c r="N308" s="37"/>
      <c r="O308" s="37"/>
      <c r="P308" s="37"/>
      <c r="Q308" s="37"/>
      <c r="R308" s="37"/>
      <c r="S308" s="37"/>
      <c r="T308" s="37"/>
      <c r="U308" s="37"/>
      <c r="V308" s="37"/>
      <c r="W308" s="37"/>
      <c r="X308" s="37"/>
    </row>
    <row r="309">
      <c r="A309" s="37"/>
      <c r="B309" s="49" t="str">
        <f>IFERROR(__xludf.DUMMYFUNCTION("""COMPUTED_VALUE"""),"Rob White")</f>
        <v>Rob White</v>
      </c>
      <c r="C309" s="5">
        <v>10.0</v>
      </c>
      <c r="D309" s="3">
        <f>countif('OTPI Scores'!C:C,B309)</f>
        <v>0</v>
      </c>
      <c r="E309" s="3">
        <f t="shared" si="1"/>
        <v>0</v>
      </c>
      <c r="F309" s="3">
        <f>sumif('OTPI Scores'!C:C,B309,'OTPI Scores'!T:T)</f>
        <v>0</v>
      </c>
      <c r="G309" s="3" t="str">
        <f>SUMIF('Match Subs Filter'!E:E,B309,'Match Subs Filter'!F:F)+sumif('Bank Transfers'!B:B,B309,'Bank Transfers'!C:C)</f>
        <v>#N/A</v>
      </c>
      <c r="H309" s="50" t="str">
        <f t="shared" si="2"/>
        <v>#N/A</v>
      </c>
      <c r="I309" s="51">
        <f t="array" ref="I309">IF(IFERROR(lookup(1,1/SEARCH(B309,'OTPI Scores'!C:C),'OTPI Scores'!E:E),0)="Vets",7,IFERROR(lookup(1,1/SEARCH(B309,'OTPI Scores'!C:C),'OTPI Scores'!E:E),0))</f>
        <v>0</v>
      </c>
      <c r="J309" s="37"/>
      <c r="K309" s="37"/>
      <c r="L309" s="37"/>
      <c r="M309" s="37"/>
      <c r="N309" s="37"/>
      <c r="O309" s="37"/>
      <c r="P309" s="37"/>
      <c r="Q309" s="37"/>
      <c r="R309" s="37"/>
      <c r="S309" s="37"/>
      <c r="T309" s="37"/>
      <c r="U309" s="37"/>
      <c r="V309" s="37"/>
      <c r="W309" s="37"/>
      <c r="X309" s="37"/>
    </row>
    <row r="310">
      <c r="A310" s="37"/>
      <c r="B310" s="49" t="str">
        <f>IFERROR(__xludf.DUMMYFUNCTION("""COMPUTED_VALUE"""),"Robert Owusu")</f>
        <v>Robert Owusu</v>
      </c>
      <c r="C310" s="5">
        <v>10.0</v>
      </c>
      <c r="D310" s="3">
        <f>countif('OTPI Scores'!C:C,B310)</f>
        <v>0</v>
      </c>
      <c r="E310" s="3">
        <f t="shared" si="1"/>
        <v>0</v>
      </c>
      <c r="F310" s="3">
        <f>sumif('OTPI Scores'!C:C,B310,'OTPI Scores'!T:T)</f>
        <v>0</v>
      </c>
      <c r="G310" s="3" t="str">
        <f>SUMIF('Match Subs Filter'!E:E,B310,'Match Subs Filter'!F:F)+sumif('Bank Transfers'!B:B,B310,'Bank Transfers'!C:C)</f>
        <v>#N/A</v>
      </c>
      <c r="H310" s="50" t="str">
        <f t="shared" si="2"/>
        <v>#N/A</v>
      </c>
      <c r="I310" s="51">
        <f t="array" ref="I310">IF(IFERROR(lookup(1,1/SEARCH(B310,'OTPI Scores'!C:C),'OTPI Scores'!E:E),0)="Vets",7,IFERROR(lookup(1,1/SEARCH(B310,'OTPI Scores'!C:C),'OTPI Scores'!E:E),0))</f>
        <v>0</v>
      </c>
      <c r="J310" s="37"/>
      <c r="K310" s="37"/>
      <c r="L310" s="37"/>
      <c r="M310" s="37"/>
      <c r="N310" s="37"/>
      <c r="O310" s="37"/>
      <c r="P310" s="37"/>
      <c r="Q310" s="37"/>
      <c r="R310" s="37"/>
      <c r="S310" s="37"/>
      <c r="T310" s="37"/>
      <c r="U310" s="37"/>
      <c r="V310" s="37"/>
      <c r="W310" s="37"/>
      <c r="X310" s="37"/>
    </row>
    <row r="311">
      <c r="A311" s="37"/>
      <c r="B311" s="49" t="str">
        <f>IFERROR(__xludf.DUMMYFUNCTION("""COMPUTED_VALUE"""),"Romeo Whittingham")</f>
        <v>Romeo Whittingham</v>
      </c>
      <c r="C311" s="5">
        <v>10.0</v>
      </c>
      <c r="D311" s="3">
        <f>countif('OTPI Scores'!C:C,B311)</f>
        <v>0</v>
      </c>
      <c r="E311" s="3">
        <f t="shared" si="1"/>
        <v>0</v>
      </c>
      <c r="F311" s="3">
        <f>sumif('OTPI Scores'!C:C,B311,'OTPI Scores'!T:T)</f>
        <v>0</v>
      </c>
      <c r="G311" s="3" t="str">
        <f>SUMIF('Match Subs Filter'!E:E,B311,'Match Subs Filter'!F:F)+sumif('Bank Transfers'!B:B,B311,'Bank Transfers'!C:C)</f>
        <v>#N/A</v>
      </c>
      <c r="H311" s="50" t="str">
        <f t="shared" si="2"/>
        <v>#N/A</v>
      </c>
      <c r="I311" s="51">
        <f t="array" ref="I311">IF(IFERROR(lookup(1,1/SEARCH(B311,'OTPI Scores'!C:C),'OTPI Scores'!E:E),0)="Vets",7,IFERROR(lookup(1,1/SEARCH(B311,'OTPI Scores'!C:C),'OTPI Scores'!E:E),0))</f>
        <v>0</v>
      </c>
      <c r="J311" s="37"/>
      <c r="K311" s="37"/>
      <c r="L311" s="37"/>
      <c r="M311" s="37"/>
      <c r="N311" s="37"/>
      <c r="O311" s="37"/>
      <c r="P311" s="37"/>
      <c r="Q311" s="37"/>
      <c r="R311" s="37"/>
      <c r="S311" s="37"/>
      <c r="T311" s="37"/>
      <c r="U311" s="37"/>
      <c r="V311" s="37"/>
      <c r="W311" s="37"/>
      <c r="X311" s="37"/>
    </row>
    <row r="312">
      <c r="A312" s="37"/>
      <c r="B312" s="49" t="str">
        <f>IFERROR(__xludf.DUMMYFUNCTION("""COMPUTED_VALUE"""),"Ryan Cochrane")</f>
        <v>Ryan Cochrane</v>
      </c>
      <c r="C312" s="5">
        <v>10.0</v>
      </c>
      <c r="D312" s="3">
        <f>countif('OTPI Scores'!C:C,B312)</f>
        <v>8</v>
      </c>
      <c r="E312" s="3">
        <f t="shared" si="1"/>
        <v>80</v>
      </c>
      <c r="F312" s="3">
        <f>sumif('OTPI Scores'!C:C,B312,'OTPI Scores'!T:T)</f>
        <v>70</v>
      </c>
      <c r="G312" s="3" t="str">
        <f>SUMIF('Match Subs Filter'!E:E,B312,'Match Subs Filter'!F:F)+sumif('Bank Transfers'!B:B,B312,'Bank Transfers'!C:C)</f>
        <v>#N/A</v>
      </c>
      <c r="H312" s="50" t="str">
        <f t="shared" si="2"/>
        <v>#N/A</v>
      </c>
      <c r="I312" s="51">
        <f t="array" ref="I312">IF(IFERROR(lookup(1,1/SEARCH(B312,'OTPI Scores'!C:C),'OTPI Scores'!E:E),0)="Vets",7,IFERROR(lookup(1,1/SEARCH(B312,'OTPI Scores'!C:C),'OTPI Scores'!E:E),0))</f>
        <v>6</v>
      </c>
      <c r="J312" s="37"/>
      <c r="K312" s="37"/>
      <c r="L312" s="37"/>
      <c r="M312" s="37"/>
      <c r="N312" s="37"/>
      <c r="O312" s="37"/>
      <c r="P312" s="37"/>
      <c r="Q312" s="37"/>
      <c r="R312" s="37"/>
      <c r="S312" s="37"/>
      <c r="T312" s="37"/>
      <c r="U312" s="37"/>
      <c r="V312" s="37"/>
      <c r="W312" s="37"/>
      <c r="X312" s="37"/>
    </row>
    <row r="313">
      <c r="A313" s="37"/>
      <c r="B313" s="49" t="str">
        <f>IFERROR(__xludf.DUMMYFUNCTION("""COMPUTED_VALUE"""),"Ryan Sketchley")</f>
        <v>Ryan Sketchley</v>
      </c>
      <c r="C313" s="5">
        <v>10.0</v>
      </c>
      <c r="D313" s="3">
        <f>countif('OTPI Scores'!C:C,B313)</f>
        <v>1</v>
      </c>
      <c r="E313" s="3">
        <f t="shared" si="1"/>
        <v>10</v>
      </c>
      <c r="F313" s="3">
        <f>sumif('OTPI Scores'!C:C,B313,'OTPI Scores'!T:T)</f>
        <v>5</v>
      </c>
      <c r="G313" s="3" t="str">
        <f>SUMIF('Match Subs Filter'!E:E,B313,'Match Subs Filter'!F:F)+sumif('Bank Transfers'!B:B,B313,'Bank Transfers'!C:C)</f>
        <v>#N/A</v>
      </c>
      <c r="H313" s="50" t="str">
        <f t="shared" si="2"/>
        <v>#N/A</v>
      </c>
      <c r="I313" s="51">
        <f t="array" ref="I313">IF(IFERROR(lookup(1,1/SEARCH(B313,'OTPI Scores'!C:C),'OTPI Scores'!E:E),0)="Vets",7,IFERROR(lookup(1,1/SEARCH(B313,'OTPI Scores'!C:C),'OTPI Scores'!E:E),0))</f>
        <v>7</v>
      </c>
      <c r="J313" s="37"/>
      <c r="K313" s="37"/>
      <c r="L313" s="37"/>
      <c r="M313" s="37"/>
      <c r="N313" s="37"/>
      <c r="O313" s="37"/>
      <c r="P313" s="37"/>
      <c r="Q313" s="37"/>
      <c r="R313" s="37"/>
      <c r="S313" s="37"/>
      <c r="T313" s="37"/>
      <c r="U313" s="37"/>
      <c r="V313" s="37"/>
      <c r="W313" s="37"/>
      <c r="X313" s="37"/>
    </row>
    <row r="314">
      <c r="A314" s="37"/>
      <c r="B314" s="49" t="str">
        <f>IFERROR(__xludf.DUMMYFUNCTION("""COMPUTED_VALUE"""),"Sage Amiin")</f>
        <v>Sage Amiin</v>
      </c>
      <c r="C314" s="5">
        <v>10.0</v>
      </c>
      <c r="D314" s="3">
        <f>countif('OTPI Scores'!C:C,B314)</f>
        <v>0</v>
      </c>
      <c r="E314" s="3">
        <f t="shared" si="1"/>
        <v>0</v>
      </c>
      <c r="F314" s="3">
        <f>sumif('OTPI Scores'!C:C,B314,'OTPI Scores'!T:T)</f>
        <v>0</v>
      </c>
      <c r="G314" s="3" t="str">
        <f>SUMIF('Match Subs Filter'!E:E,B314,'Match Subs Filter'!F:F)+sumif('Bank Transfers'!B:B,B314,'Bank Transfers'!C:C)</f>
        <v>#N/A</v>
      </c>
      <c r="H314" s="50" t="str">
        <f t="shared" si="2"/>
        <v>#N/A</v>
      </c>
      <c r="I314" s="51">
        <f t="array" ref="I314">IF(IFERROR(lookup(1,1/SEARCH(B314,'OTPI Scores'!C:C),'OTPI Scores'!E:E),0)="Vets",7,IFERROR(lookup(1,1/SEARCH(B314,'OTPI Scores'!C:C),'OTPI Scores'!E:E),0))</f>
        <v>0</v>
      </c>
      <c r="J314" s="37"/>
      <c r="K314" s="37"/>
      <c r="L314" s="37"/>
      <c r="M314" s="37"/>
      <c r="N314" s="37"/>
      <c r="O314" s="37"/>
      <c r="P314" s="37"/>
      <c r="Q314" s="37"/>
      <c r="R314" s="37"/>
      <c r="S314" s="37"/>
      <c r="T314" s="37"/>
      <c r="U314" s="37"/>
      <c r="V314" s="37"/>
      <c r="W314" s="37"/>
      <c r="X314" s="37"/>
    </row>
    <row r="315">
      <c r="A315" s="37"/>
      <c r="B315" s="49" t="str">
        <f>IFERROR(__xludf.DUMMYFUNCTION("""COMPUTED_VALUE"""),"Salvador Madi")</f>
        <v>Salvador Madi</v>
      </c>
      <c r="C315" s="5">
        <v>10.0</v>
      </c>
      <c r="D315" s="3">
        <f>countif('OTPI Scores'!C:C,B315)</f>
        <v>0</v>
      </c>
      <c r="E315" s="3">
        <f t="shared" si="1"/>
        <v>0</v>
      </c>
      <c r="F315" s="3">
        <f>sumif('OTPI Scores'!C:C,B315,'OTPI Scores'!T:T)</f>
        <v>0</v>
      </c>
      <c r="G315" s="3" t="str">
        <f>SUMIF('Match Subs Filter'!E:E,B315,'Match Subs Filter'!F:F)+sumif('Bank Transfers'!B:B,B315,'Bank Transfers'!C:C)</f>
        <v>#N/A</v>
      </c>
      <c r="H315" s="50" t="str">
        <f t="shared" si="2"/>
        <v>#N/A</v>
      </c>
      <c r="I315" s="51">
        <f t="array" ref="I315">IF(IFERROR(lookup(1,1/SEARCH(B315,'OTPI Scores'!C:C),'OTPI Scores'!E:E),0)="Vets",7,IFERROR(lookup(1,1/SEARCH(B315,'OTPI Scores'!C:C),'OTPI Scores'!E:E),0))</f>
        <v>0</v>
      </c>
      <c r="J315" s="37"/>
      <c r="K315" s="37"/>
      <c r="L315" s="37"/>
      <c r="M315" s="37"/>
      <c r="N315" s="37"/>
      <c r="O315" s="37"/>
      <c r="P315" s="37"/>
      <c r="Q315" s="37"/>
      <c r="R315" s="37"/>
      <c r="S315" s="37"/>
      <c r="T315" s="37"/>
      <c r="U315" s="37"/>
      <c r="V315" s="37"/>
      <c r="W315" s="37"/>
      <c r="X315" s="37"/>
    </row>
    <row r="316">
      <c r="A316" s="37"/>
      <c r="B316" s="49" t="str">
        <f>IFERROR(__xludf.DUMMYFUNCTION("""COMPUTED_VALUE"""),"Sam A'Court")</f>
        <v>Sam A'Court</v>
      </c>
      <c r="C316" s="5">
        <v>10.0</v>
      </c>
      <c r="D316" s="3">
        <f>countif('OTPI Scores'!C:C,B316)</f>
        <v>17</v>
      </c>
      <c r="E316" s="3">
        <f t="shared" si="1"/>
        <v>170</v>
      </c>
      <c r="F316" s="3">
        <f>sumif('OTPI Scores'!C:C,B316,'OTPI Scores'!T:T)</f>
        <v>152</v>
      </c>
      <c r="G316" s="3" t="str">
        <f>SUMIF('Match Subs Filter'!E:E,B316,'Match Subs Filter'!F:F)+sumif('Bank Transfers'!B:B,B316,'Bank Transfers'!C:C)</f>
        <v>#N/A</v>
      </c>
      <c r="H316" s="50" t="str">
        <f t="shared" si="2"/>
        <v>#N/A</v>
      </c>
      <c r="I316" s="51">
        <f t="array" ref="I316">IF(IFERROR(lookup(1,1/SEARCH(B316,'OTPI Scores'!C:C),'OTPI Scores'!E:E),0)="Vets",7,IFERROR(lookup(1,1/SEARCH(B316,'OTPI Scores'!C:C),'OTPI Scores'!E:E),0))</f>
        <v>5</v>
      </c>
      <c r="J316" s="37"/>
      <c r="K316" s="37"/>
      <c r="L316" s="37"/>
      <c r="M316" s="37"/>
      <c r="N316" s="37"/>
      <c r="O316" s="37"/>
      <c r="P316" s="37"/>
      <c r="Q316" s="37"/>
      <c r="R316" s="37"/>
      <c r="S316" s="37"/>
      <c r="T316" s="37"/>
      <c r="U316" s="37"/>
      <c r="V316" s="37"/>
      <c r="W316" s="37"/>
      <c r="X316" s="37"/>
    </row>
    <row r="317">
      <c r="A317" s="37"/>
      <c r="B317" s="49" t="str">
        <f>IFERROR(__xludf.DUMMYFUNCTION("""COMPUTED_VALUE"""),"Sam Bowen")</f>
        <v>Sam Bowen</v>
      </c>
      <c r="C317" s="5">
        <v>10.0</v>
      </c>
      <c r="D317" s="3">
        <f>countif('OTPI Scores'!C:C,B317)</f>
        <v>4</v>
      </c>
      <c r="E317" s="3">
        <f t="shared" si="1"/>
        <v>40</v>
      </c>
      <c r="F317" s="3">
        <f>sumif('OTPI Scores'!C:C,B317,'OTPI Scores'!T:T)</f>
        <v>40</v>
      </c>
      <c r="G317" s="3" t="str">
        <f>SUMIF('Match Subs Filter'!E:E,B317,'Match Subs Filter'!F:F)+sumif('Bank Transfers'!B:B,B317,'Bank Transfers'!C:C)</f>
        <v>#N/A</v>
      </c>
      <c r="H317" s="50" t="str">
        <f t="shared" si="2"/>
        <v>#N/A</v>
      </c>
      <c r="I317" s="51">
        <f t="array" ref="I317">IF(IFERROR(lookup(1,1/SEARCH(B317,'OTPI Scores'!C:C),'OTPI Scores'!E:E),0)="Vets",7,IFERROR(lookup(1,1/SEARCH(B317,'OTPI Scores'!C:C),'OTPI Scores'!E:E),0))</f>
        <v>6</v>
      </c>
      <c r="J317" s="37"/>
      <c r="K317" s="37"/>
      <c r="L317" s="37"/>
      <c r="M317" s="37"/>
      <c r="N317" s="37"/>
      <c r="O317" s="37"/>
      <c r="P317" s="37"/>
      <c r="Q317" s="37"/>
      <c r="R317" s="37"/>
      <c r="S317" s="37"/>
      <c r="T317" s="37"/>
      <c r="U317" s="37"/>
      <c r="V317" s="37"/>
      <c r="W317" s="37"/>
      <c r="X317" s="37"/>
    </row>
    <row r="318">
      <c r="A318" s="37"/>
      <c r="B318" s="49" t="str">
        <f>IFERROR(__xludf.DUMMYFUNCTION("""COMPUTED_VALUE"""),"Sam Laidler")</f>
        <v>Sam Laidler</v>
      </c>
      <c r="C318" s="5">
        <v>10.0</v>
      </c>
      <c r="D318" s="3">
        <f>countif('OTPI Scores'!C:C,B318)</f>
        <v>9</v>
      </c>
      <c r="E318" s="3">
        <f t="shared" si="1"/>
        <v>90</v>
      </c>
      <c r="F318" s="3">
        <f>sumif('OTPI Scores'!C:C,B318,'OTPI Scores'!T:T)</f>
        <v>70</v>
      </c>
      <c r="G318" s="3" t="str">
        <f>SUMIF('Match Subs Filter'!E:E,B318,'Match Subs Filter'!F:F)+sumif('Bank Transfers'!B:B,B318,'Bank Transfers'!C:C)</f>
        <v>#N/A</v>
      </c>
      <c r="H318" s="50" t="str">
        <f t="shared" si="2"/>
        <v>#N/A</v>
      </c>
      <c r="I318" s="51">
        <f t="array" ref="I318">IF(IFERROR(lookup(1,1/SEARCH(B318,'OTPI Scores'!C:C),'OTPI Scores'!E:E),0)="Vets",7,IFERROR(lookup(1,1/SEARCH(B318,'OTPI Scores'!C:C),'OTPI Scores'!E:E),0))</f>
        <v>7</v>
      </c>
      <c r="J318" s="37"/>
      <c r="K318" s="37"/>
      <c r="L318" s="37"/>
      <c r="M318" s="37"/>
      <c r="N318" s="37"/>
      <c r="O318" s="37"/>
      <c r="P318" s="37"/>
      <c r="Q318" s="37"/>
      <c r="R318" s="37"/>
      <c r="S318" s="37"/>
      <c r="T318" s="37"/>
      <c r="U318" s="37"/>
      <c r="V318" s="37"/>
      <c r="W318" s="37"/>
      <c r="X318" s="37"/>
    </row>
    <row r="319">
      <c r="A319" s="37"/>
      <c r="B319" s="49" t="str">
        <f>IFERROR(__xludf.DUMMYFUNCTION("""COMPUTED_VALUE"""),"Sam Lawrence")</f>
        <v>Sam Lawrence</v>
      </c>
      <c r="C319" s="5">
        <v>10.0</v>
      </c>
      <c r="D319" s="3">
        <f>countif('OTPI Scores'!C:C,B319)</f>
        <v>0</v>
      </c>
      <c r="E319" s="3">
        <f t="shared" si="1"/>
        <v>0</v>
      </c>
      <c r="F319" s="3">
        <f>sumif('OTPI Scores'!C:C,B319,'OTPI Scores'!T:T)</f>
        <v>0</v>
      </c>
      <c r="G319" s="3" t="str">
        <f>SUMIF('Match Subs Filter'!E:E,B319,'Match Subs Filter'!F:F)+sumif('Bank Transfers'!B:B,B319,'Bank Transfers'!C:C)</f>
        <v>#N/A</v>
      </c>
      <c r="H319" s="50" t="str">
        <f t="shared" si="2"/>
        <v>#N/A</v>
      </c>
      <c r="I319" s="51">
        <f t="array" ref="I319">IF(IFERROR(lookup(1,1/SEARCH(B319,'OTPI Scores'!C:C),'OTPI Scores'!E:E),0)="Vets",7,IFERROR(lookup(1,1/SEARCH(B319,'OTPI Scores'!C:C),'OTPI Scores'!E:E),0))</f>
        <v>0</v>
      </c>
      <c r="J319" s="37"/>
      <c r="K319" s="37"/>
      <c r="L319" s="37"/>
      <c r="M319" s="37"/>
      <c r="N319" s="37"/>
      <c r="O319" s="37"/>
      <c r="P319" s="37"/>
      <c r="Q319" s="37"/>
      <c r="R319" s="37"/>
      <c r="S319" s="37"/>
      <c r="T319" s="37"/>
      <c r="U319" s="37"/>
      <c r="V319" s="37"/>
      <c r="W319" s="37"/>
      <c r="X319" s="37"/>
    </row>
    <row r="320">
      <c r="A320" s="37"/>
      <c r="B320" s="49" t="str">
        <f>IFERROR(__xludf.DUMMYFUNCTION("""COMPUTED_VALUE"""),"Sam Neve")</f>
        <v>Sam Neve</v>
      </c>
      <c r="C320" s="5">
        <v>10.0</v>
      </c>
      <c r="D320" s="3">
        <f>countif('OTPI Scores'!C:C,B320)</f>
        <v>0</v>
      </c>
      <c r="E320" s="3">
        <f t="shared" si="1"/>
        <v>0</v>
      </c>
      <c r="F320" s="3">
        <f>sumif('OTPI Scores'!C:C,B320,'OTPI Scores'!T:T)</f>
        <v>0</v>
      </c>
      <c r="G320" s="3" t="str">
        <f>SUMIF('Match Subs Filter'!E:E,B320,'Match Subs Filter'!F:F)+sumif('Bank Transfers'!B:B,B320,'Bank Transfers'!C:C)</f>
        <v>#N/A</v>
      </c>
      <c r="H320" s="50" t="str">
        <f t="shared" si="2"/>
        <v>#N/A</v>
      </c>
      <c r="I320" s="51">
        <f t="array" ref="I320">IF(IFERROR(lookup(1,1/SEARCH(B320,'OTPI Scores'!C:C),'OTPI Scores'!E:E),0)="Vets",7,IFERROR(lookup(1,1/SEARCH(B320,'OTPI Scores'!C:C),'OTPI Scores'!E:E),0))</f>
        <v>0</v>
      </c>
      <c r="J320" s="37"/>
      <c r="K320" s="37"/>
      <c r="L320" s="37"/>
      <c r="M320" s="37"/>
      <c r="N320" s="37"/>
      <c r="O320" s="37"/>
      <c r="P320" s="37"/>
      <c r="Q320" s="37"/>
      <c r="R320" s="37"/>
      <c r="S320" s="37"/>
      <c r="T320" s="37"/>
      <c r="U320" s="37"/>
      <c r="V320" s="37"/>
      <c r="W320" s="37"/>
      <c r="X320" s="37"/>
    </row>
    <row r="321">
      <c r="A321" s="37"/>
      <c r="B321" s="49" t="str">
        <f>IFERROR(__xludf.DUMMYFUNCTION("""COMPUTED_VALUE"""),"Sam Pinney")</f>
        <v>Sam Pinney</v>
      </c>
      <c r="C321" s="5">
        <v>10.0</v>
      </c>
      <c r="D321" s="3">
        <f>countif('OTPI Scores'!C:C,B321)</f>
        <v>0</v>
      </c>
      <c r="E321" s="3">
        <f t="shared" si="1"/>
        <v>0</v>
      </c>
      <c r="F321" s="3">
        <f>sumif('OTPI Scores'!C:C,B321,'OTPI Scores'!T:T)</f>
        <v>0</v>
      </c>
      <c r="G321" s="3" t="str">
        <f>SUMIF('Match Subs Filter'!E:E,B321,'Match Subs Filter'!F:F)+sumif('Bank Transfers'!B:B,B321,'Bank Transfers'!C:C)</f>
        <v>#N/A</v>
      </c>
      <c r="H321" s="50" t="str">
        <f t="shared" si="2"/>
        <v>#N/A</v>
      </c>
      <c r="I321" s="51">
        <f t="array" ref="I321">IF(IFERROR(lookup(1,1/SEARCH(B321,'OTPI Scores'!C:C),'OTPI Scores'!E:E),0)="Vets",7,IFERROR(lookup(1,1/SEARCH(B321,'OTPI Scores'!C:C),'OTPI Scores'!E:E),0))</f>
        <v>0</v>
      </c>
      <c r="J321" s="37"/>
      <c r="K321" s="37"/>
      <c r="L321" s="37"/>
      <c r="M321" s="37"/>
      <c r="N321" s="37"/>
      <c r="O321" s="37"/>
      <c r="P321" s="37"/>
      <c r="Q321" s="37"/>
      <c r="R321" s="37"/>
      <c r="S321" s="37"/>
      <c r="T321" s="37"/>
      <c r="U321" s="37"/>
      <c r="V321" s="37"/>
      <c r="W321" s="37"/>
      <c r="X321" s="37"/>
    </row>
    <row r="322">
      <c r="A322" s="37"/>
      <c r="B322" s="49" t="str">
        <f>IFERROR(__xludf.DUMMYFUNCTION("""COMPUTED_VALUE"""),"Sam Taylor")</f>
        <v>Sam Taylor</v>
      </c>
      <c r="C322" s="5">
        <v>10.0</v>
      </c>
      <c r="D322" s="3">
        <f>countif('OTPI Scores'!C:C,B322)</f>
        <v>0</v>
      </c>
      <c r="E322" s="3">
        <f t="shared" si="1"/>
        <v>0</v>
      </c>
      <c r="F322" s="3">
        <f>sumif('OTPI Scores'!C:C,B322,'OTPI Scores'!T:T)</f>
        <v>0</v>
      </c>
      <c r="G322" s="3" t="str">
        <f>SUMIF('Match Subs Filter'!E:E,B322,'Match Subs Filter'!F:F)+sumif('Bank Transfers'!B:B,B322,'Bank Transfers'!C:C)</f>
        <v>#N/A</v>
      </c>
      <c r="H322" s="50" t="str">
        <f t="shared" si="2"/>
        <v>#N/A</v>
      </c>
      <c r="I322" s="51">
        <f t="array" ref="I322">IF(IFERROR(lookup(1,1/SEARCH(B322,'OTPI Scores'!C:C),'OTPI Scores'!E:E),0)="Vets",7,IFERROR(lookup(1,1/SEARCH(B322,'OTPI Scores'!C:C),'OTPI Scores'!E:E),0))</f>
        <v>0</v>
      </c>
      <c r="J322" s="37"/>
      <c r="K322" s="37"/>
      <c r="L322" s="37"/>
      <c r="M322" s="37"/>
      <c r="N322" s="37"/>
      <c r="O322" s="37"/>
      <c r="P322" s="37"/>
      <c r="Q322" s="37"/>
      <c r="R322" s="37"/>
      <c r="S322" s="37"/>
      <c r="T322" s="37"/>
      <c r="U322" s="37"/>
      <c r="V322" s="37"/>
      <c r="W322" s="37"/>
      <c r="X322" s="37"/>
    </row>
    <row r="323">
      <c r="A323" s="37"/>
      <c r="B323" s="49" t="str">
        <f>IFERROR(__xludf.DUMMYFUNCTION("""COMPUTED_VALUE"""),"Samuel Osewa")</f>
        <v>Samuel Osewa</v>
      </c>
      <c r="C323" s="5">
        <v>10.0</v>
      </c>
      <c r="D323" s="3">
        <f>countif('OTPI Scores'!C:C,B323)</f>
        <v>4</v>
      </c>
      <c r="E323" s="3">
        <f t="shared" si="1"/>
        <v>40</v>
      </c>
      <c r="F323" s="3">
        <f>sumif('OTPI Scores'!C:C,B323,'OTPI Scores'!T:T)</f>
        <v>40</v>
      </c>
      <c r="G323" s="3" t="str">
        <f>SUMIF('Match Subs Filter'!E:E,B323,'Match Subs Filter'!F:F)+sumif('Bank Transfers'!B:B,B323,'Bank Transfers'!C:C)</f>
        <v>#N/A</v>
      </c>
      <c r="H323" s="50" t="str">
        <f t="shared" si="2"/>
        <v>#N/A</v>
      </c>
      <c r="I323" s="51">
        <f t="array" ref="I323">IF(IFERROR(lookup(1,1/SEARCH(B323,'OTPI Scores'!C:C),'OTPI Scores'!E:E),0)="Vets",7,IFERROR(lookup(1,1/SEARCH(B323,'OTPI Scores'!C:C),'OTPI Scores'!E:E),0))</f>
        <v>4</v>
      </c>
      <c r="J323" s="37"/>
      <c r="K323" s="37"/>
      <c r="L323" s="37"/>
      <c r="M323" s="37"/>
      <c r="N323" s="37"/>
      <c r="O323" s="37"/>
      <c r="P323" s="37"/>
      <c r="Q323" s="37"/>
      <c r="R323" s="37"/>
      <c r="S323" s="37"/>
      <c r="T323" s="37"/>
      <c r="U323" s="37"/>
      <c r="V323" s="37"/>
      <c r="W323" s="37"/>
      <c r="X323" s="37"/>
    </row>
    <row r="324">
      <c r="A324" s="37"/>
      <c r="B324" s="49" t="str">
        <f>IFERROR(__xludf.DUMMYFUNCTION("""COMPUTED_VALUE"""),"Santiago Barreto")</f>
        <v>Santiago Barreto</v>
      </c>
      <c r="C324" s="5">
        <v>10.0</v>
      </c>
      <c r="D324" s="3">
        <f>countif('OTPI Scores'!C:C,B324)</f>
        <v>0</v>
      </c>
      <c r="E324" s="3">
        <f t="shared" si="1"/>
        <v>0</v>
      </c>
      <c r="F324" s="3">
        <f>sumif('OTPI Scores'!C:C,B324,'OTPI Scores'!T:T)</f>
        <v>0</v>
      </c>
      <c r="G324" s="3" t="str">
        <f>SUMIF('Match Subs Filter'!E:E,B324,'Match Subs Filter'!F:F)+sumif('Bank Transfers'!B:B,B324,'Bank Transfers'!C:C)</f>
        <v>#N/A</v>
      </c>
      <c r="H324" s="50" t="str">
        <f t="shared" si="2"/>
        <v>#N/A</v>
      </c>
      <c r="I324" s="51">
        <f t="array" ref="I324">IF(IFERROR(lookup(1,1/SEARCH(B324,'OTPI Scores'!C:C),'OTPI Scores'!E:E),0)="Vets",7,IFERROR(lookup(1,1/SEARCH(B324,'OTPI Scores'!C:C),'OTPI Scores'!E:E),0))</f>
        <v>0</v>
      </c>
      <c r="J324" s="37"/>
      <c r="K324" s="37"/>
      <c r="L324" s="37"/>
      <c r="M324" s="37"/>
      <c r="N324" s="37"/>
      <c r="O324" s="37"/>
      <c r="P324" s="37"/>
      <c r="Q324" s="37"/>
      <c r="R324" s="37"/>
      <c r="S324" s="37"/>
      <c r="T324" s="37"/>
      <c r="U324" s="37"/>
      <c r="V324" s="37"/>
      <c r="W324" s="37"/>
      <c r="X324" s="37"/>
    </row>
    <row r="325">
      <c r="A325" s="37"/>
      <c r="B325" s="49" t="str">
        <f>IFERROR(__xludf.DUMMYFUNCTION("""COMPUTED_VALUE"""),"Santiago Castillo")</f>
        <v>Santiago Castillo</v>
      </c>
      <c r="C325" s="5">
        <v>10.0</v>
      </c>
      <c r="D325" s="3">
        <f>countif('OTPI Scores'!C:C,B325)</f>
        <v>0</v>
      </c>
      <c r="E325" s="3">
        <f t="shared" si="1"/>
        <v>0</v>
      </c>
      <c r="F325" s="3">
        <f>sumif('OTPI Scores'!C:C,B325,'OTPI Scores'!T:T)</f>
        <v>0</v>
      </c>
      <c r="G325" s="3" t="str">
        <f>SUMIF('Match Subs Filter'!E:E,B325,'Match Subs Filter'!F:F)+sumif('Bank Transfers'!B:B,B325,'Bank Transfers'!C:C)</f>
        <v>#N/A</v>
      </c>
      <c r="H325" s="50" t="str">
        <f t="shared" si="2"/>
        <v>#N/A</v>
      </c>
      <c r="I325" s="51">
        <f t="array" ref="I325">IF(IFERROR(lookup(1,1/SEARCH(B325,'OTPI Scores'!C:C),'OTPI Scores'!E:E),0)="Vets",7,IFERROR(lookup(1,1/SEARCH(B325,'OTPI Scores'!C:C),'OTPI Scores'!E:E),0))</f>
        <v>0</v>
      </c>
      <c r="J325" s="37"/>
      <c r="K325" s="37"/>
      <c r="L325" s="37"/>
      <c r="M325" s="37"/>
      <c r="N325" s="37"/>
      <c r="O325" s="37"/>
      <c r="P325" s="37"/>
      <c r="Q325" s="37"/>
      <c r="R325" s="37"/>
      <c r="S325" s="37"/>
      <c r="T325" s="37"/>
      <c r="U325" s="37"/>
      <c r="V325" s="37"/>
      <c r="W325" s="37"/>
      <c r="X325" s="37"/>
    </row>
    <row r="326">
      <c r="A326" s="37"/>
      <c r="B326" s="49" t="str">
        <f>IFERROR(__xludf.DUMMYFUNCTION("""COMPUTED_VALUE"""),"Sdira el Mehdi")</f>
        <v>Sdira el Mehdi</v>
      </c>
      <c r="C326" s="5">
        <v>10.0</v>
      </c>
      <c r="D326" s="3">
        <f>countif('OTPI Scores'!C:C,B326)</f>
        <v>0</v>
      </c>
      <c r="E326" s="3">
        <f t="shared" si="1"/>
        <v>0</v>
      </c>
      <c r="F326" s="3">
        <f>sumif('OTPI Scores'!C:C,B326,'OTPI Scores'!T:T)</f>
        <v>0</v>
      </c>
      <c r="G326" s="3" t="str">
        <f>SUMIF('Match Subs Filter'!E:E,B326,'Match Subs Filter'!F:F)+sumif('Bank Transfers'!B:B,B326,'Bank Transfers'!C:C)</f>
        <v>#N/A</v>
      </c>
      <c r="H326" s="50" t="str">
        <f t="shared" si="2"/>
        <v>#N/A</v>
      </c>
      <c r="I326" s="51">
        <f t="array" ref="I326">IF(IFERROR(lookup(1,1/SEARCH(B326,'OTPI Scores'!C:C),'OTPI Scores'!E:E),0)="Vets",7,IFERROR(lookup(1,1/SEARCH(B326,'OTPI Scores'!C:C),'OTPI Scores'!E:E),0))</f>
        <v>0</v>
      </c>
      <c r="J326" s="37"/>
      <c r="K326" s="37"/>
      <c r="L326" s="37"/>
      <c r="M326" s="37"/>
      <c r="N326" s="37"/>
      <c r="O326" s="37"/>
      <c r="P326" s="37"/>
      <c r="Q326" s="37"/>
      <c r="R326" s="37"/>
      <c r="S326" s="37"/>
      <c r="T326" s="37"/>
      <c r="U326" s="37"/>
      <c r="V326" s="37"/>
      <c r="W326" s="37"/>
      <c r="X326" s="37"/>
    </row>
    <row r="327">
      <c r="A327" s="37"/>
      <c r="B327" s="49" t="str">
        <f>IFERROR(__xludf.DUMMYFUNCTION("""COMPUTED_VALUE"""),"Sean Rowlett")</f>
        <v>Sean Rowlett</v>
      </c>
      <c r="C327" s="5">
        <v>10.0</v>
      </c>
      <c r="D327" s="3">
        <f>countif('OTPI Scores'!C:C,B327)</f>
        <v>22</v>
      </c>
      <c r="E327" s="3">
        <f t="shared" si="1"/>
        <v>220</v>
      </c>
      <c r="F327" s="3">
        <f>sumif('OTPI Scores'!C:C,B327,'OTPI Scores'!T:T)</f>
        <v>112.5</v>
      </c>
      <c r="G327" s="3" t="str">
        <f>SUMIF('Match Subs Filter'!E:E,B327,'Match Subs Filter'!F:F)+sumif('Bank Transfers'!B:B,B327,'Bank Transfers'!C:C)</f>
        <v>#N/A</v>
      </c>
      <c r="H327" s="50" t="str">
        <f t="shared" si="2"/>
        <v>#N/A</v>
      </c>
      <c r="I327" s="51">
        <f t="array" ref="I327">IF(IFERROR(lookup(1,1/SEARCH(B327,'OTPI Scores'!C:C),'OTPI Scores'!E:E),0)="Vets",7,IFERROR(lookup(1,1/SEARCH(B327,'OTPI Scores'!C:C),'OTPI Scores'!E:E),0))</f>
        <v>4</v>
      </c>
      <c r="J327" s="37"/>
      <c r="K327" s="37"/>
      <c r="L327" s="37"/>
      <c r="M327" s="37"/>
      <c r="N327" s="37"/>
      <c r="O327" s="37"/>
      <c r="P327" s="37"/>
      <c r="Q327" s="37"/>
      <c r="R327" s="37"/>
      <c r="S327" s="37"/>
      <c r="T327" s="37"/>
      <c r="U327" s="37"/>
      <c r="V327" s="37"/>
      <c r="W327" s="37"/>
      <c r="X327" s="37"/>
    </row>
    <row r="328">
      <c r="A328" s="37"/>
      <c r="B328" s="49" t="str">
        <f>IFERROR(__xludf.DUMMYFUNCTION("""COMPUTED_VALUE"""),"Sean Staunton")</f>
        <v>Sean Staunton</v>
      </c>
      <c r="C328" s="5">
        <v>10.0</v>
      </c>
      <c r="D328" s="3">
        <f>countif('OTPI Scores'!C:C,B328)</f>
        <v>12</v>
      </c>
      <c r="E328" s="3">
        <f t="shared" si="1"/>
        <v>120</v>
      </c>
      <c r="F328" s="3">
        <f>sumif('OTPI Scores'!C:C,B328,'OTPI Scores'!T:T)</f>
        <v>20</v>
      </c>
      <c r="G328" s="3" t="str">
        <f>SUMIF('Match Subs Filter'!E:E,B328,'Match Subs Filter'!F:F)+sumif('Bank Transfers'!B:B,B328,'Bank Transfers'!C:C)</f>
        <v>#N/A</v>
      </c>
      <c r="H328" s="50" t="str">
        <f t="shared" si="2"/>
        <v>#N/A</v>
      </c>
      <c r="I328" s="51">
        <f t="array" ref="I328">IF(IFERROR(lookup(1,1/SEARCH(B328,'OTPI Scores'!C:C),'OTPI Scores'!E:E),0)="Vets",7,IFERROR(lookup(1,1/SEARCH(B328,'OTPI Scores'!C:C),'OTPI Scores'!E:E),0))</f>
        <v>2</v>
      </c>
      <c r="J328" s="37"/>
      <c r="K328" s="37"/>
      <c r="L328" s="37"/>
      <c r="M328" s="37"/>
      <c r="N328" s="37"/>
      <c r="O328" s="37"/>
      <c r="P328" s="37"/>
      <c r="Q328" s="37"/>
      <c r="R328" s="37"/>
      <c r="S328" s="37"/>
      <c r="T328" s="37"/>
      <c r="U328" s="37"/>
      <c r="V328" s="37"/>
      <c r="W328" s="37"/>
      <c r="X328" s="37"/>
    </row>
    <row r="329">
      <c r="A329" s="37"/>
      <c r="B329" s="49" t="str">
        <f>IFERROR(__xludf.DUMMYFUNCTION("""COMPUTED_VALUE"""),"Sean Woodhouse")</f>
        <v>Sean Woodhouse</v>
      </c>
      <c r="C329" s="5">
        <v>10.0</v>
      </c>
      <c r="D329" s="3">
        <f>countif('OTPI Scores'!C:C,B329)</f>
        <v>4</v>
      </c>
      <c r="E329" s="3">
        <f t="shared" si="1"/>
        <v>40</v>
      </c>
      <c r="F329" s="3">
        <f>sumif('OTPI Scores'!C:C,B329,'OTPI Scores'!T:T)</f>
        <v>35</v>
      </c>
      <c r="G329" s="3" t="str">
        <f>SUMIF('Match Subs Filter'!E:E,B329,'Match Subs Filter'!F:F)+sumif('Bank Transfers'!B:B,B329,'Bank Transfers'!C:C)</f>
        <v>#N/A</v>
      </c>
      <c r="H329" s="50" t="str">
        <f t="shared" si="2"/>
        <v>#N/A</v>
      </c>
      <c r="I329" s="51">
        <f t="array" ref="I329">IF(IFERROR(lookup(1,1/SEARCH(B329,'OTPI Scores'!C:C),'OTPI Scores'!E:E),0)="Vets",7,IFERROR(lookup(1,1/SEARCH(B329,'OTPI Scores'!C:C),'OTPI Scores'!E:E),0))</f>
        <v>3</v>
      </c>
      <c r="J329" s="37"/>
      <c r="K329" s="37"/>
      <c r="L329" s="37"/>
      <c r="M329" s="37"/>
      <c r="N329" s="37"/>
      <c r="O329" s="37"/>
      <c r="P329" s="37"/>
      <c r="Q329" s="37"/>
      <c r="R329" s="37"/>
      <c r="S329" s="37"/>
      <c r="T329" s="37"/>
      <c r="U329" s="37"/>
      <c r="V329" s="37"/>
      <c r="W329" s="37"/>
      <c r="X329" s="37"/>
    </row>
    <row r="330">
      <c r="A330" s="37"/>
      <c r="B330" s="49" t="str">
        <f>IFERROR(__xludf.DUMMYFUNCTION("""COMPUTED_VALUE"""),"Seb Curle")</f>
        <v>Seb Curle</v>
      </c>
      <c r="C330" s="5">
        <v>10.0</v>
      </c>
      <c r="D330" s="3">
        <f>countif('OTPI Scores'!C:C,B330)</f>
        <v>16</v>
      </c>
      <c r="E330" s="3">
        <f t="shared" si="1"/>
        <v>160</v>
      </c>
      <c r="F330" s="3">
        <f>sumif('OTPI Scores'!C:C,B330,'OTPI Scores'!T:T)</f>
        <v>140</v>
      </c>
      <c r="G330" s="3" t="str">
        <f>SUMIF('Match Subs Filter'!E:E,B330,'Match Subs Filter'!F:F)+sumif('Bank Transfers'!B:B,B330,'Bank Transfers'!C:C)</f>
        <v>#N/A</v>
      </c>
      <c r="H330" s="50" t="str">
        <f t="shared" si="2"/>
        <v>#N/A</v>
      </c>
      <c r="I330" s="51">
        <f t="array" ref="I330">IF(IFERROR(lookup(1,1/SEARCH(B330,'OTPI Scores'!C:C),'OTPI Scores'!E:E),0)="Vets",7,IFERROR(lookup(1,1/SEARCH(B330,'OTPI Scores'!C:C),'OTPI Scores'!E:E),0))</f>
        <v>2</v>
      </c>
      <c r="J330" s="37"/>
      <c r="K330" s="37"/>
      <c r="L330" s="37"/>
      <c r="M330" s="37"/>
      <c r="N330" s="37"/>
      <c r="O330" s="37"/>
      <c r="P330" s="37"/>
      <c r="Q330" s="37"/>
      <c r="R330" s="37"/>
      <c r="S330" s="37"/>
      <c r="T330" s="37"/>
      <c r="U330" s="37"/>
      <c r="V330" s="37"/>
      <c r="W330" s="37"/>
      <c r="X330" s="37"/>
    </row>
    <row r="331">
      <c r="A331" s="37"/>
      <c r="B331" s="49" t="str">
        <f>IFERROR(__xludf.DUMMYFUNCTION("""COMPUTED_VALUE"""),"Shan Nanayakkara")</f>
        <v>Shan Nanayakkara</v>
      </c>
      <c r="C331" s="5">
        <v>10.0</v>
      </c>
      <c r="D331" s="3">
        <f>countif('OTPI Scores'!C:C,B331)</f>
        <v>0</v>
      </c>
      <c r="E331" s="3">
        <f t="shared" si="1"/>
        <v>0</v>
      </c>
      <c r="F331" s="3">
        <f>sumif('OTPI Scores'!C:C,B331,'OTPI Scores'!T:T)</f>
        <v>0</v>
      </c>
      <c r="G331" s="3" t="str">
        <f>SUMIF('Match Subs Filter'!E:E,B331,'Match Subs Filter'!F:F)+sumif('Bank Transfers'!B:B,B331,'Bank Transfers'!C:C)</f>
        <v>#N/A</v>
      </c>
      <c r="H331" s="50" t="str">
        <f t="shared" si="2"/>
        <v>#N/A</v>
      </c>
      <c r="I331" s="51">
        <f t="array" ref="I331">IF(IFERROR(lookup(1,1/SEARCH(B331,'OTPI Scores'!C:C),'OTPI Scores'!E:E),0)="Vets",7,IFERROR(lookup(1,1/SEARCH(B331,'OTPI Scores'!C:C),'OTPI Scores'!E:E),0))</f>
        <v>0</v>
      </c>
      <c r="J331" s="37"/>
      <c r="K331" s="37"/>
      <c r="L331" s="37"/>
      <c r="M331" s="37"/>
      <c r="N331" s="37"/>
      <c r="O331" s="37"/>
      <c r="P331" s="37"/>
      <c r="Q331" s="37"/>
      <c r="R331" s="37"/>
      <c r="S331" s="37"/>
      <c r="T331" s="37"/>
      <c r="U331" s="37"/>
      <c r="V331" s="37"/>
      <c r="W331" s="37"/>
      <c r="X331" s="37"/>
    </row>
    <row r="332">
      <c r="A332" s="37"/>
      <c r="B332" s="49" t="str">
        <f>IFERROR(__xludf.DUMMYFUNCTION("""COMPUTED_VALUE"""),"Shanan Kofi Arhin")</f>
        <v>Shanan Kofi Arhin</v>
      </c>
      <c r="C332" s="5">
        <v>10.0</v>
      </c>
      <c r="D332" s="3">
        <f>countif('OTPI Scores'!C:C,B332)</f>
        <v>0</v>
      </c>
      <c r="E332" s="3">
        <f t="shared" si="1"/>
        <v>0</v>
      </c>
      <c r="F332" s="3">
        <f>sumif('OTPI Scores'!C:C,B332,'OTPI Scores'!T:T)</f>
        <v>0</v>
      </c>
      <c r="G332" s="3" t="str">
        <f>SUMIF('Match Subs Filter'!E:E,B332,'Match Subs Filter'!F:F)+sumif('Bank Transfers'!B:B,B332,'Bank Transfers'!C:C)</f>
        <v>#N/A</v>
      </c>
      <c r="H332" s="50" t="str">
        <f t="shared" si="2"/>
        <v>#N/A</v>
      </c>
      <c r="I332" s="51">
        <f t="array" ref="I332">IF(IFERROR(lookup(1,1/SEARCH(B332,'OTPI Scores'!C:C),'OTPI Scores'!E:E),0)="Vets",7,IFERROR(lookup(1,1/SEARCH(B332,'OTPI Scores'!C:C),'OTPI Scores'!E:E),0))</f>
        <v>0</v>
      </c>
      <c r="J332" s="37"/>
      <c r="K332" s="37"/>
      <c r="L332" s="37"/>
      <c r="M332" s="37"/>
      <c r="N332" s="37"/>
      <c r="O332" s="37"/>
      <c r="P332" s="37"/>
      <c r="Q332" s="37"/>
      <c r="R332" s="37"/>
      <c r="S332" s="37"/>
      <c r="T332" s="37"/>
      <c r="U332" s="37"/>
      <c r="V332" s="37"/>
      <c r="W332" s="37"/>
      <c r="X332" s="37"/>
    </row>
    <row r="333">
      <c r="A333" s="37"/>
      <c r="B333" s="49" t="str">
        <f>IFERROR(__xludf.DUMMYFUNCTION("""COMPUTED_VALUE"""),"Shavon Muir")</f>
        <v>Shavon Muir</v>
      </c>
      <c r="C333" s="5">
        <v>10.0</v>
      </c>
      <c r="D333" s="3">
        <f>countif('OTPI Scores'!C:C,B333)</f>
        <v>3</v>
      </c>
      <c r="E333" s="3">
        <f t="shared" si="1"/>
        <v>30</v>
      </c>
      <c r="F333" s="3">
        <f>sumif('OTPI Scores'!C:C,B333,'OTPI Scores'!T:T)</f>
        <v>10.5</v>
      </c>
      <c r="G333" s="3" t="str">
        <f>SUMIF('Match Subs Filter'!E:E,B333,'Match Subs Filter'!F:F)+sumif('Bank Transfers'!B:B,B333,'Bank Transfers'!C:C)</f>
        <v>#N/A</v>
      </c>
      <c r="H333" s="50" t="str">
        <f t="shared" si="2"/>
        <v>#N/A</v>
      </c>
      <c r="I333" s="51">
        <f t="array" ref="I333">IF(IFERROR(lookup(1,1/SEARCH(B333,'OTPI Scores'!C:C),'OTPI Scores'!E:E),0)="Vets",7,IFERROR(lookup(1,1/SEARCH(B333,'OTPI Scores'!C:C),'OTPI Scores'!E:E),0))</f>
        <v>4</v>
      </c>
      <c r="J333" s="37"/>
      <c r="K333" s="37"/>
      <c r="L333" s="37"/>
      <c r="M333" s="37"/>
      <c r="N333" s="37"/>
      <c r="O333" s="37"/>
      <c r="P333" s="37"/>
      <c r="Q333" s="37"/>
      <c r="R333" s="37"/>
      <c r="S333" s="37"/>
      <c r="T333" s="37"/>
      <c r="U333" s="37"/>
      <c r="V333" s="37"/>
      <c r="W333" s="37"/>
      <c r="X333" s="37"/>
    </row>
    <row r="334">
      <c r="A334" s="37"/>
      <c r="B334" s="49" t="str">
        <f>IFERROR(__xludf.DUMMYFUNCTION("""COMPUTED_VALUE"""),"Si Suarez")</f>
        <v>Si Suarez</v>
      </c>
      <c r="C334" s="5">
        <v>10.0</v>
      </c>
      <c r="D334" s="3">
        <f>countif('OTPI Scores'!C:C,B334)</f>
        <v>0</v>
      </c>
      <c r="E334" s="3">
        <f t="shared" si="1"/>
        <v>0</v>
      </c>
      <c r="F334" s="3">
        <f>sumif('OTPI Scores'!C:C,B334,'OTPI Scores'!T:T)</f>
        <v>0</v>
      </c>
      <c r="G334" s="3" t="str">
        <f>SUMIF('Match Subs Filter'!E:E,B334,'Match Subs Filter'!F:F)+sumif('Bank Transfers'!B:B,B334,'Bank Transfers'!C:C)</f>
        <v>#N/A</v>
      </c>
      <c r="H334" s="50" t="str">
        <f t="shared" si="2"/>
        <v>#N/A</v>
      </c>
      <c r="I334" s="51">
        <f t="array" ref="I334">IF(IFERROR(lookup(1,1/SEARCH(B334,'OTPI Scores'!C:C),'OTPI Scores'!E:E),0)="Vets",7,IFERROR(lookup(1,1/SEARCH(B334,'OTPI Scores'!C:C),'OTPI Scores'!E:E),0))</f>
        <v>0</v>
      </c>
      <c r="J334" s="37"/>
      <c r="K334" s="37"/>
      <c r="L334" s="37"/>
      <c r="M334" s="37"/>
      <c r="N334" s="37"/>
      <c r="O334" s="37"/>
      <c r="P334" s="37"/>
      <c r="Q334" s="37"/>
      <c r="R334" s="37"/>
      <c r="S334" s="37"/>
      <c r="T334" s="37"/>
      <c r="U334" s="37"/>
      <c r="V334" s="37"/>
      <c r="W334" s="37"/>
      <c r="X334" s="37"/>
    </row>
    <row r="335">
      <c r="A335" s="37"/>
      <c r="B335" s="49" t="str">
        <f>IFERROR(__xludf.DUMMYFUNCTION("""COMPUTED_VALUE"""),"Si Thomas")</f>
        <v>Si Thomas</v>
      </c>
      <c r="C335" s="5">
        <v>10.0</v>
      </c>
      <c r="D335" s="3">
        <f>countif('OTPI Scores'!C:C,B335)</f>
        <v>1</v>
      </c>
      <c r="E335" s="3">
        <f t="shared" si="1"/>
        <v>10</v>
      </c>
      <c r="F335" s="3">
        <f>sumif('OTPI Scores'!C:C,B335,'OTPI Scores'!T:T)</f>
        <v>10</v>
      </c>
      <c r="G335" s="3" t="str">
        <f>SUMIF('Match Subs Filter'!E:E,B335,'Match Subs Filter'!F:F)+sumif('Bank Transfers'!B:B,B335,'Bank Transfers'!C:C)</f>
        <v>#N/A</v>
      </c>
      <c r="H335" s="50" t="str">
        <f t="shared" si="2"/>
        <v>#N/A</v>
      </c>
      <c r="I335" s="51">
        <f t="array" ref="I335">IF(IFERROR(lookup(1,1/SEARCH(B335,'OTPI Scores'!C:C),'OTPI Scores'!E:E),0)="Vets",7,IFERROR(lookup(1,1/SEARCH(B335,'OTPI Scores'!C:C),'OTPI Scores'!E:E),0))</f>
        <v>7</v>
      </c>
      <c r="J335" s="37"/>
      <c r="K335" s="37"/>
      <c r="L335" s="37"/>
      <c r="M335" s="37"/>
      <c r="N335" s="37"/>
      <c r="O335" s="37"/>
      <c r="P335" s="37"/>
      <c r="Q335" s="37"/>
      <c r="R335" s="37"/>
      <c r="S335" s="37"/>
      <c r="T335" s="37"/>
      <c r="U335" s="37"/>
      <c r="V335" s="37"/>
      <c r="W335" s="37"/>
      <c r="X335" s="37"/>
    </row>
    <row r="336">
      <c r="A336" s="37"/>
      <c r="B336" s="49" t="str">
        <f>IFERROR(__xludf.DUMMYFUNCTION("""COMPUTED_VALUE"""),"Sid Nayaar")</f>
        <v>Sid Nayaar</v>
      </c>
      <c r="C336" s="5">
        <v>10.0</v>
      </c>
      <c r="D336" s="3">
        <f>countif('OTPI Scores'!C:C,B336)</f>
        <v>6</v>
      </c>
      <c r="E336" s="3">
        <f t="shared" si="1"/>
        <v>60</v>
      </c>
      <c r="F336" s="3">
        <f>sumif('OTPI Scores'!C:C,B336,'OTPI Scores'!T:T)</f>
        <v>30</v>
      </c>
      <c r="G336" s="3" t="str">
        <f>SUMIF('Match Subs Filter'!E:E,B336,'Match Subs Filter'!F:F)+sumif('Bank Transfers'!B:B,B336,'Bank Transfers'!C:C)</f>
        <v>#N/A</v>
      </c>
      <c r="H336" s="50" t="str">
        <f t="shared" si="2"/>
        <v>#N/A</v>
      </c>
      <c r="I336" s="51">
        <f t="array" ref="I336">IF(IFERROR(lookup(1,1/SEARCH(B336,'OTPI Scores'!C:C),'OTPI Scores'!E:E),0)="Vets",7,IFERROR(lookup(1,1/SEARCH(B336,'OTPI Scores'!C:C),'OTPI Scores'!E:E),0))</f>
        <v>4</v>
      </c>
      <c r="J336" s="37"/>
      <c r="K336" s="37"/>
      <c r="L336" s="37"/>
      <c r="M336" s="37"/>
      <c r="N336" s="37"/>
      <c r="O336" s="37"/>
      <c r="P336" s="37"/>
      <c r="Q336" s="37"/>
      <c r="R336" s="37"/>
      <c r="S336" s="37"/>
      <c r="T336" s="37"/>
      <c r="U336" s="37"/>
      <c r="V336" s="37"/>
      <c r="W336" s="37"/>
      <c r="X336" s="37"/>
    </row>
    <row r="337">
      <c r="A337" s="37"/>
      <c r="B337" s="49" t="str">
        <f>IFERROR(__xludf.DUMMYFUNCTION("""COMPUTED_VALUE"""),"Sidhant Nayar")</f>
        <v>Sidhant Nayar</v>
      </c>
      <c r="C337" s="5">
        <v>10.0</v>
      </c>
      <c r="D337" s="3">
        <f>countif('OTPI Scores'!C:C,B337)</f>
        <v>0</v>
      </c>
      <c r="E337" s="3">
        <f t="shared" si="1"/>
        <v>0</v>
      </c>
      <c r="F337" s="3">
        <f>sumif('OTPI Scores'!C:C,B337,'OTPI Scores'!T:T)</f>
        <v>0</v>
      </c>
      <c r="G337" s="3" t="str">
        <f>SUMIF('Match Subs Filter'!E:E,B337,'Match Subs Filter'!F:F)+sumif('Bank Transfers'!B:B,B337,'Bank Transfers'!C:C)</f>
        <v>#N/A</v>
      </c>
      <c r="H337" s="50" t="str">
        <f t="shared" si="2"/>
        <v>#N/A</v>
      </c>
      <c r="I337" s="51">
        <f t="array" ref="I337">IF(IFERROR(lookup(1,1/SEARCH(B337,'OTPI Scores'!C:C),'OTPI Scores'!E:E),0)="Vets",7,IFERROR(lookup(1,1/SEARCH(B337,'OTPI Scores'!C:C),'OTPI Scores'!E:E),0))</f>
        <v>0</v>
      </c>
      <c r="J337" s="37"/>
      <c r="K337" s="37"/>
      <c r="L337" s="37"/>
      <c r="M337" s="37"/>
      <c r="N337" s="37"/>
      <c r="O337" s="37"/>
      <c r="P337" s="37"/>
      <c r="Q337" s="37"/>
      <c r="R337" s="37"/>
      <c r="S337" s="37"/>
      <c r="T337" s="37"/>
      <c r="U337" s="37"/>
      <c r="V337" s="37"/>
      <c r="W337" s="37"/>
      <c r="X337" s="37"/>
    </row>
    <row r="338">
      <c r="A338" s="37"/>
      <c r="B338" s="49" t="str">
        <f>IFERROR(__xludf.DUMMYFUNCTION("""COMPUTED_VALUE"""),"Sidney Hopper-Kelly")</f>
        <v>Sidney Hopper-Kelly</v>
      </c>
      <c r="C338" s="5">
        <v>10.0</v>
      </c>
      <c r="D338" s="3">
        <f>countif('OTPI Scores'!C:C,B338)</f>
        <v>11</v>
      </c>
      <c r="E338" s="3">
        <f t="shared" si="1"/>
        <v>110</v>
      </c>
      <c r="F338" s="3">
        <f>sumif('OTPI Scores'!C:C,B338,'OTPI Scores'!T:T)</f>
        <v>95</v>
      </c>
      <c r="G338" s="3" t="str">
        <f>SUMIF('Match Subs Filter'!E:E,B338,'Match Subs Filter'!F:F)+sumif('Bank Transfers'!B:B,B338,'Bank Transfers'!C:C)</f>
        <v>#N/A</v>
      </c>
      <c r="H338" s="50" t="str">
        <f t="shared" si="2"/>
        <v>#N/A</v>
      </c>
      <c r="I338" s="51">
        <f t="array" ref="I338">IF(IFERROR(lookup(1,1/SEARCH(B338,'OTPI Scores'!C:C),'OTPI Scores'!E:E),0)="Vets",7,IFERROR(lookup(1,1/SEARCH(B338,'OTPI Scores'!C:C),'OTPI Scores'!E:E),0))</f>
        <v>4</v>
      </c>
      <c r="J338" s="37"/>
      <c r="K338" s="37"/>
      <c r="L338" s="37"/>
      <c r="M338" s="37"/>
      <c r="N338" s="37"/>
      <c r="O338" s="37"/>
      <c r="P338" s="37"/>
      <c r="Q338" s="37"/>
      <c r="R338" s="37"/>
      <c r="S338" s="37"/>
      <c r="T338" s="37"/>
      <c r="U338" s="37"/>
      <c r="V338" s="37"/>
      <c r="W338" s="37"/>
      <c r="X338" s="37"/>
    </row>
    <row r="339">
      <c r="A339" s="37"/>
      <c r="B339" s="49" t="str">
        <f>IFERROR(__xludf.DUMMYFUNCTION("""COMPUTED_VALUE"""),"Sonny Kombo")</f>
        <v>Sonny Kombo</v>
      </c>
      <c r="C339" s="5">
        <v>10.0</v>
      </c>
      <c r="D339" s="3">
        <f>countif('OTPI Scores'!C:C,B339)</f>
        <v>3</v>
      </c>
      <c r="E339" s="3">
        <f t="shared" si="1"/>
        <v>30</v>
      </c>
      <c r="F339" s="3">
        <f>sumif('OTPI Scores'!C:C,B339,'OTPI Scores'!T:T)</f>
        <v>20</v>
      </c>
      <c r="G339" s="3" t="str">
        <f>SUMIF('Match Subs Filter'!E:E,B339,'Match Subs Filter'!F:F)+sumif('Bank Transfers'!B:B,B339,'Bank Transfers'!C:C)</f>
        <v>#N/A</v>
      </c>
      <c r="H339" s="50" t="str">
        <f t="shared" si="2"/>
        <v>#N/A</v>
      </c>
      <c r="I339" s="51">
        <f t="array" ref="I339">IF(IFERROR(lookup(1,1/SEARCH(B339,'OTPI Scores'!C:C),'OTPI Scores'!E:E),0)="Vets",7,IFERROR(lookup(1,1/SEARCH(B339,'OTPI Scores'!C:C),'OTPI Scores'!E:E),0))</f>
        <v>7</v>
      </c>
      <c r="J339" s="37"/>
      <c r="K339" s="37"/>
      <c r="L339" s="37"/>
      <c r="M339" s="37"/>
      <c r="N339" s="37"/>
      <c r="O339" s="37"/>
      <c r="P339" s="37"/>
      <c r="Q339" s="37"/>
      <c r="R339" s="37"/>
      <c r="S339" s="37"/>
      <c r="T339" s="37"/>
      <c r="U339" s="37"/>
      <c r="V339" s="37"/>
      <c r="W339" s="37"/>
      <c r="X339" s="37"/>
    </row>
    <row r="340">
      <c r="A340" s="37"/>
      <c r="B340" s="49" t="str">
        <f>IFERROR(__xludf.DUMMYFUNCTION("""COMPUTED_VALUE"""),"Stanley Timms")</f>
        <v>Stanley Timms</v>
      </c>
      <c r="C340" s="5">
        <v>10.0</v>
      </c>
      <c r="D340" s="3">
        <f>countif('OTPI Scores'!C:C,B340)</f>
        <v>20</v>
      </c>
      <c r="E340" s="3">
        <f t="shared" si="1"/>
        <v>200</v>
      </c>
      <c r="F340" s="3">
        <f>sumif('OTPI Scores'!C:C,B340,'OTPI Scores'!T:T)</f>
        <v>159</v>
      </c>
      <c r="G340" s="3" t="str">
        <f>SUMIF('Match Subs Filter'!E:E,B340,'Match Subs Filter'!F:F)+sumif('Bank Transfers'!B:B,B340,'Bank Transfers'!C:C)</f>
        <v>#N/A</v>
      </c>
      <c r="H340" s="50" t="str">
        <f t="shared" si="2"/>
        <v>#N/A</v>
      </c>
      <c r="I340" s="51">
        <f t="array" ref="I340">IF(IFERROR(lookup(1,1/SEARCH(B340,'OTPI Scores'!C:C),'OTPI Scores'!E:E),0)="Vets",7,IFERROR(lookup(1,1/SEARCH(B340,'OTPI Scores'!C:C),'OTPI Scores'!E:E),0))</f>
        <v>2</v>
      </c>
      <c r="J340" s="37"/>
      <c r="K340" s="37"/>
      <c r="L340" s="37"/>
      <c r="M340" s="37"/>
      <c r="N340" s="37"/>
      <c r="O340" s="37"/>
      <c r="P340" s="37"/>
      <c r="Q340" s="37"/>
      <c r="R340" s="37"/>
      <c r="S340" s="37"/>
      <c r="T340" s="37"/>
      <c r="U340" s="37"/>
      <c r="V340" s="37"/>
      <c r="W340" s="37"/>
      <c r="X340" s="37"/>
    </row>
    <row r="341">
      <c r="A341" s="37"/>
      <c r="B341" s="49" t="str">
        <f>IFERROR(__xludf.DUMMYFUNCTION("""COMPUTED_VALUE"""),"Ste Calder")</f>
        <v>Ste Calder</v>
      </c>
      <c r="C341" s="5">
        <v>10.0</v>
      </c>
      <c r="D341" s="3">
        <f>countif('OTPI Scores'!C:C,B341)</f>
        <v>7</v>
      </c>
      <c r="E341" s="3">
        <f t="shared" si="1"/>
        <v>70</v>
      </c>
      <c r="F341" s="3">
        <f>sumif('OTPI Scores'!C:C,B341,'OTPI Scores'!T:T)</f>
        <v>45</v>
      </c>
      <c r="G341" s="3" t="str">
        <f>SUMIF('Match Subs Filter'!E:E,B341,'Match Subs Filter'!F:F)+sumif('Bank Transfers'!B:B,B341,'Bank Transfers'!C:C)</f>
        <v>#N/A</v>
      </c>
      <c r="H341" s="50" t="str">
        <f t="shared" si="2"/>
        <v>#N/A</v>
      </c>
      <c r="I341" s="51">
        <f t="array" ref="I341">IF(IFERROR(lookup(1,1/SEARCH(B341,'OTPI Scores'!C:C),'OTPI Scores'!E:E),0)="Vets",7,IFERROR(lookup(1,1/SEARCH(B341,'OTPI Scores'!C:C),'OTPI Scores'!E:E),0))</f>
        <v>7</v>
      </c>
      <c r="J341" s="37"/>
      <c r="K341" s="37"/>
      <c r="L341" s="37"/>
      <c r="M341" s="37"/>
      <c r="N341" s="37"/>
      <c r="O341" s="37"/>
      <c r="P341" s="37"/>
      <c r="Q341" s="37"/>
      <c r="R341" s="37"/>
      <c r="S341" s="37"/>
      <c r="T341" s="37"/>
      <c r="U341" s="37"/>
      <c r="V341" s="37"/>
      <c r="W341" s="37"/>
      <c r="X341" s="37"/>
    </row>
    <row r="342">
      <c r="A342" s="37"/>
      <c r="B342" s="49" t="str">
        <f>IFERROR(__xludf.DUMMYFUNCTION("""COMPUTED_VALUE"""),"Stefan Petrov")</f>
        <v>Stefan Petrov</v>
      </c>
      <c r="C342" s="5">
        <v>10.0</v>
      </c>
      <c r="D342" s="3">
        <f>countif('OTPI Scores'!C:C,B342)</f>
        <v>0</v>
      </c>
      <c r="E342" s="3">
        <f t="shared" si="1"/>
        <v>0</v>
      </c>
      <c r="F342" s="3">
        <f>sumif('OTPI Scores'!C:C,B342,'OTPI Scores'!T:T)</f>
        <v>0</v>
      </c>
      <c r="G342" s="3" t="str">
        <f>SUMIF('Match Subs Filter'!E:E,B342,'Match Subs Filter'!F:F)+sumif('Bank Transfers'!B:B,B342,'Bank Transfers'!C:C)</f>
        <v>#N/A</v>
      </c>
      <c r="H342" s="50" t="str">
        <f t="shared" si="2"/>
        <v>#N/A</v>
      </c>
      <c r="I342" s="51">
        <f t="array" ref="I342">IF(IFERROR(lookup(1,1/SEARCH(B342,'OTPI Scores'!C:C),'OTPI Scores'!E:E),0)="Vets",7,IFERROR(lookup(1,1/SEARCH(B342,'OTPI Scores'!C:C),'OTPI Scores'!E:E),0))</f>
        <v>0</v>
      </c>
      <c r="J342" s="37"/>
      <c r="K342" s="37"/>
      <c r="L342" s="37"/>
      <c r="M342" s="37"/>
      <c r="N342" s="37"/>
      <c r="O342" s="37"/>
      <c r="P342" s="37"/>
      <c r="Q342" s="37"/>
      <c r="R342" s="37"/>
      <c r="S342" s="37"/>
      <c r="T342" s="37"/>
      <c r="U342" s="37"/>
      <c r="V342" s="37"/>
      <c r="W342" s="37"/>
      <c r="X342" s="37"/>
    </row>
    <row r="343">
      <c r="A343" s="37"/>
      <c r="B343" s="49" t="str">
        <f>IFERROR(__xludf.DUMMYFUNCTION("""COMPUTED_VALUE"""),"Stephen Aina")</f>
        <v>Stephen Aina</v>
      </c>
      <c r="C343" s="5">
        <v>10.0</v>
      </c>
      <c r="D343" s="3">
        <f>countif('OTPI Scores'!C:C,B343)</f>
        <v>0</v>
      </c>
      <c r="E343" s="3">
        <f t="shared" si="1"/>
        <v>0</v>
      </c>
      <c r="F343" s="3">
        <f>sumif('OTPI Scores'!C:C,B343,'OTPI Scores'!T:T)</f>
        <v>0</v>
      </c>
      <c r="G343" s="3" t="str">
        <f>SUMIF('Match Subs Filter'!E:E,B343,'Match Subs Filter'!F:F)+sumif('Bank Transfers'!B:B,B343,'Bank Transfers'!C:C)</f>
        <v>#N/A</v>
      </c>
      <c r="H343" s="50" t="str">
        <f t="shared" si="2"/>
        <v>#N/A</v>
      </c>
      <c r="I343" s="51">
        <f t="array" ref="I343">IF(IFERROR(lookup(1,1/SEARCH(B343,'OTPI Scores'!C:C),'OTPI Scores'!E:E),0)="Vets",7,IFERROR(lookup(1,1/SEARCH(B343,'OTPI Scores'!C:C),'OTPI Scores'!E:E),0))</f>
        <v>0</v>
      </c>
      <c r="J343" s="37"/>
      <c r="K343" s="37"/>
      <c r="L343" s="37"/>
      <c r="M343" s="37"/>
      <c r="N343" s="37"/>
      <c r="O343" s="37"/>
      <c r="P343" s="37"/>
      <c r="Q343" s="37"/>
      <c r="R343" s="37"/>
      <c r="S343" s="37"/>
      <c r="T343" s="37"/>
      <c r="U343" s="37"/>
      <c r="V343" s="37"/>
      <c r="W343" s="37"/>
      <c r="X343" s="37"/>
    </row>
    <row r="344">
      <c r="A344" s="37"/>
      <c r="B344" s="49" t="str">
        <f>IFERROR(__xludf.DUMMYFUNCTION("""COMPUTED_VALUE"""),"Steve Francis")</f>
        <v>Steve Francis</v>
      </c>
      <c r="C344" s="5">
        <v>10.0</v>
      </c>
      <c r="D344" s="3">
        <f>countif('OTPI Scores'!C:C,B344)</f>
        <v>5</v>
      </c>
      <c r="E344" s="3">
        <f t="shared" si="1"/>
        <v>50</v>
      </c>
      <c r="F344" s="3">
        <f>sumif('OTPI Scores'!C:C,B344,'OTPI Scores'!T:T)</f>
        <v>45</v>
      </c>
      <c r="G344" s="3" t="str">
        <f>SUMIF('Match Subs Filter'!E:E,B344,'Match Subs Filter'!F:F)+sumif('Bank Transfers'!B:B,B344,'Bank Transfers'!C:C)</f>
        <v>#N/A</v>
      </c>
      <c r="H344" s="50" t="str">
        <f t="shared" si="2"/>
        <v>#N/A</v>
      </c>
      <c r="I344" s="51">
        <f t="array" ref="I344">IF(IFERROR(lookup(1,1/SEARCH(B344,'OTPI Scores'!C:C),'OTPI Scores'!E:E),0)="Vets",7,IFERROR(lookup(1,1/SEARCH(B344,'OTPI Scores'!C:C),'OTPI Scores'!E:E),0))</f>
        <v>7</v>
      </c>
      <c r="J344" s="37"/>
      <c r="K344" s="37"/>
      <c r="L344" s="37"/>
      <c r="M344" s="37"/>
      <c r="N344" s="37"/>
      <c r="O344" s="37"/>
      <c r="P344" s="37"/>
      <c r="Q344" s="37"/>
      <c r="R344" s="37"/>
      <c r="S344" s="37"/>
      <c r="T344" s="37"/>
      <c r="U344" s="37"/>
      <c r="V344" s="37"/>
      <c r="W344" s="37"/>
      <c r="X344" s="37"/>
    </row>
    <row r="345">
      <c r="A345" s="37"/>
      <c r="B345" s="49" t="str">
        <f>IFERROR(__xludf.DUMMYFUNCTION("""COMPUTED_VALUE"""),"Steven Teixeira")</f>
        <v>Steven Teixeira</v>
      </c>
      <c r="C345" s="5">
        <v>10.0</v>
      </c>
      <c r="D345" s="3">
        <f>countif('OTPI Scores'!C:C,B345)</f>
        <v>0</v>
      </c>
      <c r="E345" s="3">
        <f t="shared" si="1"/>
        <v>0</v>
      </c>
      <c r="F345" s="3">
        <f>sumif('OTPI Scores'!C:C,B345,'OTPI Scores'!T:T)</f>
        <v>0</v>
      </c>
      <c r="G345" s="3" t="str">
        <f>SUMIF('Match Subs Filter'!E:E,B345,'Match Subs Filter'!F:F)+sumif('Bank Transfers'!B:B,B345,'Bank Transfers'!C:C)</f>
        <v>#N/A</v>
      </c>
      <c r="H345" s="50" t="str">
        <f t="shared" si="2"/>
        <v>#N/A</v>
      </c>
      <c r="I345" s="51">
        <f t="array" ref="I345">IF(IFERROR(lookup(1,1/SEARCH(B345,'OTPI Scores'!C:C),'OTPI Scores'!E:E),0)="Vets",7,IFERROR(lookup(1,1/SEARCH(B345,'OTPI Scores'!C:C),'OTPI Scores'!E:E),0))</f>
        <v>0</v>
      </c>
      <c r="J345" s="37"/>
      <c r="K345" s="37"/>
      <c r="L345" s="37"/>
      <c r="M345" s="37"/>
      <c r="N345" s="37"/>
      <c r="O345" s="37"/>
      <c r="P345" s="37"/>
      <c r="Q345" s="37"/>
      <c r="R345" s="37"/>
      <c r="S345" s="37"/>
      <c r="T345" s="37"/>
      <c r="U345" s="37"/>
      <c r="V345" s="37"/>
      <c r="W345" s="37"/>
      <c r="X345" s="37"/>
    </row>
    <row r="346">
      <c r="A346" s="37"/>
      <c r="B346" s="49" t="str">
        <f>IFERROR(__xludf.DUMMYFUNCTION("""COMPUTED_VALUE"""),"Stevie Wood")</f>
        <v>Stevie Wood</v>
      </c>
      <c r="C346" s="5">
        <v>10.0</v>
      </c>
      <c r="D346" s="3">
        <f>countif('OTPI Scores'!C:C,B346)</f>
        <v>1</v>
      </c>
      <c r="E346" s="3">
        <f t="shared" si="1"/>
        <v>10</v>
      </c>
      <c r="F346" s="3">
        <f>sumif('OTPI Scores'!C:C,B346,'OTPI Scores'!T:T)</f>
        <v>10</v>
      </c>
      <c r="G346" s="3" t="str">
        <f>SUMIF('Match Subs Filter'!E:E,B346,'Match Subs Filter'!F:F)+sumif('Bank Transfers'!B:B,B346,'Bank Transfers'!C:C)</f>
        <v>#N/A</v>
      </c>
      <c r="H346" s="50" t="str">
        <f t="shared" si="2"/>
        <v>#N/A</v>
      </c>
      <c r="I346" s="51">
        <f t="array" ref="I346">IF(IFERROR(lookup(1,1/SEARCH(B346,'OTPI Scores'!C:C),'OTPI Scores'!E:E),0)="Vets",7,IFERROR(lookup(1,1/SEARCH(B346,'OTPI Scores'!C:C),'OTPI Scores'!E:E),0))</f>
        <v>7</v>
      </c>
      <c r="J346" s="37"/>
      <c r="K346" s="37"/>
      <c r="L346" s="37"/>
      <c r="M346" s="37"/>
      <c r="N346" s="37"/>
      <c r="O346" s="37"/>
      <c r="P346" s="37"/>
      <c r="Q346" s="37"/>
      <c r="R346" s="37"/>
      <c r="S346" s="37"/>
      <c r="T346" s="37"/>
      <c r="U346" s="37"/>
      <c r="V346" s="37"/>
      <c r="W346" s="37"/>
      <c r="X346" s="37"/>
    </row>
    <row r="347">
      <c r="A347" s="37"/>
      <c r="B347" s="49" t="str">
        <f>IFERROR(__xludf.DUMMYFUNCTION("""COMPUTED_VALUE"""),"Stiven Arias")</f>
        <v>Stiven Arias</v>
      </c>
      <c r="C347" s="5">
        <v>10.0</v>
      </c>
      <c r="D347" s="3">
        <f>countif('OTPI Scores'!C:C,B347)</f>
        <v>0</v>
      </c>
      <c r="E347" s="3">
        <f t="shared" si="1"/>
        <v>0</v>
      </c>
      <c r="F347" s="3">
        <f>sumif('OTPI Scores'!C:C,B347,'OTPI Scores'!T:T)</f>
        <v>0</v>
      </c>
      <c r="G347" s="3" t="str">
        <f>SUMIF('Match Subs Filter'!E:E,B347,'Match Subs Filter'!F:F)+sumif('Bank Transfers'!B:B,B347,'Bank Transfers'!C:C)</f>
        <v>#N/A</v>
      </c>
      <c r="H347" s="50" t="str">
        <f t="shared" si="2"/>
        <v>#N/A</v>
      </c>
      <c r="I347" s="51">
        <f t="array" ref="I347">IF(IFERROR(lookup(1,1/SEARCH(B347,'OTPI Scores'!C:C),'OTPI Scores'!E:E),0)="Vets",7,IFERROR(lookup(1,1/SEARCH(B347,'OTPI Scores'!C:C),'OTPI Scores'!E:E),0))</f>
        <v>0</v>
      </c>
      <c r="J347" s="37"/>
      <c r="K347" s="37"/>
      <c r="L347" s="37"/>
      <c r="M347" s="37"/>
      <c r="N347" s="37"/>
      <c r="O347" s="37"/>
      <c r="P347" s="37"/>
      <c r="Q347" s="37"/>
      <c r="R347" s="37"/>
      <c r="S347" s="37"/>
      <c r="T347" s="37"/>
      <c r="U347" s="37"/>
      <c r="V347" s="37"/>
      <c r="W347" s="37"/>
      <c r="X347" s="37"/>
    </row>
    <row r="348">
      <c r="A348" s="37"/>
      <c r="B348" s="49" t="str">
        <f>IFERROR(__xludf.DUMMYFUNCTION("""COMPUTED_VALUE"""),"Stu Halliday")</f>
        <v>Stu Halliday</v>
      </c>
      <c r="C348" s="5">
        <v>10.0</v>
      </c>
      <c r="D348" s="3">
        <f>countif('OTPI Scores'!C:C,B348)</f>
        <v>3</v>
      </c>
      <c r="E348" s="3">
        <f t="shared" si="1"/>
        <v>30</v>
      </c>
      <c r="F348" s="3">
        <f>sumif('OTPI Scores'!C:C,B348,'OTPI Scores'!T:T)</f>
        <v>30</v>
      </c>
      <c r="G348" s="3" t="str">
        <f>SUMIF('Match Subs Filter'!E:E,B348,'Match Subs Filter'!F:F)+sumif('Bank Transfers'!B:B,B348,'Bank Transfers'!C:C)</f>
        <v>#N/A</v>
      </c>
      <c r="H348" s="50" t="str">
        <f t="shared" si="2"/>
        <v>#N/A</v>
      </c>
      <c r="I348" s="51">
        <f t="array" ref="I348">IF(IFERROR(lookup(1,1/SEARCH(B348,'OTPI Scores'!C:C),'OTPI Scores'!E:E),0)="Vets",7,IFERROR(lookup(1,1/SEARCH(B348,'OTPI Scores'!C:C),'OTPI Scores'!E:E),0))</f>
        <v>7</v>
      </c>
      <c r="J348" s="37"/>
      <c r="K348" s="37"/>
      <c r="L348" s="37"/>
      <c r="M348" s="37"/>
      <c r="N348" s="37"/>
      <c r="O348" s="37"/>
      <c r="P348" s="37"/>
      <c r="Q348" s="37"/>
      <c r="R348" s="37"/>
      <c r="S348" s="37"/>
      <c r="T348" s="37"/>
      <c r="U348" s="37"/>
      <c r="V348" s="37"/>
      <c r="W348" s="37"/>
      <c r="X348" s="37"/>
    </row>
    <row r="349">
      <c r="A349" s="37"/>
      <c r="B349" s="49" t="str">
        <f>IFERROR(__xludf.DUMMYFUNCTION("""COMPUTED_VALUE"""),"Stu Jordan")</f>
        <v>Stu Jordan</v>
      </c>
      <c r="C349" s="5">
        <v>10.0</v>
      </c>
      <c r="D349" s="3">
        <f>countif('OTPI Scores'!C:C,B349)</f>
        <v>14</v>
      </c>
      <c r="E349" s="3">
        <f t="shared" si="1"/>
        <v>140</v>
      </c>
      <c r="F349" s="3">
        <f>sumif('OTPI Scores'!C:C,B349,'OTPI Scores'!T:T)</f>
        <v>134</v>
      </c>
      <c r="G349" s="3" t="str">
        <f>SUMIF('Match Subs Filter'!E:E,B349,'Match Subs Filter'!F:F)+sumif('Bank Transfers'!B:B,B349,'Bank Transfers'!C:C)</f>
        <v>#N/A</v>
      </c>
      <c r="H349" s="50" t="str">
        <f t="shared" si="2"/>
        <v>#N/A</v>
      </c>
      <c r="I349" s="51">
        <f t="array" ref="I349">IF(IFERROR(lookup(1,1/SEARCH(B349,'OTPI Scores'!C:C),'OTPI Scores'!E:E),0)="Vets",7,IFERROR(lookup(1,1/SEARCH(B349,'OTPI Scores'!C:C),'OTPI Scores'!E:E),0))</f>
        <v>5</v>
      </c>
      <c r="J349" s="37"/>
      <c r="K349" s="37"/>
      <c r="L349" s="37"/>
      <c r="M349" s="37"/>
      <c r="N349" s="37"/>
      <c r="O349" s="37"/>
      <c r="P349" s="37"/>
      <c r="Q349" s="37"/>
      <c r="R349" s="37"/>
      <c r="S349" s="37"/>
      <c r="T349" s="37"/>
      <c r="U349" s="37"/>
      <c r="V349" s="37"/>
      <c r="W349" s="37"/>
      <c r="X349" s="37"/>
    </row>
    <row r="350">
      <c r="A350" s="37"/>
      <c r="B350" s="49" t="str">
        <f>IFERROR(__xludf.DUMMYFUNCTION("""COMPUTED_VALUE"""),"Syed Owais Minhaji")</f>
        <v>Syed Owais Minhaji</v>
      </c>
      <c r="C350" s="5">
        <v>10.0</v>
      </c>
      <c r="D350" s="3">
        <f>countif('OTPI Scores'!C:C,B350)</f>
        <v>0</v>
      </c>
      <c r="E350" s="3">
        <f t="shared" si="1"/>
        <v>0</v>
      </c>
      <c r="F350" s="3">
        <f>sumif('OTPI Scores'!C:C,B350,'OTPI Scores'!T:T)</f>
        <v>0</v>
      </c>
      <c r="G350" s="3" t="str">
        <f>SUMIF('Match Subs Filter'!E:E,B350,'Match Subs Filter'!F:F)+sumif('Bank Transfers'!B:B,B350,'Bank Transfers'!C:C)</f>
        <v>#N/A</v>
      </c>
      <c r="H350" s="50" t="str">
        <f t="shared" si="2"/>
        <v>#N/A</v>
      </c>
      <c r="I350" s="51">
        <f t="array" ref="I350">IF(IFERROR(lookup(1,1/SEARCH(B350,'OTPI Scores'!C:C),'OTPI Scores'!E:E),0)="Vets",7,IFERROR(lookup(1,1/SEARCH(B350,'OTPI Scores'!C:C),'OTPI Scores'!E:E),0))</f>
        <v>0</v>
      </c>
      <c r="J350" s="37"/>
      <c r="K350" s="37"/>
      <c r="L350" s="37"/>
      <c r="M350" s="37"/>
      <c r="N350" s="37"/>
      <c r="O350" s="37"/>
      <c r="P350" s="37"/>
      <c r="Q350" s="37"/>
      <c r="R350" s="37"/>
      <c r="S350" s="37"/>
      <c r="T350" s="37"/>
      <c r="U350" s="37"/>
      <c r="V350" s="37"/>
      <c r="W350" s="37"/>
      <c r="X350" s="37"/>
    </row>
    <row r="351">
      <c r="A351" s="37"/>
      <c r="B351" s="49" t="str">
        <f>IFERROR(__xludf.DUMMYFUNCTION("""COMPUTED_VALUE"""),"tabish baig")</f>
        <v>tabish baig</v>
      </c>
      <c r="C351" s="5">
        <v>10.0</v>
      </c>
      <c r="D351" s="3">
        <f>countif('OTPI Scores'!C:C,B351)</f>
        <v>0</v>
      </c>
      <c r="E351" s="3">
        <f t="shared" si="1"/>
        <v>0</v>
      </c>
      <c r="F351" s="3">
        <f>sumif('OTPI Scores'!C:C,B351,'OTPI Scores'!T:T)</f>
        <v>0</v>
      </c>
      <c r="G351" s="3" t="str">
        <f>SUMIF('Match Subs Filter'!E:E,B351,'Match Subs Filter'!F:F)+sumif('Bank Transfers'!B:B,B351,'Bank Transfers'!C:C)</f>
        <v>#N/A</v>
      </c>
      <c r="H351" s="50" t="str">
        <f t="shared" si="2"/>
        <v>#N/A</v>
      </c>
      <c r="I351" s="51">
        <f t="array" ref="I351">IF(IFERROR(lookup(1,1/SEARCH(B351,'OTPI Scores'!C:C),'OTPI Scores'!E:E),0)="Vets",7,IFERROR(lookup(1,1/SEARCH(B351,'OTPI Scores'!C:C),'OTPI Scores'!E:E),0))</f>
        <v>0</v>
      </c>
      <c r="J351" s="37"/>
      <c r="K351" s="37"/>
      <c r="L351" s="37"/>
      <c r="M351" s="37"/>
      <c r="N351" s="37"/>
      <c r="O351" s="37"/>
      <c r="P351" s="37"/>
      <c r="Q351" s="37"/>
      <c r="R351" s="37"/>
      <c r="S351" s="37"/>
      <c r="T351" s="37"/>
      <c r="U351" s="37"/>
      <c r="V351" s="37"/>
      <c r="W351" s="37"/>
      <c r="X351" s="37"/>
    </row>
    <row r="352">
      <c r="A352" s="37"/>
      <c r="B352" s="49" t="str">
        <f>IFERROR(__xludf.DUMMYFUNCTION("""COMPUTED_VALUE"""),"Talha Ahmed")</f>
        <v>Talha Ahmed</v>
      </c>
      <c r="C352" s="5">
        <v>10.0</v>
      </c>
      <c r="D352" s="3">
        <f>countif('OTPI Scores'!C:C,B352)</f>
        <v>0</v>
      </c>
      <c r="E352" s="3">
        <f t="shared" si="1"/>
        <v>0</v>
      </c>
      <c r="F352" s="3">
        <f>sumif('OTPI Scores'!C:C,B352,'OTPI Scores'!T:T)</f>
        <v>0</v>
      </c>
      <c r="G352" s="3" t="str">
        <f>SUMIF('Match Subs Filter'!E:E,B352,'Match Subs Filter'!F:F)+sumif('Bank Transfers'!B:B,B352,'Bank Transfers'!C:C)</f>
        <v>#N/A</v>
      </c>
      <c r="H352" s="50" t="str">
        <f t="shared" si="2"/>
        <v>#N/A</v>
      </c>
      <c r="I352" s="51">
        <f t="array" ref="I352">IF(IFERROR(lookup(1,1/SEARCH(B352,'OTPI Scores'!C:C),'OTPI Scores'!E:E),0)="Vets",7,IFERROR(lookup(1,1/SEARCH(B352,'OTPI Scores'!C:C),'OTPI Scores'!E:E),0))</f>
        <v>0</v>
      </c>
      <c r="J352" s="37"/>
      <c r="K352" s="37"/>
      <c r="L352" s="37"/>
      <c r="M352" s="37"/>
      <c r="N352" s="37"/>
      <c r="O352" s="37"/>
      <c r="P352" s="37"/>
      <c r="Q352" s="37"/>
      <c r="R352" s="37"/>
      <c r="S352" s="37"/>
      <c r="T352" s="37"/>
      <c r="U352" s="37"/>
      <c r="V352" s="37"/>
      <c r="W352" s="37"/>
      <c r="X352" s="37"/>
    </row>
    <row r="353">
      <c r="A353" s="37"/>
      <c r="B353" s="49" t="str">
        <f>IFERROR(__xludf.DUMMYFUNCTION("""COMPUTED_VALUE"""),"Tali Kiwanuka")</f>
        <v>Tali Kiwanuka</v>
      </c>
      <c r="C353" s="5">
        <v>10.0</v>
      </c>
      <c r="D353" s="3">
        <f>countif('OTPI Scores'!C:C,B353)</f>
        <v>13</v>
      </c>
      <c r="E353" s="3">
        <f t="shared" si="1"/>
        <v>130</v>
      </c>
      <c r="F353" s="3">
        <f>sumif('OTPI Scores'!C:C,B353,'OTPI Scores'!T:T)</f>
        <v>120</v>
      </c>
      <c r="G353" s="3" t="str">
        <f>SUMIF('Match Subs Filter'!E:E,B353,'Match Subs Filter'!F:F)+sumif('Bank Transfers'!B:B,B353,'Bank Transfers'!C:C)</f>
        <v>#N/A</v>
      </c>
      <c r="H353" s="50" t="str">
        <f t="shared" si="2"/>
        <v>#N/A</v>
      </c>
      <c r="I353" s="51">
        <f t="array" ref="I353">IF(IFERROR(lookup(1,1/SEARCH(B353,'OTPI Scores'!C:C),'OTPI Scores'!E:E),0)="Vets",7,IFERROR(lookup(1,1/SEARCH(B353,'OTPI Scores'!C:C),'OTPI Scores'!E:E),0))</f>
        <v>6</v>
      </c>
      <c r="J353" s="37"/>
      <c r="K353" s="37"/>
      <c r="L353" s="37"/>
      <c r="M353" s="37"/>
      <c r="N353" s="37"/>
      <c r="O353" s="37"/>
      <c r="P353" s="37"/>
      <c r="Q353" s="37"/>
      <c r="R353" s="37"/>
      <c r="S353" s="37"/>
      <c r="T353" s="37"/>
      <c r="U353" s="37"/>
      <c r="V353" s="37"/>
      <c r="W353" s="37"/>
      <c r="X353" s="37"/>
    </row>
    <row r="354">
      <c r="A354" s="37"/>
      <c r="B354" s="49" t="str">
        <f>IFERROR(__xludf.DUMMYFUNCTION("""COMPUTED_VALUE"""),"Tam de Lacey")</f>
        <v>Tam de Lacey</v>
      </c>
      <c r="C354" s="5">
        <v>10.0</v>
      </c>
      <c r="D354" s="3">
        <f>countif('OTPI Scores'!C:C,B354)</f>
        <v>14</v>
      </c>
      <c r="E354" s="3">
        <f t="shared" si="1"/>
        <v>140</v>
      </c>
      <c r="F354" s="3">
        <f>sumif('OTPI Scores'!C:C,B354,'OTPI Scores'!T:T)</f>
        <v>134</v>
      </c>
      <c r="G354" s="3" t="str">
        <f>SUMIF('Match Subs Filter'!E:E,B354,'Match Subs Filter'!F:F)+sumif('Bank Transfers'!B:B,B354,'Bank Transfers'!C:C)</f>
        <v>#N/A</v>
      </c>
      <c r="H354" s="50" t="str">
        <f t="shared" si="2"/>
        <v>#N/A</v>
      </c>
      <c r="I354" s="51">
        <f t="array" ref="I354">IF(IFERROR(lookup(1,1/SEARCH(B354,'OTPI Scores'!C:C),'OTPI Scores'!E:E),0)="Vets",7,IFERROR(lookup(1,1/SEARCH(B354,'OTPI Scores'!C:C),'OTPI Scores'!E:E),0))</f>
        <v>2</v>
      </c>
      <c r="J354" s="37"/>
      <c r="K354" s="37"/>
      <c r="L354" s="37"/>
      <c r="M354" s="37"/>
      <c r="N354" s="37"/>
      <c r="O354" s="37"/>
      <c r="P354" s="37"/>
      <c r="Q354" s="37"/>
      <c r="R354" s="37"/>
      <c r="S354" s="37"/>
      <c r="T354" s="37"/>
      <c r="U354" s="37"/>
      <c r="V354" s="37"/>
      <c r="W354" s="37"/>
      <c r="X354" s="37"/>
    </row>
    <row r="355">
      <c r="A355" s="37"/>
      <c r="B355" s="49" t="str">
        <f>IFERROR(__xludf.DUMMYFUNCTION("""COMPUTED_VALUE"""),"Theo Horton")</f>
        <v>Theo Horton</v>
      </c>
      <c r="C355" s="5">
        <v>10.0</v>
      </c>
      <c r="D355" s="3">
        <f>countif('OTPI Scores'!C:C,B355)</f>
        <v>26</v>
      </c>
      <c r="E355" s="3">
        <f t="shared" si="1"/>
        <v>260</v>
      </c>
      <c r="F355" s="3">
        <f>sumif('OTPI Scores'!C:C,B355,'OTPI Scores'!T:T)</f>
        <v>223</v>
      </c>
      <c r="G355" s="3" t="str">
        <f>SUMIF('Match Subs Filter'!E:E,B355,'Match Subs Filter'!F:F)+sumif('Bank Transfers'!B:B,B355,'Bank Transfers'!C:C)</f>
        <v>#N/A</v>
      </c>
      <c r="H355" s="50" t="str">
        <f t="shared" si="2"/>
        <v>#N/A</v>
      </c>
      <c r="I355" s="51">
        <f t="array" ref="I355">IF(IFERROR(lookup(1,1/SEARCH(B355,'OTPI Scores'!C:C),'OTPI Scores'!E:E),0)="Vets",7,IFERROR(lookup(1,1/SEARCH(B355,'OTPI Scores'!C:C),'OTPI Scores'!E:E),0))</f>
        <v>1</v>
      </c>
      <c r="J355" s="37"/>
      <c r="K355" s="37"/>
      <c r="L355" s="37"/>
      <c r="M355" s="37"/>
      <c r="N355" s="37"/>
      <c r="O355" s="37"/>
      <c r="P355" s="37"/>
      <c r="Q355" s="37"/>
      <c r="R355" s="37"/>
      <c r="S355" s="37"/>
      <c r="T355" s="37"/>
      <c r="U355" s="37"/>
      <c r="V355" s="37"/>
      <c r="W355" s="37"/>
      <c r="X355" s="37"/>
    </row>
    <row r="356">
      <c r="A356" s="37"/>
      <c r="B356" s="49" t="str">
        <f>IFERROR(__xludf.DUMMYFUNCTION("""COMPUTED_VALUE"""),"Thierri Manley")</f>
        <v>Thierri Manley</v>
      </c>
      <c r="C356" s="5">
        <v>10.0</v>
      </c>
      <c r="D356" s="3">
        <f>countif('OTPI Scores'!C:C,B356)</f>
        <v>0</v>
      </c>
      <c r="E356" s="3">
        <f t="shared" si="1"/>
        <v>0</v>
      </c>
      <c r="F356" s="3">
        <f>sumif('OTPI Scores'!C:C,B356,'OTPI Scores'!T:T)</f>
        <v>0</v>
      </c>
      <c r="G356" s="3" t="str">
        <f>SUMIF('Match Subs Filter'!E:E,B356,'Match Subs Filter'!F:F)+sumif('Bank Transfers'!B:B,B356,'Bank Transfers'!C:C)</f>
        <v>#N/A</v>
      </c>
      <c r="H356" s="50" t="str">
        <f t="shared" si="2"/>
        <v>#N/A</v>
      </c>
      <c r="I356" s="51">
        <f t="array" ref="I356">IF(IFERROR(lookup(1,1/SEARCH(B356,'OTPI Scores'!C:C),'OTPI Scores'!E:E),0)="Vets",7,IFERROR(lookup(1,1/SEARCH(B356,'OTPI Scores'!C:C),'OTPI Scores'!E:E),0))</f>
        <v>0</v>
      </c>
      <c r="J356" s="37"/>
      <c r="K356" s="37"/>
      <c r="L356" s="37"/>
      <c r="M356" s="37"/>
      <c r="N356" s="37"/>
      <c r="O356" s="37"/>
      <c r="P356" s="37"/>
      <c r="Q356" s="37"/>
      <c r="R356" s="37"/>
      <c r="S356" s="37"/>
      <c r="T356" s="37"/>
      <c r="U356" s="37"/>
      <c r="V356" s="37"/>
      <c r="W356" s="37"/>
      <c r="X356" s="37"/>
    </row>
    <row r="357">
      <c r="A357" s="37"/>
      <c r="B357" s="49" t="str">
        <f>IFERROR(__xludf.DUMMYFUNCTION("""COMPUTED_VALUE"""),"Tiago Pereira")</f>
        <v>Tiago Pereira</v>
      </c>
      <c r="C357" s="5">
        <v>10.0</v>
      </c>
      <c r="D357" s="3">
        <f>countif('OTPI Scores'!C:C,B357)</f>
        <v>0</v>
      </c>
      <c r="E357" s="3">
        <f t="shared" si="1"/>
        <v>0</v>
      </c>
      <c r="F357" s="3">
        <f>sumif('OTPI Scores'!C:C,B357,'OTPI Scores'!T:T)</f>
        <v>0</v>
      </c>
      <c r="G357" s="3" t="str">
        <f>SUMIF('Match Subs Filter'!E:E,B357,'Match Subs Filter'!F:F)+sumif('Bank Transfers'!B:B,B357,'Bank Transfers'!C:C)</f>
        <v>#N/A</v>
      </c>
      <c r="H357" s="50" t="str">
        <f t="shared" si="2"/>
        <v>#N/A</v>
      </c>
      <c r="I357" s="51">
        <f t="array" ref="I357">IF(IFERROR(lookup(1,1/SEARCH(B357,'OTPI Scores'!C:C),'OTPI Scores'!E:E),0)="Vets",7,IFERROR(lookup(1,1/SEARCH(B357,'OTPI Scores'!C:C),'OTPI Scores'!E:E),0))</f>
        <v>0</v>
      </c>
      <c r="J357" s="37"/>
      <c r="K357" s="37"/>
      <c r="L357" s="37"/>
      <c r="M357" s="37"/>
      <c r="N357" s="37"/>
      <c r="O357" s="37"/>
      <c r="P357" s="37"/>
      <c r="Q357" s="37"/>
      <c r="R357" s="37"/>
      <c r="S357" s="37"/>
      <c r="T357" s="37"/>
      <c r="U357" s="37"/>
      <c r="V357" s="37"/>
      <c r="W357" s="37"/>
      <c r="X357" s="37"/>
    </row>
    <row r="358">
      <c r="A358" s="37"/>
      <c r="B358" s="49" t="str">
        <f>IFERROR(__xludf.DUMMYFUNCTION("""COMPUTED_VALUE"""),"Tim Ward")</f>
        <v>Tim Ward</v>
      </c>
      <c r="C358" s="5">
        <v>10.0</v>
      </c>
      <c r="D358" s="3">
        <f>countif('OTPI Scores'!C:C,B358)</f>
        <v>1</v>
      </c>
      <c r="E358" s="3">
        <f t="shared" si="1"/>
        <v>10</v>
      </c>
      <c r="F358" s="3">
        <f>sumif('OTPI Scores'!C:C,B358,'OTPI Scores'!T:T)</f>
        <v>5</v>
      </c>
      <c r="G358" s="3" t="str">
        <f>SUMIF('Match Subs Filter'!E:E,B358,'Match Subs Filter'!F:F)+sumif('Bank Transfers'!B:B,B358,'Bank Transfers'!C:C)</f>
        <v>#N/A</v>
      </c>
      <c r="H358" s="50" t="str">
        <f t="shared" si="2"/>
        <v>#N/A</v>
      </c>
      <c r="I358" s="51">
        <f t="array" ref="I358">IF(IFERROR(lookup(1,1/SEARCH(B358,'OTPI Scores'!C:C),'OTPI Scores'!E:E),0)="Vets",7,IFERROR(lookup(1,1/SEARCH(B358,'OTPI Scores'!C:C),'OTPI Scores'!E:E),0))</f>
        <v>6</v>
      </c>
      <c r="J358" s="37"/>
      <c r="K358" s="37"/>
      <c r="L358" s="37"/>
      <c r="M358" s="37"/>
      <c r="N358" s="37"/>
      <c r="O358" s="37"/>
      <c r="P358" s="37"/>
      <c r="Q358" s="37"/>
      <c r="R358" s="37"/>
      <c r="S358" s="37"/>
      <c r="T358" s="37"/>
      <c r="U358" s="37"/>
      <c r="V358" s="37"/>
      <c r="W358" s="37"/>
      <c r="X358" s="37"/>
    </row>
    <row r="359">
      <c r="A359" s="37"/>
      <c r="B359" s="49" t="str">
        <f>IFERROR(__xludf.DUMMYFUNCTION("""COMPUTED_VALUE"""),"Toby Silk")</f>
        <v>Toby Silk</v>
      </c>
      <c r="C359" s="5">
        <v>10.0</v>
      </c>
      <c r="D359" s="3">
        <f>countif('OTPI Scores'!C:C,B359)</f>
        <v>0</v>
      </c>
      <c r="E359" s="3">
        <f t="shared" si="1"/>
        <v>0</v>
      </c>
      <c r="F359" s="3">
        <f>sumif('OTPI Scores'!C:C,B359,'OTPI Scores'!T:T)</f>
        <v>0</v>
      </c>
      <c r="G359" s="3" t="str">
        <f>SUMIF('Match Subs Filter'!E:E,B359,'Match Subs Filter'!F:F)+sumif('Bank Transfers'!B:B,B359,'Bank Transfers'!C:C)</f>
        <v>#N/A</v>
      </c>
      <c r="H359" s="50" t="str">
        <f t="shared" si="2"/>
        <v>#N/A</v>
      </c>
      <c r="I359" s="51">
        <f t="array" ref="I359">IF(IFERROR(lookup(1,1/SEARCH(B359,'OTPI Scores'!C:C),'OTPI Scores'!E:E),0)="Vets",7,IFERROR(lookup(1,1/SEARCH(B359,'OTPI Scores'!C:C),'OTPI Scores'!E:E),0))</f>
        <v>0</v>
      </c>
      <c r="J359" s="37"/>
      <c r="K359" s="37"/>
      <c r="L359" s="37"/>
      <c r="M359" s="37"/>
      <c r="N359" s="37"/>
      <c r="O359" s="37"/>
      <c r="P359" s="37"/>
      <c r="Q359" s="37"/>
      <c r="R359" s="37"/>
      <c r="S359" s="37"/>
      <c r="T359" s="37"/>
      <c r="U359" s="37"/>
      <c r="V359" s="37"/>
      <c r="W359" s="37"/>
      <c r="X359" s="37"/>
    </row>
    <row r="360">
      <c r="A360" s="37"/>
      <c r="B360" s="49" t="str">
        <f>IFERROR(__xludf.DUMMYFUNCTION("""COMPUTED_VALUE"""),"Tom Brook")</f>
        <v>Tom Brook</v>
      </c>
      <c r="C360" s="5">
        <v>10.0</v>
      </c>
      <c r="D360" s="3">
        <f>countif('OTPI Scores'!C:C,B360)</f>
        <v>0</v>
      </c>
      <c r="E360" s="3">
        <f t="shared" si="1"/>
        <v>0</v>
      </c>
      <c r="F360" s="3">
        <f>sumif('OTPI Scores'!C:C,B360,'OTPI Scores'!T:T)</f>
        <v>0</v>
      </c>
      <c r="G360" s="3" t="str">
        <f>SUMIF('Match Subs Filter'!E:E,B360,'Match Subs Filter'!F:F)+sumif('Bank Transfers'!B:B,B360,'Bank Transfers'!C:C)</f>
        <v>#N/A</v>
      </c>
      <c r="H360" s="50" t="str">
        <f t="shared" si="2"/>
        <v>#N/A</v>
      </c>
      <c r="I360" s="51">
        <f t="array" ref="I360">IF(IFERROR(lookup(1,1/SEARCH(B360,'OTPI Scores'!C:C),'OTPI Scores'!E:E),0)="Vets",7,IFERROR(lookup(1,1/SEARCH(B360,'OTPI Scores'!C:C),'OTPI Scores'!E:E),0))</f>
        <v>0</v>
      </c>
      <c r="J360" s="37"/>
      <c r="K360" s="37"/>
      <c r="L360" s="37"/>
      <c r="M360" s="37"/>
      <c r="N360" s="37"/>
      <c r="O360" s="37"/>
      <c r="P360" s="37"/>
      <c r="Q360" s="37"/>
      <c r="R360" s="37"/>
      <c r="S360" s="37"/>
      <c r="T360" s="37"/>
      <c r="U360" s="37"/>
      <c r="V360" s="37"/>
      <c r="W360" s="37"/>
      <c r="X360" s="37"/>
    </row>
    <row r="361">
      <c r="A361" s="37"/>
      <c r="B361" s="49" t="str">
        <f>IFERROR(__xludf.DUMMYFUNCTION("""COMPUTED_VALUE"""),"Tom Burden")</f>
        <v>Tom Burden</v>
      </c>
      <c r="C361" s="5">
        <v>10.0</v>
      </c>
      <c r="D361" s="3">
        <f>countif('OTPI Scores'!C:C,B361)</f>
        <v>0</v>
      </c>
      <c r="E361" s="3">
        <f t="shared" si="1"/>
        <v>0</v>
      </c>
      <c r="F361" s="3">
        <f>sumif('OTPI Scores'!C:C,B361,'OTPI Scores'!T:T)</f>
        <v>0</v>
      </c>
      <c r="G361" s="3" t="str">
        <f>SUMIF('Match Subs Filter'!E:E,B361,'Match Subs Filter'!F:F)+sumif('Bank Transfers'!B:B,B361,'Bank Transfers'!C:C)</f>
        <v>#N/A</v>
      </c>
      <c r="H361" s="50" t="str">
        <f t="shared" si="2"/>
        <v>#N/A</v>
      </c>
      <c r="I361" s="51">
        <f t="array" ref="I361">IF(IFERROR(lookup(1,1/SEARCH(B361,'OTPI Scores'!C:C),'OTPI Scores'!E:E),0)="Vets",7,IFERROR(lookup(1,1/SEARCH(B361,'OTPI Scores'!C:C),'OTPI Scores'!E:E),0))</f>
        <v>0</v>
      </c>
      <c r="J361" s="37"/>
      <c r="K361" s="37"/>
      <c r="L361" s="37"/>
      <c r="M361" s="37"/>
      <c r="N361" s="37"/>
      <c r="O361" s="37"/>
      <c r="P361" s="37"/>
      <c r="Q361" s="37"/>
      <c r="R361" s="37"/>
      <c r="S361" s="37"/>
      <c r="T361" s="37"/>
      <c r="U361" s="37"/>
      <c r="V361" s="37"/>
      <c r="W361" s="37"/>
      <c r="X361" s="37"/>
    </row>
    <row r="362">
      <c r="A362" s="37"/>
      <c r="B362" s="49" t="str">
        <f>IFERROR(__xludf.DUMMYFUNCTION("""COMPUTED_VALUE"""),"Tom Davidson")</f>
        <v>Tom Davidson</v>
      </c>
      <c r="C362" s="5">
        <v>10.0</v>
      </c>
      <c r="D362" s="3">
        <f>countif('OTPI Scores'!C:C,B362)</f>
        <v>8</v>
      </c>
      <c r="E362" s="3">
        <f t="shared" si="1"/>
        <v>80</v>
      </c>
      <c r="F362" s="3">
        <f>sumif('OTPI Scores'!C:C,B362,'OTPI Scores'!T:T)</f>
        <v>65</v>
      </c>
      <c r="G362" s="3" t="str">
        <f>SUMIF('Match Subs Filter'!E:E,B362,'Match Subs Filter'!F:F)+sumif('Bank Transfers'!B:B,B362,'Bank Transfers'!C:C)</f>
        <v>#N/A</v>
      </c>
      <c r="H362" s="50" t="str">
        <f t="shared" si="2"/>
        <v>#N/A</v>
      </c>
      <c r="I362" s="51">
        <f t="array" ref="I362">IF(IFERROR(lookup(1,1/SEARCH(B362,'OTPI Scores'!C:C),'OTPI Scores'!E:E),0)="Vets",7,IFERROR(lookup(1,1/SEARCH(B362,'OTPI Scores'!C:C),'OTPI Scores'!E:E),0))</f>
        <v>6</v>
      </c>
      <c r="J362" s="37"/>
      <c r="K362" s="37"/>
      <c r="L362" s="37"/>
      <c r="M362" s="37"/>
      <c r="N362" s="37"/>
      <c r="O362" s="37"/>
      <c r="P362" s="37"/>
      <c r="Q362" s="37"/>
      <c r="R362" s="37"/>
      <c r="S362" s="37"/>
      <c r="T362" s="37"/>
      <c r="U362" s="37"/>
      <c r="V362" s="37"/>
      <c r="W362" s="37"/>
      <c r="X362" s="37"/>
    </row>
    <row r="363">
      <c r="A363" s="37"/>
      <c r="B363" s="49" t="str">
        <f>IFERROR(__xludf.DUMMYFUNCTION("""COMPUTED_VALUE"""),"Tom Hyde")</f>
        <v>Tom Hyde</v>
      </c>
      <c r="C363" s="5">
        <v>10.0</v>
      </c>
      <c r="D363" s="3">
        <f>countif('OTPI Scores'!C:C,B363)</f>
        <v>0</v>
      </c>
      <c r="E363" s="3">
        <f t="shared" si="1"/>
        <v>0</v>
      </c>
      <c r="F363" s="3">
        <f>sumif('OTPI Scores'!C:C,B363,'OTPI Scores'!T:T)</f>
        <v>0</v>
      </c>
      <c r="G363" s="3" t="str">
        <f>SUMIF('Match Subs Filter'!E:E,B363,'Match Subs Filter'!F:F)+sumif('Bank Transfers'!B:B,B363,'Bank Transfers'!C:C)</f>
        <v>#N/A</v>
      </c>
      <c r="H363" s="50" t="str">
        <f t="shared" si="2"/>
        <v>#N/A</v>
      </c>
      <c r="I363" s="51">
        <f t="array" ref="I363">IF(IFERROR(lookup(1,1/SEARCH(B363,'OTPI Scores'!C:C),'OTPI Scores'!E:E),0)="Vets",7,IFERROR(lookup(1,1/SEARCH(B363,'OTPI Scores'!C:C),'OTPI Scores'!E:E),0))</f>
        <v>0</v>
      </c>
      <c r="J363" s="37"/>
      <c r="K363" s="37"/>
      <c r="L363" s="37"/>
      <c r="M363" s="37"/>
      <c r="N363" s="37"/>
      <c r="O363" s="37"/>
      <c r="P363" s="37"/>
      <c r="Q363" s="37"/>
      <c r="R363" s="37"/>
      <c r="S363" s="37"/>
      <c r="T363" s="37"/>
      <c r="U363" s="37"/>
      <c r="V363" s="37"/>
      <c r="W363" s="37"/>
      <c r="X363" s="37"/>
    </row>
    <row r="364">
      <c r="A364" s="37"/>
      <c r="B364" s="49" t="str">
        <f>IFERROR(__xludf.DUMMYFUNCTION("""COMPUTED_VALUE"""),"Tom Love")</f>
        <v>Tom Love</v>
      </c>
      <c r="C364" s="5">
        <v>10.0</v>
      </c>
      <c r="D364" s="3">
        <f>countif('OTPI Scores'!C:C,B364)</f>
        <v>14</v>
      </c>
      <c r="E364" s="3">
        <f t="shared" si="1"/>
        <v>140</v>
      </c>
      <c r="F364" s="3">
        <f>sumif('OTPI Scores'!C:C,B364,'OTPI Scores'!T:T)</f>
        <v>135</v>
      </c>
      <c r="G364" s="3" t="str">
        <f>SUMIF('Match Subs Filter'!E:E,B364,'Match Subs Filter'!F:F)+sumif('Bank Transfers'!B:B,B364,'Bank Transfers'!C:C)</f>
        <v>#N/A</v>
      </c>
      <c r="H364" s="50" t="str">
        <f t="shared" si="2"/>
        <v>#N/A</v>
      </c>
      <c r="I364" s="51">
        <f t="array" ref="I364">IF(IFERROR(lookup(1,1/SEARCH(B364,'OTPI Scores'!C:C),'OTPI Scores'!E:E),0)="Vets",7,IFERROR(lookup(1,1/SEARCH(B364,'OTPI Scores'!C:C),'OTPI Scores'!E:E),0))</f>
        <v>3</v>
      </c>
      <c r="J364" s="37"/>
      <c r="K364" s="37"/>
      <c r="L364" s="37"/>
      <c r="M364" s="37"/>
      <c r="N364" s="37"/>
      <c r="O364" s="37"/>
      <c r="P364" s="37"/>
      <c r="Q364" s="37"/>
      <c r="R364" s="37"/>
      <c r="S364" s="37"/>
      <c r="T364" s="37"/>
      <c r="U364" s="37"/>
      <c r="V364" s="37"/>
      <c r="W364" s="37"/>
      <c r="X364" s="37"/>
    </row>
    <row r="365">
      <c r="A365" s="37"/>
      <c r="B365" s="49" t="str">
        <f>IFERROR(__xludf.DUMMYFUNCTION("""COMPUTED_VALUE"""),"Tom Riley")</f>
        <v>Tom Riley</v>
      </c>
      <c r="C365" s="5">
        <v>10.0</v>
      </c>
      <c r="D365" s="3">
        <f>countif('OTPI Scores'!C:C,B365)</f>
        <v>15</v>
      </c>
      <c r="E365" s="3">
        <f t="shared" si="1"/>
        <v>150</v>
      </c>
      <c r="F365" s="3">
        <f>sumif('OTPI Scores'!C:C,B365,'OTPI Scores'!T:T)</f>
        <v>135</v>
      </c>
      <c r="G365" s="3" t="str">
        <f>SUMIF('Match Subs Filter'!E:E,B365,'Match Subs Filter'!F:F)+sumif('Bank Transfers'!B:B,B365,'Bank Transfers'!C:C)</f>
        <v>#N/A</v>
      </c>
      <c r="H365" s="50" t="str">
        <f t="shared" si="2"/>
        <v>#N/A</v>
      </c>
      <c r="I365" s="51">
        <f t="array" ref="I365">IF(IFERROR(lookup(1,1/SEARCH(B365,'OTPI Scores'!C:C),'OTPI Scores'!E:E),0)="Vets",7,IFERROR(lookup(1,1/SEARCH(B365,'OTPI Scores'!C:C),'OTPI Scores'!E:E),0))</f>
        <v>2</v>
      </c>
      <c r="J365" s="37"/>
      <c r="K365" s="37"/>
      <c r="L365" s="37"/>
      <c r="M365" s="37"/>
      <c r="N365" s="37"/>
      <c r="O365" s="37"/>
      <c r="P365" s="37"/>
      <c r="Q365" s="37"/>
      <c r="R365" s="37"/>
      <c r="S365" s="37"/>
      <c r="T365" s="37"/>
      <c r="U365" s="37"/>
      <c r="V365" s="37"/>
      <c r="W365" s="37"/>
      <c r="X365" s="37"/>
    </row>
    <row r="366">
      <c r="A366" s="37"/>
      <c r="B366" s="49" t="str">
        <f>IFERROR(__xludf.DUMMYFUNCTION("""COMPUTED_VALUE"""),"Tom Taylor")</f>
        <v>Tom Taylor</v>
      </c>
      <c r="C366" s="5">
        <v>10.0</v>
      </c>
      <c r="D366" s="3">
        <f>countif('OTPI Scores'!C:C,B366)</f>
        <v>8</v>
      </c>
      <c r="E366" s="3">
        <f t="shared" si="1"/>
        <v>80</v>
      </c>
      <c r="F366" s="3">
        <f>sumif('OTPI Scores'!C:C,B366,'OTPI Scores'!T:T)</f>
        <v>75</v>
      </c>
      <c r="G366" s="3" t="str">
        <f>SUMIF('Match Subs Filter'!E:E,B366,'Match Subs Filter'!F:F)+sumif('Bank Transfers'!B:B,B366,'Bank Transfers'!C:C)</f>
        <v>#N/A</v>
      </c>
      <c r="H366" s="50" t="str">
        <f t="shared" si="2"/>
        <v>#N/A</v>
      </c>
      <c r="I366" s="51">
        <f t="array" ref="I366">IF(IFERROR(lookup(1,1/SEARCH(B366,'OTPI Scores'!C:C),'OTPI Scores'!E:E),0)="Vets",7,IFERROR(lookup(1,1/SEARCH(B366,'OTPI Scores'!C:C),'OTPI Scores'!E:E),0))</f>
        <v>4</v>
      </c>
      <c r="J366" s="37"/>
      <c r="K366" s="37"/>
      <c r="L366" s="37"/>
      <c r="M366" s="37"/>
      <c r="N366" s="37"/>
      <c r="O366" s="37"/>
      <c r="P366" s="37"/>
      <c r="Q366" s="37"/>
      <c r="R366" s="37"/>
      <c r="S366" s="37"/>
      <c r="T366" s="37"/>
      <c r="U366" s="37"/>
      <c r="V366" s="37"/>
      <c r="W366" s="37"/>
      <c r="X366" s="37"/>
    </row>
    <row r="367">
      <c r="A367" s="37"/>
      <c r="B367" s="49" t="str">
        <f>IFERROR(__xludf.DUMMYFUNCTION("""COMPUTED_VALUE"""),"Tom Tricker")</f>
        <v>Tom Tricker</v>
      </c>
      <c r="C367" s="5">
        <v>10.0</v>
      </c>
      <c r="D367" s="3">
        <f>countif('OTPI Scores'!C:C,B367)</f>
        <v>0</v>
      </c>
      <c r="E367" s="3">
        <f t="shared" si="1"/>
        <v>0</v>
      </c>
      <c r="F367" s="3">
        <f>sumif('OTPI Scores'!C:C,B367,'OTPI Scores'!T:T)</f>
        <v>0</v>
      </c>
      <c r="G367" s="3" t="str">
        <f>SUMIF('Match Subs Filter'!E:E,B367,'Match Subs Filter'!F:F)+sumif('Bank Transfers'!B:B,B367,'Bank Transfers'!C:C)</f>
        <v>#N/A</v>
      </c>
      <c r="H367" s="50" t="str">
        <f t="shared" si="2"/>
        <v>#N/A</v>
      </c>
      <c r="I367" s="51">
        <f t="array" ref="I367">IF(IFERROR(lookup(1,1/SEARCH(B367,'OTPI Scores'!C:C),'OTPI Scores'!E:E),0)="Vets",7,IFERROR(lookup(1,1/SEARCH(B367,'OTPI Scores'!C:C),'OTPI Scores'!E:E),0))</f>
        <v>0</v>
      </c>
      <c r="J367" s="37"/>
      <c r="K367" s="37"/>
      <c r="L367" s="37"/>
      <c r="M367" s="37"/>
      <c r="N367" s="37"/>
      <c r="O367" s="37"/>
      <c r="P367" s="37"/>
      <c r="Q367" s="37"/>
      <c r="R367" s="37"/>
      <c r="S367" s="37"/>
      <c r="T367" s="37"/>
      <c r="U367" s="37"/>
      <c r="V367" s="37"/>
      <c r="W367" s="37"/>
      <c r="X367" s="37"/>
    </row>
    <row r="368">
      <c r="A368" s="37"/>
      <c r="B368" s="49" t="str">
        <f>IFERROR(__xludf.DUMMYFUNCTION("""COMPUTED_VALUE"""),"Tom Walbyoff")</f>
        <v>Tom Walbyoff</v>
      </c>
      <c r="C368" s="5">
        <v>10.0</v>
      </c>
      <c r="D368" s="3">
        <f>countif('OTPI Scores'!C:C,B368)</f>
        <v>0</v>
      </c>
      <c r="E368" s="3">
        <f t="shared" si="1"/>
        <v>0</v>
      </c>
      <c r="F368" s="3">
        <f>sumif('OTPI Scores'!C:C,B368,'OTPI Scores'!T:T)</f>
        <v>0</v>
      </c>
      <c r="G368" s="3" t="str">
        <f>SUMIF('Match Subs Filter'!E:E,B368,'Match Subs Filter'!F:F)+sumif('Bank Transfers'!B:B,B368,'Bank Transfers'!C:C)</f>
        <v>#N/A</v>
      </c>
      <c r="H368" s="50" t="str">
        <f t="shared" si="2"/>
        <v>#N/A</v>
      </c>
      <c r="I368" s="51">
        <f t="array" ref="I368">IF(IFERROR(lookup(1,1/SEARCH(B368,'OTPI Scores'!C:C),'OTPI Scores'!E:E),0)="Vets",7,IFERROR(lookup(1,1/SEARCH(B368,'OTPI Scores'!C:C),'OTPI Scores'!E:E),0))</f>
        <v>0</v>
      </c>
      <c r="J368" s="37"/>
      <c r="K368" s="37"/>
      <c r="L368" s="37"/>
      <c r="M368" s="37"/>
      <c r="N368" s="37"/>
      <c r="O368" s="37"/>
      <c r="P368" s="37"/>
      <c r="Q368" s="37"/>
      <c r="R368" s="37"/>
      <c r="S368" s="37"/>
      <c r="T368" s="37"/>
      <c r="U368" s="37"/>
      <c r="V368" s="37"/>
      <c r="W368" s="37"/>
      <c r="X368" s="37"/>
    </row>
    <row r="369">
      <c r="A369" s="37"/>
      <c r="B369" s="49" t="str">
        <f>IFERROR(__xludf.DUMMYFUNCTION("""COMPUTED_VALUE"""),"Tommie Shorey")</f>
        <v>Tommie Shorey</v>
      </c>
      <c r="C369" s="5">
        <v>10.0</v>
      </c>
      <c r="D369" s="3">
        <f>countif('OTPI Scores'!C:C,B369)</f>
        <v>0</v>
      </c>
      <c r="E369" s="3">
        <f t="shared" si="1"/>
        <v>0</v>
      </c>
      <c r="F369" s="3">
        <f>sumif('OTPI Scores'!C:C,B369,'OTPI Scores'!T:T)</f>
        <v>0</v>
      </c>
      <c r="G369" s="3" t="str">
        <f>SUMIF('Match Subs Filter'!E:E,B369,'Match Subs Filter'!F:F)+sumif('Bank Transfers'!B:B,B369,'Bank Transfers'!C:C)</f>
        <v>#N/A</v>
      </c>
      <c r="H369" s="50" t="str">
        <f t="shared" si="2"/>
        <v>#N/A</v>
      </c>
      <c r="I369" s="51">
        <f t="array" ref="I369">IF(IFERROR(lookup(1,1/SEARCH(B369,'OTPI Scores'!C:C),'OTPI Scores'!E:E),0)="Vets",7,IFERROR(lookup(1,1/SEARCH(B369,'OTPI Scores'!C:C),'OTPI Scores'!E:E),0))</f>
        <v>0</v>
      </c>
      <c r="J369" s="37"/>
      <c r="K369" s="37"/>
      <c r="L369" s="37"/>
      <c r="M369" s="37"/>
      <c r="N369" s="37"/>
      <c r="O369" s="37"/>
      <c r="P369" s="37"/>
      <c r="Q369" s="37"/>
      <c r="R369" s="37"/>
      <c r="S369" s="37"/>
      <c r="T369" s="37"/>
      <c r="U369" s="37"/>
      <c r="V369" s="37"/>
      <c r="W369" s="37"/>
      <c r="X369" s="37"/>
    </row>
    <row r="370">
      <c r="A370" s="37"/>
      <c r="B370" s="49" t="str">
        <f>IFERROR(__xludf.DUMMYFUNCTION("""COMPUTED_VALUE"""),"Trae Johnson")</f>
        <v>Trae Johnson</v>
      </c>
      <c r="C370" s="5">
        <v>10.0</v>
      </c>
      <c r="D370" s="3">
        <f>countif('OTPI Scores'!C:C,B370)</f>
        <v>0</v>
      </c>
      <c r="E370" s="3">
        <f t="shared" si="1"/>
        <v>0</v>
      </c>
      <c r="F370" s="3">
        <f>sumif('OTPI Scores'!C:C,B370,'OTPI Scores'!T:T)</f>
        <v>0</v>
      </c>
      <c r="G370" s="3" t="str">
        <f>SUMIF('Match Subs Filter'!E:E,B370,'Match Subs Filter'!F:F)+sumif('Bank Transfers'!B:B,B370,'Bank Transfers'!C:C)</f>
        <v>#N/A</v>
      </c>
      <c r="H370" s="50" t="str">
        <f t="shared" si="2"/>
        <v>#N/A</v>
      </c>
      <c r="I370" s="51">
        <f t="array" ref="I370">IF(IFERROR(lookup(1,1/SEARCH(B370,'OTPI Scores'!C:C),'OTPI Scores'!E:E),0)="Vets",7,IFERROR(lookup(1,1/SEARCH(B370,'OTPI Scores'!C:C),'OTPI Scores'!E:E),0))</f>
        <v>0</v>
      </c>
      <c r="J370" s="37"/>
      <c r="K370" s="37"/>
      <c r="L370" s="37"/>
      <c r="M370" s="37"/>
      <c r="N370" s="37"/>
      <c r="O370" s="37"/>
      <c r="P370" s="37"/>
      <c r="Q370" s="37"/>
      <c r="R370" s="37"/>
      <c r="S370" s="37"/>
      <c r="T370" s="37"/>
      <c r="U370" s="37"/>
      <c r="V370" s="37"/>
      <c r="W370" s="37"/>
      <c r="X370" s="37"/>
    </row>
    <row r="371">
      <c r="A371" s="37"/>
      <c r="B371" s="52" t="str">
        <f>IFERROR(__xludf.DUMMYFUNCTION("""COMPUTED_VALUE"""),"Usman Jimoh")</f>
        <v>Usman Jimoh</v>
      </c>
      <c r="C371" s="5">
        <v>10.0</v>
      </c>
      <c r="D371" s="3">
        <f>countif('OTPI Scores'!C:C,B371)</f>
        <v>0</v>
      </c>
      <c r="E371" s="3">
        <f t="shared" si="1"/>
        <v>0</v>
      </c>
      <c r="F371" s="3">
        <f>sumif('OTPI Scores'!C:C,B371,'OTPI Scores'!T:T)</f>
        <v>0</v>
      </c>
      <c r="G371" s="3" t="str">
        <f>SUMIF('Match Subs Filter'!E:E,B371,'Match Subs Filter'!F:F)+sumif('Bank Transfers'!B:B,B371,'Bank Transfers'!C:C)</f>
        <v>#N/A</v>
      </c>
      <c r="H371" s="50" t="str">
        <f t="shared" si="2"/>
        <v>#N/A</v>
      </c>
      <c r="I371" s="51">
        <f t="array" ref="I371">IF(IFERROR(lookup(1,1/SEARCH(B371,'OTPI Scores'!C:C),'OTPI Scores'!E:E),0)="Vets",7,IFERROR(lookup(1,1/SEARCH(B371,'OTPI Scores'!C:C),'OTPI Scores'!E:E),0))</f>
        <v>0</v>
      </c>
      <c r="J371" s="37"/>
      <c r="K371" s="37"/>
      <c r="L371" s="37"/>
      <c r="M371" s="37"/>
      <c r="N371" s="37"/>
      <c r="O371" s="37"/>
      <c r="P371" s="37"/>
      <c r="Q371" s="37"/>
      <c r="R371" s="37"/>
      <c r="S371" s="37"/>
      <c r="T371" s="37"/>
      <c r="U371" s="37"/>
      <c r="V371" s="37"/>
      <c r="W371" s="37"/>
      <c r="X371" s="37"/>
    </row>
    <row r="372">
      <c r="A372" s="37"/>
      <c r="B372" s="49" t="str">
        <f>IFERROR(__xludf.DUMMYFUNCTION("""COMPUTED_VALUE"""),"Vakhtang Shaverdashvili")</f>
        <v>Vakhtang Shaverdashvili</v>
      </c>
      <c r="C372" s="5">
        <v>10.0</v>
      </c>
      <c r="D372" s="3">
        <f>countif('OTPI Scores'!C:C,B372)</f>
        <v>0</v>
      </c>
      <c r="E372" s="3">
        <f t="shared" si="1"/>
        <v>0</v>
      </c>
      <c r="F372" s="3">
        <f>sumif('OTPI Scores'!C:C,B372,'OTPI Scores'!T:T)</f>
        <v>0</v>
      </c>
      <c r="G372" s="3" t="str">
        <f>SUMIF('Match Subs Filter'!E:E,B372,'Match Subs Filter'!F:F)+sumif('Bank Transfers'!B:B,B372,'Bank Transfers'!C:C)</f>
        <v>#N/A</v>
      </c>
      <c r="H372" s="50" t="str">
        <f t="shared" si="2"/>
        <v>#N/A</v>
      </c>
      <c r="I372" s="51">
        <f t="array" ref="I372">IF(IFERROR(lookup(1,1/SEARCH(B372,'OTPI Scores'!C:C),'OTPI Scores'!E:E),0)="Vets",7,IFERROR(lookup(1,1/SEARCH(B372,'OTPI Scores'!C:C),'OTPI Scores'!E:E),0))</f>
        <v>0</v>
      </c>
      <c r="J372" s="37"/>
      <c r="K372" s="37"/>
      <c r="L372" s="37"/>
      <c r="M372" s="37"/>
      <c r="N372" s="37"/>
      <c r="O372" s="37"/>
      <c r="P372" s="37"/>
      <c r="Q372" s="37"/>
      <c r="R372" s="37"/>
      <c r="S372" s="37"/>
      <c r="T372" s="37"/>
      <c r="U372" s="37"/>
      <c r="V372" s="37"/>
      <c r="W372" s="37"/>
      <c r="X372" s="37"/>
    </row>
    <row r="373">
      <c r="A373" s="37"/>
      <c r="B373" s="49" t="str">
        <f>IFERROR(__xludf.DUMMYFUNCTION("""COMPUTED_VALUE"""),"Valentin Aliai")</f>
        <v>Valentin Aliai</v>
      </c>
      <c r="C373" s="5">
        <v>10.0</v>
      </c>
      <c r="D373" s="3">
        <f>countif('OTPI Scores'!C:C,B373)</f>
        <v>0</v>
      </c>
      <c r="E373" s="3">
        <f t="shared" si="1"/>
        <v>0</v>
      </c>
      <c r="F373" s="3">
        <f>sumif('OTPI Scores'!C:C,B373,'OTPI Scores'!T:T)</f>
        <v>0</v>
      </c>
      <c r="G373" s="3" t="str">
        <f>SUMIF('Match Subs Filter'!E:E,B373,'Match Subs Filter'!F:F)+sumif('Bank Transfers'!B:B,B373,'Bank Transfers'!C:C)</f>
        <v>#N/A</v>
      </c>
      <c r="H373" s="50" t="str">
        <f t="shared" si="2"/>
        <v>#N/A</v>
      </c>
      <c r="I373" s="51">
        <f t="array" ref="I373">IF(IFERROR(lookup(1,1/SEARCH(B373,'OTPI Scores'!C:C),'OTPI Scores'!E:E),0)="Vets",7,IFERROR(lookup(1,1/SEARCH(B373,'OTPI Scores'!C:C),'OTPI Scores'!E:E),0))</f>
        <v>0</v>
      </c>
      <c r="J373" s="37"/>
      <c r="K373" s="37"/>
      <c r="L373" s="37"/>
      <c r="M373" s="37"/>
      <c r="N373" s="37"/>
      <c r="O373" s="37"/>
      <c r="P373" s="37"/>
      <c r="Q373" s="37"/>
      <c r="R373" s="37"/>
      <c r="S373" s="37"/>
      <c r="T373" s="37"/>
      <c r="U373" s="37"/>
      <c r="V373" s="37"/>
      <c r="W373" s="37"/>
      <c r="X373" s="37"/>
    </row>
    <row r="374">
      <c r="A374" s="37"/>
      <c r="B374" s="49" t="str">
        <f>IFERROR(__xludf.DUMMYFUNCTION("""COMPUTED_VALUE"""),"Victor Lemmer")</f>
        <v>Victor Lemmer</v>
      </c>
      <c r="C374" s="5">
        <v>10.0</v>
      </c>
      <c r="D374" s="3">
        <f>countif('OTPI Scores'!C:C,B374)</f>
        <v>9</v>
      </c>
      <c r="E374" s="3">
        <f t="shared" si="1"/>
        <v>90</v>
      </c>
      <c r="F374" s="3">
        <f>sumif('OTPI Scores'!C:C,B374,'OTPI Scores'!T:T)</f>
        <v>70</v>
      </c>
      <c r="G374" s="3" t="str">
        <f>SUMIF('Match Subs Filter'!E:E,B374,'Match Subs Filter'!F:F)+sumif('Bank Transfers'!B:B,B374,'Bank Transfers'!C:C)</f>
        <v>#N/A</v>
      </c>
      <c r="H374" s="50" t="str">
        <f t="shared" si="2"/>
        <v>#N/A</v>
      </c>
      <c r="I374" s="51">
        <f t="array" ref="I374">IF(IFERROR(lookup(1,1/SEARCH(B374,'OTPI Scores'!C:C),'OTPI Scores'!E:E),0)="Vets",7,IFERROR(lookup(1,1/SEARCH(B374,'OTPI Scores'!C:C),'OTPI Scores'!E:E),0))</f>
        <v>6</v>
      </c>
      <c r="J374" s="37"/>
      <c r="K374" s="37"/>
      <c r="L374" s="37"/>
      <c r="M374" s="37"/>
      <c r="N374" s="37"/>
      <c r="O374" s="37"/>
      <c r="P374" s="37"/>
      <c r="Q374" s="37"/>
      <c r="R374" s="37"/>
      <c r="S374" s="37"/>
      <c r="T374" s="37"/>
      <c r="U374" s="37"/>
      <c r="V374" s="37"/>
      <c r="W374" s="37"/>
      <c r="X374" s="37"/>
    </row>
    <row r="375">
      <c r="A375" s="37"/>
      <c r="B375" s="49" t="str">
        <f>IFERROR(__xludf.DUMMYFUNCTION("""COMPUTED_VALUE"""),"Wayne Ebanks")</f>
        <v>Wayne Ebanks</v>
      </c>
      <c r="C375" s="5">
        <v>10.0</v>
      </c>
      <c r="D375" s="3">
        <f>countif('OTPI Scores'!C:C,B375)</f>
        <v>2</v>
      </c>
      <c r="E375" s="3">
        <f t="shared" si="1"/>
        <v>20</v>
      </c>
      <c r="F375" s="3">
        <f>sumif('OTPI Scores'!C:C,B375,'OTPI Scores'!T:T)</f>
        <v>20</v>
      </c>
      <c r="G375" s="3" t="str">
        <f>SUMIF('Match Subs Filter'!E:E,B375,'Match Subs Filter'!F:F)+sumif('Bank Transfers'!B:B,B375,'Bank Transfers'!C:C)</f>
        <v>#N/A</v>
      </c>
      <c r="H375" s="50" t="str">
        <f t="shared" si="2"/>
        <v>#N/A</v>
      </c>
      <c r="I375" s="51">
        <f t="array" ref="I375">IF(IFERROR(lookup(1,1/SEARCH(B375,'OTPI Scores'!C:C),'OTPI Scores'!E:E),0)="Vets",7,IFERROR(lookup(1,1/SEARCH(B375,'OTPI Scores'!C:C),'OTPI Scores'!E:E),0))</f>
        <v>7</v>
      </c>
      <c r="J375" s="37"/>
      <c r="K375" s="37"/>
      <c r="L375" s="37"/>
      <c r="M375" s="37"/>
      <c r="N375" s="37"/>
      <c r="O375" s="37"/>
      <c r="P375" s="37"/>
      <c r="Q375" s="37"/>
      <c r="R375" s="37"/>
      <c r="S375" s="37"/>
      <c r="T375" s="37"/>
      <c r="U375" s="37"/>
      <c r="V375" s="37"/>
      <c r="W375" s="37"/>
      <c r="X375" s="37"/>
    </row>
    <row r="376">
      <c r="A376" s="37"/>
      <c r="B376" s="49" t="str">
        <f>IFERROR(__xludf.DUMMYFUNCTION("""COMPUTED_VALUE"""),"Weeman")</f>
        <v>Weeman</v>
      </c>
      <c r="C376" s="5">
        <v>10.0</v>
      </c>
      <c r="D376" s="3">
        <f>countif('OTPI Scores'!C:C,B376)</f>
        <v>0</v>
      </c>
      <c r="E376" s="3">
        <f t="shared" si="1"/>
        <v>0</v>
      </c>
      <c r="F376" s="3">
        <f>sumif('OTPI Scores'!C:C,B376,'OTPI Scores'!T:T)</f>
        <v>0</v>
      </c>
      <c r="G376" s="3" t="str">
        <f>SUMIF('Match Subs Filter'!E:E,B376,'Match Subs Filter'!F:F)+sumif('Bank Transfers'!B:B,B376,'Bank Transfers'!C:C)</f>
        <v>#N/A</v>
      </c>
      <c r="H376" s="50" t="str">
        <f t="shared" si="2"/>
        <v>#N/A</v>
      </c>
      <c r="I376" s="51">
        <f t="array" ref="I376">IF(IFERROR(lookup(1,1/SEARCH(B376,'OTPI Scores'!C:C),'OTPI Scores'!E:E),0)="Vets",7,IFERROR(lookup(1,1/SEARCH(B376,'OTPI Scores'!C:C),'OTPI Scores'!E:E),0))</f>
        <v>0</v>
      </c>
      <c r="J376" s="37"/>
      <c r="K376" s="37"/>
      <c r="L376" s="37"/>
      <c r="M376" s="37"/>
      <c r="N376" s="37"/>
      <c r="O376" s="37"/>
      <c r="P376" s="37"/>
      <c r="Q376" s="37"/>
      <c r="R376" s="37"/>
      <c r="S376" s="37"/>
      <c r="T376" s="37"/>
      <c r="U376" s="37"/>
      <c r="V376" s="37"/>
      <c r="W376" s="37"/>
      <c r="X376" s="37"/>
    </row>
    <row r="377">
      <c r="A377" s="37"/>
      <c r="B377" s="49" t="str">
        <f>IFERROR(__xludf.DUMMYFUNCTION("""COMPUTED_VALUE"""),"Will French")</f>
        <v>Will French</v>
      </c>
      <c r="C377" s="5">
        <v>10.0</v>
      </c>
      <c r="D377" s="3">
        <f>countif('OTPI Scores'!C:C,B377)</f>
        <v>24</v>
      </c>
      <c r="E377" s="3">
        <f t="shared" si="1"/>
        <v>240</v>
      </c>
      <c r="F377" s="3">
        <f>sumif('OTPI Scores'!C:C,B377,'OTPI Scores'!T:T)</f>
        <v>225</v>
      </c>
      <c r="G377" s="3" t="str">
        <f>SUMIF('Match Subs Filter'!E:E,B377,'Match Subs Filter'!F:F)+sumif('Bank Transfers'!B:B,B377,'Bank Transfers'!C:C)</f>
        <v>#N/A</v>
      </c>
      <c r="H377" s="50" t="str">
        <f t="shared" si="2"/>
        <v>#N/A</v>
      </c>
      <c r="I377" s="51">
        <f t="array" ref="I377">IF(IFERROR(lookup(1,1/SEARCH(B377,'OTPI Scores'!C:C),'OTPI Scores'!E:E),0)="Vets",7,IFERROR(lookup(1,1/SEARCH(B377,'OTPI Scores'!C:C),'OTPI Scores'!E:E),0))</f>
        <v>3</v>
      </c>
      <c r="J377" s="37"/>
      <c r="K377" s="37"/>
      <c r="L377" s="37"/>
      <c r="M377" s="37"/>
      <c r="N377" s="37"/>
      <c r="O377" s="37"/>
      <c r="P377" s="37"/>
      <c r="Q377" s="37"/>
      <c r="R377" s="37"/>
      <c r="S377" s="37"/>
      <c r="T377" s="37"/>
      <c r="U377" s="37"/>
      <c r="V377" s="37"/>
      <c r="W377" s="37"/>
      <c r="X377" s="37"/>
    </row>
    <row r="378">
      <c r="A378" s="37"/>
      <c r="B378" s="49" t="str">
        <f>IFERROR(__xludf.DUMMYFUNCTION("""COMPUTED_VALUE"""),"Will Salt")</f>
        <v>Will Salt</v>
      </c>
      <c r="C378" s="5">
        <v>10.0</v>
      </c>
      <c r="D378" s="3">
        <f>countif('OTPI Scores'!C:C,B378)</f>
        <v>0</v>
      </c>
      <c r="E378" s="3">
        <f t="shared" si="1"/>
        <v>0</v>
      </c>
      <c r="F378" s="3">
        <f>sumif('OTPI Scores'!C:C,B378,'OTPI Scores'!T:T)</f>
        <v>0</v>
      </c>
      <c r="G378" s="3" t="str">
        <f>SUMIF('Match Subs Filter'!E:E,B378,'Match Subs Filter'!F:F)+sumif('Bank Transfers'!B:B,B378,'Bank Transfers'!C:C)</f>
        <v>#N/A</v>
      </c>
      <c r="H378" s="50" t="str">
        <f t="shared" si="2"/>
        <v>#N/A</v>
      </c>
      <c r="I378" s="51">
        <f t="array" ref="I378">IF(IFERROR(lookup(1,1/SEARCH(B378,'OTPI Scores'!C:C),'OTPI Scores'!E:E),0)="Vets",7,IFERROR(lookup(1,1/SEARCH(B378,'OTPI Scores'!C:C),'OTPI Scores'!E:E),0))</f>
        <v>0</v>
      </c>
      <c r="J378" s="37"/>
      <c r="K378" s="37"/>
      <c r="L378" s="37"/>
      <c r="M378" s="37"/>
      <c r="N378" s="37"/>
      <c r="O378" s="37"/>
      <c r="P378" s="37"/>
      <c r="Q378" s="37"/>
      <c r="R378" s="37"/>
      <c r="S378" s="37"/>
      <c r="T378" s="37"/>
      <c r="U378" s="37"/>
      <c r="V378" s="37"/>
      <c r="W378" s="37"/>
      <c r="X378" s="37"/>
    </row>
    <row r="379">
      <c r="A379" s="37"/>
      <c r="B379" s="49" t="str">
        <f>IFERROR(__xludf.DUMMYFUNCTION("""COMPUTED_VALUE"""),"Will Sollory")</f>
        <v>Will Sollory</v>
      </c>
      <c r="C379" s="5">
        <v>10.0</v>
      </c>
      <c r="D379" s="3">
        <f>countif('OTPI Scores'!C:C,B379)</f>
        <v>16</v>
      </c>
      <c r="E379" s="3">
        <f t="shared" si="1"/>
        <v>160</v>
      </c>
      <c r="F379" s="3">
        <f>sumif('OTPI Scores'!C:C,B379,'OTPI Scores'!T:T)</f>
        <v>70</v>
      </c>
      <c r="G379" s="3" t="str">
        <f>SUMIF('Match Subs Filter'!E:E,B379,'Match Subs Filter'!F:F)+sumif('Bank Transfers'!B:B,B379,'Bank Transfers'!C:C)</f>
        <v>#N/A</v>
      </c>
      <c r="H379" s="50" t="str">
        <f t="shared" si="2"/>
        <v>#N/A</v>
      </c>
      <c r="I379" s="51">
        <f t="array" ref="I379">IF(IFERROR(lookup(1,1/SEARCH(B379,'OTPI Scores'!C:C),'OTPI Scores'!E:E),0)="Vets",7,IFERROR(lookup(1,1/SEARCH(B379,'OTPI Scores'!C:C),'OTPI Scores'!E:E),0))</f>
        <v>3</v>
      </c>
      <c r="J379" s="37"/>
      <c r="K379" s="37"/>
      <c r="L379" s="37"/>
      <c r="M379" s="37"/>
      <c r="N379" s="37"/>
      <c r="O379" s="37"/>
      <c r="P379" s="37"/>
      <c r="Q379" s="37"/>
      <c r="R379" s="37"/>
      <c r="S379" s="37"/>
      <c r="T379" s="37"/>
      <c r="U379" s="37"/>
      <c r="V379" s="37"/>
      <c r="W379" s="37"/>
      <c r="X379" s="37"/>
    </row>
    <row r="380">
      <c r="A380" s="37"/>
      <c r="B380" s="49" t="str">
        <f>IFERROR(__xludf.DUMMYFUNCTION("""COMPUTED_VALUE"""),"Yemi Oviosu")</f>
        <v>Yemi Oviosu</v>
      </c>
      <c r="C380" s="5">
        <v>10.0</v>
      </c>
      <c r="D380" s="3">
        <f>countif('OTPI Scores'!C:C,B380)</f>
        <v>20</v>
      </c>
      <c r="E380" s="3">
        <f t="shared" si="1"/>
        <v>200</v>
      </c>
      <c r="F380" s="3">
        <f>sumif('OTPI Scores'!C:C,B380,'OTPI Scores'!T:T)</f>
        <v>179</v>
      </c>
      <c r="G380" s="3" t="str">
        <f>SUMIF('Match Subs Filter'!E:E,B380,'Match Subs Filter'!F:F)+sumif('Bank Transfers'!B:B,B380,'Bank Transfers'!C:C)</f>
        <v>#N/A</v>
      </c>
      <c r="H380" s="50" t="str">
        <f t="shared" si="2"/>
        <v>#N/A</v>
      </c>
      <c r="I380" s="51">
        <f t="array" ref="I380">IF(IFERROR(lookup(1,1/SEARCH(B380,'OTPI Scores'!C:C),'OTPI Scores'!E:E),0)="Vets",7,IFERROR(lookup(1,1/SEARCH(B380,'OTPI Scores'!C:C),'OTPI Scores'!E:E),0))</f>
        <v>1</v>
      </c>
      <c r="J380" s="37"/>
      <c r="K380" s="37"/>
      <c r="L380" s="37"/>
      <c r="M380" s="37"/>
      <c r="N380" s="37"/>
      <c r="O380" s="37"/>
      <c r="P380" s="37"/>
      <c r="Q380" s="37"/>
      <c r="R380" s="37"/>
      <c r="S380" s="37"/>
      <c r="T380" s="37"/>
      <c r="U380" s="37"/>
      <c r="V380" s="37"/>
      <c r="W380" s="37"/>
      <c r="X380" s="37"/>
    </row>
    <row r="381">
      <c r="A381" s="37"/>
      <c r="B381" s="49" t="str">
        <f>IFERROR(__xludf.DUMMYFUNCTION("""COMPUTED_VALUE"""),"Zaki Yusuf")</f>
        <v>Zaki Yusuf</v>
      </c>
      <c r="C381" s="5">
        <v>10.0</v>
      </c>
      <c r="D381" s="3">
        <f>countif('OTPI Scores'!C:C,B381)</f>
        <v>0</v>
      </c>
      <c r="E381" s="3">
        <f t="shared" si="1"/>
        <v>0</v>
      </c>
      <c r="F381" s="3">
        <f>sumif('OTPI Scores'!C:C,B381,'OTPI Scores'!T:T)</f>
        <v>0</v>
      </c>
      <c r="G381" s="3" t="str">
        <f>SUMIF('Match Subs Filter'!E:E,B381,'Match Subs Filter'!F:F)+sumif('Bank Transfers'!B:B,B381,'Bank Transfers'!C:C)</f>
        <v>#N/A</v>
      </c>
      <c r="H381" s="50" t="str">
        <f t="shared" si="2"/>
        <v>#N/A</v>
      </c>
      <c r="I381" s="51">
        <f t="array" ref="I381">IF(IFERROR(lookup(1,1/SEARCH(B381,'OTPI Scores'!C:C),'OTPI Scores'!E:E),0)="Vets",7,IFERROR(lookup(1,1/SEARCH(B381,'OTPI Scores'!C:C),'OTPI Scores'!E:E),0))</f>
        <v>0</v>
      </c>
      <c r="J381" s="37"/>
      <c r="K381" s="37"/>
      <c r="L381" s="37"/>
      <c r="M381" s="37"/>
      <c r="N381" s="37"/>
      <c r="O381" s="37"/>
      <c r="P381" s="37"/>
      <c r="Q381" s="37"/>
      <c r="R381" s="37"/>
      <c r="S381" s="37"/>
      <c r="T381" s="37"/>
      <c r="U381" s="37"/>
      <c r="V381" s="37"/>
      <c r="W381" s="37"/>
      <c r="X381" s="37"/>
    </row>
    <row r="382">
      <c r="A382" s="37"/>
      <c r="B382" s="49"/>
      <c r="C382" s="5">
        <v>10.0</v>
      </c>
      <c r="D382" s="3">
        <f>countif('OTPI Scores'!C:C,B382)</f>
        <v>0</v>
      </c>
      <c r="E382" s="3">
        <f t="shared" si="1"/>
        <v>0</v>
      </c>
      <c r="F382" s="3">
        <f>sumif('OTPI Scores'!C:C,B382,'OTPI Scores'!T:T)</f>
        <v>0</v>
      </c>
      <c r="G382" s="3" t="str">
        <f>SUMIF('Match Subs Filter'!E:E,B382,'Match Subs Filter'!F:F)+sumif('Bank Transfers'!B:B,B382,'Bank Transfers'!C:C)</f>
        <v>#N/A</v>
      </c>
      <c r="H382" s="50" t="str">
        <f t="shared" si="2"/>
        <v>#N/A</v>
      </c>
      <c r="I382" s="51">
        <f t="array" ref="I382">IF(IFERROR(lookup(1,1/SEARCH(B382,'OTPI Scores'!C:C),'OTPI Scores'!E:E),0)="Vets",7,IFERROR(lookup(1,1/SEARCH(B382,'OTPI Scores'!C:C),'OTPI Scores'!E:E),0))</f>
        <v>6</v>
      </c>
      <c r="J382" s="37"/>
      <c r="K382" s="37"/>
      <c r="L382" s="37"/>
      <c r="M382" s="37"/>
      <c r="N382" s="37"/>
      <c r="O382" s="37"/>
      <c r="P382" s="37"/>
      <c r="Q382" s="37"/>
      <c r="R382" s="37"/>
      <c r="S382" s="37"/>
      <c r="T382" s="37"/>
      <c r="U382" s="37"/>
      <c r="V382" s="37"/>
      <c r="W382" s="37"/>
      <c r="X382" s="37"/>
    </row>
    <row r="383">
      <c r="A383" s="37"/>
      <c r="B383" s="49"/>
      <c r="C383" s="5">
        <v>10.0</v>
      </c>
      <c r="D383" s="3">
        <f>countif('OTPI Scores'!C:C,B383)</f>
        <v>0</v>
      </c>
      <c r="E383" s="3">
        <f t="shared" si="1"/>
        <v>0</v>
      </c>
      <c r="F383" s="3">
        <f>sumif('OTPI Scores'!C:C,B383,'OTPI Scores'!T:T)</f>
        <v>0</v>
      </c>
      <c r="G383" s="3" t="str">
        <f>SUMIF('Match Subs Filter'!E:E,B383,'Match Subs Filter'!F:F)+sumif('Bank Transfers'!B:B,B383,'Bank Transfers'!C:C)</f>
        <v>#N/A</v>
      </c>
      <c r="H383" s="50" t="str">
        <f t="shared" si="2"/>
        <v>#N/A</v>
      </c>
      <c r="I383" s="51">
        <f t="array" ref="I383">IF(IFERROR(lookup(1,1/SEARCH(B383,'OTPI Scores'!C:C),'OTPI Scores'!E:E),0)="Vets",7,IFERROR(lookup(1,1/SEARCH(B383,'OTPI Scores'!C:C),'OTPI Scores'!E:E),0))</f>
        <v>6</v>
      </c>
      <c r="J383" s="37"/>
      <c r="K383" s="37"/>
      <c r="L383" s="37"/>
      <c r="M383" s="37"/>
      <c r="N383" s="37"/>
      <c r="O383" s="37"/>
      <c r="P383" s="37"/>
      <c r="Q383" s="37"/>
      <c r="R383" s="37"/>
      <c r="S383" s="37"/>
      <c r="T383" s="37"/>
      <c r="U383" s="37"/>
      <c r="V383" s="37"/>
      <c r="W383" s="37"/>
      <c r="X383" s="37"/>
    </row>
    <row r="384">
      <c r="A384" s="37"/>
      <c r="B384" s="49"/>
      <c r="C384" s="5">
        <v>10.0</v>
      </c>
      <c r="D384" s="3">
        <f>countif('OTPI Scores'!C:C,B384)</f>
        <v>0</v>
      </c>
      <c r="E384" s="3">
        <f t="shared" si="1"/>
        <v>0</v>
      </c>
      <c r="F384" s="3">
        <f>sumif('OTPI Scores'!C:C,B384,'OTPI Scores'!T:T)</f>
        <v>0</v>
      </c>
      <c r="G384" s="3" t="str">
        <f>SUMIF('Match Subs Filter'!E:E,B384,'Match Subs Filter'!F:F)+sumif('Bank Transfers'!B:B,B384,'Bank Transfers'!C:C)</f>
        <v>#N/A</v>
      </c>
      <c r="H384" s="50" t="str">
        <f t="shared" si="2"/>
        <v>#N/A</v>
      </c>
      <c r="I384" s="51">
        <f t="array" ref="I384">IF(IFERROR(lookup(1,1/SEARCH(B384,'OTPI Scores'!C:C),'OTPI Scores'!E:E),0)="Vets",7,IFERROR(lookup(1,1/SEARCH(B384,'OTPI Scores'!C:C),'OTPI Scores'!E:E),0))</f>
        <v>6</v>
      </c>
      <c r="J384" s="37"/>
      <c r="K384" s="37"/>
      <c r="L384" s="37"/>
      <c r="M384" s="37"/>
      <c r="N384" s="37"/>
      <c r="O384" s="37"/>
      <c r="P384" s="37"/>
      <c r="Q384" s="37"/>
      <c r="R384" s="37"/>
      <c r="S384" s="37"/>
      <c r="T384" s="37"/>
      <c r="U384" s="37"/>
      <c r="V384" s="37"/>
      <c r="W384" s="37"/>
      <c r="X384" s="37"/>
    </row>
    <row r="385">
      <c r="A385" s="37"/>
      <c r="B385" s="49"/>
      <c r="C385" s="5">
        <v>10.0</v>
      </c>
      <c r="D385" s="3">
        <f>countif('OTPI Scores'!C:C,B385)</f>
        <v>0</v>
      </c>
      <c r="E385" s="3">
        <f t="shared" si="1"/>
        <v>0</v>
      </c>
      <c r="F385" s="3">
        <f>sumif('OTPI Scores'!C:C,B385,'OTPI Scores'!T:T)</f>
        <v>0</v>
      </c>
      <c r="G385" s="3" t="str">
        <f>SUMIF('Match Subs Filter'!E:E,B385,'Match Subs Filter'!F:F)+sumif('Bank Transfers'!B:B,B385,'Bank Transfers'!C:C)</f>
        <v>#N/A</v>
      </c>
      <c r="H385" s="50" t="str">
        <f t="shared" si="2"/>
        <v>#N/A</v>
      </c>
      <c r="I385" s="51">
        <f t="array" ref="I385">IF(IFERROR(lookup(1,1/SEARCH(B385,'OTPI Scores'!C:C),'OTPI Scores'!E:E),0)="Vets",7,IFERROR(lookup(1,1/SEARCH(B385,'OTPI Scores'!C:C),'OTPI Scores'!E:E),0))</f>
        <v>6</v>
      </c>
      <c r="J385" s="37"/>
      <c r="K385" s="37"/>
      <c r="L385" s="37"/>
      <c r="M385" s="37"/>
      <c r="N385" s="37"/>
      <c r="O385" s="37"/>
      <c r="P385" s="37"/>
      <c r="Q385" s="37"/>
      <c r="R385" s="37"/>
      <c r="S385" s="37"/>
      <c r="T385" s="37"/>
      <c r="U385" s="37"/>
      <c r="V385" s="37"/>
      <c r="W385" s="37"/>
      <c r="X385" s="37"/>
    </row>
    <row r="386">
      <c r="A386" s="37"/>
      <c r="B386" s="49"/>
      <c r="C386" s="5">
        <v>10.0</v>
      </c>
      <c r="D386" s="3">
        <f>countif('OTPI Scores'!C:C,B386)</f>
        <v>0</v>
      </c>
      <c r="E386" s="3">
        <f t="shared" si="1"/>
        <v>0</v>
      </c>
      <c r="F386" s="3">
        <f>sumif('OTPI Scores'!C:C,B386,'OTPI Scores'!T:T)</f>
        <v>0</v>
      </c>
      <c r="G386" s="3" t="str">
        <f>SUMIF('Match Subs Filter'!E:E,B386,'Match Subs Filter'!F:F)+sumif('Bank Transfers'!B:B,B386,'Bank Transfers'!C:C)</f>
        <v>#N/A</v>
      </c>
      <c r="H386" s="50" t="str">
        <f t="shared" si="2"/>
        <v>#N/A</v>
      </c>
      <c r="I386" s="51">
        <f t="array" ref="I386">IF(IFERROR(lookup(1,1/SEARCH(B386,'OTPI Scores'!C:C),'OTPI Scores'!E:E),0)="Vets",7,IFERROR(lookup(1,1/SEARCH(B386,'OTPI Scores'!C:C),'OTPI Scores'!E:E),0))</f>
        <v>6</v>
      </c>
      <c r="J386" s="37"/>
      <c r="K386" s="37"/>
      <c r="L386" s="37"/>
      <c r="M386" s="37"/>
      <c r="N386" s="37"/>
      <c r="O386" s="37"/>
      <c r="P386" s="37"/>
      <c r="Q386" s="37"/>
      <c r="R386" s="37"/>
      <c r="S386" s="37"/>
      <c r="T386" s="37"/>
      <c r="U386" s="37"/>
      <c r="V386" s="37"/>
      <c r="W386" s="37"/>
      <c r="X386" s="37"/>
    </row>
    <row r="387">
      <c r="A387" s="37"/>
      <c r="B387" s="49"/>
      <c r="C387" s="5">
        <v>10.0</v>
      </c>
      <c r="D387" s="3">
        <f>countif('OTPI Scores'!C:C,B387)</f>
        <v>0</v>
      </c>
      <c r="E387" s="3">
        <f t="shared" si="1"/>
        <v>0</v>
      </c>
      <c r="F387" s="3">
        <f>sumif('OTPI Scores'!C:C,B387,'OTPI Scores'!T:T)</f>
        <v>0</v>
      </c>
      <c r="G387" s="3" t="str">
        <f>SUMIF('Match Subs Filter'!E:E,B387,'Match Subs Filter'!F:F)+sumif('Bank Transfers'!B:B,B387,'Bank Transfers'!C:C)</f>
        <v>#N/A</v>
      </c>
      <c r="H387" s="50" t="str">
        <f t="shared" si="2"/>
        <v>#N/A</v>
      </c>
      <c r="I387" s="51">
        <f t="array" ref="I387">IF(IFERROR(lookup(1,1/SEARCH(B387,'OTPI Scores'!C:C),'OTPI Scores'!E:E),0)="Vets",7,IFERROR(lookup(1,1/SEARCH(B387,'OTPI Scores'!C:C),'OTPI Scores'!E:E),0))</f>
        <v>6</v>
      </c>
      <c r="J387" s="37"/>
      <c r="K387" s="37"/>
      <c r="L387" s="37"/>
      <c r="M387" s="37"/>
      <c r="N387" s="37"/>
      <c r="O387" s="37"/>
      <c r="P387" s="37"/>
      <c r="Q387" s="37"/>
      <c r="R387" s="37"/>
      <c r="S387" s="37"/>
      <c r="T387" s="37"/>
      <c r="U387" s="37"/>
      <c r="V387" s="37"/>
      <c r="W387" s="37"/>
      <c r="X387" s="37"/>
    </row>
    <row r="388">
      <c r="A388" s="37"/>
      <c r="B388" s="49"/>
      <c r="C388" s="5">
        <v>10.0</v>
      </c>
      <c r="D388" s="3">
        <f>countif('OTPI Scores'!C:C,B388)</f>
        <v>0</v>
      </c>
      <c r="E388" s="3">
        <f t="shared" si="1"/>
        <v>0</v>
      </c>
      <c r="F388" s="3">
        <f>sumif('OTPI Scores'!C:C,B388,'OTPI Scores'!T:T)</f>
        <v>0</v>
      </c>
      <c r="G388" s="3" t="str">
        <f>SUMIF('Match Subs Filter'!E:E,B388,'Match Subs Filter'!F:F)+sumif('Bank Transfers'!B:B,B388,'Bank Transfers'!C:C)</f>
        <v>#N/A</v>
      </c>
      <c r="H388" s="50" t="str">
        <f t="shared" si="2"/>
        <v>#N/A</v>
      </c>
      <c r="I388" s="51">
        <f t="array" ref="I388">IF(IFERROR(lookup(1,1/SEARCH(B388,'OTPI Scores'!C:C),'OTPI Scores'!E:E),0)="Vets",7,IFERROR(lookup(1,1/SEARCH(B388,'OTPI Scores'!C:C),'OTPI Scores'!E:E),0))</f>
        <v>6</v>
      </c>
      <c r="J388" s="37"/>
      <c r="K388" s="37"/>
      <c r="L388" s="37"/>
      <c r="M388" s="37"/>
      <c r="N388" s="37"/>
      <c r="O388" s="37"/>
      <c r="P388" s="37"/>
      <c r="Q388" s="37"/>
      <c r="R388" s="37"/>
      <c r="S388" s="37"/>
      <c r="T388" s="37"/>
      <c r="U388" s="37"/>
      <c r="V388" s="37"/>
      <c r="W388" s="37"/>
      <c r="X388" s="37"/>
    </row>
    <row r="389">
      <c r="A389" s="37"/>
      <c r="B389" s="49"/>
      <c r="C389" s="5">
        <v>10.0</v>
      </c>
      <c r="D389" s="3">
        <f>countif('OTPI Scores'!C:C,B389)</f>
        <v>0</v>
      </c>
      <c r="E389" s="3">
        <f t="shared" si="1"/>
        <v>0</v>
      </c>
      <c r="F389" s="3">
        <f>sumif('OTPI Scores'!C:C,B389,'OTPI Scores'!T:T)</f>
        <v>0</v>
      </c>
      <c r="G389" s="3" t="str">
        <f>SUMIF('Match Subs Filter'!E:E,B389,'Match Subs Filter'!F:F)+sumif('Bank Transfers'!B:B,B389,'Bank Transfers'!C:C)</f>
        <v>#N/A</v>
      </c>
      <c r="H389" s="50" t="str">
        <f t="shared" si="2"/>
        <v>#N/A</v>
      </c>
      <c r="I389" s="51">
        <f t="array" ref="I389">IF(IFERROR(lookup(1,1/SEARCH(B389,'OTPI Scores'!C:C),'OTPI Scores'!E:E),0)="Vets",7,IFERROR(lookup(1,1/SEARCH(B389,'OTPI Scores'!C:C),'OTPI Scores'!E:E),0))</f>
        <v>6</v>
      </c>
      <c r="J389" s="37"/>
      <c r="K389" s="37"/>
      <c r="L389" s="37"/>
      <c r="M389" s="37"/>
      <c r="N389" s="37"/>
      <c r="O389" s="37"/>
      <c r="P389" s="37"/>
      <c r="Q389" s="37"/>
      <c r="R389" s="37"/>
      <c r="S389" s="37"/>
      <c r="T389" s="37"/>
      <c r="U389" s="37"/>
      <c r="V389" s="37"/>
      <c r="W389" s="37"/>
      <c r="X389" s="37"/>
    </row>
    <row r="390">
      <c r="A390" s="37"/>
      <c r="B390" s="49"/>
      <c r="C390" s="5">
        <v>10.0</v>
      </c>
      <c r="D390" s="3">
        <f>countif('OTPI Scores'!C:C,B390)</f>
        <v>0</v>
      </c>
      <c r="E390" s="3">
        <f t="shared" si="1"/>
        <v>0</v>
      </c>
      <c r="F390" s="3">
        <f>sumif('OTPI Scores'!C:C,B390,'OTPI Scores'!T:T)</f>
        <v>0</v>
      </c>
      <c r="G390" s="3" t="str">
        <f>SUMIF('Match Subs Filter'!E:E,B390,'Match Subs Filter'!F:F)+sumif('Bank Transfers'!B:B,B390,'Bank Transfers'!C:C)</f>
        <v>#N/A</v>
      </c>
      <c r="H390" s="50" t="str">
        <f t="shared" si="2"/>
        <v>#N/A</v>
      </c>
      <c r="I390" s="51">
        <f t="array" ref="I390">IF(IFERROR(lookup(1,1/SEARCH(B390,'OTPI Scores'!C:C),'OTPI Scores'!E:E),0)="Vets",7,IFERROR(lookup(1,1/SEARCH(B390,'OTPI Scores'!C:C),'OTPI Scores'!E:E),0))</f>
        <v>6</v>
      </c>
      <c r="J390" s="37"/>
      <c r="K390" s="37"/>
      <c r="L390" s="37"/>
      <c r="M390" s="37"/>
      <c r="N390" s="37"/>
      <c r="O390" s="37"/>
      <c r="P390" s="37"/>
      <c r="Q390" s="37"/>
      <c r="R390" s="37"/>
      <c r="S390" s="37"/>
      <c r="T390" s="37"/>
      <c r="U390" s="37"/>
      <c r="V390" s="37"/>
      <c r="W390" s="37"/>
      <c r="X390" s="37"/>
    </row>
    <row r="391">
      <c r="A391" s="37"/>
      <c r="B391" s="49"/>
      <c r="C391" s="5">
        <v>10.0</v>
      </c>
      <c r="D391" s="3">
        <f>countif('OTPI Scores'!C:C,B391)</f>
        <v>0</v>
      </c>
      <c r="E391" s="3">
        <f t="shared" si="1"/>
        <v>0</v>
      </c>
      <c r="F391" s="3">
        <f>sumif('OTPI Scores'!C:C,B391,'OTPI Scores'!T:T)</f>
        <v>0</v>
      </c>
      <c r="G391" s="3" t="str">
        <f>SUMIF('Match Subs Filter'!E:E,B391,'Match Subs Filter'!F:F)+sumif('Bank Transfers'!B:B,B391,'Bank Transfers'!C:C)</f>
        <v>#N/A</v>
      </c>
      <c r="H391" s="50" t="str">
        <f t="shared" si="2"/>
        <v>#N/A</v>
      </c>
      <c r="I391" s="51">
        <f t="array" ref="I391">IF(IFERROR(lookup(1,1/SEARCH(B391,'OTPI Scores'!C:C),'OTPI Scores'!E:E),0)="Vets",7,IFERROR(lookup(1,1/SEARCH(B391,'OTPI Scores'!C:C),'OTPI Scores'!E:E),0))</f>
        <v>6</v>
      </c>
      <c r="J391" s="37"/>
      <c r="K391" s="37"/>
      <c r="L391" s="37"/>
      <c r="M391" s="37"/>
      <c r="N391" s="37"/>
      <c r="O391" s="37"/>
      <c r="P391" s="37"/>
      <c r="Q391" s="37"/>
      <c r="R391" s="37"/>
      <c r="S391" s="37"/>
      <c r="T391" s="37"/>
      <c r="U391" s="37"/>
      <c r="V391" s="37"/>
      <c r="W391" s="37"/>
      <c r="X391" s="37"/>
    </row>
    <row r="392">
      <c r="A392" s="37"/>
      <c r="B392" s="49"/>
      <c r="C392" s="5">
        <v>10.0</v>
      </c>
      <c r="D392" s="3">
        <f>countif('OTPI Scores'!C:C,B392)</f>
        <v>0</v>
      </c>
      <c r="E392" s="3">
        <f t="shared" si="1"/>
        <v>0</v>
      </c>
      <c r="F392" s="3">
        <f>sumif('OTPI Scores'!C:C,B392,'OTPI Scores'!T:T)</f>
        <v>0</v>
      </c>
      <c r="G392" s="3" t="str">
        <f>SUMIF('Match Subs Filter'!E:E,B392,'Match Subs Filter'!F:F)+sumif('Bank Transfers'!B:B,B392,'Bank Transfers'!C:C)</f>
        <v>#N/A</v>
      </c>
      <c r="H392" s="50" t="str">
        <f t="shared" si="2"/>
        <v>#N/A</v>
      </c>
      <c r="I392" s="51">
        <f t="array" ref="I392">IF(IFERROR(lookup(1,1/SEARCH(B392,'OTPI Scores'!C:C),'OTPI Scores'!E:E),0)="Vets",7,IFERROR(lookup(1,1/SEARCH(B392,'OTPI Scores'!C:C),'OTPI Scores'!E:E),0))</f>
        <v>6</v>
      </c>
      <c r="J392" s="37"/>
      <c r="K392" s="37"/>
      <c r="L392" s="37"/>
      <c r="M392" s="37"/>
      <c r="N392" s="37"/>
      <c r="O392" s="37"/>
      <c r="P392" s="37"/>
      <c r="Q392" s="37"/>
      <c r="R392" s="37"/>
      <c r="S392" s="37"/>
      <c r="T392" s="37"/>
      <c r="U392" s="37"/>
      <c r="V392" s="37"/>
      <c r="W392" s="37"/>
      <c r="X392" s="37"/>
    </row>
    <row r="393">
      <c r="A393" s="37"/>
      <c r="B393" s="49"/>
      <c r="C393" s="5">
        <v>10.0</v>
      </c>
      <c r="D393" s="3">
        <f>countif('OTPI Scores'!C:C,B393)</f>
        <v>0</v>
      </c>
      <c r="E393" s="3">
        <f t="shared" si="1"/>
        <v>0</v>
      </c>
      <c r="F393" s="3">
        <f>sumif('OTPI Scores'!C:C,B393,'OTPI Scores'!T:T)</f>
        <v>0</v>
      </c>
      <c r="G393" s="3" t="str">
        <f>SUMIF('Match Subs Filter'!E:E,B393,'Match Subs Filter'!F:F)+sumif('Bank Transfers'!B:B,B393,'Bank Transfers'!C:C)</f>
        <v>#N/A</v>
      </c>
      <c r="H393" s="50" t="str">
        <f t="shared" si="2"/>
        <v>#N/A</v>
      </c>
      <c r="I393" s="51">
        <f t="array" ref="I393">IF(IFERROR(lookup(1,1/SEARCH(B393,'OTPI Scores'!C:C),'OTPI Scores'!E:E),0)="Vets",7,IFERROR(lookup(1,1/SEARCH(B393,'OTPI Scores'!C:C),'OTPI Scores'!E:E),0))</f>
        <v>6</v>
      </c>
      <c r="J393" s="37"/>
      <c r="K393" s="37"/>
      <c r="L393" s="37"/>
      <c r="M393" s="37"/>
      <c r="N393" s="37"/>
      <c r="O393" s="37"/>
      <c r="P393" s="37"/>
      <c r="Q393" s="37"/>
      <c r="R393" s="37"/>
      <c r="S393" s="37"/>
      <c r="T393" s="37"/>
      <c r="U393" s="37"/>
      <c r="V393" s="37"/>
      <c r="W393" s="37"/>
      <c r="X393" s="37"/>
    </row>
    <row r="394">
      <c r="A394" s="37"/>
      <c r="B394" s="49"/>
      <c r="C394" s="5">
        <v>10.0</v>
      </c>
      <c r="D394" s="3">
        <f>countif('OTPI Scores'!C:C,B394)</f>
        <v>0</v>
      </c>
      <c r="E394" s="3">
        <f t="shared" si="1"/>
        <v>0</v>
      </c>
      <c r="F394" s="3">
        <f>sumif('OTPI Scores'!C:C,B394,'OTPI Scores'!T:T)</f>
        <v>0</v>
      </c>
      <c r="G394" s="3" t="str">
        <f>SUMIF('Match Subs Filter'!E:E,B394,'Match Subs Filter'!F:F)+sumif('Bank Transfers'!B:B,B394,'Bank Transfers'!C:C)</f>
        <v>#N/A</v>
      </c>
      <c r="H394" s="50" t="str">
        <f t="shared" si="2"/>
        <v>#N/A</v>
      </c>
      <c r="I394" s="51">
        <f t="array" ref="I394">IF(IFERROR(lookup(1,1/SEARCH(B394,'OTPI Scores'!C:C),'OTPI Scores'!E:E),0)="Vets",7,IFERROR(lookup(1,1/SEARCH(B394,'OTPI Scores'!C:C),'OTPI Scores'!E:E),0))</f>
        <v>6</v>
      </c>
      <c r="J394" s="37"/>
      <c r="K394" s="37"/>
      <c r="L394" s="37"/>
      <c r="M394" s="37"/>
      <c r="N394" s="37"/>
      <c r="O394" s="37"/>
      <c r="P394" s="37"/>
      <c r="Q394" s="37"/>
      <c r="R394" s="37"/>
      <c r="S394" s="37"/>
      <c r="T394" s="37"/>
      <c r="U394" s="37"/>
      <c r="V394" s="37"/>
      <c r="W394" s="37"/>
      <c r="X394" s="37"/>
    </row>
    <row r="395">
      <c r="A395" s="37"/>
      <c r="B395" s="49"/>
      <c r="C395" s="5">
        <v>10.0</v>
      </c>
      <c r="D395" s="3">
        <f>countif('OTPI Scores'!C:C,B395)</f>
        <v>0</v>
      </c>
      <c r="E395" s="3">
        <f t="shared" si="1"/>
        <v>0</v>
      </c>
      <c r="F395" s="3">
        <f>sumif('OTPI Scores'!C:C,B395,'OTPI Scores'!T:T)</f>
        <v>0</v>
      </c>
      <c r="G395" s="3" t="str">
        <f>SUMIF('Match Subs Filter'!E:E,B395,'Match Subs Filter'!F:F)+sumif('Bank Transfers'!B:B,B395,'Bank Transfers'!C:C)</f>
        <v>#N/A</v>
      </c>
      <c r="H395" s="50" t="str">
        <f t="shared" si="2"/>
        <v>#N/A</v>
      </c>
      <c r="I395" s="51">
        <f t="array" ref="I395">IF(IFERROR(lookup(1,1/SEARCH(B395,'OTPI Scores'!C:C),'OTPI Scores'!E:E),0)="Vets",7,IFERROR(lookup(1,1/SEARCH(B395,'OTPI Scores'!C:C),'OTPI Scores'!E:E),0))</f>
        <v>6</v>
      </c>
      <c r="J395" s="37"/>
      <c r="K395" s="37"/>
      <c r="L395" s="37"/>
      <c r="M395" s="37"/>
      <c r="N395" s="37"/>
      <c r="O395" s="37"/>
      <c r="P395" s="37"/>
      <c r="Q395" s="37"/>
      <c r="R395" s="37"/>
      <c r="S395" s="37"/>
      <c r="T395" s="37"/>
      <c r="U395" s="37"/>
      <c r="V395" s="37"/>
      <c r="W395" s="37"/>
      <c r="X395" s="37"/>
    </row>
    <row r="396">
      <c r="A396" s="37"/>
      <c r="B396" s="49"/>
      <c r="C396" s="5">
        <v>10.0</v>
      </c>
      <c r="D396" s="3">
        <f>countif('OTPI Scores'!C:C,B396)</f>
        <v>0</v>
      </c>
      <c r="E396" s="3">
        <f t="shared" si="1"/>
        <v>0</v>
      </c>
      <c r="F396" s="3">
        <f>sumif('OTPI Scores'!C:C,B396,'OTPI Scores'!T:T)</f>
        <v>0</v>
      </c>
      <c r="G396" s="3" t="str">
        <f>SUMIF('Match Subs Filter'!E:E,B396,'Match Subs Filter'!F:F)+sumif('Bank Transfers'!B:B,B396,'Bank Transfers'!C:C)</f>
        <v>#N/A</v>
      </c>
      <c r="H396" s="50" t="str">
        <f t="shared" si="2"/>
        <v>#N/A</v>
      </c>
      <c r="I396" s="51">
        <f t="array" ref="I396">IF(IFERROR(lookup(1,1/SEARCH(B396,'OTPI Scores'!C:C),'OTPI Scores'!E:E),0)="Vets",7,IFERROR(lookup(1,1/SEARCH(B396,'OTPI Scores'!C:C),'OTPI Scores'!E:E),0))</f>
        <v>6</v>
      </c>
      <c r="J396" s="37"/>
      <c r="K396" s="37"/>
      <c r="L396" s="37"/>
      <c r="M396" s="37"/>
      <c r="N396" s="37"/>
      <c r="O396" s="37"/>
      <c r="P396" s="37"/>
      <c r="Q396" s="37"/>
      <c r="R396" s="37"/>
      <c r="S396" s="37"/>
      <c r="T396" s="37"/>
      <c r="U396" s="37"/>
      <c r="V396" s="37"/>
      <c r="W396" s="37"/>
      <c r="X396" s="37"/>
    </row>
    <row r="397">
      <c r="A397" s="37"/>
      <c r="B397" s="49"/>
      <c r="C397" s="5">
        <v>10.0</v>
      </c>
      <c r="D397" s="3">
        <f>countif('OTPI Scores'!C:C,B397)</f>
        <v>0</v>
      </c>
      <c r="E397" s="3">
        <f t="shared" si="1"/>
        <v>0</v>
      </c>
      <c r="F397" s="3">
        <f>sumif('OTPI Scores'!C:C,B397,'OTPI Scores'!T:T)</f>
        <v>0</v>
      </c>
      <c r="G397" s="3" t="str">
        <f>SUMIF('Match Subs Filter'!E:E,B397,'Match Subs Filter'!F:F)+sumif('Bank Transfers'!B:B,B397,'Bank Transfers'!C:C)</f>
        <v>#N/A</v>
      </c>
      <c r="H397" s="50" t="str">
        <f t="shared" si="2"/>
        <v>#N/A</v>
      </c>
      <c r="I397" s="51">
        <f t="array" ref="I397">IF(IFERROR(lookup(1,1/SEARCH(B397,'OTPI Scores'!C:C),'OTPI Scores'!E:E),0)="Vets",7,IFERROR(lookup(1,1/SEARCH(B397,'OTPI Scores'!C:C),'OTPI Scores'!E:E),0))</f>
        <v>6</v>
      </c>
      <c r="J397" s="37"/>
      <c r="K397" s="37"/>
      <c r="L397" s="37"/>
      <c r="M397" s="37"/>
      <c r="N397" s="37"/>
      <c r="O397" s="37"/>
      <c r="P397" s="37"/>
      <c r="Q397" s="37"/>
      <c r="R397" s="37"/>
      <c r="S397" s="37"/>
      <c r="T397" s="37"/>
      <c r="U397" s="37"/>
      <c r="V397" s="37"/>
      <c r="W397" s="37"/>
      <c r="X397" s="37"/>
    </row>
    <row r="398">
      <c r="A398" s="37"/>
      <c r="B398" s="49"/>
      <c r="C398" s="5">
        <v>10.0</v>
      </c>
      <c r="D398" s="3">
        <f>countif('OTPI Scores'!C:C,B398)</f>
        <v>0</v>
      </c>
      <c r="E398" s="3">
        <f t="shared" si="1"/>
        <v>0</v>
      </c>
      <c r="F398" s="3">
        <f>sumif('OTPI Scores'!C:C,B398,'OTPI Scores'!T:T)</f>
        <v>0</v>
      </c>
      <c r="G398" s="3" t="str">
        <f>SUMIF('Match Subs Filter'!E:E,B398,'Match Subs Filter'!F:F)+sumif('Bank Transfers'!B:B,B398,'Bank Transfers'!C:C)</f>
        <v>#N/A</v>
      </c>
      <c r="H398" s="50" t="str">
        <f t="shared" si="2"/>
        <v>#N/A</v>
      </c>
      <c r="I398" s="51">
        <f t="array" ref="I398">IF(IFERROR(lookup(1,1/SEARCH(B398,'OTPI Scores'!C:C),'OTPI Scores'!E:E),0)="Vets",7,IFERROR(lookup(1,1/SEARCH(B398,'OTPI Scores'!C:C),'OTPI Scores'!E:E),0))</f>
        <v>6</v>
      </c>
      <c r="J398" s="37"/>
      <c r="K398" s="37"/>
      <c r="L398" s="37"/>
      <c r="M398" s="37"/>
      <c r="N398" s="37"/>
      <c r="O398" s="37"/>
      <c r="P398" s="37"/>
      <c r="Q398" s="37"/>
      <c r="R398" s="37"/>
      <c r="S398" s="37"/>
      <c r="T398" s="37"/>
      <c r="U398" s="37"/>
      <c r="V398" s="37"/>
      <c r="W398" s="37"/>
      <c r="X398" s="37"/>
    </row>
    <row r="399">
      <c r="A399" s="37"/>
      <c r="B399" s="49"/>
      <c r="C399" s="5">
        <v>10.0</v>
      </c>
      <c r="D399" s="3">
        <f>countif('OTPI Scores'!C:C,B399)</f>
        <v>0</v>
      </c>
      <c r="E399" s="3">
        <f t="shared" si="1"/>
        <v>0</v>
      </c>
      <c r="F399" s="3">
        <f>sumif('OTPI Scores'!C:C,B399,'OTPI Scores'!T:T)</f>
        <v>0</v>
      </c>
      <c r="G399" s="3" t="str">
        <f>SUMIF('Match Subs Filter'!E:E,B399,'Match Subs Filter'!F:F)+sumif('Bank Transfers'!B:B,B399,'Bank Transfers'!C:C)</f>
        <v>#N/A</v>
      </c>
      <c r="H399" s="50" t="str">
        <f t="shared" si="2"/>
        <v>#N/A</v>
      </c>
      <c r="I399" s="51">
        <f t="array" ref="I399">IF(IFERROR(lookup(1,1/SEARCH(B399,'OTPI Scores'!C:C),'OTPI Scores'!E:E),0)="Vets",7,IFERROR(lookup(1,1/SEARCH(B399,'OTPI Scores'!C:C),'OTPI Scores'!E:E),0))</f>
        <v>6</v>
      </c>
      <c r="J399" s="37"/>
      <c r="K399" s="37"/>
      <c r="L399" s="37"/>
      <c r="M399" s="37"/>
      <c r="N399" s="37"/>
      <c r="O399" s="37"/>
      <c r="P399" s="37"/>
      <c r="Q399" s="37"/>
      <c r="R399" s="37"/>
      <c r="S399" s="37"/>
      <c r="T399" s="37"/>
      <c r="U399" s="37"/>
      <c r="V399" s="37"/>
      <c r="W399" s="37"/>
      <c r="X399" s="37"/>
    </row>
    <row r="400">
      <c r="A400" s="37"/>
      <c r="B400" s="49"/>
      <c r="C400" s="5">
        <v>10.0</v>
      </c>
      <c r="D400" s="3">
        <f>countif('OTPI Scores'!C:C,B400)</f>
        <v>0</v>
      </c>
      <c r="E400" s="3">
        <f t="shared" si="1"/>
        <v>0</v>
      </c>
      <c r="F400" s="3">
        <f>sumif('OTPI Scores'!C:C,B400,'OTPI Scores'!T:T)</f>
        <v>0</v>
      </c>
      <c r="G400" s="3" t="str">
        <f>SUMIF('Match Subs Filter'!E:E,B400,'Match Subs Filter'!F:F)+sumif('Bank Transfers'!B:B,B400,'Bank Transfers'!C:C)</f>
        <v>#N/A</v>
      </c>
      <c r="H400" s="50" t="str">
        <f t="shared" si="2"/>
        <v>#N/A</v>
      </c>
      <c r="I400" s="51">
        <f t="array" ref="I400">IF(IFERROR(lookup(1,1/SEARCH(B400,'OTPI Scores'!C:C),'OTPI Scores'!E:E),0)="Vets",7,IFERROR(lookup(1,1/SEARCH(B400,'OTPI Scores'!C:C),'OTPI Scores'!E:E),0))</f>
        <v>6</v>
      </c>
      <c r="J400" s="37"/>
      <c r="K400" s="37"/>
      <c r="L400" s="37"/>
      <c r="M400" s="37"/>
      <c r="N400" s="37"/>
      <c r="O400" s="37"/>
      <c r="P400" s="37"/>
      <c r="Q400" s="37"/>
      <c r="R400" s="37"/>
      <c r="S400" s="37"/>
      <c r="T400" s="37"/>
      <c r="U400" s="37"/>
      <c r="V400" s="37"/>
      <c r="W400" s="37"/>
      <c r="X400" s="37"/>
    </row>
    <row r="401">
      <c r="A401" s="37"/>
      <c r="B401" s="49"/>
      <c r="C401" s="5">
        <v>10.0</v>
      </c>
      <c r="D401" s="3">
        <f>countif('OTPI Scores'!C:C,B401)</f>
        <v>0</v>
      </c>
      <c r="E401" s="3">
        <f t="shared" si="1"/>
        <v>0</v>
      </c>
      <c r="F401" s="3">
        <f>sumif('OTPI Scores'!C:C,B401,'OTPI Scores'!T:T)</f>
        <v>0</v>
      </c>
      <c r="G401" s="3" t="str">
        <f>SUMIF('Match Subs Filter'!E:E,B401,'Match Subs Filter'!F:F)+sumif('Bank Transfers'!B:B,B401,'Bank Transfers'!C:C)</f>
        <v>#N/A</v>
      </c>
      <c r="H401" s="50" t="str">
        <f t="shared" si="2"/>
        <v>#N/A</v>
      </c>
      <c r="I401" s="51">
        <f t="array" ref="I401">IF(IFERROR(lookup(1,1/SEARCH(B401,'OTPI Scores'!C:C),'OTPI Scores'!E:E),0)="Vets",7,IFERROR(lookup(1,1/SEARCH(B401,'OTPI Scores'!C:C),'OTPI Scores'!E:E),0))</f>
        <v>6</v>
      </c>
      <c r="J401" s="37"/>
      <c r="K401" s="37"/>
      <c r="L401" s="37"/>
      <c r="M401" s="37"/>
      <c r="N401" s="37"/>
      <c r="O401" s="37"/>
      <c r="P401" s="37"/>
      <c r="Q401" s="37"/>
      <c r="R401" s="37"/>
      <c r="S401" s="37"/>
      <c r="T401" s="37"/>
      <c r="U401" s="37"/>
      <c r="V401" s="37"/>
      <c r="W401" s="37"/>
      <c r="X401" s="37"/>
    </row>
    <row r="402">
      <c r="A402" s="37"/>
      <c r="B402" s="49"/>
      <c r="C402" s="5">
        <v>10.0</v>
      </c>
      <c r="D402" s="3">
        <f>countif('OTPI Scores'!C:C,B402)</f>
        <v>0</v>
      </c>
      <c r="E402" s="3">
        <f t="shared" si="1"/>
        <v>0</v>
      </c>
      <c r="F402" s="3">
        <f>sumif('OTPI Scores'!C:C,B402,'OTPI Scores'!T:T)</f>
        <v>0</v>
      </c>
      <c r="G402" s="3" t="str">
        <f>SUMIF('Match Subs Filter'!E:E,B402,'Match Subs Filter'!F:F)+sumif('Bank Transfers'!B:B,B402,'Bank Transfers'!C:C)</f>
        <v>#N/A</v>
      </c>
      <c r="H402" s="50" t="str">
        <f t="shared" si="2"/>
        <v>#N/A</v>
      </c>
      <c r="I402" s="51">
        <f t="array" ref="I402">IF(IFERROR(lookup(1,1/SEARCH(B402,'OTPI Scores'!C:C),'OTPI Scores'!E:E),0)="Vets",7,IFERROR(lookup(1,1/SEARCH(B402,'OTPI Scores'!C:C),'OTPI Scores'!E:E),0))</f>
        <v>6</v>
      </c>
      <c r="J402" s="37"/>
      <c r="K402" s="37"/>
      <c r="L402" s="37"/>
      <c r="M402" s="37"/>
      <c r="N402" s="37"/>
      <c r="O402" s="37"/>
      <c r="P402" s="37"/>
      <c r="Q402" s="37"/>
      <c r="R402" s="37"/>
      <c r="S402" s="37"/>
      <c r="T402" s="37"/>
      <c r="U402" s="37"/>
      <c r="V402" s="37"/>
      <c r="W402" s="37"/>
      <c r="X402" s="37"/>
    </row>
    <row r="403">
      <c r="A403" s="37"/>
      <c r="B403" s="49"/>
      <c r="C403" s="5">
        <v>10.0</v>
      </c>
      <c r="D403" s="3">
        <f>countif('OTPI Scores'!C:C,B403)</f>
        <v>0</v>
      </c>
      <c r="E403" s="3">
        <f t="shared" si="1"/>
        <v>0</v>
      </c>
      <c r="F403" s="3">
        <f>sumif('OTPI Scores'!C:C,B403,'OTPI Scores'!T:T)</f>
        <v>0</v>
      </c>
      <c r="G403" s="3" t="str">
        <f>SUMIF('Match Subs Filter'!E:E,B403,'Match Subs Filter'!F:F)+sumif('Bank Transfers'!B:B,B403,'Bank Transfers'!C:C)</f>
        <v>#N/A</v>
      </c>
      <c r="H403" s="50" t="str">
        <f t="shared" si="2"/>
        <v>#N/A</v>
      </c>
      <c r="I403" s="51">
        <f t="array" ref="I403">IF(IFERROR(lookup(1,1/SEARCH(B403,'OTPI Scores'!C:C),'OTPI Scores'!E:E),0)="Vets",7,IFERROR(lookup(1,1/SEARCH(B403,'OTPI Scores'!C:C),'OTPI Scores'!E:E),0))</f>
        <v>6</v>
      </c>
      <c r="J403" s="37"/>
      <c r="K403" s="37"/>
      <c r="L403" s="37"/>
      <c r="M403" s="37"/>
      <c r="N403" s="37"/>
      <c r="O403" s="37"/>
      <c r="P403" s="37"/>
      <c r="Q403" s="37"/>
      <c r="R403" s="37"/>
      <c r="S403" s="37"/>
      <c r="T403" s="37"/>
      <c r="U403" s="37"/>
      <c r="V403" s="37"/>
      <c r="W403" s="37"/>
      <c r="X403" s="37"/>
    </row>
    <row r="404">
      <c r="A404" s="37"/>
      <c r="B404" s="49"/>
      <c r="C404" s="5">
        <v>10.0</v>
      </c>
      <c r="D404" s="3">
        <f>countif('OTPI Scores'!C:C,B404)</f>
        <v>0</v>
      </c>
      <c r="E404" s="3">
        <f t="shared" si="1"/>
        <v>0</v>
      </c>
      <c r="F404" s="3">
        <f>sumif('OTPI Scores'!C:C,B404,'OTPI Scores'!T:T)</f>
        <v>0</v>
      </c>
      <c r="G404" s="3" t="str">
        <f>SUMIF('Match Subs Filter'!E:E,B404,'Match Subs Filter'!F:F)+sumif('Bank Transfers'!B:B,B404,'Bank Transfers'!C:C)</f>
        <v>#N/A</v>
      </c>
      <c r="H404" s="50" t="str">
        <f t="shared" si="2"/>
        <v>#N/A</v>
      </c>
      <c r="I404" s="51">
        <f t="array" ref="I404">IF(IFERROR(lookup(1,1/SEARCH(B404,'OTPI Scores'!C:C),'OTPI Scores'!E:E),0)="Vets",7,IFERROR(lookup(1,1/SEARCH(B404,'OTPI Scores'!C:C),'OTPI Scores'!E:E),0))</f>
        <v>6</v>
      </c>
      <c r="J404" s="37"/>
      <c r="K404" s="37"/>
      <c r="L404" s="37"/>
      <c r="M404" s="37"/>
      <c r="N404" s="37"/>
      <c r="O404" s="37"/>
      <c r="P404" s="37"/>
      <c r="Q404" s="37"/>
      <c r="R404" s="37"/>
      <c r="S404" s="37"/>
      <c r="T404" s="37"/>
      <c r="U404" s="37"/>
      <c r="V404" s="37"/>
      <c r="W404" s="37"/>
      <c r="X404" s="37"/>
    </row>
    <row r="405">
      <c r="A405" s="37"/>
      <c r="B405" s="49"/>
      <c r="C405" s="5">
        <v>10.0</v>
      </c>
      <c r="D405" s="3">
        <f>countif('OTPI Scores'!C:C,B405)</f>
        <v>0</v>
      </c>
      <c r="E405" s="3">
        <f t="shared" si="1"/>
        <v>0</v>
      </c>
      <c r="F405" s="3">
        <f>sumif('OTPI Scores'!C:C,B405,'OTPI Scores'!T:T)</f>
        <v>0</v>
      </c>
      <c r="G405" s="3" t="str">
        <f>SUMIF('Match Subs Filter'!E:E,B405,'Match Subs Filter'!F:F)+sumif('Bank Transfers'!B:B,B405,'Bank Transfers'!C:C)</f>
        <v>#N/A</v>
      </c>
      <c r="H405" s="50" t="str">
        <f t="shared" si="2"/>
        <v>#N/A</v>
      </c>
      <c r="I405" s="51">
        <f t="array" ref="I405">IF(IFERROR(lookup(1,1/SEARCH(B405,'OTPI Scores'!C:C),'OTPI Scores'!E:E),0)="Vets",7,IFERROR(lookup(1,1/SEARCH(B405,'OTPI Scores'!C:C),'OTPI Scores'!E:E),0))</f>
        <v>6</v>
      </c>
      <c r="J405" s="37"/>
      <c r="K405" s="37"/>
      <c r="L405" s="37"/>
      <c r="M405" s="37"/>
      <c r="N405" s="37"/>
      <c r="O405" s="37"/>
      <c r="P405" s="37"/>
      <c r="Q405" s="37"/>
      <c r="R405" s="37"/>
      <c r="S405" s="37"/>
      <c r="T405" s="37"/>
      <c r="U405" s="37"/>
      <c r="V405" s="37"/>
      <c r="W405" s="37"/>
      <c r="X405" s="37"/>
    </row>
    <row r="406">
      <c r="A406" s="37"/>
      <c r="B406" s="49"/>
      <c r="C406" s="5">
        <v>10.0</v>
      </c>
      <c r="D406" s="3">
        <f>countif('OTPI Scores'!C:C,B406)</f>
        <v>0</v>
      </c>
      <c r="E406" s="3">
        <f t="shared" si="1"/>
        <v>0</v>
      </c>
      <c r="F406" s="3">
        <f>sumif('OTPI Scores'!C:C,B406,'OTPI Scores'!T:T)</f>
        <v>0</v>
      </c>
      <c r="G406" s="3" t="str">
        <f>SUMIF('Match Subs Filter'!E:E,B406,'Match Subs Filter'!F:F)+sumif('Bank Transfers'!B:B,B406,'Bank Transfers'!C:C)</f>
        <v>#N/A</v>
      </c>
      <c r="H406" s="50" t="str">
        <f t="shared" si="2"/>
        <v>#N/A</v>
      </c>
      <c r="I406" s="51">
        <f t="array" ref="I406">IF(IFERROR(lookup(1,1/SEARCH(B406,'OTPI Scores'!C:C),'OTPI Scores'!E:E),0)="Vets",7,IFERROR(lookup(1,1/SEARCH(B406,'OTPI Scores'!C:C),'OTPI Scores'!E:E),0))</f>
        <v>6</v>
      </c>
      <c r="J406" s="37"/>
      <c r="K406" s="37"/>
      <c r="L406" s="37"/>
      <c r="M406" s="37"/>
      <c r="N406" s="37"/>
      <c r="O406" s="37"/>
      <c r="P406" s="37"/>
      <c r="Q406" s="37"/>
      <c r="R406" s="37"/>
      <c r="S406" s="37"/>
      <c r="T406" s="37"/>
      <c r="U406" s="37"/>
      <c r="V406" s="37"/>
      <c r="W406" s="37"/>
      <c r="X406" s="37"/>
    </row>
    <row r="407">
      <c r="A407" s="37"/>
      <c r="B407" s="49"/>
      <c r="C407" s="5">
        <v>10.0</v>
      </c>
      <c r="D407" s="3">
        <f>countif('OTPI Scores'!C:C,B407)</f>
        <v>0</v>
      </c>
      <c r="E407" s="3">
        <f t="shared" si="1"/>
        <v>0</v>
      </c>
      <c r="F407" s="3">
        <f>sumif('OTPI Scores'!C:C,B407,'OTPI Scores'!T:T)</f>
        <v>0</v>
      </c>
      <c r="G407" s="3" t="str">
        <f>SUMIF('Match Subs Filter'!E:E,B407,'Match Subs Filter'!F:F)+sumif('Bank Transfers'!B:B,B407,'Bank Transfers'!C:C)</f>
        <v>#N/A</v>
      </c>
      <c r="H407" s="50" t="str">
        <f t="shared" si="2"/>
        <v>#N/A</v>
      </c>
      <c r="I407" s="51">
        <f t="array" ref="I407">IF(IFERROR(lookup(1,1/SEARCH(B407,'OTPI Scores'!C:C),'OTPI Scores'!E:E),0)="Vets",7,IFERROR(lookup(1,1/SEARCH(B407,'OTPI Scores'!C:C),'OTPI Scores'!E:E),0))</f>
        <v>6</v>
      </c>
      <c r="J407" s="37"/>
      <c r="K407" s="37"/>
      <c r="L407" s="37"/>
      <c r="M407" s="37"/>
      <c r="N407" s="37"/>
      <c r="O407" s="37"/>
      <c r="P407" s="37"/>
      <c r="Q407" s="37"/>
      <c r="R407" s="37"/>
      <c r="S407" s="37"/>
      <c r="T407" s="37"/>
      <c r="U407" s="37"/>
      <c r="V407" s="37"/>
      <c r="W407" s="37"/>
      <c r="X407" s="37"/>
    </row>
    <row r="408">
      <c r="A408" s="37"/>
      <c r="B408" s="49"/>
      <c r="C408" s="5">
        <v>10.0</v>
      </c>
      <c r="D408" s="3">
        <f>countif('OTPI Scores'!C:C,B408)</f>
        <v>0</v>
      </c>
      <c r="E408" s="3">
        <f t="shared" si="1"/>
        <v>0</v>
      </c>
      <c r="F408" s="3">
        <f>sumif('OTPI Scores'!C:C,B408,'OTPI Scores'!T:T)</f>
        <v>0</v>
      </c>
      <c r="G408" s="3" t="str">
        <f>SUMIF('Match Subs Filter'!E:E,B408,'Match Subs Filter'!F:F)+sumif('Bank Transfers'!B:B,B408,'Bank Transfers'!C:C)</f>
        <v>#N/A</v>
      </c>
      <c r="H408" s="50" t="str">
        <f t="shared" si="2"/>
        <v>#N/A</v>
      </c>
      <c r="I408" s="51">
        <f t="array" ref="I408">IF(IFERROR(lookup(1,1/SEARCH(B408,'OTPI Scores'!C:C),'OTPI Scores'!E:E),0)="Vets",7,IFERROR(lookup(1,1/SEARCH(B408,'OTPI Scores'!C:C),'OTPI Scores'!E:E),0))</f>
        <v>6</v>
      </c>
      <c r="J408" s="37"/>
      <c r="K408" s="37"/>
      <c r="L408" s="37"/>
      <c r="M408" s="37"/>
      <c r="N408" s="37"/>
      <c r="O408" s="37"/>
      <c r="P408" s="37"/>
      <c r="Q408" s="37"/>
      <c r="R408" s="37"/>
      <c r="S408" s="37"/>
      <c r="T408" s="37"/>
      <c r="U408" s="37"/>
      <c r="V408" s="37"/>
      <c r="W408" s="37"/>
      <c r="X408" s="37"/>
    </row>
    <row r="409">
      <c r="A409" s="37"/>
      <c r="B409" s="49"/>
      <c r="C409" s="5">
        <v>10.0</v>
      </c>
      <c r="D409" s="3">
        <f>countif('OTPI Scores'!C:C,B409)</f>
        <v>0</v>
      </c>
      <c r="E409" s="3">
        <f t="shared" si="1"/>
        <v>0</v>
      </c>
      <c r="F409" s="3">
        <f>sumif('OTPI Scores'!C:C,B409,'OTPI Scores'!T:T)</f>
        <v>0</v>
      </c>
      <c r="G409" s="3" t="str">
        <f>SUMIF('Match Subs Filter'!E:E,B409,'Match Subs Filter'!F:F)+sumif('Bank Transfers'!B:B,B409,'Bank Transfers'!C:C)</f>
        <v>#N/A</v>
      </c>
      <c r="H409" s="50" t="str">
        <f t="shared" si="2"/>
        <v>#N/A</v>
      </c>
      <c r="I409" s="51">
        <f t="array" ref="I409">IF(IFERROR(lookup(1,1/SEARCH(B409,'OTPI Scores'!C:C),'OTPI Scores'!E:E),0)="Vets",7,IFERROR(lookup(1,1/SEARCH(B409,'OTPI Scores'!C:C),'OTPI Scores'!E:E),0))</f>
        <v>6</v>
      </c>
      <c r="J409" s="37"/>
      <c r="K409" s="37"/>
      <c r="L409" s="37"/>
      <c r="M409" s="37"/>
      <c r="N409" s="37"/>
      <c r="O409" s="37"/>
      <c r="P409" s="37"/>
      <c r="Q409" s="37"/>
      <c r="R409" s="37"/>
      <c r="S409" s="37"/>
      <c r="T409" s="37"/>
      <c r="U409" s="37"/>
      <c r="V409" s="37"/>
      <c r="W409" s="37"/>
      <c r="X409" s="37"/>
    </row>
    <row r="410">
      <c r="A410" s="37"/>
      <c r="B410" s="49"/>
      <c r="H410" s="50"/>
      <c r="I410" s="51"/>
      <c r="J410" s="37"/>
      <c r="K410" s="37"/>
      <c r="L410" s="37"/>
      <c r="M410" s="37"/>
      <c r="N410" s="37"/>
      <c r="O410" s="37"/>
      <c r="P410" s="37"/>
      <c r="Q410" s="37"/>
      <c r="R410" s="37"/>
      <c r="S410" s="37"/>
      <c r="T410" s="37"/>
      <c r="U410" s="37"/>
      <c r="V410" s="37"/>
      <c r="W410" s="37"/>
      <c r="X410" s="37"/>
    </row>
    <row r="411">
      <c r="A411" s="37"/>
      <c r="B411" s="49"/>
      <c r="H411" s="50"/>
      <c r="I411" s="51"/>
      <c r="J411" s="37"/>
      <c r="K411" s="37"/>
      <c r="L411" s="37"/>
      <c r="M411" s="37"/>
      <c r="N411" s="37"/>
      <c r="O411" s="37"/>
      <c r="P411" s="37"/>
      <c r="Q411" s="37"/>
      <c r="R411" s="37"/>
      <c r="S411" s="37"/>
      <c r="T411" s="37"/>
      <c r="U411" s="37"/>
      <c r="V411" s="37"/>
      <c r="W411" s="37"/>
      <c r="X411" s="37"/>
    </row>
    <row r="412">
      <c r="A412" s="37"/>
      <c r="B412" s="49"/>
      <c r="H412" s="50"/>
      <c r="I412" s="51"/>
      <c r="J412" s="37"/>
      <c r="K412" s="37"/>
      <c r="L412" s="37"/>
      <c r="M412" s="37"/>
      <c r="N412" s="37"/>
      <c r="O412" s="37"/>
      <c r="P412" s="37"/>
      <c r="Q412" s="37"/>
      <c r="R412" s="37"/>
      <c r="S412" s="37"/>
      <c r="T412" s="37"/>
      <c r="U412" s="37"/>
      <c r="V412" s="37"/>
      <c r="W412" s="37"/>
      <c r="X412" s="37"/>
    </row>
    <row r="413">
      <c r="A413" s="37"/>
      <c r="B413" s="49"/>
      <c r="H413" s="50"/>
      <c r="I413" s="51"/>
      <c r="J413" s="37"/>
      <c r="K413" s="37"/>
      <c r="L413" s="37"/>
      <c r="M413" s="37"/>
      <c r="N413" s="37"/>
      <c r="O413" s="37"/>
      <c r="P413" s="37"/>
      <c r="Q413" s="37"/>
      <c r="R413" s="37"/>
      <c r="S413" s="37"/>
      <c r="T413" s="37"/>
      <c r="U413" s="37"/>
      <c r="V413" s="37"/>
      <c r="W413" s="37"/>
      <c r="X413" s="37"/>
    </row>
    <row r="414">
      <c r="A414" s="37"/>
      <c r="B414" s="49"/>
      <c r="H414" s="50"/>
      <c r="I414" s="51"/>
      <c r="J414" s="37"/>
      <c r="K414" s="37"/>
      <c r="L414" s="37"/>
      <c r="M414" s="37"/>
      <c r="N414" s="37"/>
      <c r="O414" s="37"/>
      <c r="P414" s="37"/>
      <c r="Q414" s="37"/>
      <c r="R414" s="37"/>
      <c r="S414" s="37"/>
      <c r="T414" s="37"/>
      <c r="U414" s="37"/>
      <c r="V414" s="37"/>
      <c r="W414" s="37"/>
      <c r="X414" s="37"/>
    </row>
    <row r="415">
      <c r="A415" s="37"/>
      <c r="B415" s="49"/>
      <c r="H415" s="50"/>
      <c r="I415" s="51"/>
      <c r="J415" s="37"/>
      <c r="K415" s="37"/>
      <c r="L415" s="37"/>
      <c r="M415" s="37"/>
      <c r="N415" s="37"/>
      <c r="O415" s="37"/>
      <c r="P415" s="37"/>
      <c r="Q415" s="37"/>
      <c r="R415" s="37"/>
      <c r="S415" s="37"/>
      <c r="T415" s="37"/>
      <c r="U415" s="37"/>
      <c r="V415" s="37"/>
      <c r="W415" s="37"/>
      <c r="X415" s="37"/>
    </row>
    <row r="416">
      <c r="A416" s="37"/>
      <c r="B416" s="49"/>
      <c r="H416" s="50"/>
      <c r="I416" s="51"/>
      <c r="J416" s="37"/>
      <c r="K416" s="37"/>
      <c r="L416" s="37"/>
      <c r="M416" s="37"/>
      <c r="N416" s="37"/>
      <c r="O416" s="37"/>
      <c r="P416" s="37"/>
      <c r="Q416" s="37"/>
      <c r="R416" s="37"/>
      <c r="S416" s="37"/>
      <c r="T416" s="37"/>
      <c r="U416" s="37"/>
      <c r="V416" s="37"/>
      <c r="W416" s="37"/>
      <c r="X416" s="37"/>
    </row>
    <row r="417">
      <c r="A417" s="37"/>
      <c r="B417" s="49"/>
      <c r="H417" s="50"/>
      <c r="I417" s="51"/>
      <c r="J417" s="37"/>
      <c r="K417" s="37"/>
      <c r="L417" s="37"/>
      <c r="M417" s="37"/>
      <c r="N417" s="37"/>
      <c r="O417" s="37"/>
      <c r="P417" s="37"/>
      <c r="Q417" s="37"/>
      <c r="R417" s="37"/>
      <c r="S417" s="37"/>
      <c r="T417" s="37"/>
      <c r="U417" s="37"/>
      <c r="V417" s="37"/>
      <c r="W417" s="37"/>
      <c r="X417" s="37"/>
    </row>
    <row r="418">
      <c r="A418" s="37"/>
      <c r="B418" s="49"/>
      <c r="H418" s="50"/>
      <c r="I418" s="51"/>
      <c r="J418" s="37"/>
      <c r="K418" s="37"/>
      <c r="L418" s="37"/>
      <c r="M418" s="37"/>
      <c r="N418" s="37"/>
      <c r="O418" s="37"/>
      <c r="P418" s="37"/>
      <c r="Q418" s="37"/>
      <c r="R418" s="37"/>
      <c r="S418" s="37"/>
      <c r="T418" s="37"/>
      <c r="U418" s="37"/>
      <c r="V418" s="37"/>
      <c r="W418" s="37"/>
      <c r="X418" s="37"/>
    </row>
    <row r="419">
      <c r="A419" s="37"/>
      <c r="B419" s="49"/>
      <c r="H419" s="50"/>
      <c r="I419" s="51"/>
      <c r="J419" s="37"/>
      <c r="K419" s="37"/>
      <c r="L419" s="37"/>
      <c r="M419" s="37"/>
      <c r="N419" s="37"/>
      <c r="O419" s="37"/>
      <c r="P419" s="37"/>
      <c r="Q419" s="37"/>
      <c r="R419" s="37"/>
      <c r="S419" s="37"/>
      <c r="T419" s="37"/>
      <c r="U419" s="37"/>
      <c r="V419" s="37"/>
      <c r="W419" s="37"/>
      <c r="X419" s="37"/>
    </row>
    <row r="420">
      <c r="A420" s="37"/>
      <c r="B420" s="49"/>
      <c r="H420" s="50"/>
      <c r="I420" s="51"/>
      <c r="J420" s="37"/>
      <c r="K420" s="37"/>
      <c r="L420" s="37"/>
      <c r="M420" s="37"/>
      <c r="N420" s="37"/>
      <c r="O420" s="37"/>
      <c r="P420" s="37"/>
      <c r="Q420" s="37"/>
      <c r="R420" s="37"/>
      <c r="S420" s="37"/>
      <c r="T420" s="37"/>
      <c r="U420" s="37"/>
      <c r="V420" s="37"/>
      <c r="W420" s="37"/>
      <c r="X420" s="37"/>
    </row>
    <row r="421">
      <c r="A421" s="37"/>
      <c r="B421" s="49"/>
      <c r="H421" s="50"/>
      <c r="I421" s="51"/>
      <c r="J421" s="37"/>
      <c r="K421" s="37"/>
      <c r="L421" s="37"/>
      <c r="M421" s="37"/>
      <c r="N421" s="37"/>
      <c r="O421" s="37"/>
      <c r="P421" s="37"/>
      <c r="Q421" s="37"/>
      <c r="R421" s="37"/>
      <c r="S421" s="37"/>
      <c r="T421" s="37"/>
      <c r="U421" s="37"/>
      <c r="V421" s="37"/>
      <c r="W421" s="37"/>
      <c r="X421" s="37"/>
    </row>
    <row r="422">
      <c r="A422" s="37"/>
      <c r="B422" s="49"/>
      <c r="H422" s="50"/>
      <c r="I422" s="51"/>
      <c r="J422" s="37"/>
      <c r="K422" s="37"/>
      <c r="L422" s="37"/>
      <c r="M422" s="37"/>
      <c r="N422" s="37"/>
      <c r="O422" s="37"/>
      <c r="P422" s="37"/>
      <c r="Q422" s="37"/>
      <c r="R422" s="37"/>
      <c r="S422" s="37"/>
      <c r="T422" s="37"/>
      <c r="U422" s="37"/>
      <c r="V422" s="37"/>
      <c r="W422" s="37"/>
      <c r="X422" s="37"/>
    </row>
    <row r="423">
      <c r="A423" s="37"/>
      <c r="B423" s="49"/>
      <c r="H423" s="50"/>
      <c r="I423" s="51"/>
      <c r="J423" s="37"/>
      <c r="K423" s="37"/>
      <c r="L423" s="37"/>
      <c r="M423" s="37"/>
      <c r="N423" s="37"/>
      <c r="O423" s="37"/>
      <c r="P423" s="37"/>
      <c r="Q423" s="37"/>
      <c r="R423" s="37"/>
      <c r="S423" s="37"/>
      <c r="T423" s="37"/>
      <c r="U423" s="37"/>
      <c r="V423" s="37"/>
      <c r="W423" s="37"/>
      <c r="X423" s="37"/>
    </row>
    <row r="424">
      <c r="A424" s="37"/>
      <c r="B424" s="49"/>
      <c r="H424" s="50"/>
      <c r="I424" s="51"/>
      <c r="J424" s="37"/>
      <c r="K424" s="37"/>
      <c r="L424" s="37"/>
      <c r="M424" s="37"/>
      <c r="N424" s="37"/>
      <c r="O424" s="37"/>
      <c r="P424" s="37"/>
      <c r="Q424" s="37"/>
      <c r="R424" s="37"/>
      <c r="S424" s="37"/>
      <c r="T424" s="37"/>
      <c r="U424" s="37"/>
      <c r="V424" s="37"/>
      <c r="W424" s="37"/>
      <c r="X424" s="37"/>
    </row>
    <row r="425">
      <c r="A425" s="37"/>
      <c r="B425" s="49"/>
      <c r="H425" s="50"/>
      <c r="I425" s="51"/>
      <c r="J425" s="37"/>
      <c r="K425" s="37"/>
      <c r="L425" s="37"/>
      <c r="M425" s="37"/>
      <c r="N425" s="37"/>
      <c r="O425" s="37"/>
      <c r="P425" s="37"/>
      <c r="Q425" s="37"/>
      <c r="R425" s="37"/>
      <c r="S425" s="37"/>
      <c r="T425" s="37"/>
      <c r="U425" s="37"/>
      <c r="V425" s="37"/>
      <c r="W425" s="37"/>
      <c r="X425" s="37"/>
    </row>
    <row r="426">
      <c r="A426" s="37"/>
      <c r="B426" s="49"/>
      <c r="H426" s="50"/>
      <c r="I426" s="51"/>
      <c r="J426" s="37"/>
      <c r="K426" s="37"/>
      <c r="L426" s="37"/>
      <c r="M426" s="37"/>
      <c r="N426" s="37"/>
      <c r="O426" s="37"/>
      <c r="P426" s="37"/>
      <c r="Q426" s="37"/>
      <c r="R426" s="37"/>
      <c r="S426" s="37"/>
      <c r="T426" s="37"/>
      <c r="U426" s="37"/>
      <c r="V426" s="37"/>
      <c r="W426" s="37"/>
      <c r="X426" s="37"/>
    </row>
    <row r="427">
      <c r="A427" s="37"/>
      <c r="B427" s="49"/>
      <c r="H427" s="50"/>
      <c r="I427" s="51"/>
      <c r="J427" s="37"/>
      <c r="K427" s="37"/>
      <c r="L427" s="37"/>
      <c r="M427" s="37"/>
      <c r="N427" s="37"/>
      <c r="O427" s="37"/>
      <c r="P427" s="37"/>
      <c r="Q427" s="37"/>
      <c r="R427" s="37"/>
      <c r="S427" s="37"/>
      <c r="T427" s="37"/>
      <c r="U427" s="37"/>
      <c r="V427" s="37"/>
      <c r="W427" s="37"/>
      <c r="X427" s="37"/>
    </row>
    <row r="428">
      <c r="A428" s="37"/>
      <c r="B428" s="49"/>
      <c r="H428" s="50"/>
      <c r="I428" s="51"/>
      <c r="J428" s="37"/>
      <c r="K428" s="37"/>
      <c r="L428" s="37"/>
      <c r="M428" s="37"/>
      <c r="N428" s="37"/>
      <c r="O428" s="37"/>
      <c r="P428" s="37"/>
      <c r="Q428" s="37"/>
      <c r="R428" s="37"/>
      <c r="S428" s="37"/>
      <c r="T428" s="37"/>
      <c r="U428" s="37"/>
      <c r="V428" s="37"/>
      <c r="W428" s="37"/>
      <c r="X428" s="37"/>
    </row>
    <row r="429">
      <c r="A429" s="37"/>
      <c r="B429" s="49"/>
      <c r="H429" s="50"/>
      <c r="I429" s="51"/>
      <c r="J429" s="37"/>
      <c r="K429" s="37"/>
      <c r="L429" s="37"/>
      <c r="M429" s="37"/>
      <c r="N429" s="37"/>
      <c r="O429" s="37"/>
      <c r="P429" s="37"/>
      <c r="Q429" s="37"/>
      <c r="R429" s="37"/>
      <c r="S429" s="37"/>
      <c r="T429" s="37"/>
      <c r="U429" s="37"/>
      <c r="V429" s="37"/>
      <c r="W429" s="37"/>
      <c r="X429" s="37"/>
    </row>
    <row r="430">
      <c r="A430" s="37"/>
      <c r="B430" s="49"/>
      <c r="H430" s="50"/>
      <c r="I430" s="51"/>
      <c r="J430" s="37"/>
      <c r="K430" s="37"/>
      <c r="L430" s="37"/>
      <c r="M430" s="37"/>
      <c r="N430" s="37"/>
      <c r="O430" s="37"/>
      <c r="P430" s="37"/>
      <c r="Q430" s="37"/>
      <c r="R430" s="37"/>
      <c r="S430" s="37"/>
      <c r="T430" s="37"/>
      <c r="U430" s="37"/>
      <c r="V430" s="37"/>
      <c r="W430" s="37"/>
      <c r="X430" s="37"/>
    </row>
    <row r="431">
      <c r="A431" s="37"/>
      <c r="B431" s="49"/>
      <c r="H431" s="50"/>
      <c r="I431" s="51"/>
      <c r="J431" s="37"/>
      <c r="K431" s="37"/>
      <c r="L431" s="37"/>
      <c r="M431" s="37"/>
      <c r="N431" s="37"/>
      <c r="O431" s="37"/>
      <c r="P431" s="37"/>
      <c r="Q431" s="37"/>
      <c r="R431" s="37"/>
      <c r="S431" s="37"/>
      <c r="T431" s="37"/>
      <c r="U431" s="37"/>
      <c r="V431" s="37"/>
      <c r="W431" s="37"/>
      <c r="X431" s="37"/>
    </row>
    <row r="432">
      <c r="A432" s="37"/>
      <c r="B432" s="49"/>
      <c r="H432" s="50"/>
      <c r="I432" s="51"/>
      <c r="J432" s="37"/>
      <c r="K432" s="37"/>
      <c r="L432" s="37"/>
      <c r="M432" s="37"/>
      <c r="N432" s="37"/>
      <c r="O432" s="37"/>
      <c r="P432" s="37"/>
      <c r="Q432" s="37"/>
      <c r="R432" s="37"/>
      <c r="S432" s="37"/>
      <c r="T432" s="37"/>
      <c r="U432" s="37"/>
      <c r="V432" s="37"/>
      <c r="W432" s="37"/>
      <c r="X432" s="37"/>
    </row>
    <row r="433">
      <c r="A433" s="37"/>
      <c r="B433" s="49"/>
      <c r="H433" s="50"/>
      <c r="I433" s="51"/>
      <c r="J433" s="37"/>
      <c r="K433" s="37"/>
      <c r="L433" s="37"/>
      <c r="M433" s="37"/>
      <c r="N433" s="37"/>
      <c r="O433" s="37"/>
      <c r="P433" s="37"/>
      <c r="Q433" s="37"/>
      <c r="R433" s="37"/>
      <c r="S433" s="37"/>
      <c r="T433" s="37"/>
      <c r="U433" s="37"/>
      <c r="V433" s="37"/>
      <c r="W433" s="37"/>
      <c r="X433" s="37"/>
    </row>
    <row r="434">
      <c r="A434" s="37"/>
      <c r="B434" s="49"/>
      <c r="H434" s="50"/>
      <c r="I434" s="51"/>
      <c r="J434" s="37"/>
      <c r="K434" s="37"/>
      <c r="L434" s="37"/>
      <c r="M434" s="37"/>
      <c r="N434" s="37"/>
      <c r="O434" s="37"/>
      <c r="P434" s="37"/>
      <c r="Q434" s="37"/>
      <c r="R434" s="37"/>
      <c r="S434" s="37"/>
      <c r="T434" s="37"/>
      <c r="U434" s="37"/>
      <c r="V434" s="37"/>
      <c r="W434" s="37"/>
      <c r="X434" s="37"/>
    </row>
    <row r="435">
      <c r="A435" s="37"/>
      <c r="B435" s="49"/>
      <c r="H435" s="50"/>
      <c r="I435" s="51"/>
      <c r="J435" s="37"/>
      <c r="K435" s="37"/>
      <c r="L435" s="37"/>
      <c r="M435" s="37"/>
      <c r="N435" s="37"/>
      <c r="O435" s="37"/>
      <c r="P435" s="37"/>
      <c r="Q435" s="37"/>
      <c r="R435" s="37"/>
      <c r="S435" s="37"/>
      <c r="T435" s="37"/>
      <c r="U435" s="37"/>
      <c r="V435" s="37"/>
      <c r="W435" s="37"/>
      <c r="X435" s="37"/>
    </row>
    <row r="436">
      <c r="A436" s="37"/>
      <c r="B436" s="49"/>
      <c r="H436" s="50"/>
      <c r="I436" s="51"/>
      <c r="J436" s="37"/>
      <c r="K436" s="37"/>
      <c r="L436" s="37"/>
      <c r="M436" s="37"/>
      <c r="N436" s="37"/>
      <c r="O436" s="37"/>
      <c r="P436" s="37"/>
      <c r="Q436" s="37"/>
      <c r="R436" s="37"/>
      <c r="S436" s="37"/>
      <c r="T436" s="37"/>
      <c r="U436" s="37"/>
      <c r="V436" s="37"/>
      <c r="W436" s="37"/>
      <c r="X436" s="37"/>
    </row>
    <row r="437">
      <c r="A437" s="37"/>
      <c r="B437" s="49"/>
      <c r="H437" s="50"/>
      <c r="I437" s="51"/>
      <c r="J437" s="37"/>
      <c r="K437" s="37"/>
      <c r="L437" s="37"/>
      <c r="M437" s="37"/>
      <c r="N437" s="37"/>
      <c r="O437" s="37"/>
      <c r="P437" s="37"/>
      <c r="Q437" s="37"/>
      <c r="R437" s="37"/>
      <c r="S437" s="37"/>
      <c r="T437" s="37"/>
      <c r="U437" s="37"/>
      <c r="V437" s="37"/>
      <c r="W437" s="37"/>
      <c r="X437" s="37"/>
    </row>
    <row r="438">
      <c r="A438" s="37"/>
      <c r="B438" s="49"/>
      <c r="H438" s="50"/>
      <c r="I438" s="51"/>
      <c r="J438" s="37"/>
      <c r="K438" s="37"/>
      <c r="L438" s="37"/>
      <c r="M438" s="37"/>
      <c r="N438" s="37"/>
      <c r="O438" s="37"/>
      <c r="P438" s="37"/>
      <c r="Q438" s="37"/>
      <c r="R438" s="37"/>
      <c r="S438" s="37"/>
      <c r="T438" s="37"/>
      <c r="U438" s="37"/>
      <c r="V438" s="37"/>
      <c r="W438" s="37"/>
      <c r="X438" s="37"/>
    </row>
    <row r="439">
      <c r="A439" s="37"/>
      <c r="B439" s="49"/>
      <c r="H439" s="50"/>
      <c r="I439" s="51"/>
      <c r="J439" s="37"/>
      <c r="K439" s="37"/>
      <c r="L439" s="37"/>
      <c r="M439" s="37"/>
      <c r="N439" s="37"/>
      <c r="O439" s="37"/>
      <c r="P439" s="37"/>
      <c r="Q439" s="37"/>
      <c r="R439" s="37"/>
      <c r="S439" s="37"/>
      <c r="T439" s="37"/>
      <c r="U439" s="37"/>
      <c r="V439" s="37"/>
      <c r="W439" s="37"/>
      <c r="X439" s="37"/>
    </row>
    <row r="440">
      <c r="A440" s="37"/>
      <c r="B440" s="49"/>
      <c r="H440" s="50"/>
      <c r="I440" s="51"/>
      <c r="J440" s="37"/>
      <c r="K440" s="37"/>
      <c r="L440" s="37"/>
      <c r="M440" s="37"/>
      <c r="N440" s="37"/>
      <c r="O440" s="37"/>
      <c r="P440" s="37"/>
      <c r="Q440" s="37"/>
      <c r="R440" s="37"/>
      <c r="S440" s="37"/>
      <c r="T440" s="37"/>
      <c r="U440" s="37"/>
      <c r="V440" s="37"/>
      <c r="W440" s="37"/>
      <c r="X440" s="37"/>
    </row>
    <row r="441">
      <c r="A441" s="37"/>
      <c r="B441" s="49"/>
      <c r="H441" s="50"/>
      <c r="I441" s="51"/>
      <c r="J441" s="37"/>
      <c r="K441" s="37"/>
      <c r="L441" s="37"/>
      <c r="M441" s="37"/>
      <c r="N441" s="37"/>
      <c r="O441" s="37"/>
      <c r="P441" s="37"/>
      <c r="Q441" s="37"/>
      <c r="R441" s="37"/>
      <c r="S441" s="37"/>
      <c r="T441" s="37"/>
      <c r="U441" s="37"/>
      <c r="V441" s="37"/>
      <c r="W441" s="37"/>
      <c r="X441" s="37"/>
    </row>
    <row r="442">
      <c r="A442" s="37"/>
      <c r="B442" s="49"/>
      <c r="H442" s="50"/>
      <c r="I442" s="51"/>
      <c r="J442" s="37"/>
      <c r="K442" s="37"/>
      <c r="L442" s="37"/>
      <c r="M442" s="37"/>
      <c r="N442" s="37"/>
      <c r="O442" s="37"/>
      <c r="P442" s="37"/>
      <c r="Q442" s="37"/>
      <c r="R442" s="37"/>
      <c r="S442" s="37"/>
      <c r="T442" s="37"/>
      <c r="U442" s="37"/>
      <c r="V442" s="37"/>
      <c r="W442" s="37"/>
      <c r="X442" s="37"/>
    </row>
    <row r="443">
      <c r="A443" s="37"/>
      <c r="B443" s="49"/>
      <c r="H443" s="50"/>
      <c r="I443" s="51"/>
      <c r="J443" s="37"/>
      <c r="K443" s="37"/>
      <c r="L443" s="37"/>
      <c r="M443" s="37"/>
      <c r="N443" s="37"/>
      <c r="O443" s="37"/>
      <c r="P443" s="37"/>
      <c r="Q443" s="37"/>
      <c r="R443" s="37"/>
      <c r="S443" s="37"/>
      <c r="T443" s="37"/>
      <c r="U443" s="37"/>
      <c r="V443" s="37"/>
      <c r="W443" s="37"/>
      <c r="X443" s="37"/>
    </row>
    <row r="444">
      <c r="A444" s="37"/>
      <c r="B444" s="49"/>
      <c r="H444" s="50"/>
      <c r="I444" s="51"/>
      <c r="J444" s="37"/>
      <c r="K444" s="37"/>
      <c r="L444" s="37"/>
      <c r="M444" s="37"/>
      <c r="N444" s="37"/>
      <c r="O444" s="37"/>
      <c r="P444" s="37"/>
      <c r="Q444" s="37"/>
      <c r="R444" s="37"/>
      <c r="S444" s="37"/>
      <c r="T444" s="37"/>
      <c r="U444" s="37"/>
      <c r="V444" s="37"/>
      <c r="W444" s="37"/>
      <c r="X444" s="37"/>
    </row>
    <row r="445">
      <c r="A445" s="37"/>
      <c r="B445" s="49"/>
      <c r="H445" s="50"/>
      <c r="I445" s="51"/>
      <c r="J445" s="37"/>
      <c r="K445" s="37"/>
      <c r="L445" s="37"/>
      <c r="M445" s="37"/>
      <c r="N445" s="37"/>
      <c r="O445" s="37"/>
      <c r="P445" s="37"/>
      <c r="Q445" s="37"/>
      <c r="R445" s="37"/>
      <c r="S445" s="37"/>
      <c r="T445" s="37"/>
      <c r="U445" s="37"/>
      <c r="V445" s="37"/>
      <c r="W445" s="37"/>
      <c r="X445" s="37"/>
    </row>
    <row r="446">
      <c r="A446" s="37"/>
      <c r="B446" s="49"/>
      <c r="H446" s="50"/>
      <c r="I446" s="51"/>
      <c r="J446" s="37"/>
      <c r="K446" s="37"/>
      <c r="L446" s="37"/>
      <c r="M446" s="37"/>
      <c r="N446" s="37"/>
      <c r="O446" s="37"/>
      <c r="P446" s="37"/>
      <c r="Q446" s="37"/>
      <c r="R446" s="37"/>
      <c r="S446" s="37"/>
      <c r="T446" s="37"/>
      <c r="U446" s="37"/>
      <c r="V446" s="37"/>
      <c r="W446" s="37"/>
      <c r="X446" s="37"/>
    </row>
    <row r="447">
      <c r="A447" s="37"/>
      <c r="B447" s="49"/>
      <c r="H447" s="50"/>
      <c r="I447" s="51"/>
      <c r="J447" s="37"/>
      <c r="K447" s="37"/>
      <c r="L447" s="37"/>
      <c r="M447" s="37"/>
      <c r="N447" s="37"/>
      <c r="O447" s="37"/>
      <c r="P447" s="37"/>
      <c r="Q447" s="37"/>
      <c r="R447" s="37"/>
      <c r="S447" s="37"/>
      <c r="T447" s="37"/>
      <c r="U447" s="37"/>
      <c r="V447" s="37"/>
      <c r="W447" s="37"/>
      <c r="X447" s="37"/>
    </row>
    <row r="448">
      <c r="A448" s="37"/>
      <c r="B448" s="49"/>
      <c r="H448" s="50"/>
      <c r="I448" s="51"/>
      <c r="J448" s="37"/>
      <c r="K448" s="37"/>
      <c r="L448" s="37"/>
      <c r="M448" s="37"/>
      <c r="N448" s="37"/>
      <c r="O448" s="37"/>
      <c r="P448" s="37"/>
      <c r="Q448" s="37"/>
      <c r="R448" s="37"/>
      <c r="S448" s="37"/>
      <c r="T448" s="37"/>
      <c r="U448" s="37"/>
      <c r="V448" s="37"/>
      <c r="W448" s="37"/>
      <c r="X448" s="37"/>
    </row>
    <row r="449">
      <c r="A449" s="37"/>
      <c r="B449" s="49"/>
      <c r="H449" s="50"/>
      <c r="I449" s="51"/>
      <c r="J449" s="37"/>
      <c r="K449" s="37"/>
      <c r="L449" s="37"/>
      <c r="M449" s="37"/>
      <c r="N449" s="37"/>
      <c r="O449" s="37"/>
      <c r="P449" s="37"/>
      <c r="Q449" s="37"/>
      <c r="R449" s="37"/>
      <c r="S449" s="37"/>
      <c r="T449" s="37"/>
      <c r="U449" s="37"/>
      <c r="V449" s="37"/>
      <c r="W449" s="37"/>
      <c r="X449" s="37"/>
    </row>
    <row r="450">
      <c r="A450" s="37"/>
      <c r="B450" s="49"/>
      <c r="H450" s="50"/>
      <c r="I450" s="51"/>
      <c r="J450" s="37"/>
      <c r="K450" s="37"/>
      <c r="L450" s="37"/>
      <c r="M450" s="37"/>
      <c r="N450" s="37"/>
      <c r="O450" s="37"/>
      <c r="P450" s="37"/>
      <c r="Q450" s="37"/>
      <c r="R450" s="37"/>
      <c r="S450" s="37"/>
      <c r="T450" s="37"/>
      <c r="U450" s="37"/>
      <c r="V450" s="37"/>
      <c r="W450" s="37"/>
      <c r="X450" s="37"/>
    </row>
    <row r="451">
      <c r="A451" s="37"/>
      <c r="B451" s="49"/>
      <c r="H451" s="50"/>
      <c r="I451" s="51"/>
      <c r="J451" s="37"/>
      <c r="K451" s="37"/>
      <c r="L451" s="37"/>
      <c r="M451" s="37"/>
      <c r="N451" s="37"/>
      <c r="O451" s="37"/>
      <c r="P451" s="37"/>
      <c r="Q451" s="37"/>
      <c r="R451" s="37"/>
      <c r="S451" s="37"/>
      <c r="T451" s="37"/>
      <c r="U451" s="37"/>
      <c r="V451" s="37"/>
      <c r="W451" s="37"/>
      <c r="X451" s="37"/>
    </row>
    <row r="452">
      <c r="A452" s="37"/>
      <c r="B452" s="49"/>
      <c r="H452" s="50"/>
      <c r="I452" s="51"/>
      <c r="J452" s="37"/>
      <c r="K452" s="37"/>
      <c r="L452" s="37"/>
      <c r="M452" s="37"/>
      <c r="N452" s="37"/>
      <c r="O452" s="37"/>
      <c r="P452" s="37"/>
      <c r="Q452" s="37"/>
      <c r="R452" s="37"/>
      <c r="S452" s="37"/>
      <c r="T452" s="37"/>
      <c r="U452" s="37"/>
      <c r="V452" s="37"/>
      <c r="W452" s="37"/>
      <c r="X452" s="37"/>
    </row>
    <row r="453">
      <c r="A453" s="37"/>
      <c r="B453" s="49"/>
      <c r="H453" s="50"/>
      <c r="I453" s="51"/>
      <c r="J453" s="37"/>
      <c r="K453" s="37"/>
      <c r="L453" s="37"/>
      <c r="M453" s="37"/>
      <c r="N453" s="37"/>
      <c r="O453" s="37"/>
      <c r="P453" s="37"/>
      <c r="Q453" s="37"/>
      <c r="R453" s="37"/>
      <c r="S453" s="37"/>
      <c r="T453" s="37"/>
      <c r="U453" s="37"/>
      <c r="V453" s="37"/>
      <c r="W453" s="37"/>
      <c r="X453" s="37"/>
    </row>
    <row r="454">
      <c r="A454" s="37"/>
      <c r="B454" s="49"/>
      <c r="H454" s="50"/>
      <c r="I454" s="51"/>
      <c r="J454" s="37"/>
      <c r="K454" s="37"/>
      <c r="L454" s="37"/>
      <c r="M454" s="37"/>
      <c r="N454" s="37"/>
      <c r="O454" s="37"/>
      <c r="P454" s="37"/>
      <c r="Q454" s="37"/>
      <c r="R454" s="37"/>
      <c r="S454" s="37"/>
      <c r="T454" s="37"/>
      <c r="U454" s="37"/>
      <c r="V454" s="37"/>
      <c r="W454" s="37"/>
      <c r="X454" s="37"/>
    </row>
    <row r="455">
      <c r="A455" s="37"/>
      <c r="B455" s="49"/>
      <c r="H455" s="50"/>
      <c r="I455" s="51"/>
      <c r="J455" s="37"/>
      <c r="K455" s="37"/>
      <c r="L455" s="37"/>
      <c r="M455" s="37"/>
      <c r="N455" s="37"/>
      <c r="O455" s="37"/>
      <c r="P455" s="37"/>
      <c r="Q455" s="37"/>
      <c r="R455" s="37"/>
      <c r="S455" s="37"/>
      <c r="T455" s="37"/>
      <c r="U455" s="37"/>
      <c r="V455" s="37"/>
      <c r="W455" s="37"/>
      <c r="X455" s="37"/>
    </row>
    <row r="456">
      <c r="A456" s="37"/>
      <c r="B456" s="49"/>
      <c r="H456" s="50"/>
      <c r="I456" s="51"/>
      <c r="J456" s="37"/>
      <c r="K456" s="37"/>
      <c r="L456" s="37"/>
      <c r="M456" s="37"/>
      <c r="N456" s="37"/>
      <c r="O456" s="37"/>
      <c r="P456" s="37"/>
      <c r="Q456" s="37"/>
      <c r="R456" s="37"/>
      <c r="S456" s="37"/>
      <c r="T456" s="37"/>
      <c r="U456" s="37"/>
      <c r="V456" s="37"/>
      <c r="W456" s="37"/>
      <c r="X456" s="37"/>
    </row>
    <row r="457">
      <c r="A457" s="37"/>
      <c r="B457" s="49"/>
      <c r="H457" s="50"/>
      <c r="I457" s="51"/>
      <c r="J457" s="37"/>
      <c r="K457" s="37"/>
      <c r="L457" s="37"/>
      <c r="M457" s="37"/>
      <c r="N457" s="37"/>
      <c r="O457" s="37"/>
      <c r="P457" s="37"/>
      <c r="Q457" s="37"/>
      <c r="R457" s="37"/>
      <c r="S457" s="37"/>
      <c r="T457" s="37"/>
      <c r="U457" s="37"/>
      <c r="V457" s="37"/>
      <c r="W457" s="37"/>
      <c r="X457" s="37"/>
    </row>
    <row r="458">
      <c r="A458" s="37"/>
      <c r="B458" s="49"/>
      <c r="H458" s="50"/>
      <c r="I458" s="51"/>
      <c r="J458" s="37"/>
      <c r="K458" s="37"/>
      <c r="L458" s="37"/>
      <c r="M458" s="37"/>
      <c r="N458" s="37"/>
      <c r="O458" s="37"/>
      <c r="P458" s="37"/>
      <c r="Q458" s="37"/>
      <c r="R458" s="37"/>
      <c r="S458" s="37"/>
      <c r="T458" s="37"/>
      <c r="U458" s="37"/>
      <c r="V458" s="37"/>
      <c r="W458" s="37"/>
      <c r="X458" s="37"/>
    </row>
    <row r="459">
      <c r="A459" s="37"/>
      <c r="B459" s="49"/>
      <c r="H459" s="50"/>
      <c r="I459" s="51"/>
      <c r="J459" s="37"/>
      <c r="K459" s="37"/>
      <c r="L459" s="37"/>
      <c r="M459" s="37"/>
      <c r="N459" s="37"/>
      <c r="O459" s="37"/>
      <c r="P459" s="37"/>
      <c r="Q459" s="37"/>
      <c r="R459" s="37"/>
      <c r="S459" s="37"/>
      <c r="T459" s="37"/>
      <c r="U459" s="37"/>
      <c r="V459" s="37"/>
      <c r="W459" s="37"/>
      <c r="X459" s="37"/>
    </row>
    <row r="460">
      <c r="A460" s="37"/>
      <c r="B460" s="49"/>
      <c r="H460" s="50"/>
      <c r="I460" s="51"/>
      <c r="J460" s="37"/>
      <c r="K460" s="37"/>
      <c r="L460" s="37"/>
      <c r="M460" s="37"/>
      <c r="N460" s="37"/>
      <c r="O460" s="37"/>
      <c r="P460" s="37"/>
      <c r="Q460" s="37"/>
      <c r="R460" s="37"/>
      <c r="S460" s="37"/>
      <c r="T460" s="37"/>
      <c r="U460" s="37"/>
      <c r="V460" s="37"/>
      <c r="W460" s="37"/>
      <c r="X460" s="37"/>
    </row>
    <row r="461">
      <c r="A461" s="37"/>
      <c r="B461" s="49"/>
      <c r="H461" s="50"/>
      <c r="I461" s="51"/>
      <c r="J461" s="37"/>
      <c r="K461" s="37"/>
      <c r="L461" s="37"/>
      <c r="M461" s="37"/>
      <c r="N461" s="37"/>
      <c r="O461" s="37"/>
      <c r="P461" s="37"/>
      <c r="Q461" s="37"/>
      <c r="R461" s="37"/>
      <c r="S461" s="37"/>
      <c r="T461" s="37"/>
      <c r="U461" s="37"/>
      <c r="V461" s="37"/>
      <c r="W461" s="37"/>
      <c r="X461" s="37"/>
    </row>
    <row r="462">
      <c r="A462" s="37"/>
      <c r="B462" s="49"/>
      <c r="H462" s="50"/>
      <c r="I462" s="51"/>
      <c r="J462" s="37"/>
      <c r="K462" s="37"/>
      <c r="L462" s="37"/>
      <c r="M462" s="37"/>
      <c r="N462" s="37"/>
      <c r="O462" s="37"/>
      <c r="P462" s="37"/>
      <c r="Q462" s="37"/>
      <c r="R462" s="37"/>
      <c r="S462" s="37"/>
      <c r="T462" s="37"/>
      <c r="U462" s="37"/>
      <c r="V462" s="37"/>
      <c r="W462" s="37"/>
      <c r="X462" s="37"/>
    </row>
    <row r="463">
      <c r="A463" s="37"/>
      <c r="B463" s="49"/>
      <c r="H463" s="50"/>
      <c r="I463" s="51"/>
      <c r="J463" s="37"/>
      <c r="K463" s="37"/>
      <c r="L463" s="37"/>
      <c r="M463" s="37"/>
      <c r="N463" s="37"/>
      <c r="O463" s="37"/>
      <c r="P463" s="37"/>
      <c r="Q463" s="37"/>
      <c r="R463" s="37"/>
      <c r="S463" s="37"/>
      <c r="T463" s="37"/>
      <c r="U463" s="37"/>
      <c r="V463" s="37"/>
      <c r="W463" s="37"/>
      <c r="X463" s="37"/>
    </row>
    <row r="464">
      <c r="A464" s="37"/>
      <c r="B464" s="49"/>
      <c r="H464" s="50"/>
      <c r="I464" s="51"/>
      <c r="J464" s="37"/>
      <c r="K464" s="37"/>
      <c r="L464" s="37"/>
      <c r="M464" s="37"/>
      <c r="N464" s="37"/>
      <c r="O464" s="37"/>
      <c r="P464" s="37"/>
      <c r="Q464" s="37"/>
      <c r="R464" s="37"/>
      <c r="S464" s="37"/>
      <c r="T464" s="37"/>
      <c r="U464" s="37"/>
      <c r="V464" s="37"/>
      <c r="W464" s="37"/>
      <c r="X464" s="37"/>
    </row>
    <row r="465">
      <c r="A465" s="37"/>
      <c r="B465" s="49"/>
      <c r="H465" s="50"/>
      <c r="I465" s="51"/>
      <c r="J465" s="37"/>
      <c r="K465" s="37"/>
      <c r="L465" s="37"/>
      <c r="M465" s="37"/>
      <c r="N465" s="37"/>
      <c r="O465" s="37"/>
      <c r="P465" s="37"/>
      <c r="Q465" s="37"/>
      <c r="R465" s="37"/>
      <c r="S465" s="37"/>
      <c r="T465" s="37"/>
      <c r="U465" s="37"/>
      <c r="V465" s="37"/>
      <c r="W465" s="37"/>
      <c r="X465" s="37"/>
    </row>
    <row r="466">
      <c r="A466" s="37"/>
      <c r="B466" s="49"/>
      <c r="H466" s="50"/>
      <c r="I466" s="51"/>
      <c r="J466" s="37"/>
      <c r="K466" s="37"/>
      <c r="L466" s="37"/>
      <c r="M466" s="37"/>
      <c r="N466" s="37"/>
      <c r="O466" s="37"/>
      <c r="P466" s="37"/>
      <c r="Q466" s="37"/>
      <c r="R466" s="37"/>
      <c r="S466" s="37"/>
      <c r="T466" s="37"/>
      <c r="U466" s="37"/>
      <c r="V466" s="37"/>
      <c r="W466" s="37"/>
      <c r="X466" s="37"/>
    </row>
    <row r="467">
      <c r="A467" s="37"/>
      <c r="B467" s="49"/>
      <c r="H467" s="50"/>
      <c r="I467" s="51"/>
      <c r="J467" s="37"/>
      <c r="K467" s="37"/>
      <c r="L467" s="37"/>
      <c r="M467" s="37"/>
      <c r="N467" s="37"/>
      <c r="O467" s="37"/>
      <c r="P467" s="37"/>
      <c r="Q467" s="37"/>
      <c r="R467" s="37"/>
      <c r="S467" s="37"/>
      <c r="T467" s="37"/>
      <c r="U467" s="37"/>
      <c r="V467" s="37"/>
      <c r="W467" s="37"/>
      <c r="X467" s="37"/>
    </row>
    <row r="468">
      <c r="A468" s="37"/>
      <c r="B468" s="49"/>
      <c r="H468" s="50"/>
      <c r="I468" s="51"/>
      <c r="J468" s="37"/>
      <c r="K468" s="37"/>
      <c r="L468" s="37"/>
      <c r="M468" s="37"/>
      <c r="N468" s="37"/>
      <c r="O468" s="37"/>
      <c r="P468" s="37"/>
      <c r="Q468" s="37"/>
      <c r="R468" s="37"/>
      <c r="S468" s="37"/>
      <c r="T468" s="37"/>
      <c r="U468" s="37"/>
      <c r="V468" s="37"/>
      <c r="W468" s="37"/>
      <c r="X468" s="37"/>
    </row>
    <row r="469">
      <c r="A469" s="37"/>
      <c r="B469" s="49"/>
      <c r="H469" s="50"/>
      <c r="I469" s="51"/>
      <c r="J469" s="37"/>
      <c r="K469" s="37"/>
      <c r="L469" s="37"/>
      <c r="M469" s="37"/>
      <c r="N469" s="37"/>
      <c r="O469" s="37"/>
      <c r="P469" s="37"/>
      <c r="Q469" s="37"/>
      <c r="R469" s="37"/>
      <c r="S469" s="37"/>
      <c r="T469" s="37"/>
      <c r="U469" s="37"/>
      <c r="V469" s="37"/>
      <c r="W469" s="37"/>
      <c r="X469" s="37"/>
    </row>
    <row r="470">
      <c r="A470" s="37"/>
      <c r="B470" s="49"/>
      <c r="H470" s="50"/>
      <c r="I470" s="51"/>
      <c r="J470" s="37"/>
      <c r="K470" s="37"/>
      <c r="L470" s="37"/>
      <c r="M470" s="37"/>
      <c r="N470" s="37"/>
      <c r="O470" s="37"/>
      <c r="P470" s="37"/>
      <c r="Q470" s="37"/>
      <c r="R470" s="37"/>
      <c r="S470" s="37"/>
      <c r="T470" s="37"/>
      <c r="U470" s="37"/>
      <c r="V470" s="37"/>
      <c r="W470" s="37"/>
      <c r="X470" s="37"/>
    </row>
    <row r="471">
      <c r="A471" s="37"/>
      <c r="B471" s="49"/>
      <c r="H471" s="50"/>
      <c r="I471" s="51"/>
      <c r="J471" s="37"/>
      <c r="K471" s="37"/>
      <c r="L471" s="37"/>
      <c r="M471" s="37"/>
      <c r="N471" s="37"/>
      <c r="O471" s="37"/>
      <c r="P471" s="37"/>
      <c r="Q471" s="37"/>
      <c r="R471" s="37"/>
      <c r="S471" s="37"/>
      <c r="T471" s="37"/>
      <c r="U471" s="37"/>
      <c r="V471" s="37"/>
      <c r="W471" s="37"/>
      <c r="X471" s="37"/>
    </row>
    <row r="472">
      <c r="A472" s="37"/>
      <c r="B472" s="49"/>
      <c r="H472" s="50"/>
      <c r="I472" s="51"/>
      <c r="J472" s="37"/>
      <c r="K472" s="37"/>
      <c r="L472" s="37"/>
      <c r="M472" s="37"/>
      <c r="N472" s="37"/>
      <c r="O472" s="37"/>
      <c r="P472" s="37"/>
      <c r="Q472" s="37"/>
      <c r="R472" s="37"/>
      <c r="S472" s="37"/>
      <c r="T472" s="37"/>
      <c r="U472" s="37"/>
      <c r="V472" s="37"/>
      <c r="W472" s="37"/>
      <c r="X472" s="37"/>
    </row>
    <row r="473">
      <c r="A473" s="37"/>
      <c r="B473" s="49"/>
      <c r="H473" s="50"/>
      <c r="I473" s="51"/>
      <c r="J473" s="37"/>
      <c r="K473" s="37"/>
      <c r="L473" s="37"/>
      <c r="M473" s="37"/>
      <c r="N473" s="37"/>
      <c r="O473" s="37"/>
      <c r="P473" s="37"/>
      <c r="Q473" s="37"/>
      <c r="R473" s="37"/>
      <c r="S473" s="37"/>
      <c r="T473" s="37"/>
      <c r="U473" s="37"/>
      <c r="V473" s="37"/>
      <c r="W473" s="37"/>
      <c r="X473" s="37"/>
    </row>
    <row r="474">
      <c r="A474" s="37"/>
      <c r="B474" s="49"/>
      <c r="H474" s="50"/>
      <c r="I474" s="51"/>
      <c r="J474" s="37"/>
      <c r="K474" s="37"/>
      <c r="L474" s="37"/>
      <c r="M474" s="37"/>
      <c r="N474" s="37"/>
      <c r="O474" s="37"/>
      <c r="P474" s="37"/>
      <c r="Q474" s="37"/>
      <c r="R474" s="37"/>
      <c r="S474" s="37"/>
      <c r="T474" s="37"/>
      <c r="U474" s="37"/>
      <c r="V474" s="37"/>
      <c r="W474" s="37"/>
      <c r="X474" s="37"/>
    </row>
    <row r="475">
      <c r="A475" s="37"/>
      <c r="B475" s="49"/>
      <c r="H475" s="50"/>
      <c r="I475" s="51"/>
      <c r="J475" s="37"/>
      <c r="K475" s="37"/>
      <c r="L475" s="37"/>
      <c r="M475" s="37"/>
      <c r="N475" s="37"/>
      <c r="O475" s="37"/>
      <c r="P475" s="37"/>
      <c r="Q475" s="37"/>
      <c r="R475" s="37"/>
      <c r="S475" s="37"/>
      <c r="T475" s="37"/>
      <c r="U475" s="37"/>
      <c r="V475" s="37"/>
      <c r="W475" s="37"/>
      <c r="X475" s="37"/>
    </row>
    <row r="476">
      <c r="A476" s="37"/>
      <c r="B476" s="49"/>
      <c r="H476" s="50"/>
      <c r="I476" s="51"/>
      <c r="J476" s="37"/>
      <c r="K476" s="37"/>
      <c r="L476" s="37"/>
      <c r="M476" s="37"/>
      <c r="N476" s="37"/>
      <c r="O476" s="37"/>
      <c r="P476" s="37"/>
      <c r="Q476" s="37"/>
      <c r="R476" s="37"/>
      <c r="S476" s="37"/>
      <c r="T476" s="37"/>
      <c r="U476" s="37"/>
      <c r="V476" s="37"/>
      <c r="W476" s="37"/>
      <c r="X476" s="37"/>
    </row>
    <row r="477">
      <c r="A477" s="37"/>
      <c r="B477" s="49"/>
      <c r="H477" s="50"/>
      <c r="I477" s="51"/>
      <c r="J477" s="37"/>
      <c r="K477" s="37"/>
      <c r="L477" s="37"/>
      <c r="M477" s="37"/>
      <c r="N477" s="37"/>
      <c r="O477" s="37"/>
      <c r="P477" s="37"/>
      <c r="Q477" s="37"/>
      <c r="R477" s="37"/>
      <c r="S477" s="37"/>
      <c r="T477" s="37"/>
      <c r="U477" s="37"/>
      <c r="V477" s="37"/>
      <c r="W477" s="37"/>
      <c r="X477" s="37"/>
    </row>
    <row r="478">
      <c r="A478" s="37"/>
      <c r="B478" s="49"/>
      <c r="H478" s="50"/>
      <c r="I478" s="51"/>
      <c r="J478" s="37"/>
      <c r="K478" s="37"/>
      <c r="L478" s="37"/>
      <c r="M478" s="37"/>
      <c r="N478" s="37"/>
      <c r="O478" s="37"/>
      <c r="P478" s="37"/>
      <c r="Q478" s="37"/>
      <c r="R478" s="37"/>
      <c r="S478" s="37"/>
      <c r="T478" s="37"/>
      <c r="U478" s="37"/>
      <c r="V478" s="37"/>
      <c r="W478" s="37"/>
      <c r="X478" s="37"/>
    </row>
    <row r="479">
      <c r="A479" s="37"/>
      <c r="B479" s="49"/>
      <c r="H479" s="50"/>
      <c r="I479" s="51"/>
      <c r="J479" s="37"/>
      <c r="K479" s="37"/>
      <c r="L479" s="37"/>
      <c r="M479" s="37"/>
      <c r="N479" s="37"/>
      <c r="O479" s="37"/>
      <c r="P479" s="37"/>
      <c r="Q479" s="37"/>
      <c r="R479" s="37"/>
      <c r="S479" s="37"/>
      <c r="T479" s="37"/>
      <c r="U479" s="37"/>
      <c r="V479" s="37"/>
      <c r="W479" s="37"/>
      <c r="X479" s="37"/>
    </row>
    <row r="480">
      <c r="A480" s="37"/>
      <c r="B480" s="49"/>
      <c r="H480" s="50"/>
      <c r="I480" s="51"/>
      <c r="J480" s="37"/>
      <c r="K480" s="37"/>
      <c r="L480" s="37"/>
      <c r="M480" s="37"/>
      <c r="N480" s="37"/>
      <c r="O480" s="37"/>
      <c r="P480" s="37"/>
      <c r="Q480" s="37"/>
      <c r="R480" s="37"/>
      <c r="S480" s="37"/>
      <c r="T480" s="37"/>
      <c r="U480" s="37"/>
      <c r="V480" s="37"/>
      <c r="W480" s="37"/>
      <c r="X480" s="37"/>
    </row>
    <row r="481">
      <c r="A481" s="37"/>
      <c r="B481" s="49"/>
      <c r="H481" s="50"/>
      <c r="I481" s="51"/>
      <c r="J481" s="37"/>
      <c r="K481" s="37"/>
      <c r="L481" s="37"/>
      <c r="M481" s="37"/>
      <c r="N481" s="37"/>
      <c r="O481" s="37"/>
      <c r="P481" s="37"/>
      <c r="Q481" s="37"/>
      <c r="R481" s="37"/>
      <c r="S481" s="37"/>
      <c r="T481" s="37"/>
      <c r="U481" s="37"/>
      <c r="V481" s="37"/>
      <c r="W481" s="37"/>
      <c r="X481" s="37"/>
    </row>
    <row r="482">
      <c r="A482" s="37"/>
      <c r="B482" s="49"/>
      <c r="H482" s="50"/>
      <c r="I482" s="51"/>
      <c r="J482" s="37"/>
      <c r="K482" s="37"/>
      <c r="L482" s="37"/>
      <c r="M482" s="37"/>
      <c r="N482" s="37"/>
      <c r="O482" s="37"/>
      <c r="P482" s="37"/>
      <c r="Q482" s="37"/>
      <c r="R482" s="37"/>
      <c r="S482" s="37"/>
      <c r="T482" s="37"/>
      <c r="U482" s="37"/>
      <c r="V482" s="37"/>
      <c r="W482" s="37"/>
      <c r="X482" s="37"/>
    </row>
    <row r="483">
      <c r="A483" s="37"/>
      <c r="B483" s="49"/>
      <c r="H483" s="50"/>
      <c r="I483" s="51"/>
      <c r="J483" s="37"/>
      <c r="K483" s="37"/>
      <c r="L483" s="37"/>
      <c r="M483" s="37"/>
      <c r="N483" s="37"/>
      <c r="O483" s="37"/>
      <c r="P483" s="37"/>
      <c r="Q483" s="37"/>
      <c r="R483" s="37"/>
      <c r="S483" s="37"/>
      <c r="T483" s="37"/>
      <c r="U483" s="37"/>
      <c r="V483" s="37"/>
      <c r="W483" s="37"/>
      <c r="X483" s="37"/>
    </row>
    <row r="484">
      <c r="A484" s="37"/>
      <c r="B484" s="49"/>
      <c r="H484" s="50"/>
      <c r="I484" s="51"/>
      <c r="J484" s="37"/>
      <c r="K484" s="37"/>
      <c r="L484" s="37"/>
      <c r="M484" s="37"/>
      <c r="N484" s="37"/>
      <c r="O484" s="37"/>
      <c r="P484" s="37"/>
      <c r="Q484" s="37"/>
      <c r="R484" s="37"/>
      <c r="S484" s="37"/>
      <c r="T484" s="37"/>
      <c r="U484" s="37"/>
      <c r="V484" s="37"/>
      <c r="W484" s="37"/>
      <c r="X484" s="37"/>
    </row>
    <row r="485">
      <c r="A485" s="37"/>
      <c r="B485" s="49"/>
      <c r="H485" s="50"/>
      <c r="I485" s="51"/>
      <c r="J485" s="37"/>
      <c r="K485" s="37"/>
      <c r="L485" s="37"/>
      <c r="M485" s="37"/>
      <c r="N485" s="37"/>
      <c r="O485" s="37"/>
      <c r="P485" s="37"/>
      <c r="Q485" s="37"/>
      <c r="R485" s="37"/>
      <c r="S485" s="37"/>
      <c r="T485" s="37"/>
      <c r="U485" s="37"/>
      <c r="V485" s="37"/>
      <c r="W485" s="37"/>
      <c r="X485" s="37"/>
    </row>
    <row r="486">
      <c r="A486" s="37"/>
      <c r="B486" s="49"/>
      <c r="H486" s="50"/>
      <c r="I486" s="51"/>
      <c r="J486" s="37"/>
      <c r="K486" s="37"/>
      <c r="L486" s="37"/>
      <c r="M486" s="37"/>
      <c r="N486" s="37"/>
      <c r="O486" s="37"/>
      <c r="P486" s="37"/>
      <c r="Q486" s="37"/>
      <c r="R486" s="37"/>
      <c r="S486" s="37"/>
      <c r="T486" s="37"/>
      <c r="U486" s="37"/>
      <c r="V486" s="37"/>
      <c r="W486" s="37"/>
      <c r="X486" s="37"/>
    </row>
    <row r="487">
      <c r="A487" s="37"/>
      <c r="B487" s="49"/>
      <c r="H487" s="50"/>
      <c r="I487" s="51"/>
      <c r="J487" s="37"/>
      <c r="K487" s="37"/>
      <c r="L487" s="37"/>
      <c r="M487" s="37"/>
      <c r="N487" s="37"/>
      <c r="O487" s="37"/>
      <c r="P487" s="37"/>
      <c r="Q487" s="37"/>
      <c r="R487" s="37"/>
      <c r="S487" s="37"/>
      <c r="T487" s="37"/>
      <c r="U487" s="37"/>
      <c r="V487" s="37"/>
      <c r="W487" s="37"/>
      <c r="X487" s="37"/>
    </row>
    <row r="488">
      <c r="A488" s="37"/>
      <c r="B488" s="49"/>
      <c r="H488" s="50"/>
      <c r="I488" s="51"/>
      <c r="J488" s="37"/>
      <c r="K488" s="37"/>
      <c r="L488" s="37"/>
      <c r="M488" s="37"/>
      <c r="N488" s="37"/>
      <c r="O488" s="37"/>
      <c r="P488" s="37"/>
      <c r="Q488" s="37"/>
      <c r="R488" s="37"/>
      <c r="S488" s="37"/>
      <c r="T488" s="37"/>
      <c r="U488" s="37"/>
      <c r="V488" s="37"/>
      <c r="W488" s="37"/>
      <c r="X488" s="37"/>
    </row>
    <row r="489">
      <c r="A489" s="37"/>
      <c r="B489" s="49"/>
      <c r="H489" s="50"/>
      <c r="I489" s="51"/>
      <c r="J489" s="37"/>
      <c r="K489" s="37"/>
      <c r="L489" s="37"/>
      <c r="M489" s="37"/>
      <c r="N489" s="37"/>
      <c r="O489" s="37"/>
      <c r="P489" s="37"/>
      <c r="Q489" s="37"/>
      <c r="R489" s="37"/>
      <c r="S489" s="37"/>
      <c r="T489" s="37"/>
      <c r="U489" s="37"/>
      <c r="V489" s="37"/>
      <c r="W489" s="37"/>
      <c r="X489" s="37"/>
    </row>
    <row r="490">
      <c r="A490" s="37"/>
      <c r="B490" s="49"/>
      <c r="H490" s="50"/>
      <c r="I490" s="51"/>
      <c r="J490" s="37"/>
      <c r="K490" s="37"/>
      <c r="L490" s="37"/>
      <c r="M490" s="37"/>
      <c r="N490" s="37"/>
      <c r="O490" s="37"/>
      <c r="P490" s="37"/>
      <c r="Q490" s="37"/>
      <c r="R490" s="37"/>
      <c r="S490" s="37"/>
      <c r="T490" s="37"/>
      <c r="U490" s="37"/>
      <c r="V490" s="37"/>
      <c r="W490" s="37"/>
      <c r="X490" s="37"/>
    </row>
    <row r="491">
      <c r="A491" s="37"/>
      <c r="B491" s="49"/>
      <c r="H491" s="50"/>
      <c r="I491" s="51"/>
      <c r="J491" s="37"/>
      <c r="K491" s="37"/>
      <c r="L491" s="37"/>
      <c r="M491" s="37"/>
      <c r="N491" s="37"/>
      <c r="O491" s="37"/>
      <c r="P491" s="37"/>
      <c r="Q491" s="37"/>
      <c r="R491" s="37"/>
      <c r="S491" s="37"/>
      <c r="T491" s="37"/>
      <c r="U491" s="37"/>
      <c r="V491" s="37"/>
      <c r="W491" s="37"/>
      <c r="X491" s="37"/>
    </row>
    <row r="492">
      <c r="A492" s="37"/>
      <c r="B492" s="49"/>
      <c r="H492" s="50"/>
      <c r="I492" s="51"/>
      <c r="J492" s="37"/>
      <c r="K492" s="37"/>
      <c r="L492" s="37"/>
      <c r="M492" s="37"/>
      <c r="N492" s="37"/>
      <c r="O492" s="37"/>
      <c r="P492" s="37"/>
      <c r="Q492" s="37"/>
      <c r="R492" s="37"/>
      <c r="S492" s="37"/>
      <c r="T492" s="37"/>
      <c r="U492" s="37"/>
      <c r="V492" s="37"/>
      <c r="W492" s="37"/>
      <c r="X492" s="37"/>
    </row>
    <row r="493">
      <c r="A493" s="37"/>
      <c r="B493" s="49"/>
      <c r="H493" s="50"/>
      <c r="I493" s="51"/>
      <c r="J493" s="37"/>
      <c r="K493" s="37"/>
      <c r="L493" s="37"/>
      <c r="M493" s="37"/>
      <c r="N493" s="37"/>
      <c r="O493" s="37"/>
      <c r="P493" s="37"/>
      <c r="Q493" s="37"/>
      <c r="R493" s="37"/>
      <c r="S493" s="37"/>
      <c r="T493" s="37"/>
      <c r="U493" s="37"/>
      <c r="V493" s="37"/>
      <c r="W493" s="37"/>
      <c r="X493" s="37"/>
    </row>
    <row r="494">
      <c r="A494" s="37"/>
      <c r="B494" s="49"/>
      <c r="H494" s="50"/>
      <c r="I494" s="51"/>
      <c r="J494" s="37"/>
      <c r="K494" s="37"/>
      <c r="L494" s="37"/>
      <c r="M494" s="37"/>
      <c r="N494" s="37"/>
      <c r="O494" s="37"/>
      <c r="P494" s="37"/>
      <c r="Q494" s="37"/>
      <c r="R494" s="37"/>
      <c r="S494" s="37"/>
      <c r="T494" s="37"/>
      <c r="U494" s="37"/>
      <c r="V494" s="37"/>
      <c r="W494" s="37"/>
      <c r="X494" s="37"/>
    </row>
    <row r="495">
      <c r="A495" s="37"/>
      <c r="B495" s="49"/>
      <c r="H495" s="50"/>
      <c r="I495" s="51"/>
      <c r="J495" s="37"/>
      <c r="K495" s="37"/>
      <c r="L495" s="37"/>
      <c r="M495" s="37"/>
      <c r="N495" s="37"/>
      <c r="O495" s="37"/>
      <c r="P495" s="37"/>
      <c r="Q495" s="37"/>
      <c r="R495" s="37"/>
      <c r="S495" s="37"/>
      <c r="T495" s="37"/>
      <c r="U495" s="37"/>
      <c r="V495" s="37"/>
      <c r="W495" s="37"/>
      <c r="X495" s="37"/>
    </row>
    <row r="496">
      <c r="A496" s="37"/>
      <c r="B496" s="49"/>
      <c r="H496" s="50"/>
      <c r="I496" s="51"/>
      <c r="J496" s="37"/>
      <c r="K496" s="37"/>
      <c r="L496" s="37"/>
      <c r="M496" s="37"/>
      <c r="N496" s="37"/>
      <c r="O496" s="37"/>
      <c r="P496" s="37"/>
      <c r="Q496" s="37"/>
      <c r="R496" s="37"/>
      <c r="S496" s="37"/>
      <c r="T496" s="37"/>
      <c r="U496" s="37"/>
      <c r="V496" s="37"/>
      <c r="W496" s="37"/>
      <c r="X496" s="37"/>
    </row>
    <row r="497">
      <c r="A497" s="37"/>
      <c r="B497" s="49"/>
      <c r="H497" s="50"/>
      <c r="I497" s="51"/>
      <c r="J497" s="37"/>
      <c r="K497" s="37"/>
      <c r="L497" s="37"/>
      <c r="M497" s="37"/>
      <c r="N497" s="37"/>
      <c r="O497" s="37"/>
      <c r="P497" s="37"/>
      <c r="Q497" s="37"/>
      <c r="R497" s="37"/>
      <c r="S497" s="37"/>
      <c r="T497" s="37"/>
      <c r="U497" s="37"/>
      <c r="V497" s="37"/>
      <c r="W497" s="37"/>
      <c r="X497" s="37"/>
    </row>
    <row r="498">
      <c r="A498" s="37"/>
      <c r="B498" s="49"/>
      <c r="H498" s="50"/>
      <c r="I498" s="51"/>
      <c r="J498" s="37"/>
      <c r="K498" s="37"/>
      <c r="L498" s="37"/>
      <c r="M498" s="37"/>
      <c r="N498" s="37"/>
      <c r="O498" s="37"/>
      <c r="P498" s="37"/>
      <c r="Q498" s="37"/>
      <c r="R498" s="37"/>
      <c r="S498" s="37"/>
      <c r="T498" s="37"/>
      <c r="U498" s="37"/>
      <c r="V498" s="37"/>
      <c r="W498" s="37"/>
      <c r="X498" s="37"/>
    </row>
    <row r="499">
      <c r="A499" s="37"/>
      <c r="B499" s="49"/>
      <c r="H499" s="50"/>
      <c r="I499" s="51"/>
      <c r="J499" s="37"/>
      <c r="K499" s="37"/>
      <c r="L499" s="37"/>
      <c r="M499" s="37"/>
      <c r="N499" s="37"/>
      <c r="O499" s="37"/>
      <c r="P499" s="37"/>
      <c r="Q499" s="37"/>
      <c r="R499" s="37"/>
      <c r="S499" s="37"/>
      <c r="T499" s="37"/>
      <c r="U499" s="37"/>
      <c r="V499" s="37"/>
      <c r="W499" s="37"/>
      <c r="X499" s="37"/>
    </row>
    <row r="500">
      <c r="A500" s="37"/>
      <c r="B500" s="49"/>
      <c r="H500" s="50"/>
      <c r="I500" s="51"/>
      <c r="J500" s="37"/>
      <c r="K500" s="37"/>
      <c r="L500" s="37"/>
      <c r="M500" s="37"/>
      <c r="N500" s="37"/>
      <c r="O500" s="37"/>
      <c r="P500" s="37"/>
      <c r="Q500" s="37"/>
      <c r="R500" s="37"/>
      <c r="S500" s="37"/>
      <c r="T500" s="37"/>
      <c r="U500" s="37"/>
      <c r="V500" s="37"/>
      <c r="W500" s="37"/>
      <c r="X500" s="37"/>
    </row>
    <row r="501">
      <c r="A501" s="37"/>
      <c r="B501" s="49"/>
      <c r="H501" s="50"/>
      <c r="I501" s="51"/>
      <c r="J501" s="37"/>
      <c r="K501" s="37"/>
      <c r="L501" s="37"/>
      <c r="M501" s="37"/>
      <c r="N501" s="37"/>
      <c r="O501" s="37"/>
      <c r="P501" s="37"/>
      <c r="Q501" s="37"/>
      <c r="R501" s="37"/>
      <c r="S501" s="37"/>
      <c r="T501" s="37"/>
      <c r="U501" s="37"/>
      <c r="V501" s="37"/>
      <c r="W501" s="37"/>
      <c r="X501" s="37"/>
    </row>
    <row r="502">
      <c r="A502" s="37"/>
      <c r="B502" s="49"/>
      <c r="H502" s="50"/>
      <c r="I502" s="51"/>
      <c r="J502" s="37"/>
      <c r="K502" s="37"/>
      <c r="L502" s="37"/>
      <c r="M502" s="37"/>
      <c r="N502" s="37"/>
      <c r="O502" s="37"/>
      <c r="P502" s="37"/>
      <c r="Q502" s="37"/>
      <c r="R502" s="37"/>
      <c r="S502" s="37"/>
      <c r="T502" s="37"/>
      <c r="U502" s="37"/>
      <c r="V502" s="37"/>
      <c r="W502" s="37"/>
      <c r="X502" s="37"/>
    </row>
    <row r="503">
      <c r="A503" s="37"/>
      <c r="B503" s="49"/>
      <c r="H503" s="50"/>
      <c r="I503" s="51"/>
      <c r="J503" s="37"/>
      <c r="K503" s="37"/>
      <c r="L503" s="37"/>
      <c r="M503" s="37"/>
      <c r="N503" s="37"/>
      <c r="O503" s="37"/>
      <c r="P503" s="37"/>
      <c r="Q503" s="37"/>
      <c r="R503" s="37"/>
      <c r="S503" s="37"/>
      <c r="T503" s="37"/>
      <c r="U503" s="37"/>
      <c r="V503" s="37"/>
      <c r="W503" s="37"/>
      <c r="X503" s="37"/>
    </row>
    <row r="504">
      <c r="A504" s="37"/>
      <c r="B504" s="49"/>
      <c r="H504" s="50"/>
      <c r="I504" s="51"/>
      <c r="J504" s="37"/>
      <c r="K504" s="37"/>
      <c r="L504" s="37"/>
      <c r="M504" s="37"/>
      <c r="N504" s="37"/>
      <c r="O504" s="37"/>
      <c r="P504" s="37"/>
      <c r="Q504" s="37"/>
      <c r="R504" s="37"/>
      <c r="S504" s="37"/>
      <c r="T504" s="37"/>
      <c r="U504" s="37"/>
      <c r="V504" s="37"/>
      <c r="W504" s="37"/>
      <c r="X504" s="37"/>
    </row>
    <row r="505">
      <c r="A505" s="37"/>
      <c r="B505" s="49"/>
      <c r="H505" s="50"/>
      <c r="I505" s="51"/>
      <c r="J505" s="37"/>
      <c r="K505" s="37"/>
      <c r="L505" s="37"/>
      <c r="M505" s="37"/>
      <c r="N505" s="37"/>
      <c r="O505" s="37"/>
      <c r="P505" s="37"/>
      <c r="Q505" s="37"/>
      <c r="R505" s="37"/>
      <c r="S505" s="37"/>
      <c r="T505" s="37"/>
      <c r="U505" s="37"/>
      <c r="V505" s="37"/>
      <c r="W505" s="37"/>
      <c r="X505" s="37"/>
    </row>
    <row r="506">
      <c r="A506" s="37"/>
      <c r="B506" s="49"/>
      <c r="H506" s="50"/>
      <c r="I506" s="51"/>
      <c r="J506" s="37"/>
      <c r="K506" s="37"/>
      <c r="L506" s="37"/>
      <c r="M506" s="37"/>
      <c r="N506" s="37"/>
      <c r="O506" s="37"/>
      <c r="P506" s="37"/>
      <c r="Q506" s="37"/>
      <c r="R506" s="37"/>
      <c r="S506" s="37"/>
      <c r="T506" s="37"/>
      <c r="U506" s="37"/>
      <c r="V506" s="37"/>
      <c r="W506" s="37"/>
      <c r="X506" s="37"/>
    </row>
    <row r="507">
      <c r="A507" s="37"/>
      <c r="B507" s="49"/>
      <c r="H507" s="50"/>
      <c r="I507" s="51"/>
      <c r="J507" s="37"/>
      <c r="K507" s="37"/>
      <c r="L507" s="37"/>
      <c r="M507" s="37"/>
      <c r="N507" s="37"/>
      <c r="O507" s="37"/>
      <c r="P507" s="37"/>
      <c r="Q507" s="37"/>
      <c r="R507" s="37"/>
      <c r="S507" s="37"/>
      <c r="T507" s="37"/>
      <c r="U507" s="37"/>
      <c r="V507" s="37"/>
      <c r="W507" s="37"/>
      <c r="X507" s="37"/>
    </row>
    <row r="508">
      <c r="A508" s="37"/>
      <c r="B508" s="49"/>
      <c r="H508" s="50"/>
      <c r="I508" s="51"/>
      <c r="J508" s="37"/>
      <c r="K508" s="37"/>
      <c r="L508" s="37"/>
      <c r="M508" s="37"/>
      <c r="N508" s="37"/>
      <c r="O508" s="37"/>
      <c r="P508" s="37"/>
      <c r="Q508" s="37"/>
      <c r="R508" s="37"/>
      <c r="S508" s="37"/>
      <c r="T508" s="37"/>
      <c r="U508" s="37"/>
      <c r="V508" s="37"/>
      <c r="W508" s="37"/>
      <c r="X508" s="37"/>
    </row>
    <row r="509">
      <c r="A509" s="37"/>
      <c r="B509" s="49"/>
      <c r="H509" s="50"/>
      <c r="I509" s="51"/>
      <c r="J509" s="37"/>
      <c r="K509" s="37"/>
      <c r="L509" s="37"/>
      <c r="M509" s="37"/>
      <c r="N509" s="37"/>
      <c r="O509" s="37"/>
      <c r="P509" s="37"/>
      <c r="Q509" s="37"/>
      <c r="R509" s="37"/>
      <c r="S509" s="37"/>
      <c r="T509" s="37"/>
      <c r="U509" s="37"/>
      <c r="V509" s="37"/>
      <c r="W509" s="37"/>
      <c r="X509" s="37"/>
    </row>
    <row r="510">
      <c r="A510" s="37"/>
      <c r="B510" s="49"/>
      <c r="H510" s="50"/>
      <c r="I510" s="51"/>
      <c r="J510" s="37"/>
      <c r="K510" s="37"/>
      <c r="L510" s="37"/>
      <c r="M510" s="37"/>
      <c r="N510" s="37"/>
      <c r="O510" s="37"/>
      <c r="P510" s="37"/>
      <c r="Q510" s="37"/>
      <c r="R510" s="37"/>
      <c r="S510" s="37"/>
      <c r="T510" s="37"/>
      <c r="U510" s="37"/>
      <c r="V510" s="37"/>
      <c r="W510" s="37"/>
      <c r="X510" s="37"/>
    </row>
    <row r="511">
      <c r="A511" s="37"/>
      <c r="B511" s="49"/>
      <c r="H511" s="50"/>
      <c r="I511" s="51"/>
      <c r="J511" s="37"/>
      <c r="K511" s="37"/>
      <c r="L511" s="37"/>
      <c r="M511" s="37"/>
      <c r="N511" s="37"/>
      <c r="O511" s="37"/>
      <c r="P511" s="37"/>
      <c r="Q511" s="37"/>
      <c r="R511" s="37"/>
      <c r="S511" s="37"/>
      <c r="T511" s="37"/>
      <c r="U511" s="37"/>
      <c r="V511" s="37"/>
      <c r="W511" s="37"/>
      <c r="X511" s="37"/>
    </row>
    <row r="512">
      <c r="A512" s="37"/>
      <c r="B512" s="49"/>
      <c r="H512" s="50"/>
      <c r="I512" s="51"/>
      <c r="J512" s="37"/>
      <c r="K512" s="37"/>
      <c r="L512" s="37"/>
      <c r="M512" s="37"/>
      <c r="N512" s="37"/>
      <c r="O512" s="37"/>
      <c r="P512" s="37"/>
      <c r="Q512" s="37"/>
      <c r="R512" s="37"/>
      <c r="S512" s="37"/>
      <c r="T512" s="37"/>
      <c r="U512" s="37"/>
      <c r="V512" s="37"/>
      <c r="W512" s="37"/>
      <c r="X512" s="37"/>
    </row>
    <row r="513">
      <c r="A513" s="37"/>
      <c r="B513" s="49"/>
      <c r="H513" s="50"/>
      <c r="I513" s="51"/>
      <c r="J513" s="37"/>
      <c r="K513" s="37"/>
      <c r="L513" s="37"/>
      <c r="M513" s="37"/>
      <c r="N513" s="37"/>
      <c r="O513" s="37"/>
      <c r="P513" s="37"/>
      <c r="Q513" s="37"/>
      <c r="R513" s="37"/>
      <c r="S513" s="37"/>
      <c r="T513" s="37"/>
      <c r="U513" s="37"/>
      <c r="V513" s="37"/>
      <c r="W513" s="37"/>
      <c r="X513" s="37"/>
    </row>
    <row r="514">
      <c r="A514" s="37"/>
      <c r="B514" s="49"/>
      <c r="H514" s="50"/>
      <c r="I514" s="51"/>
      <c r="J514" s="37"/>
      <c r="K514" s="37"/>
      <c r="L514" s="37"/>
      <c r="M514" s="37"/>
      <c r="N514" s="37"/>
      <c r="O514" s="37"/>
      <c r="P514" s="37"/>
      <c r="Q514" s="37"/>
      <c r="R514" s="37"/>
      <c r="S514" s="37"/>
      <c r="T514" s="37"/>
      <c r="U514" s="37"/>
      <c r="V514" s="37"/>
      <c r="W514" s="37"/>
      <c r="X514" s="37"/>
    </row>
    <row r="515">
      <c r="A515" s="37"/>
      <c r="B515" s="49"/>
      <c r="H515" s="50"/>
      <c r="I515" s="51"/>
      <c r="J515" s="37"/>
      <c r="K515" s="37"/>
      <c r="L515" s="37"/>
      <c r="M515" s="37"/>
      <c r="N515" s="37"/>
      <c r="O515" s="37"/>
      <c r="P515" s="37"/>
      <c r="Q515" s="37"/>
      <c r="R515" s="37"/>
      <c r="S515" s="37"/>
      <c r="T515" s="37"/>
      <c r="U515" s="37"/>
      <c r="V515" s="37"/>
      <c r="W515" s="37"/>
      <c r="X515" s="37"/>
    </row>
    <row r="516">
      <c r="A516" s="37"/>
      <c r="B516" s="49"/>
      <c r="H516" s="50"/>
      <c r="I516" s="51"/>
      <c r="J516" s="37"/>
      <c r="K516" s="37"/>
      <c r="L516" s="37"/>
      <c r="M516" s="37"/>
      <c r="N516" s="37"/>
      <c r="O516" s="37"/>
      <c r="P516" s="37"/>
      <c r="Q516" s="37"/>
      <c r="R516" s="37"/>
      <c r="S516" s="37"/>
      <c r="T516" s="37"/>
      <c r="U516" s="37"/>
      <c r="V516" s="37"/>
      <c r="W516" s="37"/>
      <c r="X516" s="37"/>
    </row>
    <row r="517">
      <c r="A517" s="37"/>
      <c r="B517" s="49"/>
      <c r="H517" s="50"/>
      <c r="I517" s="51"/>
      <c r="J517" s="37"/>
      <c r="K517" s="37"/>
      <c r="L517" s="37"/>
      <c r="M517" s="37"/>
      <c r="N517" s="37"/>
      <c r="O517" s="37"/>
      <c r="P517" s="37"/>
      <c r="Q517" s="37"/>
      <c r="R517" s="37"/>
      <c r="S517" s="37"/>
      <c r="T517" s="37"/>
      <c r="U517" s="37"/>
      <c r="V517" s="37"/>
      <c r="W517" s="37"/>
      <c r="X517" s="37"/>
    </row>
    <row r="518">
      <c r="A518" s="37"/>
      <c r="B518" s="49"/>
      <c r="H518" s="50"/>
      <c r="I518" s="51"/>
      <c r="J518" s="37"/>
      <c r="K518" s="37"/>
      <c r="L518" s="37"/>
      <c r="M518" s="37"/>
      <c r="N518" s="37"/>
      <c r="O518" s="37"/>
      <c r="P518" s="37"/>
      <c r="Q518" s="37"/>
      <c r="R518" s="37"/>
      <c r="S518" s="37"/>
      <c r="T518" s="37"/>
      <c r="U518" s="37"/>
      <c r="V518" s="37"/>
      <c r="W518" s="37"/>
      <c r="X518" s="37"/>
    </row>
    <row r="519">
      <c r="A519" s="37"/>
      <c r="B519" s="49"/>
      <c r="H519" s="50"/>
      <c r="I519" s="51"/>
      <c r="J519" s="37"/>
      <c r="K519" s="37"/>
      <c r="L519" s="37"/>
      <c r="M519" s="37"/>
      <c r="N519" s="37"/>
      <c r="O519" s="37"/>
      <c r="P519" s="37"/>
      <c r="Q519" s="37"/>
      <c r="R519" s="37"/>
      <c r="S519" s="37"/>
      <c r="T519" s="37"/>
      <c r="U519" s="37"/>
      <c r="V519" s="37"/>
      <c r="W519" s="37"/>
      <c r="X519" s="37"/>
    </row>
    <row r="520">
      <c r="A520" s="37"/>
      <c r="B520" s="49"/>
      <c r="H520" s="50"/>
      <c r="I520" s="51"/>
      <c r="J520" s="37"/>
      <c r="K520" s="37"/>
      <c r="L520" s="37"/>
      <c r="M520" s="37"/>
      <c r="N520" s="37"/>
      <c r="O520" s="37"/>
      <c r="P520" s="37"/>
      <c r="Q520" s="37"/>
      <c r="R520" s="37"/>
      <c r="S520" s="37"/>
      <c r="T520" s="37"/>
      <c r="U520" s="37"/>
      <c r="V520" s="37"/>
      <c r="W520" s="37"/>
      <c r="X520" s="37"/>
    </row>
    <row r="521">
      <c r="A521" s="37"/>
      <c r="B521" s="49"/>
      <c r="H521" s="50"/>
      <c r="I521" s="51"/>
      <c r="J521" s="37"/>
      <c r="K521" s="37"/>
      <c r="L521" s="37"/>
      <c r="M521" s="37"/>
      <c r="N521" s="37"/>
      <c r="O521" s="37"/>
      <c r="P521" s="37"/>
      <c r="Q521" s="37"/>
      <c r="R521" s="37"/>
      <c r="S521" s="37"/>
      <c r="T521" s="37"/>
      <c r="U521" s="37"/>
      <c r="V521" s="37"/>
      <c r="W521" s="37"/>
      <c r="X521" s="37"/>
    </row>
    <row r="522">
      <c r="A522" s="37"/>
      <c r="B522" s="49"/>
      <c r="H522" s="50"/>
      <c r="I522" s="51"/>
      <c r="J522" s="37"/>
      <c r="K522" s="37"/>
      <c r="L522" s="37"/>
      <c r="M522" s="37"/>
      <c r="N522" s="37"/>
      <c r="O522" s="37"/>
      <c r="P522" s="37"/>
      <c r="Q522" s="37"/>
      <c r="R522" s="37"/>
      <c r="S522" s="37"/>
      <c r="T522" s="37"/>
      <c r="U522" s="37"/>
      <c r="V522" s="37"/>
      <c r="W522" s="37"/>
      <c r="X522" s="37"/>
    </row>
    <row r="523">
      <c r="A523" s="37"/>
      <c r="B523" s="49"/>
      <c r="H523" s="50"/>
      <c r="I523" s="51"/>
      <c r="J523" s="37"/>
      <c r="K523" s="37"/>
      <c r="L523" s="37"/>
      <c r="M523" s="37"/>
      <c r="N523" s="37"/>
      <c r="O523" s="37"/>
      <c r="P523" s="37"/>
      <c r="Q523" s="37"/>
      <c r="R523" s="37"/>
      <c r="S523" s="37"/>
      <c r="T523" s="37"/>
      <c r="U523" s="37"/>
      <c r="V523" s="37"/>
      <c r="W523" s="37"/>
      <c r="X523" s="37"/>
    </row>
    <row r="524">
      <c r="A524" s="37"/>
      <c r="B524" s="49"/>
      <c r="H524" s="50"/>
      <c r="I524" s="51"/>
      <c r="J524" s="37"/>
      <c r="K524" s="37"/>
      <c r="L524" s="37"/>
      <c r="M524" s="37"/>
      <c r="N524" s="37"/>
      <c r="O524" s="37"/>
      <c r="P524" s="37"/>
      <c r="Q524" s="37"/>
      <c r="R524" s="37"/>
      <c r="S524" s="37"/>
      <c r="T524" s="37"/>
      <c r="U524" s="37"/>
      <c r="V524" s="37"/>
      <c r="W524" s="37"/>
      <c r="X524" s="37"/>
    </row>
    <row r="525">
      <c r="A525" s="37"/>
      <c r="B525" s="49"/>
      <c r="H525" s="50"/>
      <c r="I525" s="51"/>
      <c r="J525" s="37"/>
      <c r="K525" s="37"/>
      <c r="L525" s="37"/>
      <c r="M525" s="37"/>
      <c r="N525" s="37"/>
      <c r="O525" s="37"/>
      <c r="P525" s="37"/>
      <c r="Q525" s="37"/>
      <c r="R525" s="37"/>
      <c r="S525" s="37"/>
      <c r="T525" s="37"/>
      <c r="U525" s="37"/>
      <c r="V525" s="37"/>
      <c r="W525" s="37"/>
      <c r="X525" s="37"/>
    </row>
    <row r="526">
      <c r="A526" s="37"/>
      <c r="B526" s="49"/>
      <c r="H526" s="50"/>
      <c r="I526" s="51"/>
      <c r="J526" s="37"/>
      <c r="K526" s="37"/>
      <c r="L526" s="37"/>
      <c r="M526" s="37"/>
      <c r="N526" s="37"/>
      <c r="O526" s="37"/>
      <c r="P526" s="37"/>
      <c r="Q526" s="37"/>
      <c r="R526" s="37"/>
      <c r="S526" s="37"/>
      <c r="T526" s="37"/>
      <c r="U526" s="37"/>
      <c r="V526" s="37"/>
      <c r="W526" s="37"/>
      <c r="X526" s="37"/>
    </row>
    <row r="527">
      <c r="A527" s="37"/>
      <c r="B527" s="49"/>
      <c r="H527" s="50"/>
      <c r="I527" s="51"/>
      <c r="J527" s="37"/>
      <c r="K527" s="37"/>
      <c r="L527" s="37"/>
      <c r="M527" s="37"/>
      <c r="N527" s="37"/>
      <c r="O527" s="37"/>
      <c r="P527" s="37"/>
      <c r="Q527" s="37"/>
      <c r="R527" s="37"/>
      <c r="S527" s="37"/>
      <c r="T527" s="37"/>
      <c r="U527" s="37"/>
      <c r="V527" s="37"/>
      <c r="W527" s="37"/>
      <c r="X527" s="37"/>
    </row>
    <row r="528">
      <c r="A528" s="37"/>
      <c r="B528" s="49"/>
      <c r="H528" s="50"/>
      <c r="I528" s="51"/>
      <c r="J528" s="37"/>
      <c r="K528" s="37"/>
      <c r="L528" s="37"/>
      <c r="M528" s="37"/>
      <c r="N528" s="37"/>
      <c r="O528" s="37"/>
      <c r="P528" s="37"/>
      <c r="Q528" s="37"/>
      <c r="R528" s="37"/>
      <c r="S528" s="37"/>
      <c r="T528" s="37"/>
      <c r="U528" s="37"/>
      <c r="V528" s="37"/>
      <c r="W528" s="37"/>
      <c r="X528" s="37"/>
    </row>
    <row r="529">
      <c r="A529" s="37"/>
      <c r="B529" s="49"/>
      <c r="H529" s="50"/>
      <c r="I529" s="51"/>
      <c r="J529" s="37"/>
      <c r="K529" s="37"/>
      <c r="L529" s="37"/>
      <c r="M529" s="37"/>
      <c r="N529" s="37"/>
      <c r="O529" s="37"/>
      <c r="P529" s="37"/>
      <c r="Q529" s="37"/>
      <c r="R529" s="37"/>
      <c r="S529" s="37"/>
      <c r="T529" s="37"/>
      <c r="U529" s="37"/>
      <c r="V529" s="37"/>
      <c r="W529" s="37"/>
      <c r="X529" s="37"/>
    </row>
    <row r="530">
      <c r="A530" s="37"/>
      <c r="B530" s="49"/>
      <c r="H530" s="50"/>
      <c r="I530" s="51"/>
      <c r="J530" s="37"/>
      <c r="K530" s="37"/>
      <c r="L530" s="37"/>
      <c r="M530" s="37"/>
      <c r="N530" s="37"/>
      <c r="O530" s="37"/>
      <c r="P530" s="37"/>
      <c r="Q530" s="37"/>
      <c r="R530" s="37"/>
      <c r="S530" s="37"/>
      <c r="T530" s="37"/>
      <c r="U530" s="37"/>
      <c r="V530" s="37"/>
      <c r="W530" s="37"/>
      <c r="X530" s="37"/>
    </row>
    <row r="531">
      <c r="A531" s="37"/>
      <c r="B531" s="49"/>
      <c r="H531" s="50"/>
      <c r="I531" s="51"/>
      <c r="J531" s="37"/>
      <c r="K531" s="37"/>
      <c r="L531" s="37"/>
      <c r="M531" s="37"/>
      <c r="N531" s="37"/>
      <c r="O531" s="37"/>
      <c r="P531" s="37"/>
      <c r="Q531" s="37"/>
      <c r="R531" s="37"/>
      <c r="S531" s="37"/>
      <c r="T531" s="37"/>
      <c r="U531" s="37"/>
      <c r="V531" s="37"/>
      <c r="W531" s="37"/>
      <c r="X531" s="37"/>
    </row>
    <row r="532">
      <c r="A532" s="37"/>
      <c r="B532" s="49"/>
      <c r="H532" s="50"/>
      <c r="I532" s="51"/>
      <c r="J532" s="37"/>
      <c r="K532" s="37"/>
      <c r="L532" s="37"/>
      <c r="M532" s="37"/>
      <c r="N532" s="37"/>
      <c r="O532" s="37"/>
      <c r="P532" s="37"/>
      <c r="Q532" s="37"/>
      <c r="R532" s="37"/>
      <c r="S532" s="37"/>
      <c r="T532" s="37"/>
      <c r="U532" s="37"/>
      <c r="V532" s="37"/>
      <c r="W532" s="37"/>
      <c r="X532" s="37"/>
    </row>
    <row r="533">
      <c r="A533" s="37"/>
      <c r="B533" s="49"/>
      <c r="H533" s="50"/>
      <c r="I533" s="51"/>
      <c r="J533" s="37"/>
      <c r="K533" s="37"/>
      <c r="L533" s="37"/>
      <c r="M533" s="37"/>
      <c r="N533" s="37"/>
      <c r="O533" s="37"/>
      <c r="P533" s="37"/>
      <c r="Q533" s="37"/>
      <c r="R533" s="37"/>
      <c r="S533" s="37"/>
      <c r="T533" s="37"/>
      <c r="U533" s="37"/>
      <c r="V533" s="37"/>
      <c r="W533" s="37"/>
      <c r="X533" s="37"/>
    </row>
    <row r="534">
      <c r="A534" s="37"/>
      <c r="B534" s="49"/>
      <c r="H534" s="50"/>
      <c r="I534" s="51"/>
      <c r="J534" s="37"/>
      <c r="K534" s="37"/>
      <c r="L534" s="37"/>
      <c r="M534" s="37"/>
      <c r="N534" s="37"/>
      <c r="O534" s="37"/>
      <c r="P534" s="37"/>
      <c r="Q534" s="37"/>
      <c r="R534" s="37"/>
      <c r="S534" s="37"/>
      <c r="T534" s="37"/>
      <c r="U534" s="37"/>
      <c r="V534" s="37"/>
      <c r="W534" s="37"/>
      <c r="X534" s="37"/>
    </row>
    <row r="535">
      <c r="A535" s="37"/>
      <c r="B535" s="49"/>
      <c r="H535" s="50"/>
      <c r="I535" s="51"/>
      <c r="J535" s="37"/>
      <c r="K535" s="37"/>
      <c r="L535" s="37"/>
      <c r="M535" s="37"/>
      <c r="N535" s="37"/>
      <c r="O535" s="37"/>
      <c r="P535" s="37"/>
      <c r="Q535" s="37"/>
      <c r="R535" s="37"/>
      <c r="S535" s="37"/>
      <c r="T535" s="37"/>
      <c r="U535" s="37"/>
      <c r="V535" s="37"/>
      <c r="W535" s="37"/>
      <c r="X535" s="37"/>
    </row>
    <row r="536">
      <c r="A536" s="37"/>
      <c r="B536" s="49"/>
      <c r="H536" s="50"/>
      <c r="I536" s="51"/>
      <c r="J536" s="37"/>
      <c r="K536" s="37"/>
      <c r="L536" s="37"/>
      <c r="M536" s="37"/>
      <c r="N536" s="37"/>
      <c r="O536" s="37"/>
      <c r="P536" s="37"/>
      <c r="Q536" s="37"/>
      <c r="R536" s="37"/>
      <c r="S536" s="37"/>
      <c r="T536" s="37"/>
      <c r="U536" s="37"/>
      <c r="V536" s="37"/>
      <c r="W536" s="37"/>
      <c r="X536" s="37"/>
    </row>
    <row r="537">
      <c r="A537" s="37"/>
      <c r="B537" s="49"/>
      <c r="H537" s="50"/>
      <c r="I537" s="51"/>
      <c r="J537" s="37"/>
      <c r="K537" s="37"/>
      <c r="L537" s="37"/>
      <c r="M537" s="37"/>
      <c r="N537" s="37"/>
      <c r="O537" s="37"/>
      <c r="P537" s="37"/>
      <c r="Q537" s="37"/>
      <c r="R537" s="37"/>
      <c r="S537" s="37"/>
      <c r="T537" s="37"/>
      <c r="U537" s="37"/>
      <c r="V537" s="37"/>
      <c r="W537" s="37"/>
      <c r="X537" s="37"/>
    </row>
    <row r="538">
      <c r="A538" s="37"/>
      <c r="B538" s="49"/>
      <c r="H538" s="50"/>
      <c r="I538" s="51"/>
      <c r="J538" s="37"/>
      <c r="K538" s="37"/>
      <c r="L538" s="37"/>
      <c r="M538" s="37"/>
      <c r="N538" s="37"/>
      <c r="O538" s="37"/>
      <c r="P538" s="37"/>
      <c r="Q538" s="37"/>
      <c r="R538" s="37"/>
      <c r="S538" s="37"/>
      <c r="T538" s="37"/>
      <c r="U538" s="37"/>
      <c r="V538" s="37"/>
      <c r="W538" s="37"/>
      <c r="X538" s="37"/>
    </row>
    <row r="539">
      <c r="A539" s="37"/>
      <c r="B539" s="49"/>
      <c r="H539" s="50"/>
      <c r="I539" s="51"/>
      <c r="J539" s="37"/>
      <c r="K539" s="37"/>
      <c r="L539" s="37"/>
      <c r="M539" s="37"/>
      <c r="N539" s="37"/>
      <c r="O539" s="37"/>
      <c r="P539" s="37"/>
      <c r="Q539" s="37"/>
      <c r="R539" s="37"/>
      <c r="S539" s="37"/>
      <c r="T539" s="37"/>
      <c r="U539" s="37"/>
      <c r="V539" s="37"/>
      <c r="W539" s="37"/>
      <c r="X539" s="37"/>
    </row>
    <row r="540">
      <c r="A540" s="37"/>
      <c r="B540" s="49"/>
      <c r="H540" s="50"/>
      <c r="I540" s="51"/>
      <c r="J540" s="37"/>
      <c r="K540" s="37"/>
      <c r="L540" s="37"/>
      <c r="M540" s="37"/>
      <c r="N540" s="37"/>
      <c r="O540" s="37"/>
      <c r="P540" s="37"/>
      <c r="Q540" s="37"/>
      <c r="R540" s="37"/>
      <c r="S540" s="37"/>
      <c r="T540" s="37"/>
      <c r="U540" s="37"/>
      <c r="V540" s="37"/>
      <c r="W540" s="37"/>
      <c r="X540" s="37"/>
    </row>
    <row r="541">
      <c r="A541" s="37"/>
      <c r="B541" s="49"/>
      <c r="H541" s="50"/>
      <c r="I541" s="51"/>
      <c r="J541" s="37"/>
      <c r="K541" s="37"/>
      <c r="L541" s="37"/>
      <c r="M541" s="37"/>
      <c r="N541" s="37"/>
      <c r="O541" s="37"/>
      <c r="P541" s="37"/>
      <c r="Q541" s="37"/>
      <c r="R541" s="37"/>
      <c r="S541" s="37"/>
      <c r="T541" s="37"/>
      <c r="U541" s="37"/>
      <c r="V541" s="37"/>
      <c r="W541" s="37"/>
      <c r="X541" s="37"/>
    </row>
    <row r="542">
      <c r="A542" s="37"/>
      <c r="B542" s="49"/>
      <c r="H542" s="50"/>
      <c r="I542" s="51"/>
      <c r="J542" s="37"/>
      <c r="K542" s="37"/>
      <c r="L542" s="37"/>
      <c r="M542" s="37"/>
      <c r="N542" s="37"/>
      <c r="O542" s="37"/>
      <c r="P542" s="37"/>
      <c r="Q542" s="37"/>
      <c r="R542" s="37"/>
      <c r="S542" s="37"/>
      <c r="T542" s="37"/>
      <c r="U542" s="37"/>
      <c r="V542" s="37"/>
      <c r="W542" s="37"/>
      <c r="X542" s="37"/>
    </row>
    <row r="543">
      <c r="A543" s="37"/>
      <c r="B543" s="49"/>
      <c r="H543" s="50"/>
      <c r="I543" s="51"/>
      <c r="J543" s="37"/>
      <c r="K543" s="37"/>
      <c r="L543" s="37"/>
      <c r="M543" s="37"/>
      <c r="N543" s="37"/>
      <c r="O543" s="37"/>
      <c r="P543" s="37"/>
      <c r="Q543" s="37"/>
      <c r="R543" s="37"/>
      <c r="S543" s="37"/>
      <c r="T543" s="37"/>
      <c r="U543" s="37"/>
      <c r="V543" s="37"/>
      <c r="W543" s="37"/>
      <c r="X543" s="37"/>
    </row>
    <row r="544">
      <c r="A544" s="37"/>
      <c r="B544" s="49"/>
      <c r="H544" s="50"/>
      <c r="I544" s="51"/>
      <c r="J544" s="37"/>
      <c r="K544" s="37"/>
      <c r="L544" s="37"/>
      <c r="M544" s="37"/>
      <c r="N544" s="37"/>
      <c r="O544" s="37"/>
      <c r="P544" s="37"/>
      <c r="Q544" s="37"/>
      <c r="R544" s="37"/>
      <c r="S544" s="37"/>
      <c r="T544" s="37"/>
      <c r="U544" s="37"/>
      <c r="V544" s="37"/>
      <c r="W544" s="37"/>
      <c r="X544" s="37"/>
    </row>
    <row r="545">
      <c r="A545" s="37"/>
      <c r="B545" s="49"/>
      <c r="H545" s="50"/>
      <c r="I545" s="51"/>
      <c r="J545" s="37"/>
      <c r="K545" s="37"/>
      <c r="L545" s="37"/>
      <c r="M545" s="37"/>
      <c r="N545" s="37"/>
      <c r="O545" s="37"/>
      <c r="P545" s="37"/>
      <c r="Q545" s="37"/>
      <c r="R545" s="37"/>
      <c r="S545" s="37"/>
      <c r="T545" s="37"/>
      <c r="U545" s="37"/>
      <c r="V545" s="37"/>
      <c r="W545" s="37"/>
      <c r="X545" s="37"/>
    </row>
    <row r="546">
      <c r="A546" s="37"/>
      <c r="B546" s="49"/>
      <c r="H546" s="50"/>
      <c r="I546" s="51"/>
      <c r="J546" s="37"/>
      <c r="K546" s="37"/>
      <c r="L546" s="37"/>
      <c r="M546" s="37"/>
      <c r="N546" s="37"/>
      <c r="O546" s="37"/>
      <c r="P546" s="37"/>
      <c r="Q546" s="37"/>
      <c r="R546" s="37"/>
      <c r="S546" s="37"/>
      <c r="T546" s="37"/>
      <c r="U546" s="37"/>
      <c r="V546" s="37"/>
      <c r="W546" s="37"/>
      <c r="X546" s="37"/>
    </row>
    <row r="547">
      <c r="A547" s="37"/>
      <c r="B547" s="49"/>
      <c r="H547" s="50"/>
      <c r="I547" s="51"/>
      <c r="J547" s="37"/>
      <c r="K547" s="37"/>
      <c r="L547" s="37"/>
      <c r="M547" s="37"/>
      <c r="N547" s="37"/>
      <c r="O547" s="37"/>
      <c r="P547" s="37"/>
      <c r="Q547" s="37"/>
      <c r="R547" s="37"/>
      <c r="S547" s="37"/>
      <c r="T547" s="37"/>
      <c r="U547" s="37"/>
      <c r="V547" s="37"/>
      <c r="W547" s="37"/>
      <c r="X547" s="37"/>
    </row>
    <row r="548">
      <c r="A548" s="37"/>
      <c r="B548" s="49"/>
      <c r="H548" s="50"/>
      <c r="I548" s="51"/>
      <c r="J548" s="37"/>
      <c r="K548" s="37"/>
      <c r="L548" s="37"/>
      <c r="M548" s="37"/>
      <c r="N548" s="37"/>
      <c r="O548" s="37"/>
      <c r="P548" s="37"/>
      <c r="Q548" s="37"/>
      <c r="R548" s="37"/>
      <c r="S548" s="37"/>
      <c r="T548" s="37"/>
      <c r="U548" s="37"/>
      <c r="V548" s="37"/>
      <c r="W548" s="37"/>
      <c r="X548" s="37"/>
    </row>
    <row r="549">
      <c r="A549" s="37"/>
      <c r="B549" s="49"/>
      <c r="H549" s="50"/>
      <c r="I549" s="51"/>
      <c r="J549" s="37"/>
      <c r="K549" s="37"/>
      <c r="L549" s="37"/>
      <c r="M549" s="37"/>
      <c r="N549" s="37"/>
      <c r="O549" s="37"/>
      <c r="P549" s="37"/>
      <c r="Q549" s="37"/>
      <c r="R549" s="37"/>
      <c r="S549" s="37"/>
      <c r="T549" s="37"/>
      <c r="U549" s="37"/>
      <c r="V549" s="37"/>
      <c r="W549" s="37"/>
      <c r="X549" s="37"/>
    </row>
    <row r="550">
      <c r="A550" s="37"/>
      <c r="B550" s="49"/>
      <c r="H550" s="50"/>
      <c r="I550" s="51"/>
      <c r="J550" s="37"/>
      <c r="K550" s="37"/>
      <c r="L550" s="37"/>
      <c r="M550" s="37"/>
      <c r="N550" s="37"/>
      <c r="O550" s="37"/>
      <c r="P550" s="37"/>
      <c r="Q550" s="37"/>
      <c r="R550" s="37"/>
      <c r="S550" s="37"/>
      <c r="T550" s="37"/>
      <c r="U550" s="37"/>
      <c r="V550" s="37"/>
      <c r="W550" s="37"/>
      <c r="X550" s="37"/>
    </row>
    <row r="551">
      <c r="A551" s="37"/>
      <c r="B551" s="49"/>
      <c r="H551" s="50"/>
      <c r="I551" s="51"/>
      <c r="J551" s="37"/>
      <c r="K551" s="37"/>
      <c r="L551" s="37"/>
      <c r="M551" s="37"/>
      <c r="N551" s="37"/>
      <c r="O551" s="37"/>
      <c r="P551" s="37"/>
      <c r="Q551" s="37"/>
      <c r="R551" s="37"/>
      <c r="S551" s="37"/>
      <c r="T551" s="37"/>
      <c r="U551" s="37"/>
      <c r="V551" s="37"/>
      <c r="W551" s="37"/>
      <c r="X551" s="37"/>
    </row>
    <row r="552">
      <c r="A552" s="37"/>
      <c r="B552" s="49"/>
      <c r="H552" s="50"/>
      <c r="I552" s="51"/>
      <c r="J552" s="37"/>
      <c r="K552" s="37"/>
      <c r="L552" s="37"/>
      <c r="M552" s="37"/>
      <c r="N552" s="37"/>
      <c r="O552" s="37"/>
      <c r="P552" s="37"/>
      <c r="Q552" s="37"/>
      <c r="R552" s="37"/>
      <c r="S552" s="37"/>
      <c r="T552" s="37"/>
      <c r="U552" s="37"/>
      <c r="V552" s="37"/>
      <c r="W552" s="37"/>
      <c r="X552" s="37"/>
    </row>
    <row r="553">
      <c r="A553" s="37"/>
      <c r="B553" s="49"/>
      <c r="H553" s="50"/>
      <c r="I553" s="51"/>
      <c r="J553" s="37"/>
      <c r="K553" s="37"/>
      <c r="L553" s="37"/>
      <c r="M553" s="37"/>
      <c r="N553" s="37"/>
      <c r="O553" s="37"/>
      <c r="P553" s="37"/>
      <c r="Q553" s="37"/>
      <c r="R553" s="37"/>
      <c r="S553" s="37"/>
      <c r="T553" s="37"/>
      <c r="U553" s="37"/>
      <c r="V553" s="37"/>
      <c r="W553" s="37"/>
      <c r="X553" s="37"/>
    </row>
    <row r="554">
      <c r="A554" s="37"/>
      <c r="B554" s="49"/>
      <c r="H554" s="50"/>
      <c r="I554" s="51"/>
      <c r="J554" s="37"/>
      <c r="K554" s="37"/>
      <c r="L554" s="37"/>
      <c r="M554" s="37"/>
      <c r="N554" s="37"/>
      <c r="O554" s="37"/>
      <c r="P554" s="37"/>
      <c r="Q554" s="37"/>
      <c r="R554" s="37"/>
      <c r="S554" s="37"/>
      <c r="T554" s="37"/>
      <c r="U554" s="37"/>
      <c r="V554" s="37"/>
      <c r="W554" s="37"/>
      <c r="X554" s="37"/>
    </row>
    <row r="555">
      <c r="A555" s="37"/>
      <c r="B555" s="49"/>
      <c r="H555" s="50"/>
      <c r="I555" s="51"/>
      <c r="J555" s="37"/>
      <c r="K555" s="37"/>
      <c r="L555" s="37"/>
      <c r="M555" s="37"/>
      <c r="N555" s="37"/>
      <c r="O555" s="37"/>
      <c r="P555" s="37"/>
      <c r="Q555" s="37"/>
      <c r="R555" s="37"/>
      <c r="S555" s="37"/>
      <c r="T555" s="37"/>
      <c r="U555" s="37"/>
      <c r="V555" s="37"/>
      <c r="W555" s="37"/>
      <c r="X555" s="37"/>
    </row>
    <row r="556">
      <c r="A556" s="37"/>
      <c r="B556" s="49"/>
      <c r="H556" s="50"/>
      <c r="I556" s="51"/>
      <c r="J556" s="37"/>
      <c r="K556" s="37"/>
      <c r="L556" s="37"/>
      <c r="M556" s="37"/>
      <c r="N556" s="37"/>
      <c r="O556" s="37"/>
      <c r="P556" s="37"/>
      <c r="Q556" s="37"/>
      <c r="R556" s="37"/>
      <c r="S556" s="37"/>
      <c r="T556" s="37"/>
      <c r="U556" s="37"/>
      <c r="V556" s="37"/>
      <c r="W556" s="37"/>
      <c r="X556" s="37"/>
    </row>
    <row r="557">
      <c r="A557" s="37"/>
      <c r="B557" s="49"/>
      <c r="H557" s="50"/>
      <c r="I557" s="51"/>
      <c r="J557" s="37"/>
      <c r="K557" s="37"/>
      <c r="L557" s="37"/>
      <c r="M557" s="37"/>
      <c r="N557" s="37"/>
      <c r="O557" s="37"/>
      <c r="P557" s="37"/>
      <c r="Q557" s="37"/>
      <c r="R557" s="37"/>
      <c r="S557" s="37"/>
      <c r="T557" s="37"/>
      <c r="U557" s="37"/>
      <c r="V557" s="37"/>
      <c r="W557" s="37"/>
      <c r="X557" s="37"/>
    </row>
    <row r="558">
      <c r="A558" s="37"/>
      <c r="B558" s="49"/>
      <c r="H558" s="50"/>
      <c r="I558" s="51"/>
      <c r="J558" s="37"/>
      <c r="K558" s="37"/>
      <c r="L558" s="37"/>
      <c r="M558" s="37"/>
      <c r="N558" s="37"/>
      <c r="O558" s="37"/>
      <c r="P558" s="37"/>
      <c r="Q558" s="37"/>
      <c r="R558" s="37"/>
      <c r="S558" s="37"/>
      <c r="T558" s="37"/>
      <c r="U558" s="37"/>
      <c r="V558" s="37"/>
      <c r="W558" s="37"/>
      <c r="X558" s="37"/>
    </row>
    <row r="559">
      <c r="A559" s="37"/>
      <c r="B559" s="49"/>
      <c r="H559" s="50"/>
      <c r="I559" s="51"/>
      <c r="J559" s="37"/>
      <c r="K559" s="37"/>
      <c r="L559" s="37"/>
      <c r="M559" s="37"/>
      <c r="N559" s="37"/>
      <c r="O559" s="37"/>
      <c r="P559" s="37"/>
      <c r="Q559" s="37"/>
      <c r="R559" s="37"/>
      <c r="S559" s="37"/>
      <c r="T559" s="37"/>
      <c r="U559" s="37"/>
      <c r="V559" s="37"/>
      <c r="W559" s="37"/>
      <c r="X559" s="37"/>
    </row>
    <row r="560">
      <c r="A560" s="37"/>
      <c r="B560" s="49"/>
      <c r="H560" s="50"/>
      <c r="I560" s="51"/>
      <c r="J560" s="37"/>
      <c r="K560" s="37"/>
      <c r="L560" s="37"/>
      <c r="M560" s="37"/>
      <c r="N560" s="37"/>
      <c r="O560" s="37"/>
      <c r="P560" s="37"/>
      <c r="Q560" s="37"/>
      <c r="R560" s="37"/>
      <c r="S560" s="37"/>
      <c r="T560" s="37"/>
      <c r="U560" s="37"/>
      <c r="V560" s="37"/>
      <c r="W560" s="37"/>
      <c r="X560" s="37"/>
    </row>
    <row r="561">
      <c r="A561" s="37"/>
      <c r="B561" s="49"/>
      <c r="H561" s="50"/>
      <c r="I561" s="51"/>
      <c r="J561" s="37"/>
      <c r="K561" s="37"/>
      <c r="L561" s="37"/>
      <c r="M561" s="37"/>
      <c r="N561" s="37"/>
      <c r="O561" s="37"/>
      <c r="P561" s="37"/>
      <c r="Q561" s="37"/>
      <c r="R561" s="37"/>
      <c r="S561" s="37"/>
      <c r="T561" s="37"/>
      <c r="U561" s="37"/>
      <c r="V561" s="37"/>
      <c r="W561" s="37"/>
      <c r="X561" s="37"/>
    </row>
    <row r="562">
      <c r="A562" s="37"/>
      <c r="B562" s="49"/>
      <c r="H562" s="50"/>
      <c r="I562" s="51"/>
      <c r="J562" s="37"/>
      <c r="K562" s="37"/>
      <c r="L562" s="37"/>
      <c r="M562" s="37"/>
      <c r="N562" s="37"/>
      <c r="O562" s="37"/>
      <c r="P562" s="37"/>
      <c r="Q562" s="37"/>
      <c r="R562" s="37"/>
      <c r="S562" s="37"/>
      <c r="T562" s="37"/>
      <c r="U562" s="37"/>
      <c r="V562" s="37"/>
      <c r="W562" s="37"/>
      <c r="X562" s="37"/>
    </row>
    <row r="563">
      <c r="A563" s="37"/>
      <c r="B563" s="49"/>
      <c r="H563" s="50"/>
      <c r="I563" s="51"/>
      <c r="J563" s="37"/>
      <c r="K563" s="37"/>
      <c r="L563" s="37"/>
      <c r="M563" s="37"/>
      <c r="N563" s="37"/>
      <c r="O563" s="37"/>
      <c r="P563" s="37"/>
      <c r="Q563" s="37"/>
      <c r="R563" s="37"/>
      <c r="S563" s="37"/>
      <c r="T563" s="37"/>
      <c r="U563" s="37"/>
      <c r="V563" s="37"/>
      <c r="W563" s="37"/>
      <c r="X563" s="37"/>
    </row>
    <row r="564">
      <c r="A564" s="37"/>
      <c r="B564" s="49"/>
      <c r="H564" s="50"/>
      <c r="I564" s="51"/>
      <c r="J564" s="37"/>
      <c r="K564" s="37"/>
      <c r="L564" s="37"/>
      <c r="M564" s="37"/>
      <c r="N564" s="37"/>
      <c r="O564" s="37"/>
      <c r="P564" s="37"/>
      <c r="Q564" s="37"/>
      <c r="R564" s="37"/>
      <c r="S564" s="37"/>
      <c r="T564" s="37"/>
      <c r="U564" s="37"/>
      <c r="V564" s="37"/>
      <c r="W564" s="37"/>
      <c r="X564" s="37"/>
    </row>
    <row r="565">
      <c r="A565" s="37"/>
      <c r="B565" s="49"/>
      <c r="H565" s="50"/>
      <c r="I565" s="51"/>
      <c r="J565" s="37"/>
      <c r="K565" s="37"/>
      <c r="L565" s="37"/>
      <c r="M565" s="37"/>
      <c r="N565" s="37"/>
      <c r="O565" s="37"/>
      <c r="P565" s="37"/>
      <c r="Q565" s="37"/>
      <c r="R565" s="37"/>
      <c r="S565" s="37"/>
      <c r="T565" s="37"/>
      <c r="U565" s="37"/>
      <c r="V565" s="37"/>
      <c r="W565" s="37"/>
      <c r="X565" s="37"/>
    </row>
    <row r="566">
      <c r="A566" s="37"/>
      <c r="B566" s="49"/>
      <c r="H566" s="50"/>
      <c r="I566" s="51"/>
      <c r="J566" s="37"/>
      <c r="K566" s="37"/>
      <c r="L566" s="37"/>
      <c r="M566" s="37"/>
      <c r="N566" s="37"/>
      <c r="O566" s="37"/>
      <c r="P566" s="37"/>
      <c r="Q566" s="37"/>
      <c r="R566" s="37"/>
      <c r="S566" s="37"/>
      <c r="T566" s="37"/>
      <c r="U566" s="37"/>
      <c r="V566" s="37"/>
      <c r="W566" s="37"/>
      <c r="X566" s="37"/>
    </row>
    <row r="567">
      <c r="A567" s="37"/>
      <c r="B567" s="49"/>
      <c r="H567" s="50"/>
      <c r="I567" s="51"/>
      <c r="J567" s="37"/>
      <c r="K567" s="37"/>
      <c r="L567" s="37"/>
      <c r="M567" s="37"/>
      <c r="N567" s="37"/>
      <c r="O567" s="37"/>
      <c r="P567" s="37"/>
      <c r="Q567" s="37"/>
      <c r="R567" s="37"/>
      <c r="S567" s="37"/>
      <c r="T567" s="37"/>
      <c r="U567" s="37"/>
      <c r="V567" s="37"/>
      <c r="W567" s="37"/>
      <c r="X567" s="37"/>
    </row>
    <row r="568">
      <c r="A568" s="37"/>
      <c r="B568" s="49"/>
      <c r="H568" s="50"/>
      <c r="I568" s="51"/>
      <c r="J568" s="37"/>
      <c r="K568" s="37"/>
      <c r="L568" s="37"/>
      <c r="M568" s="37"/>
      <c r="N568" s="37"/>
      <c r="O568" s="37"/>
      <c r="P568" s="37"/>
      <c r="Q568" s="37"/>
      <c r="R568" s="37"/>
      <c r="S568" s="37"/>
      <c r="T568" s="37"/>
      <c r="U568" s="37"/>
      <c r="V568" s="37"/>
      <c r="W568" s="37"/>
      <c r="X568" s="37"/>
    </row>
    <row r="569">
      <c r="A569" s="37"/>
      <c r="B569" s="49"/>
      <c r="H569" s="50"/>
      <c r="I569" s="51"/>
      <c r="J569" s="37"/>
      <c r="K569" s="37"/>
      <c r="L569" s="37"/>
      <c r="M569" s="37"/>
      <c r="N569" s="37"/>
      <c r="O569" s="37"/>
      <c r="P569" s="37"/>
      <c r="Q569" s="37"/>
      <c r="R569" s="37"/>
      <c r="S569" s="37"/>
      <c r="T569" s="37"/>
      <c r="U569" s="37"/>
      <c r="V569" s="37"/>
      <c r="W569" s="37"/>
      <c r="X569" s="37"/>
    </row>
    <row r="570">
      <c r="A570" s="37"/>
      <c r="B570" s="49"/>
      <c r="H570" s="50"/>
      <c r="I570" s="51"/>
      <c r="J570" s="37"/>
      <c r="K570" s="37"/>
      <c r="L570" s="37"/>
      <c r="M570" s="37"/>
      <c r="N570" s="37"/>
      <c r="O570" s="37"/>
      <c r="P570" s="37"/>
      <c r="Q570" s="37"/>
      <c r="R570" s="37"/>
      <c r="S570" s="37"/>
      <c r="T570" s="37"/>
      <c r="U570" s="37"/>
      <c r="V570" s="37"/>
      <c r="W570" s="37"/>
      <c r="X570" s="37"/>
    </row>
    <row r="571">
      <c r="A571" s="37"/>
      <c r="B571" s="49"/>
      <c r="H571" s="50"/>
      <c r="I571" s="51"/>
      <c r="J571" s="37"/>
      <c r="K571" s="37"/>
      <c r="L571" s="37"/>
      <c r="M571" s="37"/>
      <c r="N571" s="37"/>
      <c r="O571" s="37"/>
      <c r="P571" s="37"/>
      <c r="Q571" s="37"/>
      <c r="R571" s="37"/>
      <c r="S571" s="37"/>
      <c r="T571" s="37"/>
      <c r="U571" s="37"/>
      <c r="V571" s="37"/>
      <c r="W571" s="37"/>
      <c r="X571" s="37"/>
    </row>
    <row r="572">
      <c r="A572" s="37"/>
      <c r="B572" s="49"/>
      <c r="H572" s="50"/>
      <c r="I572" s="51"/>
      <c r="J572" s="37"/>
      <c r="K572" s="37"/>
      <c r="L572" s="37"/>
      <c r="M572" s="37"/>
      <c r="N572" s="37"/>
      <c r="O572" s="37"/>
      <c r="P572" s="37"/>
      <c r="Q572" s="37"/>
      <c r="R572" s="37"/>
      <c r="S572" s="37"/>
      <c r="T572" s="37"/>
      <c r="U572" s="37"/>
      <c r="V572" s="37"/>
      <c r="W572" s="37"/>
      <c r="X572" s="37"/>
    </row>
    <row r="573">
      <c r="A573" s="37"/>
      <c r="B573" s="49"/>
      <c r="H573" s="50"/>
      <c r="I573" s="51"/>
      <c r="J573" s="37"/>
      <c r="K573" s="37"/>
      <c r="L573" s="37"/>
      <c r="M573" s="37"/>
      <c r="N573" s="37"/>
      <c r="O573" s="37"/>
      <c r="P573" s="37"/>
      <c r="Q573" s="37"/>
      <c r="R573" s="37"/>
      <c r="S573" s="37"/>
      <c r="T573" s="37"/>
      <c r="U573" s="37"/>
      <c r="V573" s="37"/>
      <c r="W573" s="37"/>
      <c r="X573" s="37"/>
    </row>
    <row r="574">
      <c r="A574" s="37"/>
      <c r="B574" s="49"/>
      <c r="H574" s="50"/>
      <c r="I574" s="51"/>
      <c r="J574" s="37"/>
      <c r="K574" s="37"/>
      <c r="L574" s="37"/>
      <c r="M574" s="37"/>
      <c r="N574" s="37"/>
      <c r="O574" s="37"/>
      <c r="P574" s="37"/>
      <c r="Q574" s="37"/>
      <c r="R574" s="37"/>
      <c r="S574" s="37"/>
      <c r="T574" s="37"/>
      <c r="U574" s="37"/>
      <c r="V574" s="37"/>
      <c r="W574" s="37"/>
      <c r="X574" s="37"/>
    </row>
    <row r="575">
      <c r="A575" s="37"/>
      <c r="B575" s="49"/>
      <c r="H575" s="50"/>
      <c r="I575" s="51"/>
      <c r="J575" s="37"/>
      <c r="K575" s="37"/>
      <c r="L575" s="37"/>
      <c r="M575" s="37"/>
      <c r="N575" s="37"/>
      <c r="O575" s="37"/>
      <c r="P575" s="37"/>
      <c r="Q575" s="37"/>
      <c r="R575" s="37"/>
      <c r="S575" s="37"/>
      <c r="T575" s="37"/>
      <c r="U575" s="37"/>
      <c r="V575" s="37"/>
      <c r="W575" s="37"/>
      <c r="X575" s="37"/>
    </row>
    <row r="576">
      <c r="A576" s="37"/>
      <c r="B576" s="49"/>
      <c r="H576" s="50"/>
      <c r="I576" s="51"/>
      <c r="J576" s="37"/>
      <c r="K576" s="37"/>
      <c r="L576" s="37"/>
      <c r="M576" s="37"/>
      <c r="N576" s="37"/>
      <c r="O576" s="37"/>
      <c r="P576" s="37"/>
      <c r="Q576" s="37"/>
      <c r="R576" s="37"/>
      <c r="S576" s="37"/>
      <c r="T576" s="37"/>
      <c r="U576" s="37"/>
      <c r="V576" s="37"/>
      <c r="W576" s="37"/>
      <c r="X576" s="37"/>
    </row>
    <row r="577">
      <c r="A577" s="37"/>
      <c r="B577" s="49"/>
      <c r="H577" s="50"/>
      <c r="I577" s="51"/>
      <c r="J577" s="37"/>
      <c r="K577" s="37"/>
      <c r="L577" s="37"/>
      <c r="M577" s="37"/>
      <c r="N577" s="37"/>
      <c r="O577" s="37"/>
      <c r="P577" s="37"/>
      <c r="Q577" s="37"/>
      <c r="R577" s="37"/>
      <c r="S577" s="37"/>
      <c r="T577" s="37"/>
      <c r="U577" s="37"/>
      <c r="V577" s="37"/>
      <c r="W577" s="37"/>
      <c r="X577" s="37"/>
    </row>
    <row r="578">
      <c r="A578" s="37"/>
      <c r="B578" s="49"/>
      <c r="H578" s="50"/>
      <c r="I578" s="51"/>
      <c r="J578" s="37"/>
      <c r="K578" s="37"/>
      <c r="L578" s="37"/>
      <c r="M578" s="37"/>
      <c r="N578" s="37"/>
      <c r="O578" s="37"/>
      <c r="P578" s="37"/>
      <c r="Q578" s="37"/>
      <c r="R578" s="37"/>
      <c r="S578" s="37"/>
      <c r="T578" s="37"/>
      <c r="U578" s="37"/>
      <c r="V578" s="37"/>
      <c r="W578" s="37"/>
      <c r="X578" s="37"/>
    </row>
    <row r="579">
      <c r="A579" s="37"/>
      <c r="B579" s="49"/>
      <c r="H579" s="50"/>
      <c r="I579" s="51"/>
      <c r="J579" s="37"/>
      <c r="K579" s="37"/>
      <c r="L579" s="37"/>
      <c r="M579" s="37"/>
      <c r="N579" s="37"/>
      <c r="O579" s="37"/>
      <c r="P579" s="37"/>
      <c r="Q579" s="37"/>
      <c r="R579" s="37"/>
      <c r="S579" s="37"/>
      <c r="T579" s="37"/>
      <c r="U579" s="37"/>
      <c r="V579" s="37"/>
      <c r="W579" s="37"/>
      <c r="X579" s="37"/>
    </row>
    <row r="580">
      <c r="A580" s="37"/>
      <c r="B580" s="49"/>
      <c r="H580" s="50"/>
      <c r="I580" s="51"/>
      <c r="J580" s="37"/>
      <c r="K580" s="37"/>
      <c r="L580" s="37"/>
      <c r="M580" s="37"/>
      <c r="N580" s="37"/>
      <c r="O580" s="37"/>
      <c r="P580" s="37"/>
      <c r="Q580" s="37"/>
      <c r="R580" s="37"/>
      <c r="S580" s="37"/>
      <c r="T580" s="37"/>
      <c r="U580" s="37"/>
      <c r="V580" s="37"/>
      <c r="W580" s="37"/>
      <c r="X580" s="37"/>
    </row>
    <row r="581">
      <c r="A581" s="37"/>
      <c r="B581" s="49"/>
      <c r="H581" s="50"/>
      <c r="I581" s="51"/>
      <c r="J581" s="37"/>
      <c r="K581" s="37"/>
      <c r="L581" s="37"/>
      <c r="M581" s="37"/>
      <c r="N581" s="37"/>
      <c r="O581" s="37"/>
      <c r="P581" s="37"/>
      <c r="Q581" s="37"/>
      <c r="R581" s="37"/>
      <c r="S581" s="37"/>
      <c r="T581" s="37"/>
      <c r="U581" s="37"/>
      <c r="V581" s="37"/>
      <c r="W581" s="37"/>
      <c r="X581" s="37"/>
    </row>
    <row r="582">
      <c r="A582" s="37"/>
      <c r="B582" s="49"/>
      <c r="H582" s="50"/>
      <c r="I582" s="51"/>
      <c r="J582" s="37"/>
      <c r="K582" s="37"/>
      <c r="L582" s="37"/>
      <c r="M582" s="37"/>
      <c r="N582" s="37"/>
      <c r="O582" s="37"/>
      <c r="P582" s="37"/>
      <c r="Q582" s="37"/>
      <c r="R582" s="37"/>
      <c r="S582" s="37"/>
      <c r="T582" s="37"/>
      <c r="U582" s="37"/>
      <c r="V582" s="37"/>
      <c r="W582" s="37"/>
      <c r="X582" s="37"/>
    </row>
    <row r="583">
      <c r="A583" s="37"/>
      <c r="B583" s="49"/>
      <c r="H583" s="50"/>
      <c r="I583" s="51"/>
      <c r="J583" s="37"/>
      <c r="K583" s="37"/>
      <c r="L583" s="37"/>
      <c r="M583" s="37"/>
      <c r="N583" s="37"/>
      <c r="O583" s="37"/>
      <c r="P583" s="37"/>
      <c r="Q583" s="37"/>
      <c r="R583" s="37"/>
      <c r="S583" s="37"/>
      <c r="T583" s="37"/>
      <c r="U583" s="37"/>
      <c r="V583" s="37"/>
      <c r="W583" s="37"/>
      <c r="X583" s="37"/>
    </row>
    <row r="584">
      <c r="A584" s="37"/>
      <c r="B584" s="49"/>
      <c r="H584" s="50"/>
      <c r="I584" s="51"/>
      <c r="J584" s="37"/>
      <c r="K584" s="37"/>
      <c r="L584" s="37"/>
      <c r="M584" s="37"/>
      <c r="N584" s="37"/>
      <c r="O584" s="37"/>
      <c r="P584" s="37"/>
      <c r="Q584" s="37"/>
      <c r="R584" s="37"/>
      <c r="S584" s="37"/>
      <c r="T584" s="37"/>
      <c r="U584" s="37"/>
      <c r="V584" s="37"/>
      <c r="W584" s="37"/>
      <c r="X584" s="37"/>
    </row>
    <row r="585">
      <c r="A585" s="37"/>
      <c r="B585" s="49"/>
      <c r="H585" s="50"/>
      <c r="I585" s="51"/>
      <c r="J585" s="37"/>
      <c r="K585" s="37"/>
      <c r="L585" s="37"/>
      <c r="M585" s="37"/>
      <c r="N585" s="37"/>
      <c r="O585" s="37"/>
      <c r="P585" s="37"/>
      <c r="Q585" s="37"/>
      <c r="R585" s="37"/>
      <c r="S585" s="37"/>
      <c r="T585" s="37"/>
      <c r="U585" s="37"/>
      <c r="V585" s="37"/>
      <c r="W585" s="37"/>
      <c r="X585" s="37"/>
    </row>
    <row r="586">
      <c r="A586" s="37"/>
      <c r="B586" s="49"/>
      <c r="H586" s="50"/>
      <c r="I586" s="51"/>
      <c r="J586" s="37"/>
      <c r="K586" s="37"/>
      <c r="L586" s="37"/>
      <c r="M586" s="37"/>
      <c r="N586" s="37"/>
      <c r="O586" s="37"/>
      <c r="P586" s="37"/>
      <c r="Q586" s="37"/>
      <c r="R586" s="37"/>
      <c r="S586" s="37"/>
      <c r="T586" s="37"/>
      <c r="U586" s="37"/>
      <c r="V586" s="37"/>
      <c r="W586" s="37"/>
      <c r="X586" s="37"/>
    </row>
    <row r="587">
      <c r="A587" s="37"/>
      <c r="B587" s="49"/>
      <c r="H587" s="50"/>
      <c r="I587" s="51"/>
      <c r="J587" s="37"/>
      <c r="K587" s="37"/>
      <c r="L587" s="37"/>
      <c r="M587" s="37"/>
      <c r="N587" s="37"/>
      <c r="O587" s="37"/>
      <c r="P587" s="37"/>
      <c r="Q587" s="37"/>
      <c r="R587" s="37"/>
      <c r="S587" s="37"/>
      <c r="T587" s="37"/>
      <c r="U587" s="37"/>
      <c r="V587" s="37"/>
      <c r="W587" s="37"/>
      <c r="X587" s="37"/>
    </row>
    <row r="588">
      <c r="A588" s="37"/>
      <c r="B588" s="49"/>
      <c r="H588" s="50"/>
      <c r="I588" s="51"/>
      <c r="J588" s="37"/>
      <c r="K588" s="37"/>
      <c r="L588" s="37"/>
      <c r="M588" s="37"/>
      <c r="N588" s="37"/>
      <c r="O588" s="37"/>
      <c r="P588" s="37"/>
      <c r="Q588" s="37"/>
      <c r="R588" s="37"/>
      <c r="S588" s="37"/>
      <c r="T588" s="37"/>
      <c r="U588" s="37"/>
      <c r="V588" s="37"/>
      <c r="W588" s="37"/>
      <c r="X588" s="37"/>
    </row>
    <row r="589">
      <c r="A589" s="37"/>
      <c r="B589" s="49"/>
      <c r="H589" s="50"/>
      <c r="I589" s="51"/>
      <c r="J589" s="37"/>
      <c r="K589" s="37"/>
      <c r="L589" s="37"/>
      <c r="M589" s="37"/>
      <c r="N589" s="37"/>
      <c r="O589" s="37"/>
      <c r="P589" s="37"/>
      <c r="Q589" s="37"/>
      <c r="R589" s="37"/>
      <c r="S589" s="37"/>
      <c r="T589" s="37"/>
      <c r="U589" s="37"/>
      <c r="V589" s="37"/>
      <c r="W589" s="37"/>
      <c r="X589" s="37"/>
    </row>
    <row r="590">
      <c r="A590" s="37"/>
      <c r="B590" s="49"/>
      <c r="H590" s="50"/>
      <c r="I590" s="51"/>
      <c r="J590" s="37"/>
      <c r="K590" s="37"/>
      <c r="L590" s="37"/>
      <c r="M590" s="37"/>
      <c r="N590" s="37"/>
      <c r="O590" s="37"/>
      <c r="P590" s="37"/>
      <c r="Q590" s="37"/>
      <c r="R590" s="37"/>
      <c r="S590" s="37"/>
      <c r="T590" s="37"/>
      <c r="U590" s="37"/>
      <c r="V590" s="37"/>
      <c r="W590" s="37"/>
      <c r="X590" s="37"/>
    </row>
    <row r="591">
      <c r="A591" s="37"/>
      <c r="B591" s="49"/>
      <c r="H591" s="50"/>
      <c r="I591" s="51"/>
      <c r="J591" s="37"/>
      <c r="K591" s="37"/>
      <c r="L591" s="37"/>
      <c r="M591" s="37"/>
      <c r="N591" s="37"/>
      <c r="O591" s="37"/>
      <c r="P591" s="37"/>
      <c r="Q591" s="37"/>
      <c r="R591" s="37"/>
      <c r="S591" s="37"/>
      <c r="T591" s="37"/>
      <c r="U591" s="37"/>
      <c r="V591" s="37"/>
      <c r="W591" s="37"/>
      <c r="X591" s="37"/>
    </row>
    <row r="592">
      <c r="A592" s="37"/>
      <c r="B592" s="49"/>
      <c r="H592" s="50"/>
      <c r="I592" s="51"/>
      <c r="J592" s="37"/>
      <c r="K592" s="37"/>
      <c r="L592" s="37"/>
      <c r="M592" s="37"/>
      <c r="N592" s="37"/>
      <c r="O592" s="37"/>
      <c r="P592" s="37"/>
      <c r="Q592" s="37"/>
      <c r="R592" s="37"/>
      <c r="S592" s="37"/>
      <c r="T592" s="37"/>
      <c r="U592" s="37"/>
      <c r="V592" s="37"/>
      <c r="W592" s="37"/>
      <c r="X592" s="37"/>
    </row>
    <row r="593">
      <c r="A593" s="37"/>
      <c r="B593" s="49"/>
      <c r="H593" s="50"/>
      <c r="I593" s="51"/>
      <c r="J593" s="37"/>
      <c r="K593" s="37"/>
      <c r="L593" s="37"/>
      <c r="M593" s="37"/>
      <c r="N593" s="37"/>
      <c r="O593" s="37"/>
      <c r="P593" s="37"/>
      <c r="Q593" s="37"/>
      <c r="R593" s="37"/>
      <c r="S593" s="37"/>
      <c r="T593" s="37"/>
      <c r="U593" s="37"/>
      <c r="V593" s="37"/>
      <c r="W593" s="37"/>
      <c r="X593" s="37"/>
    </row>
    <row r="594">
      <c r="A594" s="37"/>
      <c r="B594" s="49"/>
      <c r="H594" s="50"/>
      <c r="I594" s="51"/>
      <c r="J594" s="37"/>
      <c r="K594" s="37"/>
      <c r="L594" s="37"/>
      <c r="M594" s="37"/>
      <c r="N594" s="37"/>
      <c r="O594" s="37"/>
      <c r="P594" s="37"/>
      <c r="Q594" s="37"/>
      <c r="R594" s="37"/>
      <c r="S594" s="37"/>
      <c r="T594" s="37"/>
      <c r="U594" s="37"/>
      <c r="V594" s="37"/>
      <c r="W594" s="37"/>
      <c r="X594" s="37"/>
    </row>
    <row r="595">
      <c r="A595" s="37"/>
      <c r="B595" s="49"/>
      <c r="H595" s="50"/>
      <c r="I595" s="51"/>
      <c r="J595" s="37"/>
      <c r="K595" s="37"/>
      <c r="L595" s="37"/>
      <c r="M595" s="37"/>
      <c r="N595" s="37"/>
      <c r="O595" s="37"/>
      <c r="P595" s="37"/>
      <c r="Q595" s="37"/>
      <c r="R595" s="37"/>
      <c r="S595" s="37"/>
      <c r="T595" s="37"/>
      <c r="U595" s="37"/>
      <c r="V595" s="37"/>
      <c r="W595" s="37"/>
      <c r="X595" s="37"/>
    </row>
    <row r="596">
      <c r="A596" s="37"/>
      <c r="B596" s="49"/>
      <c r="H596" s="50"/>
      <c r="I596" s="51"/>
      <c r="J596" s="37"/>
      <c r="K596" s="37"/>
      <c r="L596" s="37"/>
      <c r="M596" s="37"/>
      <c r="N596" s="37"/>
      <c r="O596" s="37"/>
      <c r="P596" s="37"/>
      <c r="Q596" s="37"/>
      <c r="R596" s="37"/>
      <c r="S596" s="37"/>
      <c r="T596" s="37"/>
      <c r="U596" s="37"/>
      <c r="V596" s="37"/>
      <c r="W596" s="37"/>
      <c r="X596" s="37"/>
    </row>
    <row r="597">
      <c r="A597" s="37"/>
      <c r="B597" s="49"/>
      <c r="H597" s="50"/>
      <c r="I597" s="51"/>
      <c r="J597" s="37"/>
      <c r="K597" s="37"/>
      <c r="L597" s="37"/>
      <c r="M597" s="37"/>
      <c r="N597" s="37"/>
      <c r="O597" s="37"/>
      <c r="P597" s="37"/>
      <c r="Q597" s="37"/>
      <c r="R597" s="37"/>
      <c r="S597" s="37"/>
      <c r="T597" s="37"/>
      <c r="U597" s="37"/>
      <c r="V597" s="37"/>
      <c r="W597" s="37"/>
      <c r="X597" s="37"/>
    </row>
    <row r="598">
      <c r="A598" s="37"/>
      <c r="B598" s="49"/>
      <c r="H598" s="50"/>
      <c r="I598" s="51"/>
      <c r="J598" s="37"/>
      <c r="K598" s="37"/>
      <c r="L598" s="37"/>
      <c r="M598" s="37"/>
      <c r="N598" s="37"/>
      <c r="O598" s="37"/>
      <c r="P598" s="37"/>
      <c r="Q598" s="37"/>
      <c r="R598" s="37"/>
      <c r="S598" s="37"/>
      <c r="T598" s="37"/>
      <c r="U598" s="37"/>
      <c r="V598" s="37"/>
      <c r="W598" s="37"/>
      <c r="X598" s="37"/>
    </row>
    <row r="599">
      <c r="A599" s="37"/>
      <c r="B599" s="49"/>
      <c r="H599" s="50"/>
      <c r="I599" s="51"/>
      <c r="J599" s="37"/>
      <c r="K599" s="37"/>
      <c r="L599" s="37"/>
      <c r="M599" s="37"/>
      <c r="N599" s="37"/>
      <c r="O599" s="37"/>
      <c r="P599" s="37"/>
      <c r="Q599" s="37"/>
      <c r="R599" s="37"/>
      <c r="S599" s="37"/>
      <c r="T599" s="37"/>
      <c r="U599" s="37"/>
      <c r="V599" s="37"/>
      <c r="W599" s="37"/>
      <c r="X599" s="37"/>
    </row>
    <row r="600">
      <c r="A600" s="37"/>
      <c r="B600" s="49"/>
      <c r="H600" s="50"/>
      <c r="I600" s="51"/>
      <c r="J600" s="37"/>
      <c r="K600" s="37"/>
      <c r="L600" s="37"/>
      <c r="M600" s="37"/>
      <c r="N600" s="37"/>
      <c r="O600" s="37"/>
      <c r="P600" s="37"/>
      <c r="Q600" s="37"/>
      <c r="R600" s="37"/>
      <c r="S600" s="37"/>
      <c r="T600" s="37"/>
      <c r="U600" s="37"/>
      <c r="V600" s="37"/>
      <c r="W600" s="37"/>
      <c r="X600" s="37"/>
    </row>
    <row r="601">
      <c r="A601" s="37"/>
      <c r="B601" s="49"/>
      <c r="H601" s="50"/>
      <c r="I601" s="51"/>
      <c r="J601" s="37"/>
      <c r="K601" s="37"/>
      <c r="L601" s="37"/>
      <c r="M601" s="37"/>
      <c r="N601" s="37"/>
      <c r="O601" s="37"/>
      <c r="P601" s="37"/>
      <c r="Q601" s="37"/>
      <c r="R601" s="37"/>
      <c r="S601" s="37"/>
      <c r="T601" s="37"/>
      <c r="U601" s="37"/>
      <c r="V601" s="37"/>
      <c r="W601" s="37"/>
      <c r="X601" s="37"/>
    </row>
    <row r="602">
      <c r="A602" s="37"/>
      <c r="B602" s="49"/>
      <c r="H602" s="50"/>
      <c r="I602" s="51"/>
      <c r="J602" s="37"/>
      <c r="K602" s="37"/>
      <c r="L602" s="37"/>
      <c r="M602" s="37"/>
      <c r="N602" s="37"/>
      <c r="O602" s="37"/>
      <c r="P602" s="37"/>
      <c r="Q602" s="37"/>
      <c r="R602" s="37"/>
      <c r="S602" s="37"/>
      <c r="T602" s="37"/>
      <c r="U602" s="37"/>
      <c r="V602" s="37"/>
      <c r="W602" s="37"/>
      <c r="X602" s="37"/>
    </row>
    <row r="603">
      <c r="A603" s="37"/>
      <c r="B603" s="49"/>
      <c r="H603" s="50"/>
      <c r="I603" s="51"/>
      <c r="J603" s="37"/>
      <c r="K603" s="37"/>
      <c r="L603" s="37"/>
      <c r="M603" s="37"/>
      <c r="N603" s="37"/>
      <c r="O603" s="37"/>
      <c r="P603" s="37"/>
      <c r="Q603" s="37"/>
      <c r="R603" s="37"/>
      <c r="S603" s="37"/>
      <c r="T603" s="37"/>
      <c r="U603" s="37"/>
      <c r="V603" s="37"/>
      <c r="W603" s="37"/>
      <c r="X603" s="37"/>
    </row>
    <row r="604">
      <c r="A604" s="37"/>
      <c r="B604" s="49"/>
      <c r="H604" s="50"/>
      <c r="I604" s="51"/>
      <c r="J604" s="37"/>
      <c r="K604" s="37"/>
      <c r="L604" s="37"/>
      <c r="M604" s="37"/>
      <c r="N604" s="37"/>
      <c r="O604" s="37"/>
      <c r="P604" s="37"/>
      <c r="Q604" s="37"/>
      <c r="R604" s="37"/>
      <c r="S604" s="37"/>
      <c r="T604" s="37"/>
      <c r="U604" s="37"/>
      <c r="V604" s="37"/>
      <c r="W604" s="37"/>
      <c r="X604" s="37"/>
    </row>
    <row r="605">
      <c r="A605" s="37"/>
      <c r="B605" s="49"/>
      <c r="H605" s="50"/>
      <c r="I605" s="51"/>
      <c r="J605" s="37"/>
      <c r="K605" s="37"/>
      <c r="L605" s="37"/>
      <c r="M605" s="37"/>
      <c r="N605" s="37"/>
      <c r="O605" s="37"/>
      <c r="P605" s="37"/>
      <c r="Q605" s="37"/>
      <c r="R605" s="37"/>
      <c r="S605" s="37"/>
      <c r="T605" s="37"/>
      <c r="U605" s="37"/>
      <c r="V605" s="37"/>
      <c r="W605" s="37"/>
      <c r="X605" s="37"/>
    </row>
    <row r="606">
      <c r="A606" s="37"/>
      <c r="B606" s="49"/>
      <c r="H606" s="50"/>
      <c r="I606" s="51"/>
      <c r="J606" s="37"/>
      <c r="K606" s="37"/>
      <c r="L606" s="37"/>
      <c r="M606" s="37"/>
      <c r="N606" s="37"/>
      <c r="O606" s="37"/>
      <c r="P606" s="37"/>
      <c r="Q606" s="37"/>
      <c r="R606" s="37"/>
      <c r="S606" s="37"/>
      <c r="T606" s="37"/>
      <c r="U606" s="37"/>
      <c r="V606" s="37"/>
      <c r="W606" s="37"/>
      <c r="X606" s="37"/>
    </row>
    <row r="607">
      <c r="A607" s="37"/>
      <c r="B607" s="49"/>
      <c r="H607" s="50"/>
      <c r="I607" s="51"/>
      <c r="J607" s="37"/>
      <c r="K607" s="37"/>
      <c r="L607" s="37"/>
      <c r="M607" s="37"/>
      <c r="N607" s="37"/>
      <c r="O607" s="37"/>
      <c r="P607" s="37"/>
      <c r="Q607" s="37"/>
      <c r="R607" s="37"/>
      <c r="S607" s="37"/>
      <c r="T607" s="37"/>
      <c r="U607" s="37"/>
      <c r="V607" s="37"/>
      <c r="W607" s="37"/>
      <c r="X607" s="37"/>
    </row>
    <row r="608">
      <c r="A608" s="37"/>
      <c r="B608" s="49"/>
      <c r="H608" s="50"/>
      <c r="I608" s="51"/>
      <c r="J608" s="37"/>
      <c r="K608" s="37"/>
      <c r="L608" s="37"/>
      <c r="M608" s="37"/>
      <c r="N608" s="37"/>
      <c r="O608" s="37"/>
      <c r="P608" s="37"/>
      <c r="Q608" s="37"/>
      <c r="R608" s="37"/>
      <c r="S608" s="37"/>
      <c r="T608" s="37"/>
      <c r="U608" s="37"/>
      <c r="V608" s="37"/>
      <c r="W608" s="37"/>
      <c r="X608" s="37"/>
    </row>
    <row r="609">
      <c r="A609" s="37"/>
      <c r="B609" s="49"/>
      <c r="H609" s="50"/>
      <c r="I609" s="51"/>
      <c r="J609" s="37"/>
      <c r="K609" s="37"/>
      <c r="L609" s="37"/>
      <c r="M609" s="37"/>
      <c r="N609" s="37"/>
      <c r="O609" s="37"/>
      <c r="P609" s="37"/>
      <c r="Q609" s="37"/>
      <c r="R609" s="37"/>
      <c r="S609" s="37"/>
      <c r="T609" s="37"/>
      <c r="U609" s="37"/>
      <c r="V609" s="37"/>
      <c r="W609" s="37"/>
      <c r="X609" s="37"/>
    </row>
    <row r="610">
      <c r="A610" s="37"/>
      <c r="B610" s="49"/>
      <c r="H610" s="50"/>
      <c r="I610" s="51"/>
      <c r="J610" s="37"/>
      <c r="K610" s="37"/>
      <c r="L610" s="37"/>
      <c r="M610" s="37"/>
      <c r="N610" s="37"/>
      <c r="O610" s="37"/>
      <c r="P610" s="37"/>
      <c r="Q610" s="37"/>
      <c r="R610" s="37"/>
      <c r="S610" s="37"/>
      <c r="T610" s="37"/>
      <c r="U610" s="37"/>
      <c r="V610" s="37"/>
      <c r="W610" s="37"/>
      <c r="X610" s="37"/>
    </row>
    <row r="611">
      <c r="A611" s="37"/>
      <c r="B611" s="49"/>
      <c r="H611" s="50"/>
      <c r="I611" s="51"/>
      <c r="J611" s="37"/>
      <c r="K611" s="37"/>
      <c r="L611" s="37"/>
      <c r="M611" s="37"/>
      <c r="N611" s="37"/>
      <c r="O611" s="37"/>
      <c r="P611" s="37"/>
      <c r="Q611" s="37"/>
      <c r="R611" s="37"/>
      <c r="S611" s="37"/>
      <c r="T611" s="37"/>
      <c r="U611" s="37"/>
      <c r="V611" s="37"/>
      <c r="W611" s="37"/>
      <c r="X611" s="37"/>
    </row>
    <row r="612">
      <c r="A612" s="37"/>
      <c r="B612" s="49"/>
      <c r="H612" s="50"/>
      <c r="I612" s="51"/>
      <c r="J612" s="37"/>
      <c r="K612" s="37"/>
      <c r="L612" s="37"/>
      <c r="M612" s="37"/>
      <c r="N612" s="37"/>
      <c r="O612" s="37"/>
      <c r="P612" s="37"/>
      <c r="Q612" s="37"/>
      <c r="R612" s="37"/>
      <c r="S612" s="37"/>
      <c r="T612" s="37"/>
      <c r="U612" s="37"/>
      <c r="V612" s="37"/>
      <c r="W612" s="37"/>
      <c r="X612" s="37"/>
    </row>
    <row r="613">
      <c r="A613" s="37"/>
      <c r="B613" s="49"/>
      <c r="H613" s="50"/>
      <c r="I613" s="51"/>
      <c r="J613" s="37"/>
      <c r="K613" s="37"/>
      <c r="L613" s="37"/>
      <c r="M613" s="37"/>
      <c r="N613" s="37"/>
      <c r="O613" s="37"/>
      <c r="P613" s="37"/>
      <c r="Q613" s="37"/>
      <c r="R613" s="37"/>
      <c r="S613" s="37"/>
      <c r="T613" s="37"/>
      <c r="U613" s="37"/>
      <c r="V613" s="37"/>
      <c r="W613" s="37"/>
      <c r="X613" s="37"/>
    </row>
    <row r="614">
      <c r="A614" s="37"/>
      <c r="B614" s="49"/>
      <c r="H614" s="50"/>
      <c r="I614" s="51"/>
      <c r="J614" s="37"/>
      <c r="K614" s="37"/>
      <c r="L614" s="37"/>
      <c r="M614" s="37"/>
      <c r="N614" s="37"/>
      <c r="O614" s="37"/>
      <c r="P614" s="37"/>
      <c r="Q614" s="37"/>
      <c r="R614" s="37"/>
      <c r="S614" s="37"/>
      <c r="T614" s="37"/>
      <c r="U614" s="37"/>
      <c r="V614" s="37"/>
      <c r="W614" s="37"/>
      <c r="X614" s="37"/>
    </row>
    <row r="615">
      <c r="A615" s="37"/>
      <c r="B615" s="49"/>
      <c r="H615" s="50"/>
      <c r="I615" s="51"/>
      <c r="J615" s="37"/>
      <c r="K615" s="37"/>
      <c r="L615" s="37"/>
      <c r="M615" s="37"/>
      <c r="N615" s="37"/>
      <c r="O615" s="37"/>
      <c r="P615" s="37"/>
      <c r="Q615" s="37"/>
      <c r="R615" s="37"/>
      <c r="S615" s="37"/>
      <c r="T615" s="37"/>
      <c r="U615" s="37"/>
      <c r="V615" s="37"/>
      <c r="W615" s="37"/>
      <c r="X615" s="37"/>
    </row>
    <row r="616">
      <c r="A616" s="37"/>
      <c r="B616" s="49"/>
      <c r="H616" s="50"/>
      <c r="I616" s="51"/>
      <c r="J616" s="37"/>
      <c r="K616" s="37"/>
      <c r="L616" s="37"/>
      <c r="M616" s="37"/>
      <c r="N616" s="37"/>
      <c r="O616" s="37"/>
      <c r="P616" s="37"/>
      <c r="Q616" s="37"/>
      <c r="R616" s="37"/>
      <c r="S616" s="37"/>
      <c r="T616" s="37"/>
      <c r="U616" s="37"/>
      <c r="V616" s="37"/>
      <c r="W616" s="37"/>
      <c r="X616" s="37"/>
    </row>
    <row r="617">
      <c r="A617" s="37"/>
      <c r="B617" s="49"/>
      <c r="H617" s="50"/>
      <c r="I617" s="51"/>
      <c r="J617" s="37"/>
      <c r="K617" s="37"/>
      <c r="L617" s="37"/>
      <c r="M617" s="37"/>
      <c r="N617" s="37"/>
      <c r="O617" s="37"/>
      <c r="P617" s="37"/>
      <c r="Q617" s="37"/>
      <c r="R617" s="37"/>
      <c r="S617" s="37"/>
      <c r="T617" s="37"/>
      <c r="U617" s="37"/>
      <c r="V617" s="37"/>
      <c r="W617" s="37"/>
      <c r="X617" s="37"/>
    </row>
    <row r="618">
      <c r="A618" s="37"/>
      <c r="B618" s="49"/>
      <c r="H618" s="50"/>
      <c r="I618" s="51"/>
      <c r="J618" s="37"/>
      <c r="K618" s="37"/>
      <c r="L618" s="37"/>
      <c r="M618" s="37"/>
      <c r="N618" s="37"/>
      <c r="O618" s="37"/>
      <c r="P618" s="37"/>
      <c r="Q618" s="37"/>
      <c r="R618" s="37"/>
      <c r="S618" s="37"/>
      <c r="T618" s="37"/>
      <c r="U618" s="37"/>
      <c r="V618" s="37"/>
      <c r="W618" s="37"/>
      <c r="X618" s="37"/>
    </row>
    <row r="619">
      <c r="A619" s="37"/>
      <c r="B619" s="49"/>
      <c r="H619" s="50"/>
      <c r="I619" s="51"/>
      <c r="J619" s="37"/>
      <c r="K619" s="37"/>
      <c r="L619" s="37"/>
      <c r="M619" s="37"/>
      <c r="N619" s="37"/>
      <c r="O619" s="37"/>
      <c r="P619" s="37"/>
      <c r="Q619" s="37"/>
      <c r="R619" s="37"/>
      <c r="S619" s="37"/>
      <c r="T619" s="37"/>
      <c r="U619" s="37"/>
      <c r="V619" s="37"/>
      <c r="W619" s="37"/>
      <c r="X619" s="37"/>
    </row>
    <row r="620">
      <c r="A620" s="37"/>
      <c r="B620" s="49"/>
      <c r="H620" s="50"/>
      <c r="I620" s="51"/>
      <c r="J620" s="37"/>
      <c r="K620" s="37"/>
      <c r="L620" s="37"/>
      <c r="M620" s="37"/>
      <c r="N620" s="37"/>
      <c r="O620" s="37"/>
      <c r="P620" s="37"/>
      <c r="Q620" s="37"/>
      <c r="R620" s="37"/>
      <c r="S620" s="37"/>
      <c r="T620" s="37"/>
      <c r="U620" s="37"/>
      <c r="V620" s="37"/>
      <c r="W620" s="37"/>
      <c r="X620" s="37"/>
    </row>
    <row r="621">
      <c r="A621" s="37"/>
      <c r="B621" s="49"/>
      <c r="H621" s="50"/>
      <c r="I621" s="51"/>
      <c r="J621" s="37"/>
      <c r="K621" s="37"/>
      <c r="L621" s="37"/>
      <c r="M621" s="37"/>
      <c r="N621" s="37"/>
      <c r="O621" s="37"/>
      <c r="P621" s="37"/>
      <c r="Q621" s="37"/>
      <c r="R621" s="37"/>
      <c r="S621" s="37"/>
      <c r="T621" s="37"/>
      <c r="U621" s="37"/>
      <c r="V621" s="37"/>
      <c r="W621" s="37"/>
      <c r="X621" s="37"/>
    </row>
    <row r="622">
      <c r="A622" s="37"/>
      <c r="B622" s="49"/>
      <c r="H622" s="50"/>
      <c r="I622" s="51"/>
      <c r="J622" s="37"/>
      <c r="K622" s="37"/>
      <c r="L622" s="37"/>
      <c r="M622" s="37"/>
      <c r="N622" s="37"/>
      <c r="O622" s="37"/>
      <c r="P622" s="37"/>
      <c r="Q622" s="37"/>
      <c r="R622" s="37"/>
      <c r="S622" s="37"/>
      <c r="T622" s="37"/>
      <c r="U622" s="37"/>
      <c r="V622" s="37"/>
      <c r="W622" s="37"/>
      <c r="X622" s="37"/>
    </row>
    <row r="623">
      <c r="A623" s="37"/>
      <c r="B623" s="49"/>
      <c r="H623" s="50"/>
      <c r="I623" s="51"/>
      <c r="J623" s="37"/>
      <c r="K623" s="37"/>
      <c r="L623" s="37"/>
      <c r="M623" s="37"/>
      <c r="N623" s="37"/>
      <c r="O623" s="37"/>
      <c r="P623" s="37"/>
      <c r="Q623" s="37"/>
      <c r="R623" s="37"/>
      <c r="S623" s="37"/>
      <c r="T623" s="37"/>
      <c r="U623" s="37"/>
      <c r="V623" s="37"/>
      <c r="W623" s="37"/>
      <c r="X623" s="37"/>
    </row>
    <row r="624">
      <c r="A624" s="37"/>
      <c r="B624" s="49"/>
      <c r="H624" s="50"/>
      <c r="I624" s="51"/>
      <c r="J624" s="37"/>
      <c r="K624" s="37"/>
      <c r="L624" s="37"/>
      <c r="M624" s="37"/>
      <c r="N624" s="37"/>
      <c r="O624" s="37"/>
      <c r="P624" s="37"/>
      <c r="Q624" s="37"/>
      <c r="R624" s="37"/>
      <c r="S624" s="37"/>
      <c r="T624" s="37"/>
      <c r="U624" s="37"/>
      <c r="V624" s="37"/>
      <c r="W624" s="37"/>
      <c r="X624" s="37"/>
    </row>
    <row r="625">
      <c r="A625" s="37"/>
      <c r="B625" s="49"/>
      <c r="H625" s="50"/>
      <c r="I625" s="51"/>
      <c r="J625" s="37"/>
      <c r="K625" s="37"/>
      <c r="L625" s="37"/>
      <c r="M625" s="37"/>
      <c r="N625" s="37"/>
      <c r="O625" s="37"/>
      <c r="P625" s="37"/>
      <c r="Q625" s="37"/>
      <c r="R625" s="37"/>
      <c r="S625" s="37"/>
      <c r="T625" s="37"/>
      <c r="U625" s="37"/>
      <c r="V625" s="37"/>
      <c r="W625" s="37"/>
      <c r="X625" s="37"/>
    </row>
    <row r="626">
      <c r="A626" s="37"/>
      <c r="B626" s="49"/>
      <c r="H626" s="50"/>
      <c r="I626" s="51"/>
      <c r="J626" s="37"/>
      <c r="K626" s="37"/>
      <c r="L626" s="37"/>
      <c r="M626" s="37"/>
      <c r="N626" s="37"/>
      <c r="O626" s="37"/>
      <c r="P626" s="37"/>
      <c r="Q626" s="37"/>
      <c r="R626" s="37"/>
      <c r="S626" s="37"/>
      <c r="T626" s="37"/>
      <c r="U626" s="37"/>
      <c r="V626" s="37"/>
      <c r="W626" s="37"/>
      <c r="X626" s="37"/>
    </row>
    <row r="627">
      <c r="A627" s="37"/>
      <c r="B627" s="49"/>
      <c r="H627" s="50"/>
      <c r="I627" s="51"/>
      <c r="J627" s="37"/>
      <c r="K627" s="37"/>
      <c r="L627" s="37"/>
      <c r="M627" s="37"/>
      <c r="N627" s="37"/>
      <c r="O627" s="37"/>
      <c r="P627" s="37"/>
      <c r="Q627" s="37"/>
      <c r="R627" s="37"/>
      <c r="S627" s="37"/>
      <c r="T627" s="37"/>
      <c r="U627" s="37"/>
      <c r="V627" s="37"/>
      <c r="W627" s="37"/>
      <c r="X627" s="37"/>
    </row>
    <row r="628">
      <c r="A628" s="37"/>
      <c r="B628" s="49"/>
      <c r="H628" s="50"/>
      <c r="I628" s="51"/>
      <c r="J628" s="37"/>
      <c r="K628" s="37"/>
      <c r="L628" s="37"/>
      <c r="M628" s="37"/>
      <c r="N628" s="37"/>
      <c r="O628" s="37"/>
      <c r="P628" s="37"/>
      <c r="Q628" s="37"/>
      <c r="R628" s="37"/>
      <c r="S628" s="37"/>
      <c r="T628" s="37"/>
      <c r="U628" s="37"/>
      <c r="V628" s="37"/>
      <c r="W628" s="37"/>
      <c r="X628" s="37"/>
    </row>
    <row r="629">
      <c r="A629" s="37"/>
      <c r="B629" s="49"/>
      <c r="H629" s="50"/>
      <c r="I629" s="51"/>
      <c r="J629" s="37"/>
      <c r="K629" s="37"/>
      <c r="L629" s="37"/>
      <c r="M629" s="37"/>
      <c r="N629" s="37"/>
      <c r="O629" s="37"/>
      <c r="P629" s="37"/>
      <c r="Q629" s="37"/>
      <c r="R629" s="37"/>
      <c r="S629" s="37"/>
      <c r="T629" s="37"/>
      <c r="U629" s="37"/>
      <c r="V629" s="37"/>
      <c r="W629" s="37"/>
      <c r="X629" s="37"/>
    </row>
    <row r="630">
      <c r="A630" s="37"/>
      <c r="B630" s="49"/>
      <c r="H630" s="50"/>
      <c r="I630" s="51"/>
      <c r="J630" s="37"/>
      <c r="K630" s="37"/>
      <c r="L630" s="37"/>
      <c r="M630" s="37"/>
      <c r="N630" s="37"/>
      <c r="O630" s="37"/>
      <c r="P630" s="37"/>
      <c r="Q630" s="37"/>
      <c r="R630" s="37"/>
      <c r="S630" s="37"/>
      <c r="T630" s="37"/>
      <c r="U630" s="37"/>
      <c r="V630" s="37"/>
      <c r="W630" s="37"/>
      <c r="X630" s="37"/>
    </row>
    <row r="631">
      <c r="A631" s="37"/>
      <c r="B631" s="49"/>
      <c r="H631" s="50"/>
      <c r="I631" s="51"/>
      <c r="J631" s="37"/>
      <c r="K631" s="37"/>
      <c r="L631" s="37"/>
      <c r="M631" s="37"/>
      <c r="N631" s="37"/>
      <c r="O631" s="37"/>
      <c r="P631" s="37"/>
      <c r="Q631" s="37"/>
      <c r="R631" s="37"/>
      <c r="S631" s="37"/>
      <c r="T631" s="37"/>
      <c r="U631" s="37"/>
      <c r="V631" s="37"/>
      <c r="W631" s="37"/>
      <c r="X631" s="37"/>
    </row>
    <row r="632">
      <c r="A632" s="37"/>
      <c r="B632" s="49"/>
      <c r="H632" s="50"/>
      <c r="I632" s="51"/>
      <c r="J632" s="37"/>
      <c r="K632" s="37"/>
      <c r="L632" s="37"/>
      <c r="M632" s="37"/>
      <c r="N632" s="37"/>
      <c r="O632" s="37"/>
      <c r="P632" s="37"/>
      <c r="Q632" s="37"/>
      <c r="R632" s="37"/>
      <c r="S632" s="37"/>
      <c r="T632" s="37"/>
      <c r="U632" s="37"/>
      <c r="V632" s="37"/>
      <c r="W632" s="37"/>
      <c r="X632" s="37"/>
    </row>
    <row r="633">
      <c r="A633" s="37"/>
      <c r="B633" s="49"/>
      <c r="H633" s="50"/>
      <c r="I633" s="51"/>
      <c r="J633" s="37"/>
      <c r="K633" s="37"/>
      <c r="L633" s="37"/>
      <c r="M633" s="37"/>
      <c r="N633" s="37"/>
      <c r="O633" s="37"/>
      <c r="P633" s="37"/>
      <c r="Q633" s="37"/>
      <c r="R633" s="37"/>
      <c r="S633" s="37"/>
      <c r="T633" s="37"/>
      <c r="U633" s="37"/>
      <c r="V633" s="37"/>
      <c r="W633" s="37"/>
      <c r="X633" s="37"/>
    </row>
    <row r="634">
      <c r="A634" s="37"/>
      <c r="B634" s="49"/>
      <c r="H634" s="50"/>
      <c r="I634" s="51"/>
      <c r="J634" s="37"/>
      <c r="K634" s="37"/>
      <c r="L634" s="37"/>
      <c r="M634" s="37"/>
      <c r="N634" s="37"/>
      <c r="O634" s="37"/>
      <c r="P634" s="37"/>
      <c r="Q634" s="37"/>
      <c r="R634" s="37"/>
      <c r="S634" s="37"/>
      <c r="T634" s="37"/>
      <c r="U634" s="37"/>
      <c r="V634" s="37"/>
      <c r="W634" s="37"/>
      <c r="X634" s="37"/>
    </row>
    <row r="635">
      <c r="A635" s="37"/>
      <c r="B635" s="49"/>
      <c r="H635" s="50"/>
      <c r="I635" s="51"/>
      <c r="J635" s="37"/>
      <c r="K635" s="37"/>
      <c r="L635" s="37"/>
      <c r="M635" s="37"/>
      <c r="N635" s="37"/>
      <c r="O635" s="37"/>
      <c r="P635" s="37"/>
      <c r="Q635" s="37"/>
      <c r="R635" s="37"/>
      <c r="S635" s="37"/>
      <c r="T635" s="37"/>
      <c r="U635" s="37"/>
      <c r="V635" s="37"/>
      <c r="W635" s="37"/>
      <c r="X635" s="37"/>
    </row>
    <row r="636">
      <c r="A636" s="37"/>
      <c r="B636" s="49"/>
      <c r="H636" s="50"/>
      <c r="I636" s="51"/>
      <c r="J636" s="37"/>
      <c r="K636" s="37"/>
      <c r="L636" s="37"/>
      <c r="M636" s="37"/>
      <c r="N636" s="37"/>
      <c r="O636" s="37"/>
      <c r="P636" s="37"/>
      <c r="Q636" s="37"/>
      <c r="R636" s="37"/>
      <c r="S636" s="37"/>
      <c r="T636" s="37"/>
      <c r="U636" s="37"/>
      <c r="V636" s="37"/>
      <c r="W636" s="37"/>
      <c r="X636" s="37"/>
    </row>
    <row r="637">
      <c r="A637" s="37"/>
      <c r="B637" s="49"/>
      <c r="H637" s="50"/>
      <c r="I637" s="51"/>
      <c r="J637" s="37"/>
      <c r="K637" s="37"/>
      <c r="L637" s="37"/>
      <c r="M637" s="37"/>
      <c r="N637" s="37"/>
      <c r="O637" s="37"/>
      <c r="P637" s="37"/>
      <c r="Q637" s="37"/>
      <c r="R637" s="37"/>
      <c r="S637" s="37"/>
      <c r="T637" s="37"/>
      <c r="U637" s="37"/>
      <c r="V637" s="37"/>
      <c r="W637" s="37"/>
      <c r="X637" s="37"/>
    </row>
    <row r="638">
      <c r="A638" s="37"/>
      <c r="B638" s="49"/>
      <c r="H638" s="50"/>
      <c r="I638" s="51"/>
      <c r="J638" s="37"/>
      <c r="K638" s="37"/>
      <c r="L638" s="37"/>
      <c r="M638" s="37"/>
      <c r="N638" s="37"/>
      <c r="O638" s="37"/>
      <c r="P638" s="37"/>
      <c r="Q638" s="37"/>
      <c r="R638" s="37"/>
      <c r="S638" s="37"/>
      <c r="T638" s="37"/>
      <c r="U638" s="37"/>
      <c r="V638" s="37"/>
      <c r="W638" s="37"/>
      <c r="X638" s="37"/>
    </row>
    <row r="639">
      <c r="A639" s="37"/>
      <c r="B639" s="49"/>
      <c r="H639" s="50"/>
      <c r="I639" s="51"/>
      <c r="J639" s="37"/>
      <c r="K639" s="37"/>
      <c r="L639" s="37"/>
      <c r="M639" s="37"/>
      <c r="N639" s="37"/>
      <c r="O639" s="37"/>
      <c r="P639" s="37"/>
      <c r="Q639" s="37"/>
      <c r="R639" s="37"/>
      <c r="S639" s="37"/>
      <c r="T639" s="37"/>
      <c r="U639" s="37"/>
      <c r="V639" s="37"/>
      <c r="W639" s="37"/>
      <c r="X639" s="37"/>
    </row>
    <row r="640">
      <c r="A640" s="37"/>
      <c r="B640" s="49"/>
      <c r="H640" s="50"/>
      <c r="I640" s="51"/>
      <c r="J640" s="37"/>
      <c r="K640" s="37"/>
      <c r="L640" s="37"/>
      <c r="M640" s="37"/>
      <c r="N640" s="37"/>
      <c r="O640" s="37"/>
      <c r="P640" s="37"/>
      <c r="Q640" s="37"/>
      <c r="R640" s="37"/>
      <c r="S640" s="37"/>
      <c r="T640" s="37"/>
      <c r="U640" s="37"/>
      <c r="V640" s="37"/>
      <c r="W640" s="37"/>
      <c r="X640" s="37"/>
    </row>
    <row r="641">
      <c r="A641" s="37"/>
      <c r="B641" s="49"/>
      <c r="H641" s="50"/>
      <c r="I641" s="51"/>
      <c r="J641" s="37"/>
      <c r="K641" s="37"/>
      <c r="L641" s="37"/>
      <c r="M641" s="37"/>
      <c r="N641" s="37"/>
      <c r="O641" s="37"/>
      <c r="P641" s="37"/>
      <c r="Q641" s="37"/>
      <c r="R641" s="37"/>
      <c r="S641" s="37"/>
      <c r="T641" s="37"/>
      <c r="U641" s="37"/>
      <c r="V641" s="37"/>
      <c r="W641" s="37"/>
      <c r="X641" s="37"/>
    </row>
    <row r="642">
      <c r="A642" s="37"/>
      <c r="B642" s="49"/>
      <c r="H642" s="50"/>
      <c r="I642" s="51"/>
      <c r="J642" s="37"/>
      <c r="K642" s="37"/>
      <c r="L642" s="37"/>
      <c r="M642" s="37"/>
      <c r="N642" s="37"/>
      <c r="O642" s="37"/>
      <c r="P642" s="37"/>
      <c r="Q642" s="37"/>
      <c r="R642" s="37"/>
      <c r="S642" s="37"/>
      <c r="T642" s="37"/>
      <c r="U642" s="37"/>
      <c r="V642" s="37"/>
      <c r="W642" s="37"/>
      <c r="X642" s="37"/>
    </row>
    <row r="643">
      <c r="A643" s="37"/>
      <c r="B643" s="49"/>
      <c r="H643" s="50"/>
      <c r="I643" s="51"/>
      <c r="J643" s="37"/>
      <c r="K643" s="37"/>
      <c r="L643" s="37"/>
      <c r="M643" s="37"/>
      <c r="N643" s="37"/>
      <c r="O643" s="37"/>
      <c r="P643" s="37"/>
      <c r="Q643" s="37"/>
      <c r="R643" s="37"/>
      <c r="S643" s="37"/>
      <c r="T643" s="37"/>
      <c r="U643" s="37"/>
      <c r="V643" s="37"/>
      <c r="W643" s="37"/>
      <c r="X643" s="37"/>
    </row>
    <row r="644">
      <c r="A644" s="37"/>
      <c r="B644" s="49"/>
      <c r="H644" s="50"/>
      <c r="I644" s="51"/>
      <c r="J644" s="37"/>
      <c r="K644" s="37"/>
      <c r="L644" s="37"/>
      <c r="M644" s="37"/>
      <c r="N644" s="37"/>
      <c r="O644" s="37"/>
      <c r="P644" s="37"/>
      <c r="Q644" s="37"/>
      <c r="R644" s="37"/>
      <c r="S644" s="37"/>
      <c r="T644" s="37"/>
      <c r="U644" s="37"/>
      <c r="V644" s="37"/>
      <c r="W644" s="37"/>
      <c r="X644" s="37"/>
    </row>
    <row r="645">
      <c r="A645" s="37"/>
      <c r="B645" s="49"/>
      <c r="H645" s="50"/>
      <c r="I645" s="51"/>
      <c r="J645" s="37"/>
      <c r="K645" s="37"/>
      <c r="L645" s="37"/>
      <c r="M645" s="37"/>
      <c r="N645" s="37"/>
      <c r="O645" s="37"/>
      <c r="P645" s="37"/>
      <c r="Q645" s="37"/>
      <c r="R645" s="37"/>
      <c r="S645" s="37"/>
      <c r="T645" s="37"/>
      <c r="U645" s="37"/>
      <c r="V645" s="37"/>
      <c r="W645" s="37"/>
      <c r="X645" s="37"/>
    </row>
    <row r="646">
      <c r="A646" s="37"/>
      <c r="B646" s="49"/>
      <c r="H646" s="50"/>
      <c r="I646" s="51"/>
      <c r="J646" s="37"/>
      <c r="K646" s="37"/>
      <c r="L646" s="37"/>
      <c r="M646" s="37"/>
      <c r="N646" s="37"/>
      <c r="O646" s="37"/>
      <c r="P646" s="37"/>
      <c r="Q646" s="37"/>
      <c r="R646" s="37"/>
      <c r="S646" s="37"/>
      <c r="T646" s="37"/>
      <c r="U646" s="37"/>
      <c r="V646" s="37"/>
      <c r="W646" s="37"/>
      <c r="X646" s="37"/>
    </row>
    <row r="647">
      <c r="A647" s="37"/>
      <c r="B647" s="49"/>
      <c r="H647" s="50"/>
      <c r="I647" s="51"/>
      <c r="J647" s="37"/>
      <c r="K647" s="37"/>
      <c r="L647" s="37"/>
      <c r="M647" s="37"/>
      <c r="N647" s="37"/>
      <c r="O647" s="37"/>
      <c r="P647" s="37"/>
      <c r="Q647" s="37"/>
      <c r="R647" s="37"/>
      <c r="S647" s="37"/>
      <c r="T647" s="37"/>
      <c r="U647" s="37"/>
      <c r="V647" s="37"/>
      <c r="W647" s="37"/>
      <c r="X647" s="37"/>
    </row>
    <row r="648">
      <c r="A648" s="37"/>
      <c r="B648" s="49"/>
      <c r="H648" s="50"/>
      <c r="I648" s="51"/>
      <c r="J648" s="37"/>
      <c r="K648" s="37"/>
      <c r="L648" s="37"/>
      <c r="M648" s="37"/>
      <c r="N648" s="37"/>
      <c r="O648" s="37"/>
      <c r="P648" s="37"/>
      <c r="Q648" s="37"/>
      <c r="R648" s="37"/>
      <c r="S648" s="37"/>
      <c r="T648" s="37"/>
      <c r="U648" s="37"/>
      <c r="V648" s="37"/>
      <c r="W648" s="37"/>
      <c r="X648" s="37"/>
    </row>
    <row r="649">
      <c r="A649" s="37"/>
      <c r="B649" s="49"/>
      <c r="H649" s="50"/>
      <c r="I649" s="51"/>
      <c r="J649" s="37"/>
      <c r="K649" s="37"/>
      <c r="L649" s="37"/>
      <c r="M649" s="37"/>
      <c r="N649" s="37"/>
      <c r="O649" s="37"/>
      <c r="P649" s="37"/>
      <c r="Q649" s="37"/>
      <c r="R649" s="37"/>
      <c r="S649" s="37"/>
      <c r="T649" s="37"/>
      <c r="U649" s="37"/>
      <c r="V649" s="37"/>
      <c r="W649" s="37"/>
      <c r="X649" s="37"/>
    </row>
    <row r="650">
      <c r="A650" s="37"/>
      <c r="B650" s="49"/>
      <c r="H650" s="50"/>
      <c r="I650" s="51"/>
      <c r="J650" s="37"/>
      <c r="K650" s="37"/>
      <c r="L650" s="37"/>
      <c r="M650" s="37"/>
      <c r="N650" s="37"/>
      <c r="O650" s="37"/>
      <c r="P650" s="37"/>
      <c r="Q650" s="37"/>
      <c r="R650" s="37"/>
      <c r="S650" s="37"/>
      <c r="T650" s="37"/>
      <c r="U650" s="37"/>
      <c r="V650" s="37"/>
      <c r="W650" s="37"/>
      <c r="X650" s="37"/>
    </row>
    <row r="651">
      <c r="A651" s="37"/>
      <c r="B651" s="49"/>
      <c r="H651" s="50"/>
      <c r="I651" s="51"/>
      <c r="J651" s="37"/>
      <c r="K651" s="37"/>
      <c r="L651" s="37"/>
      <c r="M651" s="37"/>
      <c r="N651" s="37"/>
      <c r="O651" s="37"/>
      <c r="P651" s="37"/>
      <c r="Q651" s="37"/>
      <c r="R651" s="37"/>
      <c r="S651" s="37"/>
      <c r="T651" s="37"/>
      <c r="U651" s="37"/>
      <c r="V651" s="37"/>
      <c r="W651" s="37"/>
      <c r="X651" s="37"/>
    </row>
    <row r="652">
      <c r="A652" s="37"/>
      <c r="B652" s="49"/>
      <c r="H652" s="50"/>
      <c r="I652" s="51"/>
      <c r="J652" s="37"/>
      <c r="K652" s="37"/>
      <c r="L652" s="37"/>
      <c r="M652" s="37"/>
      <c r="N652" s="37"/>
      <c r="O652" s="37"/>
      <c r="P652" s="37"/>
      <c r="Q652" s="37"/>
      <c r="R652" s="37"/>
      <c r="S652" s="37"/>
      <c r="T652" s="37"/>
      <c r="U652" s="37"/>
      <c r="V652" s="37"/>
      <c r="W652" s="37"/>
      <c r="X652" s="37"/>
    </row>
    <row r="653">
      <c r="A653" s="37"/>
      <c r="B653" s="49"/>
      <c r="H653" s="50"/>
      <c r="I653" s="51"/>
      <c r="J653" s="37"/>
      <c r="K653" s="37"/>
      <c r="L653" s="37"/>
      <c r="M653" s="37"/>
      <c r="N653" s="37"/>
      <c r="O653" s="37"/>
      <c r="P653" s="37"/>
      <c r="Q653" s="37"/>
      <c r="R653" s="37"/>
      <c r="S653" s="37"/>
      <c r="T653" s="37"/>
      <c r="U653" s="37"/>
      <c r="V653" s="37"/>
      <c r="W653" s="37"/>
      <c r="X653" s="37"/>
    </row>
    <row r="654">
      <c r="A654" s="37"/>
      <c r="B654" s="49"/>
      <c r="H654" s="50"/>
      <c r="I654" s="51"/>
      <c r="J654" s="37"/>
      <c r="K654" s="37"/>
      <c r="L654" s="37"/>
      <c r="M654" s="37"/>
      <c r="N654" s="37"/>
      <c r="O654" s="37"/>
      <c r="P654" s="37"/>
      <c r="Q654" s="37"/>
      <c r="R654" s="37"/>
      <c r="S654" s="37"/>
      <c r="T654" s="37"/>
      <c r="U654" s="37"/>
      <c r="V654" s="37"/>
      <c r="W654" s="37"/>
      <c r="X654" s="37"/>
    </row>
    <row r="655">
      <c r="A655" s="37"/>
      <c r="B655" s="49"/>
      <c r="H655" s="50"/>
      <c r="I655" s="51"/>
      <c r="J655" s="37"/>
      <c r="K655" s="37"/>
      <c r="L655" s="37"/>
      <c r="M655" s="37"/>
      <c r="N655" s="37"/>
      <c r="O655" s="37"/>
      <c r="P655" s="37"/>
      <c r="Q655" s="37"/>
      <c r="R655" s="37"/>
      <c r="S655" s="37"/>
      <c r="T655" s="37"/>
      <c r="U655" s="37"/>
      <c r="V655" s="37"/>
      <c r="W655" s="37"/>
      <c r="X655" s="37"/>
    </row>
    <row r="656">
      <c r="A656" s="37"/>
      <c r="B656" s="49"/>
      <c r="H656" s="50"/>
      <c r="I656" s="51"/>
      <c r="J656" s="37"/>
      <c r="K656" s="37"/>
      <c r="L656" s="37"/>
      <c r="M656" s="37"/>
      <c r="N656" s="37"/>
      <c r="O656" s="37"/>
      <c r="P656" s="37"/>
      <c r="Q656" s="37"/>
      <c r="R656" s="37"/>
      <c r="S656" s="37"/>
      <c r="T656" s="37"/>
      <c r="U656" s="37"/>
      <c r="V656" s="37"/>
      <c r="W656" s="37"/>
      <c r="X656" s="37"/>
    </row>
    <row r="657">
      <c r="A657" s="37"/>
      <c r="B657" s="49"/>
      <c r="H657" s="50"/>
      <c r="I657" s="51"/>
      <c r="J657" s="37"/>
      <c r="K657" s="37"/>
      <c r="L657" s="37"/>
      <c r="M657" s="37"/>
      <c r="N657" s="37"/>
      <c r="O657" s="37"/>
      <c r="P657" s="37"/>
      <c r="Q657" s="37"/>
      <c r="R657" s="37"/>
      <c r="S657" s="37"/>
      <c r="T657" s="37"/>
      <c r="U657" s="37"/>
      <c r="V657" s="37"/>
      <c r="W657" s="37"/>
      <c r="X657" s="37"/>
    </row>
    <row r="658">
      <c r="A658" s="37"/>
      <c r="B658" s="49"/>
      <c r="H658" s="50"/>
      <c r="I658" s="51"/>
      <c r="J658" s="37"/>
      <c r="K658" s="37"/>
      <c r="L658" s="37"/>
      <c r="M658" s="37"/>
      <c r="N658" s="37"/>
      <c r="O658" s="37"/>
      <c r="P658" s="37"/>
      <c r="Q658" s="37"/>
      <c r="R658" s="37"/>
      <c r="S658" s="37"/>
      <c r="T658" s="37"/>
      <c r="U658" s="37"/>
      <c r="V658" s="37"/>
      <c r="W658" s="37"/>
      <c r="X658" s="37"/>
    </row>
    <row r="659">
      <c r="A659" s="37"/>
      <c r="B659" s="49"/>
      <c r="H659" s="50"/>
      <c r="I659" s="51"/>
      <c r="J659" s="37"/>
      <c r="K659" s="37"/>
      <c r="L659" s="37"/>
      <c r="M659" s="37"/>
      <c r="N659" s="37"/>
      <c r="O659" s="37"/>
      <c r="P659" s="37"/>
      <c r="Q659" s="37"/>
      <c r="R659" s="37"/>
      <c r="S659" s="37"/>
      <c r="T659" s="37"/>
      <c r="U659" s="37"/>
      <c r="V659" s="37"/>
      <c r="W659" s="37"/>
      <c r="X659" s="37"/>
    </row>
    <row r="660">
      <c r="A660" s="37"/>
      <c r="B660" s="49"/>
      <c r="H660" s="50"/>
      <c r="I660" s="51"/>
      <c r="J660" s="37"/>
      <c r="K660" s="37"/>
      <c r="L660" s="37"/>
      <c r="M660" s="37"/>
      <c r="N660" s="37"/>
      <c r="O660" s="37"/>
      <c r="P660" s="37"/>
      <c r="Q660" s="37"/>
      <c r="R660" s="37"/>
      <c r="S660" s="37"/>
      <c r="T660" s="37"/>
      <c r="U660" s="37"/>
      <c r="V660" s="37"/>
      <c r="W660" s="37"/>
      <c r="X660" s="37"/>
    </row>
    <row r="661">
      <c r="A661" s="37"/>
      <c r="B661" s="49"/>
      <c r="H661" s="50"/>
      <c r="I661" s="51"/>
      <c r="J661" s="37"/>
      <c r="K661" s="37"/>
      <c r="L661" s="37"/>
      <c r="M661" s="37"/>
      <c r="N661" s="37"/>
      <c r="O661" s="37"/>
      <c r="P661" s="37"/>
      <c r="Q661" s="37"/>
      <c r="R661" s="37"/>
      <c r="S661" s="37"/>
      <c r="T661" s="37"/>
      <c r="U661" s="37"/>
      <c r="V661" s="37"/>
      <c r="W661" s="37"/>
      <c r="X661" s="37"/>
    </row>
    <row r="662">
      <c r="A662" s="37"/>
      <c r="B662" s="49"/>
      <c r="H662" s="50"/>
      <c r="I662" s="51"/>
      <c r="J662" s="37"/>
      <c r="K662" s="37"/>
      <c r="L662" s="37"/>
      <c r="M662" s="37"/>
      <c r="N662" s="37"/>
      <c r="O662" s="37"/>
      <c r="P662" s="37"/>
      <c r="Q662" s="37"/>
      <c r="R662" s="37"/>
      <c r="S662" s="37"/>
      <c r="T662" s="37"/>
      <c r="U662" s="37"/>
      <c r="V662" s="37"/>
      <c r="W662" s="37"/>
      <c r="X662" s="37"/>
    </row>
    <row r="663">
      <c r="A663" s="37"/>
      <c r="B663" s="49"/>
      <c r="H663" s="50"/>
      <c r="I663" s="51"/>
      <c r="J663" s="37"/>
      <c r="K663" s="37"/>
      <c r="L663" s="37"/>
      <c r="M663" s="37"/>
      <c r="N663" s="37"/>
      <c r="O663" s="37"/>
      <c r="P663" s="37"/>
      <c r="Q663" s="37"/>
      <c r="R663" s="37"/>
      <c r="S663" s="37"/>
      <c r="T663" s="37"/>
      <c r="U663" s="37"/>
      <c r="V663" s="37"/>
      <c r="W663" s="37"/>
      <c r="X663" s="37"/>
    </row>
    <row r="664">
      <c r="A664" s="37"/>
      <c r="B664" s="49"/>
      <c r="H664" s="50"/>
      <c r="I664" s="51"/>
      <c r="J664" s="37"/>
      <c r="K664" s="37"/>
      <c r="L664" s="37"/>
      <c r="M664" s="37"/>
      <c r="N664" s="37"/>
      <c r="O664" s="37"/>
      <c r="P664" s="37"/>
      <c r="Q664" s="37"/>
      <c r="R664" s="37"/>
      <c r="S664" s="37"/>
      <c r="T664" s="37"/>
      <c r="U664" s="37"/>
      <c r="V664" s="37"/>
      <c r="W664" s="37"/>
      <c r="X664" s="37"/>
    </row>
    <row r="665">
      <c r="A665" s="37"/>
      <c r="B665" s="49"/>
      <c r="H665" s="50"/>
      <c r="I665" s="51"/>
      <c r="J665" s="37"/>
      <c r="K665" s="37"/>
      <c r="L665" s="37"/>
      <c r="M665" s="37"/>
      <c r="N665" s="37"/>
      <c r="O665" s="37"/>
      <c r="P665" s="37"/>
      <c r="Q665" s="37"/>
      <c r="R665" s="37"/>
      <c r="S665" s="37"/>
      <c r="T665" s="37"/>
      <c r="U665" s="37"/>
      <c r="V665" s="37"/>
      <c r="W665" s="37"/>
      <c r="X665" s="37"/>
    </row>
    <row r="666">
      <c r="A666" s="37"/>
      <c r="B666" s="49"/>
      <c r="H666" s="50"/>
      <c r="I666" s="51"/>
      <c r="J666" s="37"/>
      <c r="K666" s="37"/>
      <c r="L666" s="37"/>
      <c r="M666" s="37"/>
      <c r="N666" s="37"/>
      <c r="O666" s="37"/>
      <c r="P666" s="37"/>
      <c r="Q666" s="37"/>
      <c r="R666" s="37"/>
      <c r="S666" s="37"/>
      <c r="T666" s="37"/>
      <c r="U666" s="37"/>
      <c r="V666" s="37"/>
      <c r="W666" s="37"/>
      <c r="X666" s="37"/>
    </row>
    <row r="667">
      <c r="A667" s="37"/>
      <c r="B667" s="49"/>
      <c r="H667" s="50"/>
      <c r="I667" s="51"/>
      <c r="J667" s="37"/>
      <c r="K667" s="37"/>
      <c r="L667" s="37"/>
      <c r="M667" s="37"/>
      <c r="N667" s="37"/>
      <c r="O667" s="37"/>
      <c r="P667" s="37"/>
      <c r="Q667" s="37"/>
      <c r="R667" s="37"/>
      <c r="S667" s="37"/>
      <c r="T667" s="37"/>
      <c r="U667" s="37"/>
      <c r="V667" s="37"/>
      <c r="W667" s="37"/>
      <c r="X667" s="37"/>
    </row>
    <row r="668">
      <c r="A668" s="37"/>
      <c r="B668" s="49"/>
      <c r="H668" s="50"/>
      <c r="I668" s="51"/>
      <c r="J668" s="37"/>
      <c r="K668" s="37"/>
      <c r="L668" s="37"/>
      <c r="M668" s="37"/>
      <c r="N668" s="37"/>
      <c r="O668" s="37"/>
      <c r="P668" s="37"/>
      <c r="Q668" s="37"/>
      <c r="R668" s="37"/>
      <c r="S668" s="37"/>
      <c r="T668" s="37"/>
      <c r="U668" s="37"/>
      <c r="V668" s="37"/>
      <c r="W668" s="37"/>
      <c r="X668" s="37"/>
    </row>
    <row r="669">
      <c r="A669" s="37"/>
      <c r="B669" s="49"/>
      <c r="H669" s="50"/>
      <c r="I669" s="51"/>
      <c r="J669" s="37"/>
      <c r="K669" s="37"/>
      <c r="L669" s="37"/>
      <c r="M669" s="37"/>
      <c r="N669" s="37"/>
      <c r="O669" s="37"/>
      <c r="P669" s="37"/>
      <c r="Q669" s="37"/>
      <c r="R669" s="37"/>
      <c r="S669" s="37"/>
      <c r="T669" s="37"/>
      <c r="U669" s="37"/>
      <c r="V669" s="37"/>
      <c r="W669" s="37"/>
      <c r="X669" s="37"/>
    </row>
    <row r="670">
      <c r="A670" s="37"/>
      <c r="B670" s="49"/>
      <c r="H670" s="50"/>
      <c r="I670" s="51"/>
      <c r="J670" s="37"/>
      <c r="K670" s="37"/>
      <c r="L670" s="37"/>
      <c r="M670" s="37"/>
      <c r="N670" s="37"/>
      <c r="O670" s="37"/>
      <c r="P670" s="37"/>
      <c r="Q670" s="37"/>
      <c r="R670" s="37"/>
      <c r="S670" s="37"/>
      <c r="T670" s="37"/>
      <c r="U670" s="37"/>
      <c r="V670" s="37"/>
      <c r="W670" s="37"/>
      <c r="X670" s="37"/>
    </row>
    <row r="671">
      <c r="A671" s="37"/>
      <c r="B671" s="49"/>
      <c r="H671" s="50"/>
      <c r="I671" s="51"/>
      <c r="J671" s="37"/>
      <c r="K671" s="37"/>
      <c r="L671" s="37"/>
      <c r="M671" s="37"/>
      <c r="N671" s="37"/>
      <c r="O671" s="37"/>
      <c r="P671" s="37"/>
      <c r="Q671" s="37"/>
      <c r="R671" s="37"/>
      <c r="S671" s="37"/>
      <c r="T671" s="37"/>
      <c r="U671" s="37"/>
      <c r="V671" s="37"/>
      <c r="W671" s="37"/>
      <c r="X671" s="37"/>
    </row>
    <row r="672">
      <c r="A672" s="37"/>
      <c r="B672" s="49"/>
      <c r="H672" s="50"/>
      <c r="I672" s="51"/>
      <c r="J672" s="37"/>
      <c r="K672" s="37"/>
      <c r="L672" s="37"/>
      <c r="M672" s="37"/>
      <c r="N672" s="37"/>
      <c r="O672" s="37"/>
      <c r="P672" s="37"/>
      <c r="Q672" s="37"/>
      <c r="R672" s="37"/>
      <c r="S672" s="37"/>
      <c r="T672" s="37"/>
      <c r="U672" s="37"/>
      <c r="V672" s="37"/>
      <c r="W672" s="37"/>
      <c r="X672" s="37"/>
    </row>
    <row r="673">
      <c r="A673" s="37"/>
      <c r="B673" s="49"/>
      <c r="H673" s="50"/>
      <c r="I673" s="51"/>
      <c r="J673" s="37"/>
      <c r="K673" s="37"/>
      <c r="L673" s="37"/>
      <c r="M673" s="37"/>
      <c r="N673" s="37"/>
      <c r="O673" s="37"/>
      <c r="P673" s="37"/>
      <c r="Q673" s="37"/>
      <c r="R673" s="37"/>
      <c r="S673" s="37"/>
      <c r="T673" s="37"/>
      <c r="U673" s="37"/>
      <c r="V673" s="37"/>
      <c r="W673" s="37"/>
      <c r="X673" s="37"/>
    </row>
    <row r="674">
      <c r="A674" s="37"/>
      <c r="B674" s="49"/>
      <c r="H674" s="50"/>
      <c r="I674" s="51"/>
      <c r="J674" s="37"/>
      <c r="K674" s="37"/>
      <c r="L674" s="37"/>
      <c r="M674" s="37"/>
      <c r="N674" s="37"/>
      <c r="O674" s="37"/>
      <c r="P674" s="37"/>
      <c r="Q674" s="37"/>
      <c r="R674" s="37"/>
      <c r="S674" s="37"/>
      <c r="T674" s="37"/>
      <c r="U674" s="37"/>
      <c r="V674" s="37"/>
      <c r="W674" s="37"/>
      <c r="X674" s="37"/>
    </row>
    <row r="675">
      <c r="A675" s="37"/>
      <c r="B675" s="49"/>
      <c r="H675" s="50"/>
      <c r="I675" s="51"/>
      <c r="J675" s="37"/>
      <c r="K675" s="37"/>
      <c r="L675" s="37"/>
      <c r="M675" s="37"/>
      <c r="N675" s="37"/>
      <c r="O675" s="37"/>
      <c r="P675" s="37"/>
      <c r="Q675" s="37"/>
      <c r="R675" s="37"/>
      <c r="S675" s="37"/>
      <c r="T675" s="37"/>
      <c r="U675" s="37"/>
      <c r="V675" s="37"/>
      <c r="W675" s="37"/>
      <c r="X675" s="37"/>
    </row>
    <row r="676">
      <c r="A676" s="37"/>
      <c r="B676" s="49"/>
      <c r="H676" s="50"/>
      <c r="I676" s="51"/>
      <c r="J676" s="37"/>
      <c r="K676" s="37"/>
      <c r="L676" s="37"/>
      <c r="M676" s="37"/>
      <c r="N676" s="37"/>
      <c r="O676" s="37"/>
      <c r="P676" s="37"/>
      <c r="Q676" s="37"/>
      <c r="R676" s="37"/>
      <c r="S676" s="37"/>
      <c r="T676" s="37"/>
      <c r="U676" s="37"/>
      <c r="V676" s="37"/>
      <c r="W676" s="37"/>
      <c r="X676" s="37"/>
    </row>
    <row r="677">
      <c r="A677" s="37"/>
      <c r="B677" s="49"/>
      <c r="H677" s="50"/>
      <c r="I677" s="51"/>
      <c r="J677" s="37"/>
      <c r="K677" s="37"/>
      <c r="L677" s="37"/>
      <c r="M677" s="37"/>
      <c r="N677" s="37"/>
      <c r="O677" s="37"/>
      <c r="P677" s="37"/>
      <c r="Q677" s="37"/>
      <c r="R677" s="37"/>
      <c r="S677" s="37"/>
      <c r="T677" s="37"/>
      <c r="U677" s="37"/>
      <c r="V677" s="37"/>
      <c r="W677" s="37"/>
      <c r="X677" s="37"/>
    </row>
    <row r="678">
      <c r="A678" s="37"/>
      <c r="B678" s="49"/>
      <c r="H678" s="50"/>
      <c r="I678" s="51"/>
      <c r="J678" s="37"/>
      <c r="K678" s="37"/>
      <c r="L678" s="37"/>
      <c r="M678" s="37"/>
      <c r="N678" s="37"/>
      <c r="O678" s="37"/>
      <c r="P678" s="37"/>
      <c r="Q678" s="37"/>
      <c r="R678" s="37"/>
      <c r="S678" s="37"/>
      <c r="T678" s="37"/>
      <c r="U678" s="37"/>
      <c r="V678" s="37"/>
      <c r="W678" s="37"/>
      <c r="X678" s="37"/>
    </row>
    <row r="679">
      <c r="A679" s="37"/>
      <c r="B679" s="49"/>
      <c r="H679" s="50"/>
      <c r="I679" s="51"/>
      <c r="J679" s="37"/>
      <c r="K679" s="37"/>
      <c r="L679" s="37"/>
      <c r="M679" s="37"/>
      <c r="N679" s="37"/>
      <c r="O679" s="37"/>
      <c r="P679" s="37"/>
      <c r="Q679" s="37"/>
      <c r="R679" s="37"/>
      <c r="S679" s="37"/>
      <c r="T679" s="37"/>
      <c r="U679" s="37"/>
      <c r="V679" s="37"/>
      <c r="W679" s="37"/>
      <c r="X679" s="37"/>
    </row>
    <row r="680">
      <c r="A680" s="37"/>
      <c r="B680" s="49"/>
      <c r="H680" s="50"/>
      <c r="I680" s="51"/>
      <c r="J680" s="37"/>
      <c r="K680" s="37"/>
      <c r="L680" s="37"/>
      <c r="M680" s="37"/>
      <c r="N680" s="37"/>
      <c r="O680" s="37"/>
      <c r="P680" s="37"/>
      <c r="Q680" s="37"/>
      <c r="R680" s="37"/>
      <c r="S680" s="37"/>
      <c r="T680" s="37"/>
      <c r="U680" s="37"/>
      <c r="V680" s="37"/>
      <c r="W680" s="37"/>
      <c r="X680" s="37"/>
    </row>
    <row r="681">
      <c r="A681" s="37"/>
      <c r="B681" s="49"/>
      <c r="H681" s="50"/>
      <c r="I681" s="51"/>
      <c r="J681" s="37"/>
      <c r="K681" s="37"/>
      <c r="L681" s="37"/>
      <c r="M681" s="37"/>
      <c r="N681" s="37"/>
      <c r="O681" s="37"/>
      <c r="P681" s="37"/>
      <c r="Q681" s="37"/>
      <c r="R681" s="37"/>
      <c r="S681" s="37"/>
      <c r="T681" s="37"/>
      <c r="U681" s="37"/>
      <c r="V681" s="37"/>
      <c r="W681" s="37"/>
      <c r="X681" s="37"/>
    </row>
    <row r="682">
      <c r="A682" s="37"/>
      <c r="B682" s="49"/>
      <c r="H682" s="50"/>
      <c r="I682" s="51"/>
      <c r="J682" s="37"/>
      <c r="K682" s="37"/>
      <c r="L682" s="37"/>
      <c r="M682" s="37"/>
      <c r="N682" s="37"/>
      <c r="O682" s="37"/>
      <c r="P682" s="37"/>
      <c r="Q682" s="37"/>
      <c r="R682" s="37"/>
      <c r="S682" s="37"/>
      <c r="T682" s="37"/>
      <c r="U682" s="37"/>
      <c r="V682" s="37"/>
      <c r="W682" s="37"/>
      <c r="X682" s="37"/>
    </row>
    <row r="683">
      <c r="A683" s="37"/>
      <c r="B683" s="49"/>
      <c r="H683" s="50"/>
      <c r="I683" s="51"/>
      <c r="J683" s="37"/>
      <c r="K683" s="37"/>
      <c r="L683" s="37"/>
      <c r="M683" s="37"/>
      <c r="N683" s="37"/>
      <c r="O683" s="37"/>
      <c r="P683" s="37"/>
      <c r="Q683" s="37"/>
      <c r="R683" s="37"/>
      <c r="S683" s="37"/>
      <c r="T683" s="37"/>
      <c r="U683" s="37"/>
      <c r="V683" s="37"/>
      <c r="W683" s="37"/>
      <c r="X683" s="37"/>
    </row>
    <row r="684">
      <c r="A684" s="37"/>
      <c r="B684" s="49"/>
      <c r="H684" s="50"/>
      <c r="I684" s="51"/>
      <c r="J684" s="37"/>
      <c r="K684" s="37"/>
      <c r="L684" s="37"/>
      <c r="M684" s="37"/>
      <c r="N684" s="37"/>
      <c r="O684" s="37"/>
      <c r="P684" s="37"/>
      <c r="Q684" s="37"/>
      <c r="R684" s="37"/>
      <c r="S684" s="37"/>
      <c r="T684" s="37"/>
      <c r="U684" s="37"/>
      <c r="V684" s="37"/>
      <c r="W684" s="37"/>
      <c r="X684" s="37"/>
    </row>
    <row r="685">
      <c r="A685" s="37"/>
      <c r="B685" s="49"/>
      <c r="H685" s="50"/>
      <c r="I685" s="51"/>
      <c r="J685" s="37"/>
      <c r="K685" s="37"/>
      <c r="L685" s="37"/>
      <c r="M685" s="37"/>
      <c r="N685" s="37"/>
      <c r="O685" s="37"/>
      <c r="P685" s="37"/>
      <c r="Q685" s="37"/>
      <c r="R685" s="37"/>
      <c r="S685" s="37"/>
      <c r="T685" s="37"/>
      <c r="U685" s="37"/>
      <c r="V685" s="37"/>
      <c r="W685" s="37"/>
      <c r="X685" s="37"/>
    </row>
    <row r="686">
      <c r="A686" s="37"/>
      <c r="B686" s="49"/>
      <c r="H686" s="50"/>
      <c r="I686" s="51"/>
      <c r="J686" s="37"/>
      <c r="K686" s="37"/>
      <c r="L686" s="37"/>
      <c r="M686" s="37"/>
      <c r="N686" s="37"/>
      <c r="O686" s="37"/>
      <c r="P686" s="37"/>
      <c r="Q686" s="37"/>
      <c r="R686" s="37"/>
      <c r="S686" s="37"/>
      <c r="T686" s="37"/>
      <c r="U686" s="37"/>
      <c r="V686" s="37"/>
      <c r="W686" s="37"/>
      <c r="X686" s="37"/>
    </row>
    <row r="687">
      <c r="A687" s="37"/>
      <c r="B687" s="49"/>
      <c r="H687" s="50"/>
      <c r="I687" s="51"/>
      <c r="J687" s="37"/>
      <c r="K687" s="37"/>
      <c r="L687" s="37"/>
      <c r="M687" s="37"/>
      <c r="N687" s="37"/>
      <c r="O687" s="37"/>
      <c r="P687" s="37"/>
      <c r="Q687" s="37"/>
      <c r="R687" s="37"/>
      <c r="S687" s="37"/>
      <c r="T687" s="37"/>
      <c r="U687" s="37"/>
      <c r="V687" s="37"/>
      <c r="W687" s="37"/>
      <c r="X687" s="37"/>
    </row>
    <row r="688">
      <c r="A688" s="37"/>
      <c r="B688" s="49"/>
      <c r="H688" s="50"/>
      <c r="I688" s="51"/>
      <c r="J688" s="37"/>
      <c r="K688" s="37"/>
      <c r="L688" s="37"/>
      <c r="M688" s="37"/>
      <c r="N688" s="37"/>
      <c r="O688" s="37"/>
      <c r="P688" s="37"/>
      <c r="Q688" s="37"/>
      <c r="R688" s="37"/>
      <c r="S688" s="37"/>
      <c r="T688" s="37"/>
      <c r="U688" s="37"/>
      <c r="V688" s="37"/>
      <c r="W688" s="37"/>
      <c r="X688" s="37"/>
    </row>
    <row r="689">
      <c r="A689" s="37"/>
      <c r="B689" s="49"/>
      <c r="H689" s="50"/>
      <c r="I689" s="51"/>
      <c r="J689" s="37"/>
      <c r="K689" s="37"/>
      <c r="L689" s="37"/>
      <c r="M689" s="37"/>
      <c r="N689" s="37"/>
      <c r="O689" s="37"/>
      <c r="P689" s="37"/>
      <c r="Q689" s="37"/>
      <c r="R689" s="37"/>
      <c r="S689" s="37"/>
      <c r="T689" s="37"/>
      <c r="U689" s="37"/>
      <c r="V689" s="37"/>
      <c r="W689" s="37"/>
      <c r="X689" s="37"/>
    </row>
    <row r="690">
      <c r="A690" s="37"/>
      <c r="B690" s="49"/>
      <c r="H690" s="50"/>
      <c r="I690" s="51"/>
      <c r="J690" s="37"/>
      <c r="K690" s="37"/>
      <c r="L690" s="37"/>
      <c r="M690" s="37"/>
      <c r="N690" s="37"/>
      <c r="O690" s="37"/>
      <c r="P690" s="37"/>
      <c r="Q690" s="37"/>
      <c r="R690" s="37"/>
      <c r="S690" s="37"/>
      <c r="T690" s="37"/>
      <c r="U690" s="37"/>
      <c r="V690" s="37"/>
      <c r="W690" s="37"/>
      <c r="X690" s="37"/>
    </row>
    <row r="691">
      <c r="A691" s="37"/>
      <c r="B691" s="49"/>
      <c r="H691" s="50"/>
      <c r="I691" s="51"/>
      <c r="J691" s="37"/>
      <c r="K691" s="37"/>
      <c r="L691" s="37"/>
      <c r="M691" s="37"/>
      <c r="N691" s="37"/>
      <c r="O691" s="37"/>
      <c r="P691" s="37"/>
      <c r="Q691" s="37"/>
      <c r="R691" s="37"/>
      <c r="S691" s="37"/>
      <c r="T691" s="37"/>
      <c r="U691" s="37"/>
      <c r="V691" s="37"/>
      <c r="W691" s="37"/>
      <c r="X691" s="37"/>
    </row>
    <row r="692">
      <c r="A692" s="37"/>
      <c r="B692" s="49"/>
      <c r="H692" s="50"/>
      <c r="I692" s="51"/>
      <c r="J692" s="37"/>
      <c r="K692" s="37"/>
      <c r="L692" s="37"/>
      <c r="M692" s="37"/>
      <c r="N692" s="37"/>
      <c r="O692" s="37"/>
      <c r="P692" s="37"/>
      <c r="Q692" s="37"/>
      <c r="R692" s="37"/>
      <c r="S692" s="37"/>
      <c r="T692" s="37"/>
      <c r="U692" s="37"/>
      <c r="V692" s="37"/>
      <c r="W692" s="37"/>
      <c r="X692" s="37"/>
    </row>
    <row r="693">
      <c r="A693" s="37"/>
      <c r="B693" s="49"/>
      <c r="H693" s="50"/>
      <c r="I693" s="51"/>
      <c r="J693" s="37"/>
      <c r="K693" s="37"/>
      <c r="L693" s="37"/>
      <c r="M693" s="37"/>
      <c r="N693" s="37"/>
      <c r="O693" s="37"/>
      <c r="P693" s="37"/>
      <c r="Q693" s="37"/>
      <c r="R693" s="37"/>
      <c r="S693" s="37"/>
      <c r="T693" s="37"/>
      <c r="U693" s="37"/>
      <c r="V693" s="37"/>
      <c r="W693" s="37"/>
      <c r="X693" s="37"/>
    </row>
    <row r="694">
      <c r="A694" s="37"/>
      <c r="B694" s="49"/>
      <c r="H694" s="50"/>
      <c r="I694" s="51"/>
      <c r="J694" s="37"/>
      <c r="K694" s="37"/>
      <c r="L694" s="37"/>
      <c r="M694" s="37"/>
      <c r="N694" s="37"/>
      <c r="O694" s="37"/>
      <c r="P694" s="37"/>
      <c r="Q694" s="37"/>
      <c r="R694" s="37"/>
      <c r="S694" s="37"/>
      <c r="T694" s="37"/>
      <c r="U694" s="37"/>
      <c r="V694" s="37"/>
      <c r="W694" s="37"/>
      <c r="X694" s="37"/>
    </row>
    <row r="695">
      <c r="A695" s="37"/>
      <c r="B695" s="49"/>
      <c r="H695" s="50"/>
      <c r="I695" s="51"/>
      <c r="J695" s="37"/>
      <c r="K695" s="37"/>
      <c r="L695" s="37"/>
      <c r="M695" s="37"/>
      <c r="N695" s="37"/>
      <c r="O695" s="37"/>
      <c r="P695" s="37"/>
      <c r="Q695" s="37"/>
      <c r="R695" s="37"/>
      <c r="S695" s="37"/>
      <c r="T695" s="37"/>
      <c r="U695" s="37"/>
      <c r="V695" s="37"/>
      <c r="W695" s="37"/>
      <c r="X695" s="37"/>
    </row>
    <row r="696">
      <c r="A696" s="37"/>
      <c r="B696" s="49"/>
      <c r="H696" s="50"/>
      <c r="I696" s="51"/>
      <c r="J696" s="37"/>
      <c r="K696" s="37"/>
      <c r="L696" s="37"/>
      <c r="M696" s="37"/>
      <c r="N696" s="37"/>
      <c r="O696" s="37"/>
      <c r="P696" s="37"/>
      <c r="Q696" s="37"/>
      <c r="R696" s="37"/>
      <c r="S696" s="37"/>
      <c r="T696" s="37"/>
      <c r="U696" s="37"/>
      <c r="V696" s="37"/>
      <c r="W696" s="37"/>
      <c r="X696" s="37"/>
    </row>
    <row r="697">
      <c r="A697" s="37"/>
      <c r="B697" s="49"/>
      <c r="H697" s="50"/>
      <c r="I697" s="51"/>
      <c r="J697" s="37"/>
      <c r="K697" s="37"/>
      <c r="L697" s="37"/>
      <c r="M697" s="37"/>
      <c r="N697" s="37"/>
      <c r="O697" s="37"/>
      <c r="P697" s="37"/>
      <c r="Q697" s="37"/>
      <c r="R697" s="37"/>
      <c r="S697" s="37"/>
      <c r="T697" s="37"/>
      <c r="U697" s="37"/>
      <c r="V697" s="37"/>
      <c r="W697" s="37"/>
      <c r="X697" s="37"/>
    </row>
    <row r="698">
      <c r="A698" s="37"/>
      <c r="B698" s="49"/>
      <c r="H698" s="50"/>
      <c r="I698" s="51"/>
      <c r="J698" s="37"/>
      <c r="K698" s="37"/>
      <c r="L698" s="37"/>
      <c r="M698" s="37"/>
      <c r="N698" s="37"/>
      <c r="O698" s="37"/>
      <c r="P698" s="37"/>
      <c r="Q698" s="37"/>
      <c r="R698" s="37"/>
      <c r="S698" s="37"/>
      <c r="T698" s="37"/>
      <c r="U698" s="37"/>
      <c r="V698" s="37"/>
      <c r="W698" s="37"/>
      <c r="X698" s="37"/>
    </row>
    <row r="699">
      <c r="A699" s="37"/>
      <c r="B699" s="49"/>
      <c r="H699" s="50"/>
      <c r="I699" s="51"/>
      <c r="J699" s="37"/>
      <c r="K699" s="37"/>
      <c r="L699" s="37"/>
      <c r="M699" s="37"/>
      <c r="N699" s="37"/>
      <c r="O699" s="37"/>
      <c r="P699" s="37"/>
      <c r="Q699" s="37"/>
      <c r="R699" s="37"/>
      <c r="S699" s="37"/>
      <c r="T699" s="37"/>
      <c r="U699" s="37"/>
      <c r="V699" s="37"/>
      <c r="W699" s="37"/>
      <c r="X699" s="37"/>
    </row>
    <row r="700">
      <c r="A700" s="37"/>
      <c r="B700" s="49"/>
      <c r="H700" s="50"/>
      <c r="I700" s="51"/>
      <c r="J700" s="37"/>
      <c r="K700" s="37"/>
      <c r="L700" s="37"/>
      <c r="M700" s="37"/>
      <c r="N700" s="37"/>
      <c r="O700" s="37"/>
      <c r="P700" s="37"/>
      <c r="Q700" s="37"/>
      <c r="R700" s="37"/>
      <c r="S700" s="37"/>
      <c r="T700" s="37"/>
      <c r="U700" s="37"/>
      <c r="V700" s="37"/>
      <c r="W700" s="37"/>
      <c r="X700" s="37"/>
    </row>
    <row r="701">
      <c r="A701" s="37"/>
      <c r="B701" s="49"/>
      <c r="H701" s="50"/>
      <c r="I701" s="51"/>
      <c r="J701" s="37"/>
      <c r="K701" s="37"/>
      <c r="L701" s="37"/>
      <c r="M701" s="37"/>
      <c r="N701" s="37"/>
      <c r="O701" s="37"/>
      <c r="P701" s="37"/>
      <c r="Q701" s="37"/>
      <c r="R701" s="37"/>
      <c r="S701" s="37"/>
      <c r="T701" s="37"/>
      <c r="U701" s="37"/>
      <c r="V701" s="37"/>
      <c r="W701" s="37"/>
      <c r="X701" s="37"/>
    </row>
    <row r="702">
      <c r="A702" s="37"/>
      <c r="B702" s="49"/>
      <c r="H702" s="50"/>
      <c r="I702" s="51"/>
      <c r="J702" s="37"/>
      <c r="K702" s="37"/>
      <c r="L702" s="37"/>
      <c r="M702" s="37"/>
      <c r="N702" s="37"/>
      <c r="O702" s="37"/>
      <c r="P702" s="37"/>
      <c r="Q702" s="37"/>
      <c r="R702" s="37"/>
      <c r="S702" s="37"/>
      <c r="T702" s="37"/>
      <c r="U702" s="37"/>
      <c r="V702" s="37"/>
      <c r="W702" s="37"/>
      <c r="X702" s="37"/>
    </row>
    <row r="703">
      <c r="A703" s="37"/>
      <c r="B703" s="49"/>
      <c r="H703" s="50"/>
      <c r="I703" s="51"/>
      <c r="J703" s="37"/>
      <c r="K703" s="37"/>
      <c r="L703" s="37"/>
      <c r="M703" s="37"/>
      <c r="N703" s="37"/>
      <c r="O703" s="37"/>
      <c r="P703" s="37"/>
      <c r="Q703" s="37"/>
      <c r="R703" s="37"/>
      <c r="S703" s="37"/>
      <c r="T703" s="37"/>
      <c r="U703" s="37"/>
      <c r="V703" s="37"/>
      <c r="W703" s="37"/>
      <c r="X703" s="37"/>
    </row>
    <row r="704">
      <c r="A704" s="37"/>
      <c r="B704" s="49"/>
      <c r="H704" s="50"/>
      <c r="I704" s="51"/>
      <c r="J704" s="37"/>
      <c r="K704" s="37"/>
      <c r="L704" s="37"/>
      <c r="M704" s="37"/>
      <c r="N704" s="37"/>
      <c r="O704" s="37"/>
      <c r="P704" s="37"/>
      <c r="Q704" s="37"/>
      <c r="R704" s="37"/>
      <c r="S704" s="37"/>
      <c r="T704" s="37"/>
      <c r="U704" s="37"/>
      <c r="V704" s="37"/>
      <c r="W704" s="37"/>
      <c r="X704" s="37"/>
    </row>
    <row r="705">
      <c r="A705" s="37"/>
      <c r="B705" s="49"/>
      <c r="H705" s="50"/>
      <c r="I705" s="51"/>
      <c r="J705" s="37"/>
      <c r="K705" s="37"/>
      <c r="L705" s="37"/>
      <c r="M705" s="37"/>
      <c r="N705" s="37"/>
      <c r="O705" s="37"/>
      <c r="P705" s="37"/>
      <c r="Q705" s="37"/>
      <c r="R705" s="37"/>
      <c r="S705" s="37"/>
      <c r="T705" s="37"/>
      <c r="U705" s="37"/>
      <c r="V705" s="37"/>
      <c r="W705" s="37"/>
      <c r="X705" s="37"/>
    </row>
    <row r="706">
      <c r="A706" s="37"/>
      <c r="B706" s="49"/>
      <c r="H706" s="50"/>
      <c r="I706" s="51"/>
      <c r="J706" s="37"/>
      <c r="K706" s="37"/>
      <c r="L706" s="37"/>
      <c r="M706" s="37"/>
      <c r="N706" s="37"/>
      <c r="O706" s="37"/>
      <c r="P706" s="37"/>
      <c r="Q706" s="37"/>
      <c r="R706" s="37"/>
      <c r="S706" s="37"/>
      <c r="T706" s="37"/>
      <c r="U706" s="37"/>
      <c r="V706" s="37"/>
      <c r="W706" s="37"/>
      <c r="X706" s="37"/>
    </row>
    <row r="707">
      <c r="A707" s="37"/>
      <c r="B707" s="49"/>
      <c r="H707" s="50"/>
      <c r="I707" s="51"/>
      <c r="J707" s="37"/>
      <c r="K707" s="37"/>
      <c r="L707" s="37"/>
      <c r="M707" s="37"/>
      <c r="N707" s="37"/>
      <c r="O707" s="37"/>
      <c r="P707" s="37"/>
      <c r="Q707" s="37"/>
      <c r="R707" s="37"/>
      <c r="S707" s="37"/>
      <c r="T707" s="37"/>
      <c r="U707" s="37"/>
      <c r="V707" s="37"/>
      <c r="W707" s="37"/>
      <c r="X707" s="37"/>
    </row>
    <row r="708">
      <c r="A708" s="37"/>
      <c r="B708" s="49"/>
      <c r="H708" s="50"/>
      <c r="I708" s="51"/>
      <c r="J708" s="37"/>
      <c r="K708" s="37"/>
      <c r="L708" s="37"/>
      <c r="M708" s="37"/>
      <c r="N708" s="37"/>
      <c r="O708" s="37"/>
      <c r="P708" s="37"/>
      <c r="Q708" s="37"/>
      <c r="R708" s="37"/>
      <c r="S708" s="37"/>
      <c r="T708" s="37"/>
      <c r="U708" s="37"/>
      <c r="V708" s="37"/>
      <c r="W708" s="37"/>
      <c r="X708" s="37"/>
    </row>
    <row r="709">
      <c r="A709" s="37"/>
      <c r="B709" s="49"/>
      <c r="H709" s="50"/>
      <c r="I709" s="51"/>
      <c r="J709" s="37"/>
      <c r="K709" s="37"/>
      <c r="L709" s="37"/>
      <c r="M709" s="37"/>
      <c r="N709" s="37"/>
      <c r="O709" s="37"/>
      <c r="P709" s="37"/>
      <c r="Q709" s="37"/>
      <c r="R709" s="37"/>
      <c r="S709" s="37"/>
      <c r="T709" s="37"/>
      <c r="U709" s="37"/>
      <c r="V709" s="37"/>
      <c r="W709" s="37"/>
      <c r="X709" s="37"/>
    </row>
    <row r="710">
      <c r="A710" s="37"/>
      <c r="B710" s="49"/>
      <c r="H710" s="50"/>
      <c r="I710" s="51"/>
      <c r="J710" s="37"/>
      <c r="K710" s="37"/>
      <c r="L710" s="37"/>
      <c r="M710" s="37"/>
      <c r="N710" s="37"/>
      <c r="O710" s="37"/>
      <c r="P710" s="37"/>
      <c r="Q710" s="37"/>
      <c r="R710" s="37"/>
      <c r="S710" s="37"/>
      <c r="T710" s="37"/>
      <c r="U710" s="37"/>
      <c r="V710" s="37"/>
      <c r="W710" s="37"/>
      <c r="X710" s="37"/>
    </row>
    <row r="711">
      <c r="A711" s="37"/>
      <c r="B711" s="49"/>
      <c r="H711" s="50"/>
      <c r="I711" s="51"/>
      <c r="J711" s="37"/>
      <c r="K711" s="37"/>
      <c r="L711" s="37"/>
      <c r="M711" s="37"/>
      <c r="N711" s="37"/>
      <c r="O711" s="37"/>
      <c r="P711" s="37"/>
      <c r="Q711" s="37"/>
      <c r="R711" s="37"/>
      <c r="S711" s="37"/>
      <c r="T711" s="37"/>
      <c r="U711" s="37"/>
      <c r="V711" s="37"/>
      <c r="W711" s="37"/>
      <c r="X711" s="37"/>
    </row>
    <row r="712">
      <c r="A712" s="37"/>
      <c r="B712" s="49"/>
      <c r="H712" s="50"/>
      <c r="I712" s="51"/>
      <c r="J712" s="37"/>
      <c r="K712" s="37"/>
      <c r="L712" s="37"/>
      <c r="M712" s="37"/>
      <c r="N712" s="37"/>
      <c r="O712" s="37"/>
      <c r="P712" s="37"/>
      <c r="Q712" s="37"/>
      <c r="R712" s="37"/>
      <c r="S712" s="37"/>
      <c r="T712" s="37"/>
      <c r="U712" s="37"/>
      <c r="V712" s="37"/>
      <c r="W712" s="37"/>
      <c r="X712" s="37"/>
    </row>
    <row r="713">
      <c r="A713" s="37"/>
      <c r="B713" s="49"/>
      <c r="H713" s="50"/>
      <c r="I713" s="51"/>
      <c r="J713" s="37"/>
      <c r="K713" s="37"/>
      <c r="L713" s="37"/>
      <c r="M713" s="37"/>
      <c r="N713" s="37"/>
      <c r="O713" s="37"/>
      <c r="P713" s="37"/>
      <c r="Q713" s="37"/>
      <c r="R713" s="37"/>
      <c r="S713" s="37"/>
      <c r="T713" s="37"/>
      <c r="U713" s="37"/>
      <c r="V713" s="37"/>
      <c r="W713" s="37"/>
      <c r="X713" s="37"/>
    </row>
    <row r="714">
      <c r="A714" s="37"/>
      <c r="B714" s="49"/>
      <c r="H714" s="50"/>
      <c r="I714" s="51"/>
      <c r="J714" s="37"/>
      <c r="K714" s="37"/>
      <c r="L714" s="37"/>
      <c r="M714" s="37"/>
      <c r="N714" s="37"/>
      <c r="O714" s="37"/>
      <c r="P714" s="37"/>
      <c r="Q714" s="37"/>
      <c r="R714" s="37"/>
      <c r="S714" s="37"/>
      <c r="T714" s="37"/>
      <c r="U714" s="37"/>
      <c r="V714" s="37"/>
      <c r="W714" s="37"/>
      <c r="X714" s="37"/>
    </row>
    <row r="715">
      <c r="A715" s="37"/>
      <c r="B715" s="49"/>
      <c r="H715" s="50"/>
      <c r="I715" s="51"/>
      <c r="J715" s="37"/>
      <c r="K715" s="37"/>
      <c r="L715" s="37"/>
      <c r="M715" s="37"/>
      <c r="N715" s="37"/>
      <c r="O715" s="37"/>
      <c r="P715" s="37"/>
      <c r="Q715" s="37"/>
      <c r="R715" s="37"/>
      <c r="S715" s="37"/>
      <c r="T715" s="37"/>
      <c r="U715" s="37"/>
      <c r="V715" s="37"/>
      <c r="W715" s="37"/>
      <c r="X715" s="37"/>
    </row>
    <row r="716">
      <c r="A716" s="37"/>
      <c r="B716" s="49"/>
      <c r="H716" s="50"/>
      <c r="I716" s="51"/>
      <c r="J716" s="37"/>
      <c r="K716" s="37"/>
      <c r="L716" s="37"/>
      <c r="M716" s="37"/>
      <c r="N716" s="37"/>
      <c r="O716" s="37"/>
      <c r="P716" s="37"/>
      <c r="Q716" s="37"/>
      <c r="R716" s="37"/>
      <c r="S716" s="37"/>
      <c r="T716" s="37"/>
      <c r="U716" s="37"/>
      <c r="V716" s="37"/>
      <c r="W716" s="37"/>
      <c r="X716" s="37"/>
    </row>
    <row r="717">
      <c r="A717" s="37"/>
      <c r="B717" s="49"/>
      <c r="H717" s="50"/>
      <c r="I717" s="51"/>
      <c r="J717" s="37"/>
      <c r="K717" s="37"/>
      <c r="L717" s="37"/>
      <c r="M717" s="37"/>
      <c r="N717" s="37"/>
      <c r="O717" s="37"/>
      <c r="P717" s="37"/>
      <c r="Q717" s="37"/>
      <c r="R717" s="37"/>
      <c r="S717" s="37"/>
      <c r="T717" s="37"/>
      <c r="U717" s="37"/>
      <c r="V717" s="37"/>
      <c r="W717" s="37"/>
      <c r="X717" s="37"/>
    </row>
    <row r="718">
      <c r="A718" s="37"/>
      <c r="B718" s="49"/>
      <c r="H718" s="50"/>
      <c r="I718" s="51"/>
      <c r="J718" s="37"/>
      <c r="K718" s="37"/>
      <c r="L718" s="37"/>
      <c r="M718" s="37"/>
      <c r="N718" s="37"/>
      <c r="O718" s="37"/>
      <c r="P718" s="37"/>
      <c r="Q718" s="37"/>
      <c r="R718" s="37"/>
      <c r="S718" s="37"/>
      <c r="T718" s="37"/>
      <c r="U718" s="37"/>
      <c r="V718" s="37"/>
      <c r="W718" s="37"/>
      <c r="X718" s="37"/>
    </row>
    <row r="719">
      <c r="A719" s="37"/>
      <c r="B719" s="49"/>
      <c r="H719" s="50"/>
      <c r="I719" s="51"/>
      <c r="J719" s="37"/>
      <c r="K719" s="37"/>
      <c r="L719" s="37"/>
      <c r="M719" s="37"/>
      <c r="N719" s="37"/>
      <c r="O719" s="37"/>
      <c r="P719" s="37"/>
      <c r="Q719" s="37"/>
      <c r="R719" s="37"/>
      <c r="S719" s="37"/>
      <c r="T719" s="37"/>
      <c r="U719" s="37"/>
      <c r="V719" s="37"/>
      <c r="W719" s="37"/>
      <c r="X719" s="37"/>
    </row>
    <row r="720">
      <c r="A720" s="37"/>
      <c r="B720" s="49"/>
      <c r="H720" s="50"/>
      <c r="I720" s="51"/>
      <c r="J720" s="37"/>
      <c r="K720" s="37"/>
      <c r="L720" s="37"/>
      <c r="M720" s="37"/>
      <c r="N720" s="37"/>
      <c r="O720" s="37"/>
      <c r="P720" s="37"/>
      <c r="Q720" s="37"/>
      <c r="R720" s="37"/>
      <c r="S720" s="37"/>
      <c r="T720" s="37"/>
      <c r="U720" s="37"/>
      <c r="V720" s="37"/>
      <c r="W720" s="37"/>
      <c r="X720" s="37"/>
    </row>
    <row r="721">
      <c r="A721" s="37"/>
      <c r="B721" s="49"/>
      <c r="H721" s="50"/>
      <c r="I721" s="51"/>
      <c r="J721" s="37"/>
      <c r="K721" s="37"/>
      <c r="L721" s="37"/>
      <c r="M721" s="37"/>
      <c r="N721" s="37"/>
      <c r="O721" s="37"/>
      <c r="P721" s="37"/>
      <c r="Q721" s="37"/>
      <c r="R721" s="37"/>
      <c r="S721" s="37"/>
      <c r="T721" s="37"/>
      <c r="U721" s="37"/>
      <c r="V721" s="37"/>
      <c r="W721" s="37"/>
      <c r="X721" s="37"/>
    </row>
    <row r="722">
      <c r="A722" s="37"/>
      <c r="B722" s="49"/>
      <c r="H722" s="50"/>
      <c r="I722" s="51"/>
      <c r="J722" s="37"/>
      <c r="K722" s="37"/>
      <c r="L722" s="37"/>
      <c r="M722" s="37"/>
      <c r="N722" s="37"/>
      <c r="O722" s="37"/>
      <c r="P722" s="37"/>
      <c r="Q722" s="37"/>
      <c r="R722" s="37"/>
      <c r="S722" s="37"/>
      <c r="T722" s="37"/>
      <c r="U722" s="37"/>
      <c r="V722" s="37"/>
      <c r="W722" s="37"/>
      <c r="X722" s="37"/>
    </row>
    <row r="723">
      <c r="A723" s="37"/>
      <c r="B723" s="49"/>
      <c r="H723" s="50"/>
      <c r="I723" s="51"/>
      <c r="J723" s="37"/>
      <c r="K723" s="37"/>
      <c r="L723" s="37"/>
      <c r="M723" s="37"/>
      <c r="N723" s="37"/>
      <c r="O723" s="37"/>
      <c r="P723" s="37"/>
      <c r="Q723" s="37"/>
      <c r="R723" s="37"/>
      <c r="S723" s="37"/>
      <c r="T723" s="37"/>
      <c r="U723" s="37"/>
      <c r="V723" s="37"/>
      <c r="W723" s="37"/>
      <c r="X723" s="37"/>
    </row>
    <row r="724">
      <c r="A724" s="37"/>
      <c r="B724" s="49"/>
      <c r="H724" s="50"/>
      <c r="I724" s="51"/>
      <c r="J724" s="37"/>
      <c r="K724" s="37"/>
      <c r="L724" s="37"/>
      <c r="M724" s="37"/>
      <c r="N724" s="37"/>
      <c r="O724" s="37"/>
      <c r="P724" s="37"/>
      <c r="Q724" s="37"/>
      <c r="R724" s="37"/>
      <c r="S724" s="37"/>
      <c r="T724" s="37"/>
      <c r="U724" s="37"/>
      <c r="V724" s="37"/>
      <c r="W724" s="37"/>
      <c r="X724" s="37"/>
    </row>
    <row r="725">
      <c r="A725" s="37"/>
      <c r="B725" s="49"/>
      <c r="H725" s="50"/>
      <c r="I725" s="51"/>
      <c r="J725" s="37"/>
      <c r="K725" s="37"/>
      <c r="L725" s="37"/>
      <c r="M725" s="37"/>
      <c r="N725" s="37"/>
      <c r="O725" s="37"/>
      <c r="P725" s="37"/>
      <c r="Q725" s="37"/>
      <c r="R725" s="37"/>
      <c r="S725" s="37"/>
      <c r="T725" s="37"/>
      <c r="U725" s="37"/>
      <c r="V725" s="37"/>
      <c r="W725" s="37"/>
      <c r="X725" s="37"/>
    </row>
    <row r="726">
      <c r="A726" s="37"/>
      <c r="B726" s="49"/>
      <c r="H726" s="50"/>
      <c r="I726" s="51"/>
      <c r="J726" s="37"/>
      <c r="K726" s="37"/>
      <c r="L726" s="37"/>
      <c r="M726" s="37"/>
      <c r="N726" s="37"/>
      <c r="O726" s="37"/>
      <c r="P726" s="37"/>
      <c r="Q726" s="37"/>
      <c r="R726" s="37"/>
      <c r="S726" s="37"/>
      <c r="T726" s="37"/>
      <c r="U726" s="37"/>
      <c r="V726" s="37"/>
      <c r="W726" s="37"/>
      <c r="X726" s="37"/>
    </row>
    <row r="727">
      <c r="A727" s="37"/>
      <c r="B727" s="49"/>
      <c r="H727" s="50"/>
      <c r="I727" s="51"/>
      <c r="J727" s="37"/>
      <c r="K727" s="37"/>
      <c r="L727" s="37"/>
      <c r="M727" s="37"/>
      <c r="N727" s="37"/>
      <c r="O727" s="37"/>
      <c r="P727" s="37"/>
      <c r="Q727" s="37"/>
      <c r="R727" s="37"/>
      <c r="S727" s="37"/>
      <c r="T727" s="37"/>
      <c r="U727" s="37"/>
      <c r="V727" s="37"/>
      <c r="W727" s="37"/>
      <c r="X727" s="37"/>
    </row>
    <row r="728">
      <c r="A728" s="37"/>
      <c r="B728" s="49"/>
      <c r="H728" s="50"/>
      <c r="I728" s="51"/>
      <c r="J728" s="37"/>
      <c r="K728" s="37"/>
      <c r="L728" s="37"/>
      <c r="M728" s="37"/>
      <c r="N728" s="37"/>
      <c r="O728" s="37"/>
      <c r="P728" s="37"/>
      <c r="Q728" s="37"/>
      <c r="R728" s="37"/>
      <c r="S728" s="37"/>
      <c r="T728" s="37"/>
      <c r="U728" s="37"/>
      <c r="V728" s="37"/>
      <c r="W728" s="37"/>
      <c r="X728" s="37"/>
    </row>
    <row r="729">
      <c r="A729" s="37"/>
      <c r="B729" s="49"/>
      <c r="H729" s="50"/>
      <c r="I729" s="51"/>
      <c r="J729" s="37"/>
      <c r="K729" s="37"/>
      <c r="L729" s="37"/>
      <c r="M729" s="37"/>
      <c r="N729" s="37"/>
      <c r="O729" s="37"/>
      <c r="P729" s="37"/>
      <c r="Q729" s="37"/>
      <c r="R729" s="37"/>
      <c r="S729" s="37"/>
      <c r="T729" s="37"/>
      <c r="U729" s="37"/>
      <c r="V729" s="37"/>
      <c r="W729" s="37"/>
      <c r="X729" s="37"/>
    </row>
    <row r="730">
      <c r="A730" s="37"/>
      <c r="B730" s="49"/>
      <c r="H730" s="50"/>
      <c r="I730" s="51"/>
      <c r="J730" s="37"/>
      <c r="K730" s="37"/>
      <c r="L730" s="37"/>
      <c r="M730" s="37"/>
      <c r="N730" s="37"/>
      <c r="O730" s="37"/>
      <c r="P730" s="37"/>
      <c r="Q730" s="37"/>
      <c r="R730" s="37"/>
      <c r="S730" s="37"/>
      <c r="T730" s="37"/>
      <c r="U730" s="37"/>
      <c r="V730" s="37"/>
      <c r="W730" s="37"/>
      <c r="X730" s="37"/>
    </row>
    <row r="731">
      <c r="A731" s="37"/>
      <c r="B731" s="49"/>
      <c r="H731" s="50"/>
      <c r="I731" s="51"/>
      <c r="J731" s="37"/>
      <c r="K731" s="37"/>
      <c r="L731" s="37"/>
      <c r="M731" s="37"/>
      <c r="N731" s="37"/>
      <c r="O731" s="37"/>
      <c r="P731" s="37"/>
      <c r="Q731" s="37"/>
      <c r="R731" s="37"/>
      <c r="S731" s="37"/>
      <c r="T731" s="37"/>
      <c r="U731" s="37"/>
      <c r="V731" s="37"/>
      <c r="W731" s="37"/>
      <c r="X731" s="37"/>
    </row>
    <row r="732">
      <c r="A732" s="37"/>
      <c r="B732" s="49"/>
      <c r="H732" s="50"/>
      <c r="I732" s="51"/>
      <c r="J732" s="37"/>
      <c r="K732" s="37"/>
      <c r="L732" s="37"/>
      <c r="M732" s="37"/>
      <c r="N732" s="37"/>
      <c r="O732" s="37"/>
      <c r="P732" s="37"/>
      <c r="Q732" s="37"/>
      <c r="R732" s="37"/>
      <c r="S732" s="37"/>
      <c r="T732" s="37"/>
      <c r="U732" s="37"/>
      <c r="V732" s="37"/>
      <c r="W732" s="37"/>
      <c r="X732" s="37"/>
    </row>
    <row r="733">
      <c r="A733" s="37"/>
      <c r="B733" s="49"/>
      <c r="H733" s="50"/>
      <c r="I733" s="51"/>
      <c r="J733" s="37"/>
      <c r="K733" s="37"/>
      <c r="L733" s="37"/>
      <c r="M733" s="37"/>
      <c r="N733" s="37"/>
      <c r="O733" s="37"/>
      <c r="P733" s="37"/>
      <c r="Q733" s="37"/>
      <c r="R733" s="37"/>
      <c r="S733" s="37"/>
      <c r="T733" s="37"/>
      <c r="U733" s="37"/>
      <c r="V733" s="37"/>
      <c r="W733" s="37"/>
      <c r="X733" s="37"/>
    </row>
    <row r="734">
      <c r="A734" s="37"/>
      <c r="B734" s="49"/>
      <c r="H734" s="50"/>
      <c r="I734" s="51"/>
      <c r="J734" s="37"/>
      <c r="K734" s="37"/>
      <c r="L734" s="37"/>
      <c r="M734" s="37"/>
      <c r="N734" s="37"/>
      <c r="O734" s="37"/>
      <c r="P734" s="37"/>
      <c r="Q734" s="37"/>
      <c r="R734" s="37"/>
      <c r="S734" s="37"/>
      <c r="T734" s="37"/>
      <c r="U734" s="37"/>
      <c r="V734" s="37"/>
      <c r="W734" s="37"/>
      <c r="X734" s="37"/>
    </row>
    <row r="735">
      <c r="A735" s="37"/>
      <c r="B735" s="49"/>
      <c r="H735" s="50"/>
      <c r="I735" s="51"/>
      <c r="J735" s="37"/>
      <c r="K735" s="37"/>
      <c r="L735" s="37"/>
      <c r="M735" s="37"/>
      <c r="N735" s="37"/>
      <c r="O735" s="37"/>
      <c r="P735" s="37"/>
      <c r="Q735" s="37"/>
      <c r="R735" s="37"/>
      <c r="S735" s="37"/>
      <c r="T735" s="37"/>
      <c r="U735" s="37"/>
      <c r="V735" s="37"/>
      <c r="W735" s="37"/>
      <c r="X735" s="37"/>
    </row>
    <row r="736">
      <c r="A736" s="37"/>
      <c r="B736" s="49"/>
      <c r="H736" s="50"/>
      <c r="I736" s="51"/>
      <c r="J736" s="37"/>
      <c r="K736" s="37"/>
      <c r="L736" s="37"/>
      <c r="M736" s="37"/>
      <c r="N736" s="37"/>
      <c r="O736" s="37"/>
      <c r="P736" s="37"/>
      <c r="Q736" s="37"/>
      <c r="R736" s="37"/>
      <c r="S736" s="37"/>
      <c r="T736" s="37"/>
      <c r="U736" s="37"/>
      <c r="V736" s="37"/>
      <c r="W736" s="37"/>
      <c r="X736" s="37"/>
    </row>
    <row r="737">
      <c r="A737" s="37"/>
      <c r="B737" s="49"/>
      <c r="H737" s="50"/>
      <c r="I737" s="51"/>
      <c r="J737" s="37"/>
      <c r="K737" s="37"/>
      <c r="L737" s="37"/>
      <c r="M737" s="37"/>
      <c r="N737" s="37"/>
      <c r="O737" s="37"/>
      <c r="P737" s="37"/>
      <c r="Q737" s="37"/>
      <c r="R737" s="37"/>
      <c r="S737" s="37"/>
      <c r="T737" s="37"/>
      <c r="U737" s="37"/>
      <c r="V737" s="37"/>
      <c r="W737" s="37"/>
      <c r="X737" s="37"/>
    </row>
    <row r="738">
      <c r="A738" s="37"/>
      <c r="B738" s="49"/>
      <c r="H738" s="50"/>
      <c r="I738" s="51"/>
      <c r="J738" s="37"/>
      <c r="K738" s="37"/>
      <c r="L738" s="37"/>
      <c r="M738" s="37"/>
      <c r="N738" s="37"/>
      <c r="O738" s="37"/>
      <c r="P738" s="37"/>
      <c r="Q738" s="37"/>
      <c r="R738" s="37"/>
      <c r="S738" s="37"/>
      <c r="T738" s="37"/>
      <c r="U738" s="37"/>
      <c r="V738" s="37"/>
      <c r="W738" s="37"/>
      <c r="X738" s="37"/>
    </row>
    <row r="739">
      <c r="A739" s="37"/>
      <c r="B739" s="49"/>
      <c r="H739" s="50"/>
      <c r="I739" s="51"/>
      <c r="J739" s="37"/>
      <c r="K739" s="37"/>
      <c r="L739" s="37"/>
      <c r="M739" s="37"/>
      <c r="N739" s="37"/>
      <c r="O739" s="37"/>
      <c r="P739" s="37"/>
      <c r="Q739" s="37"/>
      <c r="R739" s="37"/>
      <c r="S739" s="37"/>
      <c r="T739" s="37"/>
      <c r="U739" s="37"/>
      <c r="V739" s="37"/>
      <c r="W739" s="37"/>
      <c r="X739" s="37"/>
    </row>
    <row r="740">
      <c r="A740" s="37"/>
      <c r="B740" s="49"/>
      <c r="H740" s="50"/>
      <c r="I740" s="51"/>
      <c r="J740" s="37"/>
      <c r="K740" s="37"/>
      <c r="L740" s="37"/>
      <c r="M740" s="37"/>
      <c r="N740" s="37"/>
      <c r="O740" s="37"/>
      <c r="P740" s="37"/>
      <c r="Q740" s="37"/>
      <c r="R740" s="37"/>
      <c r="S740" s="37"/>
      <c r="T740" s="37"/>
      <c r="U740" s="37"/>
      <c r="V740" s="37"/>
      <c r="W740" s="37"/>
      <c r="X740" s="37"/>
    </row>
    <row r="741">
      <c r="A741" s="37"/>
      <c r="B741" s="49"/>
      <c r="H741" s="50"/>
      <c r="I741" s="51"/>
      <c r="J741" s="37"/>
      <c r="K741" s="37"/>
      <c r="L741" s="37"/>
      <c r="M741" s="37"/>
      <c r="N741" s="37"/>
      <c r="O741" s="37"/>
      <c r="P741" s="37"/>
      <c r="Q741" s="37"/>
      <c r="R741" s="37"/>
      <c r="S741" s="37"/>
      <c r="T741" s="37"/>
      <c r="U741" s="37"/>
      <c r="V741" s="37"/>
      <c r="W741" s="37"/>
      <c r="X741" s="37"/>
    </row>
    <row r="742">
      <c r="A742" s="37"/>
      <c r="B742" s="49"/>
      <c r="H742" s="50"/>
      <c r="I742" s="51"/>
      <c r="J742" s="37"/>
      <c r="K742" s="37"/>
      <c r="L742" s="37"/>
      <c r="M742" s="37"/>
      <c r="N742" s="37"/>
      <c r="O742" s="37"/>
      <c r="P742" s="37"/>
      <c r="Q742" s="37"/>
      <c r="R742" s="37"/>
      <c r="S742" s="37"/>
      <c r="T742" s="37"/>
      <c r="U742" s="37"/>
      <c r="V742" s="37"/>
      <c r="W742" s="37"/>
      <c r="X742" s="37"/>
    </row>
    <row r="743">
      <c r="A743" s="37"/>
      <c r="B743" s="49"/>
      <c r="H743" s="50"/>
      <c r="I743" s="51"/>
      <c r="J743" s="37"/>
      <c r="K743" s="37"/>
      <c r="L743" s="37"/>
      <c r="M743" s="37"/>
      <c r="N743" s="37"/>
      <c r="O743" s="37"/>
      <c r="P743" s="37"/>
      <c r="Q743" s="37"/>
      <c r="R743" s="37"/>
      <c r="S743" s="37"/>
      <c r="T743" s="37"/>
      <c r="U743" s="37"/>
      <c r="V743" s="37"/>
      <c r="W743" s="37"/>
      <c r="X743" s="37"/>
    </row>
    <row r="744">
      <c r="A744" s="37"/>
      <c r="B744" s="49"/>
      <c r="H744" s="50"/>
      <c r="I744" s="51"/>
      <c r="J744" s="37"/>
      <c r="K744" s="37"/>
      <c r="L744" s="37"/>
      <c r="M744" s="37"/>
      <c r="N744" s="37"/>
      <c r="O744" s="37"/>
      <c r="P744" s="37"/>
      <c r="Q744" s="37"/>
      <c r="R744" s="37"/>
      <c r="S744" s="37"/>
      <c r="T744" s="37"/>
      <c r="U744" s="37"/>
      <c r="V744" s="37"/>
      <c r="W744" s="37"/>
      <c r="X744" s="37"/>
    </row>
    <row r="745">
      <c r="A745" s="37"/>
      <c r="B745" s="49"/>
      <c r="H745" s="50"/>
      <c r="I745" s="51"/>
      <c r="J745" s="37"/>
      <c r="K745" s="37"/>
      <c r="L745" s="37"/>
      <c r="M745" s="37"/>
      <c r="N745" s="37"/>
      <c r="O745" s="37"/>
      <c r="P745" s="37"/>
      <c r="Q745" s="37"/>
      <c r="R745" s="37"/>
      <c r="S745" s="37"/>
      <c r="T745" s="37"/>
      <c r="U745" s="37"/>
      <c r="V745" s="37"/>
      <c r="W745" s="37"/>
      <c r="X745" s="37"/>
    </row>
    <row r="746">
      <c r="A746" s="37"/>
      <c r="B746" s="49"/>
      <c r="H746" s="50"/>
      <c r="I746" s="51"/>
      <c r="J746" s="37"/>
      <c r="K746" s="37"/>
      <c r="L746" s="37"/>
      <c r="M746" s="37"/>
      <c r="N746" s="37"/>
      <c r="O746" s="37"/>
      <c r="P746" s="37"/>
      <c r="Q746" s="37"/>
      <c r="R746" s="37"/>
      <c r="S746" s="37"/>
      <c r="T746" s="37"/>
      <c r="U746" s="37"/>
      <c r="V746" s="37"/>
      <c r="W746" s="37"/>
      <c r="X746" s="37"/>
    </row>
    <row r="747">
      <c r="A747" s="37"/>
      <c r="B747" s="49"/>
      <c r="H747" s="50"/>
      <c r="I747" s="51"/>
      <c r="J747" s="37"/>
      <c r="K747" s="37"/>
      <c r="L747" s="37"/>
      <c r="M747" s="37"/>
      <c r="N747" s="37"/>
      <c r="O747" s="37"/>
      <c r="P747" s="37"/>
      <c r="Q747" s="37"/>
      <c r="R747" s="37"/>
      <c r="S747" s="37"/>
      <c r="T747" s="37"/>
      <c r="U747" s="37"/>
      <c r="V747" s="37"/>
      <c r="W747" s="37"/>
      <c r="X747" s="37"/>
    </row>
    <row r="748">
      <c r="A748" s="37"/>
      <c r="B748" s="49"/>
      <c r="H748" s="50"/>
      <c r="I748" s="51"/>
      <c r="J748" s="37"/>
      <c r="K748" s="37"/>
      <c r="L748" s="37"/>
      <c r="M748" s="37"/>
      <c r="N748" s="37"/>
      <c r="O748" s="37"/>
      <c r="P748" s="37"/>
      <c r="Q748" s="37"/>
      <c r="R748" s="37"/>
      <c r="S748" s="37"/>
      <c r="T748" s="37"/>
      <c r="U748" s="37"/>
      <c r="V748" s="37"/>
      <c r="W748" s="37"/>
      <c r="X748" s="37"/>
    </row>
    <row r="749">
      <c r="A749" s="37"/>
      <c r="B749" s="49"/>
      <c r="H749" s="50"/>
      <c r="I749" s="51"/>
      <c r="J749" s="37"/>
      <c r="K749" s="37"/>
      <c r="L749" s="37"/>
      <c r="M749" s="37"/>
      <c r="N749" s="37"/>
      <c r="O749" s="37"/>
      <c r="P749" s="37"/>
      <c r="Q749" s="37"/>
      <c r="R749" s="37"/>
      <c r="S749" s="37"/>
      <c r="T749" s="37"/>
      <c r="U749" s="37"/>
      <c r="V749" s="37"/>
      <c r="W749" s="37"/>
      <c r="X749" s="37"/>
    </row>
    <row r="750">
      <c r="A750" s="37"/>
      <c r="B750" s="49"/>
      <c r="H750" s="50"/>
      <c r="I750" s="51"/>
      <c r="J750" s="37"/>
      <c r="K750" s="37"/>
      <c r="L750" s="37"/>
      <c r="M750" s="37"/>
      <c r="N750" s="37"/>
      <c r="O750" s="37"/>
      <c r="P750" s="37"/>
      <c r="Q750" s="37"/>
      <c r="R750" s="37"/>
      <c r="S750" s="37"/>
      <c r="T750" s="37"/>
      <c r="U750" s="37"/>
      <c r="V750" s="37"/>
      <c r="W750" s="37"/>
      <c r="X750" s="37"/>
    </row>
    <row r="751">
      <c r="A751" s="37"/>
      <c r="B751" s="49"/>
      <c r="H751" s="50"/>
      <c r="I751" s="51"/>
      <c r="J751" s="37"/>
      <c r="K751" s="37"/>
      <c r="L751" s="37"/>
      <c r="M751" s="37"/>
      <c r="N751" s="37"/>
      <c r="O751" s="37"/>
      <c r="P751" s="37"/>
      <c r="Q751" s="37"/>
      <c r="R751" s="37"/>
      <c r="S751" s="37"/>
      <c r="T751" s="37"/>
      <c r="U751" s="37"/>
      <c r="V751" s="37"/>
      <c r="W751" s="37"/>
      <c r="X751" s="37"/>
    </row>
    <row r="752">
      <c r="A752" s="37"/>
      <c r="B752" s="49"/>
      <c r="H752" s="50"/>
      <c r="I752" s="51"/>
      <c r="J752" s="37"/>
      <c r="K752" s="37"/>
      <c r="L752" s="37"/>
      <c r="M752" s="37"/>
      <c r="N752" s="37"/>
      <c r="O752" s="37"/>
      <c r="P752" s="37"/>
      <c r="Q752" s="37"/>
      <c r="R752" s="37"/>
      <c r="S752" s="37"/>
      <c r="T752" s="37"/>
      <c r="U752" s="37"/>
      <c r="V752" s="37"/>
      <c r="W752" s="37"/>
      <c r="X752" s="37"/>
    </row>
    <row r="753">
      <c r="A753" s="37"/>
      <c r="B753" s="49"/>
      <c r="H753" s="50"/>
      <c r="I753" s="51"/>
      <c r="J753" s="37"/>
      <c r="K753" s="37"/>
      <c r="L753" s="37"/>
      <c r="M753" s="37"/>
      <c r="N753" s="37"/>
      <c r="O753" s="37"/>
      <c r="P753" s="37"/>
      <c r="Q753" s="37"/>
      <c r="R753" s="37"/>
      <c r="S753" s="37"/>
      <c r="T753" s="37"/>
      <c r="U753" s="37"/>
      <c r="V753" s="37"/>
      <c r="W753" s="37"/>
      <c r="X753" s="37"/>
    </row>
    <row r="754">
      <c r="A754" s="37"/>
      <c r="B754" s="49"/>
      <c r="H754" s="50"/>
      <c r="I754" s="51"/>
      <c r="J754" s="37"/>
      <c r="K754" s="37"/>
      <c r="L754" s="37"/>
      <c r="M754" s="37"/>
      <c r="N754" s="37"/>
      <c r="O754" s="37"/>
      <c r="P754" s="37"/>
      <c r="Q754" s="37"/>
      <c r="R754" s="37"/>
      <c r="S754" s="37"/>
      <c r="T754" s="37"/>
      <c r="U754" s="37"/>
      <c r="V754" s="37"/>
      <c r="W754" s="37"/>
      <c r="X754" s="37"/>
    </row>
    <row r="755">
      <c r="A755" s="37"/>
      <c r="B755" s="49"/>
      <c r="H755" s="50"/>
      <c r="I755" s="51"/>
      <c r="J755" s="37"/>
      <c r="K755" s="37"/>
      <c r="L755" s="37"/>
      <c r="M755" s="37"/>
      <c r="N755" s="37"/>
      <c r="O755" s="37"/>
      <c r="P755" s="37"/>
      <c r="Q755" s="37"/>
      <c r="R755" s="37"/>
      <c r="S755" s="37"/>
      <c r="T755" s="37"/>
      <c r="U755" s="37"/>
      <c r="V755" s="37"/>
      <c r="W755" s="37"/>
      <c r="X755" s="37"/>
    </row>
    <row r="756">
      <c r="A756" s="37"/>
      <c r="B756" s="49"/>
      <c r="H756" s="50"/>
      <c r="I756" s="51"/>
      <c r="J756" s="37"/>
      <c r="K756" s="37"/>
      <c r="L756" s="37"/>
      <c r="M756" s="37"/>
      <c r="N756" s="37"/>
      <c r="O756" s="37"/>
      <c r="P756" s="37"/>
      <c r="Q756" s="37"/>
      <c r="R756" s="37"/>
      <c r="S756" s="37"/>
      <c r="T756" s="37"/>
      <c r="U756" s="37"/>
      <c r="V756" s="37"/>
      <c r="W756" s="37"/>
      <c r="X756" s="37"/>
    </row>
    <row r="757">
      <c r="A757" s="37"/>
      <c r="B757" s="49"/>
      <c r="H757" s="50"/>
      <c r="I757" s="51"/>
      <c r="J757" s="37"/>
      <c r="K757" s="37"/>
      <c r="L757" s="37"/>
      <c r="M757" s="37"/>
      <c r="N757" s="37"/>
      <c r="O757" s="37"/>
      <c r="P757" s="37"/>
      <c r="Q757" s="37"/>
      <c r="R757" s="37"/>
      <c r="S757" s="37"/>
      <c r="T757" s="37"/>
      <c r="U757" s="37"/>
      <c r="V757" s="37"/>
      <c r="W757" s="37"/>
      <c r="X757" s="37"/>
    </row>
    <row r="758">
      <c r="A758" s="37"/>
      <c r="B758" s="49"/>
      <c r="H758" s="50"/>
      <c r="I758" s="51"/>
      <c r="J758" s="37"/>
      <c r="K758" s="37"/>
      <c r="L758" s="37"/>
      <c r="M758" s="37"/>
      <c r="N758" s="37"/>
      <c r="O758" s="37"/>
      <c r="P758" s="37"/>
      <c r="Q758" s="37"/>
      <c r="R758" s="37"/>
      <c r="S758" s="37"/>
      <c r="T758" s="37"/>
      <c r="U758" s="37"/>
      <c r="V758" s="37"/>
      <c r="W758" s="37"/>
      <c r="X758" s="37"/>
    </row>
    <row r="759">
      <c r="A759" s="37"/>
      <c r="B759" s="49"/>
      <c r="H759" s="50"/>
      <c r="I759" s="51"/>
      <c r="J759" s="37"/>
      <c r="K759" s="37"/>
      <c r="L759" s="37"/>
      <c r="M759" s="37"/>
      <c r="N759" s="37"/>
      <c r="O759" s="37"/>
      <c r="P759" s="37"/>
      <c r="Q759" s="37"/>
      <c r="R759" s="37"/>
      <c r="S759" s="37"/>
      <c r="T759" s="37"/>
      <c r="U759" s="37"/>
      <c r="V759" s="37"/>
      <c r="W759" s="37"/>
      <c r="X759" s="37"/>
    </row>
    <row r="760">
      <c r="A760" s="37"/>
      <c r="B760" s="49"/>
      <c r="H760" s="50"/>
      <c r="I760" s="51"/>
      <c r="J760" s="37"/>
      <c r="K760" s="37"/>
      <c r="L760" s="37"/>
      <c r="M760" s="37"/>
      <c r="N760" s="37"/>
      <c r="O760" s="37"/>
      <c r="P760" s="37"/>
      <c r="Q760" s="37"/>
      <c r="R760" s="37"/>
      <c r="S760" s="37"/>
      <c r="T760" s="37"/>
      <c r="U760" s="37"/>
      <c r="V760" s="37"/>
      <c r="W760" s="37"/>
      <c r="X760" s="37"/>
    </row>
    <row r="761">
      <c r="A761" s="37"/>
      <c r="B761" s="49"/>
      <c r="H761" s="50"/>
      <c r="I761" s="51"/>
      <c r="J761" s="37"/>
      <c r="K761" s="37"/>
      <c r="L761" s="37"/>
      <c r="M761" s="37"/>
      <c r="N761" s="37"/>
      <c r="O761" s="37"/>
      <c r="P761" s="37"/>
      <c r="Q761" s="37"/>
      <c r="R761" s="37"/>
      <c r="S761" s="37"/>
      <c r="T761" s="37"/>
      <c r="U761" s="37"/>
      <c r="V761" s="37"/>
      <c r="W761" s="37"/>
      <c r="X761" s="37"/>
    </row>
    <row r="762">
      <c r="A762" s="37"/>
      <c r="B762" s="49"/>
      <c r="H762" s="50"/>
      <c r="I762" s="51"/>
      <c r="J762" s="37"/>
      <c r="K762" s="37"/>
      <c r="L762" s="37"/>
      <c r="M762" s="37"/>
      <c r="N762" s="37"/>
      <c r="O762" s="37"/>
      <c r="P762" s="37"/>
      <c r="Q762" s="37"/>
      <c r="R762" s="37"/>
      <c r="S762" s="37"/>
      <c r="T762" s="37"/>
      <c r="U762" s="37"/>
      <c r="V762" s="37"/>
      <c r="W762" s="37"/>
      <c r="X762" s="37"/>
    </row>
    <row r="763">
      <c r="A763" s="37"/>
      <c r="B763" s="49"/>
      <c r="H763" s="50"/>
      <c r="I763" s="51"/>
      <c r="J763" s="37"/>
      <c r="K763" s="37"/>
      <c r="L763" s="37"/>
      <c r="M763" s="37"/>
      <c r="N763" s="37"/>
      <c r="O763" s="37"/>
      <c r="P763" s="37"/>
      <c r="Q763" s="37"/>
      <c r="R763" s="37"/>
      <c r="S763" s="37"/>
      <c r="T763" s="37"/>
      <c r="U763" s="37"/>
      <c r="V763" s="37"/>
      <c r="W763" s="37"/>
      <c r="X763" s="37"/>
    </row>
    <row r="764">
      <c r="A764" s="37"/>
      <c r="B764" s="49"/>
      <c r="H764" s="50"/>
      <c r="I764" s="51"/>
      <c r="J764" s="37"/>
      <c r="K764" s="37"/>
      <c r="L764" s="37"/>
      <c r="M764" s="37"/>
      <c r="N764" s="37"/>
      <c r="O764" s="37"/>
      <c r="P764" s="37"/>
      <c r="Q764" s="37"/>
      <c r="R764" s="37"/>
      <c r="S764" s="37"/>
      <c r="T764" s="37"/>
      <c r="U764" s="37"/>
      <c r="V764" s="37"/>
      <c r="W764" s="37"/>
      <c r="X764" s="37"/>
    </row>
    <row r="765">
      <c r="A765" s="37"/>
      <c r="B765" s="49"/>
      <c r="H765" s="50"/>
      <c r="I765" s="51"/>
      <c r="J765" s="37"/>
      <c r="K765" s="37"/>
      <c r="L765" s="37"/>
      <c r="M765" s="37"/>
      <c r="N765" s="37"/>
      <c r="O765" s="37"/>
      <c r="P765" s="37"/>
      <c r="Q765" s="37"/>
      <c r="R765" s="37"/>
      <c r="S765" s="37"/>
      <c r="T765" s="37"/>
      <c r="U765" s="37"/>
      <c r="V765" s="37"/>
      <c r="W765" s="37"/>
      <c r="X765" s="37"/>
    </row>
    <row r="766">
      <c r="A766" s="37"/>
      <c r="B766" s="49"/>
      <c r="H766" s="50"/>
      <c r="I766" s="51"/>
      <c r="J766" s="37"/>
      <c r="K766" s="37"/>
      <c r="L766" s="37"/>
      <c r="M766" s="37"/>
      <c r="N766" s="37"/>
      <c r="O766" s="37"/>
      <c r="P766" s="37"/>
      <c r="Q766" s="37"/>
      <c r="R766" s="37"/>
      <c r="S766" s="37"/>
      <c r="T766" s="37"/>
      <c r="U766" s="37"/>
      <c r="V766" s="37"/>
      <c r="W766" s="37"/>
      <c r="X766" s="37"/>
    </row>
    <row r="767">
      <c r="A767" s="37"/>
      <c r="B767" s="49"/>
      <c r="H767" s="50"/>
      <c r="I767" s="51"/>
      <c r="J767" s="37"/>
      <c r="K767" s="37"/>
      <c r="L767" s="37"/>
      <c r="M767" s="37"/>
      <c r="N767" s="37"/>
      <c r="O767" s="37"/>
      <c r="P767" s="37"/>
      <c r="Q767" s="37"/>
      <c r="R767" s="37"/>
      <c r="S767" s="37"/>
      <c r="T767" s="37"/>
      <c r="U767" s="37"/>
      <c r="V767" s="37"/>
      <c r="W767" s="37"/>
      <c r="X767" s="37"/>
    </row>
    <row r="768">
      <c r="A768" s="37"/>
      <c r="B768" s="49"/>
      <c r="H768" s="50"/>
      <c r="I768" s="51"/>
      <c r="J768" s="37"/>
      <c r="K768" s="37"/>
      <c r="L768" s="37"/>
      <c r="M768" s="37"/>
      <c r="N768" s="37"/>
      <c r="O768" s="37"/>
      <c r="P768" s="37"/>
      <c r="Q768" s="37"/>
      <c r="R768" s="37"/>
      <c r="S768" s="37"/>
      <c r="T768" s="37"/>
      <c r="U768" s="37"/>
      <c r="V768" s="37"/>
      <c r="W768" s="37"/>
      <c r="X768" s="37"/>
    </row>
    <row r="769">
      <c r="A769" s="37"/>
      <c r="B769" s="49"/>
      <c r="H769" s="50"/>
      <c r="I769" s="51"/>
      <c r="J769" s="37"/>
      <c r="K769" s="37"/>
      <c r="L769" s="37"/>
      <c r="M769" s="37"/>
      <c r="N769" s="37"/>
      <c r="O769" s="37"/>
      <c r="P769" s="37"/>
      <c r="Q769" s="37"/>
      <c r="R769" s="37"/>
      <c r="S769" s="37"/>
      <c r="T769" s="37"/>
      <c r="U769" s="37"/>
      <c r="V769" s="37"/>
      <c r="W769" s="37"/>
      <c r="X769" s="37"/>
    </row>
    <row r="770">
      <c r="A770" s="37"/>
      <c r="B770" s="49"/>
      <c r="H770" s="50"/>
      <c r="I770" s="51"/>
      <c r="J770" s="37"/>
      <c r="K770" s="37"/>
      <c r="L770" s="37"/>
      <c r="M770" s="37"/>
      <c r="N770" s="37"/>
      <c r="O770" s="37"/>
      <c r="P770" s="37"/>
      <c r="Q770" s="37"/>
      <c r="R770" s="37"/>
      <c r="S770" s="37"/>
      <c r="T770" s="37"/>
      <c r="U770" s="37"/>
      <c r="V770" s="37"/>
      <c r="W770" s="37"/>
      <c r="X770" s="37"/>
    </row>
    <row r="771">
      <c r="A771" s="37"/>
      <c r="B771" s="49"/>
      <c r="H771" s="50"/>
      <c r="I771" s="51"/>
      <c r="J771" s="37"/>
      <c r="K771" s="37"/>
      <c r="L771" s="37"/>
      <c r="M771" s="37"/>
      <c r="N771" s="37"/>
      <c r="O771" s="37"/>
      <c r="P771" s="37"/>
      <c r="Q771" s="37"/>
      <c r="R771" s="37"/>
      <c r="S771" s="37"/>
      <c r="T771" s="37"/>
      <c r="U771" s="37"/>
      <c r="V771" s="37"/>
      <c r="W771" s="37"/>
      <c r="X771" s="37"/>
    </row>
    <row r="772">
      <c r="A772" s="37"/>
      <c r="B772" s="49"/>
      <c r="H772" s="50"/>
      <c r="I772" s="51"/>
      <c r="J772" s="37"/>
      <c r="K772" s="37"/>
      <c r="L772" s="37"/>
      <c r="M772" s="37"/>
      <c r="N772" s="37"/>
      <c r="O772" s="37"/>
      <c r="P772" s="37"/>
      <c r="Q772" s="37"/>
      <c r="R772" s="37"/>
      <c r="S772" s="37"/>
      <c r="T772" s="37"/>
      <c r="U772" s="37"/>
      <c r="V772" s="37"/>
      <c r="W772" s="37"/>
      <c r="X772" s="37"/>
    </row>
    <row r="773">
      <c r="A773" s="37"/>
      <c r="B773" s="49"/>
      <c r="H773" s="50"/>
      <c r="I773" s="51"/>
      <c r="J773" s="37"/>
      <c r="K773" s="37"/>
      <c r="L773" s="37"/>
      <c r="M773" s="37"/>
      <c r="N773" s="37"/>
      <c r="O773" s="37"/>
      <c r="P773" s="37"/>
      <c r="Q773" s="37"/>
      <c r="R773" s="37"/>
      <c r="S773" s="37"/>
      <c r="T773" s="37"/>
      <c r="U773" s="37"/>
      <c r="V773" s="37"/>
      <c r="W773" s="37"/>
      <c r="X773" s="37"/>
    </row>
    <row r="774">
      <c r="A774" s="37"/>
      <c r="B774" s="49"/>
      <c r="H774" s="50"/>
      <c r="I774" s="51"/>
      <c r="J774" s="37"/>
      <c r="K774" s="37"/>
      <c r="L774" s="37"/>
      <c r="M774" s="37"/>
      <c r="N774" s="37"/>
      <c r="O774" s="37"/>
      <c r="P774" s="37"/>
      <c r="Q774" s="37"/>
      <c r="R774" s="37"/>
      <c r="S774" s="37"/>
      <c r="T774" s="37"/>
      <c r="U774" s="37"/>
      <c r="V774" s="37"/>
      <c r="W774" s="37"/>
      <c r="X774" s="37"/>
    </row>
    <row r="775">
      <c r="A775" s="37"/>
      <c r="B775" s="49"/>
      <c r="H775" s="50"/>
      <c r="I775" s="51"/>
      <c r="J775" s="37"/>
      <c r="K775" s="37"/>
      <c r="L775" s="37"/>
      <c r="M775" s="37"/>
      <c r="N775" s="37"/>
      <c r="O775" s="37"/>
      <c r="P775" s="37"/>
      <c r="Q775" s="37"/>
      <c r="R775" s="37"/>
      <c r="S775" s="37"/>
      <c r="T775" s="37"/>
      <c r="U775" s="37"/>
      <c r="V775" s="37"/>
      <c r="W775" s="37"/>
      <c r="X775" s="37"/>
    </row>
    <row r="776">
      <c r="A776" s="37"/>
      <c r="B776" s="49"/>
      <c r="H776" s="50"/>
      <c r="I776" s="51"/>
      <c r="J776" s="37"/>
      <c r="K776" s="37"/>
      <c r="L776" s="37"/>
      <c r="M776" s="37"/>
      <c r="N776" s="37"/>
      <c r="O776" s="37"/>
      <c r="P776" s="37"/>
      <c r="Q776" s="37"/>
      <c r="R776" s="37"/>
      <c r="S776" s="37"/>
      <c r="T776" s="37"/>
      <c r="U776" s="37"/>
      <c r="V776" s="37"/>
      <c r="W776" s="37"/>
      <c r="X776" s="37"/>
    </row>
    <row r="777">
      <c r="A777" s="37"/>
      <c r="B777" s="49"/>
      <c r="H777" s="50"/>
      <c r="I777" s="51"/>
      <c r="J777" s="37"/>
      <c r="K777" s="37"/>
      <c r="L777" s="37"/>
      <c r="M777" s="37"/>
      <c r="N777" s="37"/>
      <c r="O777" s="37"/>
      <c r="P777" s="37"/>
      <c r="Q777" s="37"/>
      <c r="R777" s="37"/>
      <c r="S777" s="37"/>
      <c r="T777" s="37"/>
      <c r="U777" s="37"/>
      <c r="V777" s="37"/>
      <c r="W777" s="37"/>
      <c r="X777" s="37"/>
    </row>
    <row r="778">
      <c r="A778" s="37"/>
      <c r="B778" s="49"/>
      <c r="H778" s="50"/>
      <c r="I778" s="51"/>
      <c r="J778" s="37"/>
      <c r="K778" s="37"/>
      <c r="L778" s="37"/>
      <c r="M778" s="37"/>
      <c r="N778" s="37"/>
      <c r="O778" s="37"/>
      <c r="P778" s="37"/>
      <c r="Q778" s="37"/>
      <c r="R778" s="37"/>
      <c r="S778" s="37"/>
      <c r="T778" s="37"/>
      <c r="U778" s="37"/>
      <c r="V778" s="37"/>
      <c r="W778" s="37"/>
      <c r="X778" s="37"/>
    </row>
    <row r="779">
      <c r="A779" s="37"/>
      <c r="B779" s="49"/>
      <c r="H779" s="50"/>
      <c r="I779" s="51"/>
      <c r="J779" s="37"/>
      <c r="K779" s="37"/>
      <c r="L779" s="37"/>
      <c r="M779" s="37"/>
      <c r="N779" s="37"/>
      <c r="O779" s="37"/>
      <c r="P779" s="37"/>
      <c r="Q779" s="37"/>
      <c r="R779" s="37"/>
      <c r="S779" s="37"/>
      <c r="T779" s="37"/>
      <c r="U779" s="37"/>
      <c r="V779" s="37"/>
      <c r="W779" s="37"/>
      <c r="X779" s="37"/>
    </row>
    <row r="780">
      <c r="A780" s="37"/>
      <c r="B780" s="49"/>
      <c r="H780" s="50"/>
      <c r="I780" s="51"/>
      <c r="J780" s="37"/>
      <c r="K780" s="37"/>
      <c r="L780" s="37"/>
      <c r="M780" s="37"/>
      <c r="N780" s="37"/>
      <c r="O780" s="37"/>
      <c r="P780" s="37"/>
      <c r="Q780" s="37"/>
      <c r="R780" s="37"/>
      <c r="S780" s="37"/>
      <c r="T780" s="37"/>
      <c r="U780" s="37"/>
      <c r="V780" s="37"/>
      <c r="W780" s="37"/>
      <c r="X780" s="37"/>
    </row>
    <row r="781">
      <c r="A781" s="37"/>
      <c r="B781" s="49"/>
      <c r="H781" s="50"/>
      <c r="I781" s="51"/>
      <c r="J781" s="37"/>
      <c r="K781" s="37"/>
      <c r="L781" s="37"/>
      <c r="M781" s="37"/>
      <c r="N781" s="37"/>
      <c r="O781" s="37"/>
      <c r="P781" s="37"/>
      <c r="Q781" s="37"/>
      <c r="R781" s="37"/>
      <c r="S781" s="37"/>
      <c r="T781" s="37"/>
      <c r="U781" s="37"/>
      <c r="V781" s="37"/>
      <c r="W781" s="37"/>
      <c r="X781" s="37"/>
    </row>
    <row r="782">
      <c r="A782" s="37"/>
      <c r="B782" s="49"/>
      <c r="H782" s="50"/>
      <c r="I782" s="51"/>
      <c r="J782" s="37"/>
      <c r="K782" s="37"/>
      <c r="L782" s="37"/>
      <c r="M782" s="37"/>
      <c r="N782" s="37"/>
      <c r="O782" s="37"/>
      <c r="P782" s="37"/>
      <c r="Q782" s="37"/>
      <c r="R782" s="37"/>
      <c r="S782" s="37"/>
      <c r="T782" s="37"/>
      <c r="U782" s="37"/>
      <c r="V782" s="37"/>
      <c r="W782" s="37"/>
      <c r="X782" s="37"/>
    </row>
    <row r="783">
      <c r="A783" s="37"/>
      <c r="B783" s="49"/>
      <c r="H783" s="50"/>
      <c r="I783" s="51"/>
      <c r="J783" s="37"/>
      <c r="K783" s="37"/>
      <c r="L783" s="37"/>
      <c r="M783" s="37"/>
      <c r="N783" s="37"/>
      <c r="O783" s="37"/>
      <c r="P783" s="37"/>
      <c r="Q783" s="37"/>
      <c r="R783" s="37"/>
      <c r="S783" s="37"/>
      <c r="T783" s="37"/>
      <c r="U783" s="37"/>
      <c r="V783" s="37"/>
      <c r="W783" s="37"/>
      <c r="X783" s="37"/>
    </row>
    <row r="784">
      <c r="A784" s="37"/>
      <c r="B784" s="49"/>
      <c r="H784" s="50"/>
      <c r="I784" s="51"/>
      <c r="J784" s="37"/>
      <c r="K784" s="37"/>
      <c r="L784" s="37"/>
      <c r="M784" s="37"/>
      <c r="N784" s="37"/>
      <c r="O784" s="37"/>
      <c r="P784" s="37"/>
      <c r="Q784" s="37"/>
      <c r="R784" s="37"/>
      <c r="S784" s="37"/>
      <c r="T784" s="37"/>
      <c r="U784" s="37"/>
      <c r="V784" s="37"/>
      <c r="W784" s="37"/>
      <c r="X784" s="37"/>
    </row>
    <row r="785">
      <c r="A785" s="37"/>
      <c r="B785" s="49"/>
      <c r="H785" s="50"/>
      <c r="I785" s="51"/>
      <c r="J785" s="37"/>
      <c r="K785" s="37"/>
      <c r="L785" s="37"/>
      <c r="M785" s="37"/>
      <c r="N785" s="37"/>
      <c r="O785" s="37"/>
      <c r="P785" s="37"/>
      <c r="Q785" s="37"/>
      <c r="R785" s="37"/>
      <c r="S785" s="37"/>
      <c r="T785" s="37"/>
      <c r="U785" s="37"/>
      <c r="V785" s="37"/>
      <c r="W785" s="37"/>
      <c r="X785" s="37"/>
    </row>
    <row r="786">
      <c r="A786" s="37"/>
      <c r="B786" s="49"/>
      <c r="H786" s="50"/>
      <c r="I786" s="51"/>
      <c r="J786" s="37"/>
      <c r="K786" s="37"/>
      <c r="L786" s="37"/>
      <c r="M786" s="37"/>
      <c r="N786" s="37"/>
      <c r="O786" s="37"/>
      <c r="P786" s="37"/>
      <c r="Q786" s="37"/>
      <c r="R786" s="37"/>
      <c r="S786" s="37"/>
      <c r="T786" s="37"/>
      <c r="U786" s="37"/>
      <c r="V786" s="37"/>
      <c r="W786" s="37"/>
      <c r="X786" s="37"/>
    </row>
    <row r="787">
      <c r="A787" s="37"/>
      <c r="B787" s="49"/>
      <c r="H787" s="50"/>
      <c r="I787" s="51"/>
      <c r="J787" s="37"/>
      <c r="K787" s="37"/>
      <c r="L787" s="37"/>
      <c r="M787" s="37"/>
      <c r="N787" s="37"/>
      <c r="O787" s="37"/>
      <c r="P787" s="37"/>
      <c r="Q787" s="37"/>
      <c r="R787" s="37"/>
      <c r="S787" s="37"/>
      <c r="T787" s="37"/>
      <c r="U787" s="37"/>
      <c r="V787" s="37"/>
      <c r="W787" s="37"/>
      <c r="X787" s="37"/>
    </row>
    <row r="788">
      <c r="A788" s="37"/>
      <c r="B788" s="49"/>
      <c r="H788" s="50"/>
      <c r="I788" s="51"/>
      <c r="J788" s="37"/>
      <c r="K788" s="37"/>
      <c r="L788" s="37"/>
      <c r="M788" s="37"/>
      <c r="N788" s="37"/>
      <c r="O788" s="37"/>
      <c r="P788" s="37"/>
      <c r="Q788" s="37"/>
      <c r="R788" s="37"/>
      <c r="S788" s="37"/>
      <c r="T788" s="37"/>
      <c r="U788" s="37"/>
      <c r="V788" s="37"/>
      <c r="W788" s="37"/>
      <c r="X788" s="37"/>
    </row>
    <row r="789">
      <c r="A789" s="37"/>
      <c r="B789" s="49"/>
      <c r="H789" s="50"/>
      <c r="I789" s="51"/>
      <c r="J789" s="37"/>
      <c r="K789" s="37"/>
      <c r="L789" s="37"/>
      <c r="M789" s="37"/>
      <c r="N789" s="37"/>
      <c r="O789" s="37"/>
      <c r="P789" s="37"/>
      <c r="Q789" s="37"/>
      <c r="R789" s="37"/>
      <c r="S789" s="37"/>
      <c r="T789" s="37"/>
      <c r="U789" s="37"/>
      <c r="V789" s="37"/>
      <c r="W789" s="37"/>
      <c r="X789" s="37"/>
    </row>
    <row r="790">
      <c r="A790" s="37"/>
      <c r="B790" s="49"/>
      <c r="H790" s="50"/>
      <c r="I790" s="51"/>
      <c r="J790" s="37"/>
      <c r="K790" s="37"/>
      <c r="L790" s="37"/>
      <c r="M790" s="37"/>
      <c r="N790" s="37"/>
      <c r="O790" s="37"/>
      <c r="P790" s="37"/>
      <c r="Q790" s="37"/>
      <c r="R790" s="37"/>
      <c r="S790" s="37"/>
      <c r="T790" s="37"/>
      <c r="U790" s="37"/>
      <c r="V790" s="37"/>
      <c r="W790" s="37"/>
      <c r="X790" s="37"/>
    </row>
    <row r="791">
      <c r="A791" s="37"/>
      <c r="B791" s="49"/>
      <c r="H791" s="50"/>
      <c r="I791" s="51"/>
      <c r="J791" s="37"/>
      <c r="K791" s="37"/>
      <c r="L791" s="37"/>
      <c r="M791" s="37"/>
      <c r="N791" s="37"/>
      <c r="O791" s="37"/>
      <c r="P791" s="37"/>
      <c r="Q791" s="37"/>
      <c r="R791" s="37"/>
      <c r="S791" s="37"/>
      <c r="T791" s="37"/>
      <c r="U791" s="37"/>
      <c r="V791" s="37"/>
      <c r="W791" s="37"/>
      <c r="X791" s="37"/>
    </row>
    <row r="792">
      <c r="A792" s="37"/>
      <c r="B792" s="49"/>
      <c r="H792" s="50"/>
      <c r="I792" s="51"/>
      <c r="J792" s="37"/>
      <c r="K792" s="37"/>
      <c r="L792" s="37"/>
      <c r="M792" s="37"/>
      <c r="N792" s="37"/>
      <c r="O792" s="37"/>
      <c r="P792" s="37"/>
      <c r="Q792" s="37"/>
      <c r="R792" s="37"/>
      <c r="S792" s="37"/>
      <c r="T792" s="37"/>
      <c r="U792" s="37"/>
      <c r="V792" s="37"/>
      <c r="W792" s="37"/>
      <c r="X792" s="37"/>
    </row>
    <row r="793">
      <c r="A793" s="37"/>
      <c r="B793" s="49"/>
      <c r="H793" s="50"/>
      <c r="I793" s="51"/>
      <c r="J793" s="37"/>
      <c r="K793" s="37"/>
      <c r="L793" s="37"/>
      <c r="M793" s="37"/>
      <c r="N793" s="37"/>
      <c r="O793" s="37"/>
      <c r="P793" s="37"/>
      <c r="Q793" s="37"/>
      <c r="R793" s="37"/>
      <c r="S793" s="37"/>
      <c r="T793" s="37"/>
      <c r="U793" s="37"/>
      <c r="V793" s="37"/>
      <c r="W793" s="37"/>
      <c r="X793" s="37"/>
    </row>
    <row r="794">
      <c r="A794" s="37"/>
      <c r="B794" s="49"/>
      <c r="H794" s="50"/>
      <c r="I794" s="51"/>
      <c r="J794" s="37"/>
      <c r="K794" s="37"/>
      <c r="L794" s="37"/>
      <c r="M794" s="37"/>
      <c r="N794" s="37"/>
      <c r="O794" s="37"/>
      <c r="P794" s="37"/>
      <c r="Q794" s="37"/>
      <c r="R794" s="37"/>
      <c r="S794" s="37"/>
      <c r="T794" s="37"/>
      <c r="U794" s="37"/>
      <c r="V794" s="37"/>
      <c r="W794" s="37"/>
      <c r="X794" s="37"/>
    </row>
    <row r="795">
      <c r="A795" s="37"/>
      <c r="B795" s="49"/>
      <c r="H795" s="50"/>
      <c r="I795" s="51"/>
      <c r="J795" s="37"/>
      <c r="K795" s="37"/>
      <c r="L795" s="37"/>
      <c r="M795" s="37"/>
      <c r="N795" s="37"/>
      <c r="O795" s="37"/>
      <c r="P795" s="37"/>
      <c r="Q795" s="37"/>
      <c r="R795" s="37"/>
      <c r="S795" s="37"/>
      <c r="T795" s="37"/>
      <c r="U795" s="37"/>
      <c r="V795" s="37"/>
      <c r="W795" s="37"/>
      <c r="X795" s="37"/>
    </row>
    <row r="796">
      <c r="A796" s="37"/>
      <c r="B796" s="49"/>
      <c r="H796" s="50"/>
      <c r="I796" s="51"/>
      <c r="J796" s="37"/>
      <c r="K796" s="37"/>
      <c r="L796" s="37"/>
      <c r="M796" s="37"/>
      <c r="N796" s="37"/>
      <c r="O796" s="37"/>
      <c r="P796" s="37"/>
      <c r="Q796" s="37"/>
      <c r="R796" s="37"/>
      <c r="S796" s="37"/>
      <c r="T796" s="37"/>
      <c r="U796" s="37"/>
      <c r="V796" s="37"/>
      <c r="W796" s="37"/>
      <c r="X796" s="37"/>
    </row>
    <row r="797">
      <c r="A797" s="37"/>
      <c r="B797" s="49"/>
      <c r="H797" s="50"/>
      <c r="I797" s="51"/>
      <c r="J797" s="37"/>
      <c r="K797" s="37"/>
      <c r="L797" s="37"/>
      <c r="M797" s="37"/>
      <c r="N797" s="37"/>
      <c r="O797" s="37"/>
      <c r="P797" s="37"/>
      <c r="Q797" s="37"/>
      <c r="R797" s="37"/>
      <c r="S797" s="37"/>
      <c r="T797" s="37"/>
      <c r="U797" s="37"/>
      <c r="V797" s="37"/>
      <c r="W797" s="37"/>
      <c r="X797" s="37"/>
    </row>
    <row r="798">
      <c r="A798" s="37"/>
      <c r="B798" s="49"/>
      <c r="H798" s="50"/>
      <c r="I798" s="51"/>
      <c r="J798" s="37"/>
      <c r="K798" s="37"/>
      <c r="L798" s="37"/>
      <c r="M798" s="37"/>
      <c r="N798" s="37"/>
      <c r="O798" s="37"/>
      <c r="P798" s="37"/>
      <c r="Q798" s="37"/>
      <c r="R798" s="37"/>
      <c r="S798" s="37"/>
      <c r="T798" s="37"/>
      <c r="U798" s="37"/>
      <c r="V798" s="37"/>
      <c r="W798" s="37"/>
      <c r="X798" s="37"/>
    </row>
    <row r="799">
      <c r="A799" s="37"/>
      <c r="B799" s="49"/>
      <c r="H799" s="50"/>
      <c r="I799" s="51"/>
      <c r="J799" s="37"/>
      <c r="K799" s="37"/>
      <c r="L799" s="37"/>
      <c r="M799" s="37"/>
      <c r="N799" s="37"/>
      <c r="O799" s="37"/>
      <c r="P799" s="37"/>
      <c r="Q799" s="37"/>
      <c r="R799" s="37"/>
      <c r="S799" s="37"/>
      <c r="T799" s="37"/>
      <c r="U799" s="37"/>
      <c r="V799" s="37"/>
      <c r="W799" s="37"/>
      <c r="X799" s="37"/>
    </row>
    <row r="800">
      <c r="A800" s="37"/>
      <c r="B800" s="49"/>
      <c r="H800" s="50"/>
      <c r="I800" s="51"/>
      <c r="J800" s="37"/>
      <c r="K800" s="37"/>
      <c r="L800" s="37"/>
      <c r="M800" s="37"/>
      <c r="N800" s="37"/>
      <c r="O800" s="37"/>
      <c r="P800" s="37"/>
      <c r="Q800" s="37"/>
      <c r="R800" s="37"/>
      <c r="S800" s="37"/>
      <c r="T800" s="37"/>
      <c r="U800" s="37"/>
      <c r="V800" s="37"/>
      <c r="W800" s="37"/>
      <c r="X800" s="37"/>
    </row>
    <row r="801">
      <c r="A801" s="37"/>
      <c r="B801" s="49"/>
      <c r="H801" s="50"/>
      <c r="I801" s="51"/>
      <c r="J801" s="37"/>
      <c r="K801" s="37"/>
      <c r="L801" s="37"/>
      <c r="M801" s="37"/>
      <c r="N801" s="37"/>
      <c r="O801" s="37"/>
      <c r="P801" s="37"/>
      <c r="Q801" s="37"/>
      <c r="R801" s="37"/>
      <c r="S801" s="37"/>
      <c r="T801" s="37"/>
      <c r="U801" s="37"/>
      <c r="V801" s="37"/>
      <c r="W801" s="37"/>
      <c r="X801" s="37"/>
    </row>
    <row r="802">
      <c r="A802" s="37"/>
      <c r="B802" s="49"/>
      <c r="H802" s="50"/>
      <c r="I802" s="51"/>
      <c r="J802" s="37"/>
      <c r="K802" s="37"/>
      <c r="L802" s="37"/>
      <c r="M802" s="37"/>
      <c r="N802" s="37"/>
      <c r="O802" s="37"/>
      <c r="P802" s="37"/>
      <c r="Q802" s="37"/>
      <c r="R802" s="37"/>
      <c r="S802" s="37"/>
      <c r="T802" s="37"/>
      <c r="U802" s="37"/>
      <c r="V802" s="37"/>
      <c r="W802" s="37"/>
      <c r="X802" s="37"/>
    </row>
    <row r="803">
      <c r="A803" s="37"/>
      <c r="B803" s="49"/>
      <c r="H803" s="50"/>
      <c r="I803" s="51"/>
      <c r="J803" s="37"/>
      <c r="K803" s="37"/>
      <c r="L803" s="37"/>
      <c r="M803" s="37"/>
      <c r="N803" s="37"/>
      <c r="O803" s="37"/>
      <c r="P803" s="37"/>
      <c r="Q803" s="37"/>
      <c r="R803" s="37"/>
      <c r="S803" s="37"/>
      <c r="T803" s="37"/>
      <c r="U803" s="37"/>
      <c r="V803" s="37"/>
      <c r="W803" s="37"/>
      <c r="X803" s="37"/>
    </row>
    <row r="804">
      <c r="A804" s="37"/>
      <c r="B804" s="49"/>
      <c r="H804" s="50"/>
      <c r="I804" s="51"/>
      <c r="J804" s="37"/>
      <c r="K804" s="37"/>
      <c r="L804" s="37"/>
      <c r="M804" s="37"/>
      <c r="N804" s="37"/>
      <c r="O804" s="37"/>
      <c r="P804" s="37"/>
      <c r="Q804" s="37"/>
      <c r="R804" s="37"/>
      <c r="S804" s="37"/>
      <c r="T804" s="37"/>
      <c r="U804" s="37"/>
      <c r="V804" s="37"/>
      <c r="W804" s="37"/>
      <c r="X804" s="37"/>
    </row>
    <row r="805">
      <c r="A805" s="37"/>
      <c r="B805" s="49"/>
      <c r="H805" s="50"/>
      <c r="I805" s="51"/>
      <c r="J805" s="37"/>
      <c r="K805" s="37"/>
      <c r="L805" s="37"/>
      <c r="M805" s="37"/>
      <c r="N805" s="37"/>
      <c r="O805" s="37"/>
      <c r="P805" s="37"/>
      <c r="Q805" s="37"/>
      <c r="R805" s="37"/>
      <c r="S805" s="37"/>
      <c r="T805" s="37"/>
      <c r="U805" s="37"/>
      <c r="V805" s="37"/>
      <c r="W805" s="37"/>
      <c r="X805" s="37"/>
    </row>
    <row r="806">
      <c r="A806" s="37"/>
      <c r="B806" s="49"/>
      <c r="H806" s="50"/>
      <c r="I806" s="51"/>
      <c r="J806" s="37"/>
      <c r="K806" s="37"/>
      <c r="L806" s="37"/>
      <c r="M806" s="37"/>
      <c r="N806" s="37"/>
      <c r="O806" s="37"/>
      <c r="P806" s="37"/>
      <c r="Q806" s="37"/>
      <c r="R806" s="37"/>
      <c r="S806" s="37"/>
      <c r="T806" s="37"/>
      <c r="U806" s="37"/>
      <c r="V806" s="37"/>
      <c r="W806" s="37"/>
      <c r="X806" s="37"/>
    </row>
    <row r="807">
      <c r="A807" s="37"/>
      <c r="B807" s="49"/>
      <c r="H807" s="50"/>
      <c r="I807" s="51"/>
      <c r="J807" s="37"/>
      <c r="K807" s="37"/>
      <c r="L807" s="37"/>
      <c r="M807" s="37"/>
      <c r="N807" s="37"/>
      <c r="O807" s="37"/>
      <c r="P807" s="37"/>
      <c r="Q807" s="37"/>
      <c r="R807" s="37"/>
      <c r="S807" s="37"/>
      <c r="T807" s="37"/>
      <c r="U807" s="37"/>
      <c r="V807" s="37"/>
      <c r="W807" s="37"/>
      <c r="X807" s="37"/>
    </row>
    <row r="808">
      <c r="A808" s="37"/>
      <c r="B808" s="49"/>
      <c r="H808" s="50"/>
      <c r="I808" s="51"/>
      <c r="J808" s="37"/>
      <c r="K808" s="37"/>
      <c r="L808" s="37"/>
      <c r="M808" s="37"/>
      <c r="N808" s="37"/>
      <c r="O808" s="37"/>
      <c r="P808" s="37"/>
      <c r="Q808" s="37"/>
      <c r="R808" s="37"/>
      <c r="S808" s="37"/>
      <c r="T808" s="37"/>
      <c r="U808" s="37"/>
      <c r="V808" s="37"/>
      <c r="W808" s="37"/>
      <c r="X808" s="37"/>
    </row>
    <row r="809">
      <c r="A809" s="37"/>
      <c r="B809" s="49"/>
      <c r="H809" s="50"/>
      <c r="I809" s="51"/>
      <c r="J809" s="37"/>
      <c r="K809" s="37"/>
      <c r="L809" s="37"/>
      <c r="M809" s="37"/>
      <c r="N809" s="37"/>
      <c r="O809" s="37"/>
      <c r="P809" s="37"/>
      <c r="Q809" s="37"/>
      <c r="R809" s="37"/>
      <c r="S809" s="37"/>
      <c r="T809" s="37"/>
      <c r="U809" s="37"/>
      <c r="V809" s="37"/>
      <c r="W809" s="37"/>
      <c r="X809" s="37"/>
    </row>
    <row r="810">
      <c r="A810" s="37"/>
      <c r="B810" s="49"/>
      <c r="H810" s="50"/>
      <c r="I810" s="51"/>
      <c r="J810" s="37"/>
      <c r="K810" s="37"/>
      <c r="L810" s="37"/>
      <c r="M810" s="37"/>
      <c r="N810" s="37"/>
      <c r="O810" s="37"/>
      <c r="P810" s="37"/>
      <c r="Q810" s="37"/>
      <c r="R810" s="37"/>
      <c r="S810" s="37"/>
      <c r="T810" s="37"/>
      <c r="U810" s="37"/>
      <c r="V810" s="37"/>
      <c r="W810" s="37"/>
      <c r="X810" s="37"/>
    </row>
    <row r="811">
      <c r="A811" s="37"/>
      <c r="B811" s="49"/>
      <c r="H811" s="50"/>
      <c r="I811" s="51"/>
      <c r="J811" s="37"/>
      <c r="K811" s="37"/>
      <c r="L811" s="37"/>
      <c r="M811" s="37"/>
      <c r="N811" s="37"/>
      <c r="O811" s="37"/>
      <c r="P811" s="37"/>
      <c r="Q811" s="37"/>
      <c r="R811" s="37"/>
      <c r="S811" s="37"/>
      <c r="T811" s="37"/>
      <c r="U811" s="37"/>
      <c r="V811" s="37"/>
      <c r="W811" s="37"/>
      <c r="X811" s="37"/>
    </row>
    <row r="812">
      <c r="A812" s="37"/>
      <c r="B812" s="49"/>
      <c r="H812" s="50"/>
      <c r="I812" s="51"/>
      <c r="J812" s="37"/>
      <c r="K812" s="37"/>
      <c r="L812" s="37"/>
      <c r="M812" s="37"/>
      <c r="N812" s="37"/>
      <c r="O812" s="37"/>
      <c r="P812" s="37"/>
      <c r="Q812" s="37"/>
      <c r="R812" s="37"/>
      <c r="S812" s="37"/>
      <c r="T812" s="37"/>
      <c r="U812" s="37"/>
      <c r="V812" s="37"/>
      <c r="W812" s="37"/>
      <c r="X812" s="37"/>
    </row>
    <row r="813">
      <c r="A813" s="37"/>
      <c r="B813" s="49"/>
      <c r="H813" s="50"/>
      <c r="I813" s="51"/>
      <c r="J813" s="37"/>
      <c r="K813" s="37"/>
      <c r="L813" s="37"/>
      <c r="M813" s="37"/>
      <c r="N813" s="37"/>
      <c r="O813" s="37"/>
      <c r="P813" s="37"/>
      <c r="Q813" s="37"/>
      <c r="R813" s="37"/>
      <c r="S813" s="37"/>
      <c r="T813" s="37"/>
      <c r="U813" s="37"/>
      <c r="V813" s="37"/>
      <c r="W813" s="37"/>
      <c r="X813" s="37"/>
    </row>
    <row r="814">
      <c r="A814" s="37"/>
      <c r="B814" s="49"/>
      <c r="H814" s="50"/>
      <c r="I814" s="51"/>
      <c r="J814" s="37"/>
      <c r="K814" s="37"/>
      <c r="L814" s="37"/>
      <c r="M814" s="37"/>
      <c r="N814" s="37"/>
      <c r="O814" s="37"/>
      <c r="P814" s="37"/>
      <c r="Q814" s="37"/>
      <c r="R814" s="37"/>
      <c r="S814" s="37"/>
      <c r="T814" s="37"/>
      <c r="U814" s="37"/>
      <c r="V814" s="37"/>
      <c r="W814" s="37"/>
      <c r="X814" s="37"/>
    </row>
    <row r="815">
      <c r="A815" s="37"/>
      <c r="B815" s="49"/>
      <c r="H815" s="50"/>
      <c r="I815" s="51"/>
      <c r="J815" s="37"/>
      <c r="K815" s="37"/>
      <c r="L815" s="37"/>
      <c r="M815" s="37"/>
      <c r="N815" s="37"/>
      <c r="O815" s="37"/>
      <c r="P815" s="37"/>
      <c r="Q815" s="37"/>
      <c r="R815" s="37"/>
      <c r="S815" s="37"/>
      <c r="T815" s="37"/>
      <c r="U815" s="37"/>
      <c r="V815" s="37"/>
      <c r="W815" s="37"/>
      <c r="X815" s="37"/>
    </row>
    <row r="816">
      <c r="A816" s="37"/>
      <c r="B816" s="49"/>
      <c r="H816" s="50"/>
      <c r="I816" s="51"/>
      <c r="J816" s="37"/>
      <c r="K816" s="37"/>
      <c r="L816" s="37"/>
      <c r="M816" s="37"/>
      <c r="N816" s="37"/>
      <c r="O816" s="37"/>
      <c r="P816" s="37"/>
      <c r="Q816" s="37"/>
      <c r="R816" s="37"/>
      <c r="S816" s="37"/>
      <c r="T816" s="37"/>
      <c r="U816" s="37"/>
      <c r="V816" s="37"/>
      <c r="W816" s="37"/>
      <c r="X816" s="37"/>
    </row>
    <row r="817">
      <c r="A817" s="37"/>
      <c r="B817" s="49"/>
      <c r="H817" s="50"/>
      <c r="I817" s="51"/>
      <c r="J817" s="37"/>
      <c r="K817" s="37"/>
      <c r="L817" s="37"/>
      <c r="M817" s="37"/>
      <c r="N817" s="37"/>
      <c r="O817" s="37"/>
      <c r="P817" s="37"/>
      <c r="Q817" s="37"/>
      <c r="R817" s="37"/>
      <c r="S817" s="37"/>
      <c r="T817" s="37"/>
      <c r="U817" s="37"/>
      <c r="V817" s="37"/>
      <c r="W817" s="37"/>
      <c r="X817" s="37"/>
    </row>
    <row r="818">
      <c r="A818" s="37"/>
      <c r="B818" s="49"/>
      <c r="H818" s="50"/>
      <c r="I818" s="51"/>
      <c r="J818" s="37"/>
      <c r="K818" s="37"/>
      <c r="L818" s="37"/>
      <c r="M818" s="37"/>
      <c r="N818" s="37"/>
      <c r="O818" s="37"/>
      <c r="P818" s="37"/>
      <c r="Q818" s="37"/>
      <c r="R818" s="37"/>
      <c r="S818" s="37"/>
      <c r="T818" s="37"/>
      <c r="U818" s="37"/>
      <c r="V818" s="37"/>
      <c r="W818" s="37"/>
      <c r="X818" s="37"/>
    </row>
    <row r="819">
      <c r="A819" s="37"/>
      <c r="B819" s="49"/>
      <c r="H819" s="50"/>
      <c r="I819" s="51"/>
      <c r="J819" s="37"/>
      <c r="K819" s="37"/>
      <c r="L819" s="37"/>
      <c r="M819" s="37"/>
      <c r="N819" s="37"/>
      <c r="O819" s="37"/>
      <c r="P819" s="37"/>
      <c r="Q819" s="37"/>
      <c r="R819" s="37"/>
      <c r="S819" s="37"/>
      <c r="T819" s="37"/>
      <c r="U819" s="37"/>
      <c r="V819" s="37"/>
      <c r="W819" s="37"/>
      <c r="X819" s="37"/>
    </row>
    <row r="820">
      <c r="A820" s="37"/>
      <c r="B820" s="49"/>
      <c r="H820" s="50"/>
      <c r="I820" s="51"/>
      <c r="J820" s="37"/>
      <c r="K820" s="37"/>
      <c r="L820" s="37"/>
      <c r="M820" s="37"/>
      <c r="N820" s="37"/>
      <c r="O820" s="37"/>
      <c r="P820" s="37"/>
      <c r="Q820" s="37"/>
      <c r="R820" s="37"/>
      <c r="S820" s="37"/>
      <c r="T820" s="37"/>
      <c r="U820" s="37"/>
      <c r="V820" s="37"/>
      <c r="W820" s="37"/>
      <c r="X820" s="37"/>
    </row>
    <row r="821">
      <c r="A821" s="37"/>
      <c r="B821" s="49"/>
      <c r="H821" s="50"/>
      <c r="I821" s="51"/>
      <c r="J821" s="37"/>
      <c r="K821" s="37"/>
      <c r="L821" s="37"/>
      <c r="M821" s="37"/>
      <c r="N821" s="37"/>
      <c r="O821" s="37"/>
      <c r="P821" s="37"/>
      <c r="Q821" s="37"/>
      <c r="R821" s="37"/>
      <c r="S821" s="37"/>
      <c r="T821" s="37"/>
      <c r="U821" s="37"/>
      <c r="V821" s="37"/>
      <c r="W821" s="37"/>
      <c r="X821" s="37"/>
    </row>
    <row r="822">
      <c r="A822" s="37"/>
      <c r="B822" s="49"/>
      <c r="H822" s="50"/>
      <c r="I822" s="51"/>
      <c r="J822" s="37"/>
      <c r="K822" s="37"/>
      <c r="L822" s="37"/>
      <c r="M822" s="37"/>
      <c r="N822" s="37"/>
      <c r="O822" s="37"/>
      <c r="P822" s="37"/>
      <c r="Q822" s="37"/>
      <c r="R822" s="37"/>
      <c r="S822" s="37"/>
      <c r="T822" s="37"/>
      <c r="U822" s="37"/>
      <c r="V822" s="37"/>
      <c r="W822" s="37"/>
      <c r="X822" s="37"/>
    </row>
    <row r="823">
      <c r="A823" s="37"/>
      <c r="B823" s="49"/>
      <c r="H823" s="50"/>
      <c r="I823" s="51"/>
      <c r="J823" s="37"/>
      <c r="K823" s="37"/>
      <c r="L823" s="37"/>
      <c r="M823" s="37"/>
      <c r="N823" s="37"/>
      <c r="O823" s="37"/>
      <c r="P823" s="37"/>
      <c r="Q823" s="37"/>
      <c r="R823" s="37"/>
      <c r="S823" s="37"/>
      <c r="T823" s="37"/>
      <c r="U823" s="37"/>
      <c r="V823" s="37"/>
      <c r="W823" s="37"/>
      <c r="X823" s="37"/>
    </row>
    <row r="824">
      <c r="A824" s="37"/>
      <c r="B824" s="49"/>
      <c r="H824" s="50"/>
      <c r="I824" s="51"/>
      <c r="J824" s="37"/>
      <c r="K824" s="37"/>
      <c r="L824" s="37"/>
      <c r="M824" s="37"/>
      <c r="N824" s="37"/>
      <c r="O824" s="37"/>
      <c r="P824" s="37"/>
      <c r="Q824" s="37"/>
      <c r="R824" s="37"/>
      <c r="S824" s="37"/>
      <c r="T824" s="37"/>
      <c r="U824" s="37"/>
      <c r="V824" s="37"/>
      <c r="W824" s="37"/>
      <c r="X824" s="37"/>
    </row>
    <row r="825">
      <c r="A825" s="37"/>
      <c r="B825" s="49"/>
      <c r="H825" s="50"/>
      <c r="I825" s="51"/>
      <c r="J825" s="37"/>
      <c r="K825" s="37"/>
      <c r="L825" s="37"/>
      <c r="M825" s="37"/>
      <c r="N825" s="37"/>
      <c r="O825" s="37"/>
      <c r="P825" s="37"/>
      <c r="Q825" s="37"/>
      <c r="R825" s="37"/>
      <c r="S825" s="37"/>
      <c r="T825" s="37"/>
      <c r="U825" s="37"/>
      <c r="V825" s="37"/>
      <c r="W825" s="37"/>
      <c r="X825" s="37"/>
    </row>
    <row r="826">
      <c r="A826" s="37"/>
      <c r="B826" s="49"/>
      <c r="H826" s="50"/>
      <c r="I826" s="51"/>
      <c r="J826" s="37"/>
      <c r="K826" s="37"/>
      <c r="L826" s="37"/>
      <c r="M826" s="37"/>
      <c r="N826" s="37"/>
      <c r="O826" s="37"/>
      <c r="P826" s="37"/>
      <c r="Q826" s="37"/>
      <c r="R826" s="37"/>
      <c r="S826" s="37"/>
      <c r="T826" s="37"/>
      <c r="U826" s="37"/>
      <c r="V826" s="37"/>
      <c r="W826" s="37"/>
      <c r="X826" s="37"/>
    </row>
    <row r="827">
      <c r="A827" s="37"/>
      <c r="B827" s="49"/>
      <c r="H827" s="50"/>
      <c r="I827" s="51"/>
      <c r="J827" s="37"/>
      <c r="K827" s="37"/>
      <c r="L827" s="37"/>
      <c r="M827" s="37"/>
      <c r="N827" s="37"/>
      <c r="O827" s="37"/>
      <c r="P827" s="37"/>
      <c r="Q827" s="37"/>
      <c r="R827" s="37"/>
      <c r="S827" s="37"/>
      <c r="T827" s="37"/>
      <c r="U827" s="37"/>
      <c r="V827" s="37"/>
      <c r="W827" s="37"/>
      <c r="X827" s="37"/>
    </row>
    <row r="828">
      <c r="A828" s="37"/>
      <c r="B828" s="49"/>
      <c r="H828" s="50"/>
      <c r="I828" s="51"/>
      <c r="J828" s="37"/>
      <c r="K828" s="37"/>
      <c r="L828" s="37"/>
      <c r="M828" s="37"/>
      <c r="N828" s="37"/>
      <c r="O828" s="37"/>
      <c r="P828" s="37"/>
      <c r="Q828" s="37"/>
      <c r="R828" s="37"/>
      <c r="S828" s="37"/>
      <c r="T828" s="37"/>
      <c r="U828" s="37"/>
      <c r="V828" s="37"/>
      <c r="W828" s="37"/>
      <c r="X828" s="37"/>
    </row>
    <row r="829">
      <c r="A829" s="37"/>
      <c r="B829" s="49"/>
      <c r="H829" s="50"/>
      <c r="I829" s="51"/>
      <c r="J829" s="37"/>
      <c r="K829" s="37"/>
      <c r="L829" s="37"/>
      <c r="M829" s="37"/>
      <c r="N829" s="37"/>
      <c r="O829" s="37"/>
      <c r="P829" s="37"/>
      <c r="Q829" s="37"/>
      <c r="R829" s="37"/>
      <c r="S829" s="37"/>
      <c r="T829" s="37"/>
      <c r="U829" s="37"/>
      <c r="V829" s="37"/>
      <c r="W829" s="37"/>
      <c r="X829" s="37"/>
    </row>
    <row r="830">
      <c r="A830" s="37"/>
      <c r="B830" s="49"/>
      <c r="H830" s="50"/>
      <c r="I830" s="51"/>
      <c r="J830" s="37"/>
      <c r="K830" s="37"/>
      <c r="L830" s="37"/>
      <c r="M830" s="37"/>
      <c r="N830" s="37"/>
      <c r="O830" s="37"/>
      <c r="P830" s="37"/>
      <c r="Q830" s="37"/>
      <c r="R830" s="37"/>
      <c r="S830" s="37"/>
      <c r="T830" s="37"/>
      <c r="U830" s="37"/>
      <c r="V830" s="37"/>
      <c r="W830" s="37"/>
      <c r="X830" s="37"/>
    </row>
    <row r="831">
      <c r="A831" s="37"/>
      <c r="B831" s="49"/>
      <c r="H831" s="50"/>
      <c r="I831" s="51"/>
      <c r="J831" s="37"/>
      <c r="K831" s="37"/>
      <c r="L831" s="37"/>
      <c r="M831" s="37"/>
      <c r="N831" s="37"/>
      <c r="O831" s="37"/>
      <c r="P831" s="37"/>
      <c r="Q831" s="37"/>
      <c r="R831" s="37"/>
      <c r="S831" s="37"/>
      <c r="T831" s="37"/>
      <c r="U831" s="37"/>
      <c r="V831" s="37"/>
      <c r="W831" s="37"/>
      <c r="X831" s="37"/>
    </row>
    <row r="832">
      <c r="A832" s="37"/>
      <c r="B832" s="49"/>
      <c r="H832" s="50"/>
      <c r="I832" s="51"/>
      <c r="J832" s="37"/>
      <c r="K832" s="37"/>
      <c r="L832" s="37"/>
      <c r="M832" s="37"/>
      <c r="N832" s="37"/>
      <c r="O832" s="37"/>
      <c r="P832" s="37"/>
      <c r="Q832" s="37"/>
      <c r="R832" s="37"/>
      <c r="S832" s="37"/>
      <c r="T832" s="37"/>
      <c r="U832" s="37"/>
      <c r="V832" s="37"/>
      <c r="W832" s="37"/>
      <c r="X832" s="37"/>
    </row>
    <row r="833">
      <c r="A833" s="37"/>
      <c r="B833" s="49"/>
      <c r="H833" s="50"/>
      <c r="I833" s="51"/>
      <c r="J833" s="37"/>
      <c r="K833" s="37"/>
      <c r="L833" s="37"/>
      <c r="M833" s="37"/>
      <c r="N833" s="37"/>
      <c r="O833" s="37"/>
      <c r="P833" s="37"/>
      <c r="Q833" s="37"/>
      <c r="R833" s="37"/>
      <c r="S833" s="37"/>
      <c r="T833" s="37"/>
      <c r="U833" s="37"/>
      <c r="V833" s="37"/>
      <c r="W833" s="37"/>
      <c r="X833" s="37"/>
    </row>
    <row r="834">
      <c r="A834" s="37"/>
      <c r="B834" s="49"/>
      <c r="H834" s="50"/>
      <c r="I834" s="51"/>
      <c r="J834" s="37"/>
      <c r="K834" s="37"/>
      <c r="L834" s="37"/>
      <c r="M834" s="37"/>
      <c r="N834" s="37"/>
      <c r="O834" s="37"/>
      <c r="P834" s="37"/>
      <c r="Q834" s="37"/>
      <c r="R834" s="37"/>
      <c r="S834" s="37"/>
      <c r="T834" s="37"/>
      <c r="U834" s="37"/>
      <c r="V834" s="37"/>
      <c r="W834" s="37"/>
      <c r="X834" s="37"/>
    </row>
    <row r="835">
      <c r="A835" s="37"/>
      <c r="B835" s="49"/>
      <c r="H835" s="50"/>
      <c r="I835" s="51"/>
      <c r="J835" s="37"/>
      <c r="K835" s="37"/>
      <c r="L835" s="37"/>
      <c r="M835" s="37"/>
      <c r="N835" s="37"/>
      <c r="O835" s="37"/>
      <c r="P835" s="37"/>
      <c r="Q835" s="37"/>
      <c r="R835" s="37"/>
      <c r="S835" s="37"/>
      <c r="T835" s="37"/>
      <c r="U835" s="37"/>
      <c r="V835" s="37"/>
      <c r="W835" s="37"/>
      <c r="X835" s="37"/>
    </row>
    <row r="836">
      <c r="A836" s="37"/>
      <c r="B836" s="49"/>
      <c r="H836" s="50"/>
      <c r="I836" s="51"/>
      <c r="J836" s="37"/>
      <c r="K836" s="37"/>
      <c r="L836" s="37"/>
      <c r="M836" s="37"/>
      <c r="N836" s="37"/>
      <c r="O836" s="37"/>
      <c r="P836" s="37"/>
      <c r="Q836" s="37"/>
      <c r="R836" s="37"/>
      <c r="S836" s="37"/>
      <c r="T836" s="37"/>
      <c r="U836" s="37"/>
      <c r="V836" s="37"/>
      <c r="W836" s="37"/>
      <c r="X836" s="37"/>
    </row>
    <row r="837">
      <c r="A837" s="37"/>
      <c r="B837" s="49"/>
      <c r="H837" s="50"/>
      <c r="I837" s="51"/>
      <c r="J837" s="37"/>
      <c r="K837" s="37"/>
      <c r="L837" s="37"/>
      <c r="M837" s="37"/>
      <c r="N837" s="37"/>
      <c r="O837" s="37"/>
      <c r="P837" s="37"/>
      <c r="Q837" s="37"/>
      <c r="R837" s="37"/>
      <c r="S837" s="37"/>
      <c r="T837" s="37"/>
      <c r="U837" s="37"/>
      <c r="V837" s="37"/>
      <c r="W837" s="37"/>
      <c r="X837" s="37"/>
    </row>
    <row r="838">
      <c r="A838" s="37"/>
      <c r="B838" s="49"/>
      <c r="H838" s="50"/>
      <c r="I838" s="51"/>
      <c r="J838" s="37"/>
      <c r="K838" s="37"/>
      <c r="L838" s="37"/>
      <c r="M838" s="37"/>
      <c r="N838" s="37"/>
      <c r="O838" s="37"/>
      <c r="P838" s="37"/>
      <c r="Q838" s="37"/>
      <c r="R838" s="37"/>
      <c r="S838" s="37"/>
      <c r="T838" s="37"/>
      <c r="U838" s="37"/>
      <c r="V838" s="37"/>
      <c r="W838" s="37"/>
      <c r="X838" s="37"/>
    </row>
    <row r="839">
      <c r="A839" s="37"/>
      <c r="B839" s="49"/>
      <c r="H839" s="50"/>
      <c r="I839" s="51"/>
      <c r="J839" s="37"/>
      <c r="K839" s="37"/>
      <c r="L839" s="37"/>
      <c r="M839" s="37"/>
      <c r="N839" s="37"/>
      <c r="O839" s="37"/>
      <c r="P839" s="37"/>
      <c r="Q839" s="37"/>
      <c r="R839" s="37"/>
      <c r="S839" s="37"/>
      <c r="T839" s="37"/>
      <c r="U839" s="37"/>
      <c r="V839" s="37"/>
      <c r="W839" s="37"/>
      <c r="X839" s="37"/>
    </row>
    <row r="840">
      <c r="A840" s="37"/>
      <c r="B840" s="49"/>
      <c r="H840" s="50"/>
      <c r="I840" s="51"/>
      <c r="J840" s="37"/>
      <c r="K840" s="37"/>
      <c r="L840" s="37"/>
      <c r="M840" s="37"/>
      <c r="N840" s="37"/>
      <c r="O840" s="37"/>
      <c r="P840" s="37"/>
      <c r="Q840" s="37"/>
      <c r="R840" s="37"/>
      <c r="S840" s="37"/>
      <c r="T840" s="37"/>
      <c r="U840" s="37"/>
      <c r="V840" s="37"/>
      <c r="W840" s="37"/>
      <c r="X840" s="37"/>
    </row>
    <row r="841">
      <c r="A841" s="37"/>
      <c r="B841" s="49"/>
      <c r="H841" s="50"/>
      <c r="I841" s="51"/>
      <c r="J841" s="37"/>
      <c r="K841" s="37"/>
      <c r="L841" s="37"/>
      <c r="M841" s="37"/>
      <c r="N841" s="37"/>
      <c r="O841" s="37"/>
      <c r="P841" s="37"/>
      <c r="Q841" s="37"/>
      <c r="R841" s="37"/>
      <c r="S841" s="37"/>
      <c r="T841" s="37"/>
      <c r="U841" s="37"/>
      <c r="V841" s="37"/>
      <c r="W841" s="37"/>
      <c r="X841" s="37"/>
    </row>
    <row r="842">
      <c r="A842" s="37"/>
      <c r="B842" s="49"/>
      <c r="H842" s="50"/>
      <c r="I842" s="51"/>
      <c r="J842" s="37"/>
      <c r="K842" s="37"/>
      <c r="L842" s="37"/>
      <c r="M842" s="37"/>
      <c r="N842" s="37"/>
      <c r="O842" s="37"/>
      <c r="P842" s="37"/>
      <c r="Q842" s="37"/>
      <c r="R842" s="37"/>
      <c r="S842" s="37"/>
      <c r="T842" s="37"/>
      <c r="U842" s="37"/>
      <c r="V842" s="37"/>
      <c r="W842" s="37"/>
      <c r="X842" s="37"/>
    </row>
    <row r="843">
      <c r="A843" s="37"/>
      <c r="B843" s="49"/>
      <c r="H843" s="50"/>
      <c r="I843" s="51"/>
      <c r="J843" s="37"/>
      <c r="K843" s="37"/>
      <c r="L843" s="37"/>
      <c r="M843" s="37"/>
      <c r="N843" s="37"/>
      <c r="O843" s="37"/>
      <c r="P843" s="37"/>
      <c r="Q843" s="37"/>
      <c r="R843" s="37"/>
      <c r="S843" s="37"/>
      <c r="T843" s="37"/>
      <c r="U843" s="37"/>
      <c r="V843" s="37"/>
      <c r="W843" s="37"/>
      <c r="X843" s="37"/>
    </row>
    <row r="844">
      <c r="A844" s="37"/>
      <c r="B844" s="49"/>
      <c r="H844" s="50"/>
      <c r="I844" s="51"/>
      <c r="J844" s="37"/>
      <c r="K844" s="37"/>
      <c r="L844" s="37"/>
      <c r="M844" s="37"/>
      <c r="N844" s="37"/>
      <c r="O844" s="37"/>
      <c r="P844" s="37"/>
      <c r="Q844" s="37"/>
      <c r="R844" s="37"/>
      <c r="S844" s="37"/>
      <c r="T844" s="37"/>
      <c r="U844" s="37"/>
      <c r="V844" s="37"/>
      <c r="W844" s="37"/>
      <c r="X844" s="37"/>
    </row>
    <row r="845">
      <c r="A845" s="37"/>
      <c r="B845" s="49"/>
      <c r="H845" s="50"/>
      <c r="I845" s="51"/>
      <c r="J845" s="37"/>
      <c r="K845" s="37"/>
      <c r="L845" s="37"/>
      <c r="M845" s="37"/>
      <c r="N845" s="37"/>
      <c r="O845" s="37"/>
      <c r="P845" s="37"/>
      <c r="Q845" s="37"/>
      <c r="R845" s="37"/>
      <c r="S845" s="37"/>
      <c r="T845" s="37"/>
      <c r="U845" s="37"/>
      <c r="V845" s="37"/>
      <c r="W845" s="37"/>
      <c r="X845" s="37"/>
    </row>
    <row r="846">
      <c r="A846" s="37"/>
      <c r="B846" s="49"/>
      <c r="H846" s="50"/>
      <c r="I846" s="51"/>
      <c r="J846" s="37"/>
      <c r="K846" s="37"/>
      <c r="L846" s="37"/>
      <c r="M846" s="37"/>
      <c r="N846" s="37"/>
      <c r="O846" s="37"/>
      <c r="P846" s="37"/>
      <c r="Q846" s="37"/>
      <c r="R846" s="37"/>
      <c r="S846" s="37"/>
      <c r="T846" s="37"/>
      <c r="U846" s="37"/>
      <c r="V846" s="37"/>
      <c r="W846" s="37"/>
      <c r="X846" s="37"/>
    </row>
    <row r="847">
      <c r="A847" s="37"/>
      <c r="B847" s="49"/>
      <c r="H847" s="50"/>
      <c r="I847" s="51"/>
      <c r="J847" s="37"/>
      <c r="K847" s="37"/>
      <c r="L847" s="37"/>
      <c r="M847" s="37"/>
      <c r="N847" s="37"/>
      <c r="O847" s="37"/>
      <c r="P847" s="37"/>
      <c r="Q847" s="37"/>
      <c r="R847" s="37"/>
      <c r="S847" s="37"/>
      <c r="T847" s="37"/>
      <c r="U847" s="37"/>
      <c r="V847" s="37"/>
      <c r="W847" s="37"/>
      <c r="X847" s="37"/>
    </row>
    <row r="848">
      <c r="A848" s="37"/>
      <c r="B848" s="49"/>
      <c r="H848" s="50"/>
      <c r="I848" s="51"/>
      <c r="J848" s="37"/>
      <c r="K848" s="37"/>
      <c r="L848" s="37"/>
      <c r="M848" s="37"/>
      <c r="N848" s="37"/>
      <c r="O848" s="37"/>
      <c r="P848" s="37"/>
      <c r="Q848" s="37"/>
      <c r="R848" s="37"/>
      <c r="S848" s="37"/>
      <c r="T848" s="37"/>
      <c r="U848" s="37"/>
      <c r="V848" s="37"/>
      <c r="W848" s="37"/>
      <c r="X848" s="37"/>
    </row>
    <row r="849">
      <c r="A849" s="37"/>
      <c r="B849" s="49"/>
      <c r="H849" s="50"/>
      <c r="I849" s="51"/>
      <c r="J849" s="37"/>
      <c r="K849" s="37"/>
      <c r="L849" s="37"/>
      <c r="M849" s="37"/>
      <c r="N849" s="37"/>
      <c r="O849" s="37"/>
      <c r="P849" s="37"/>
      <c r="Q849" s="37"/>
      <c r="R849" s="37"/>
      <c r="S849" s="37"/>
      <c r="T849" s="37"/>
      <c r="U849" s="37"/>
      <c r="V849" s="37"/>
      <c r="W849" s="37"/>
      <c r="X849" s="37"/>
    </row>
    <row r="850">
      <c r="A850" s="37"/>
      <c r="B850" s="49"/>
      <c r="H850" s="50"/>
      <c r="I850" s="51"/>
      <c r="J850" s="37"/>
      <c r="K850" s="37"/>
      <c r="L850" s="37"/>
      <c r="M850" s="37"/>
      <c r="N850" s="37"/>
      <c r="O850" s="37"/>
      <c r="P850" s="37"/>
      <c r="Q850" s="37"/>
      <c r="R850" s="37"/>
      <c r="S850" s="37"/>
      <c r="T850" s="37"/>
      <c r="U850" s="37"/>
      <c r="V850" s="37"/>
      <c r="W850" s="37"/>
      <c r="X850" s="37"/>
    </row>
    <row r="851">
      <c r="A851" s="37"/>
      <c r="B851" s="49"/>
      <c r="H851" s="50"/>
      <c r="I851" s="51"/>
      <c r="J851" s="37"/>
      <c r="K851" s="37"/>
      <c r="L851" s="37"/>
      <c r="M851" s="37"/>
      <c r="N851" s="37"/>
      <c r="O851" s="37"/>
      <c r="P851" s="37"/>
      <c r="Q851" s="37"/>
      <c r="R851" s="37"/>
      <c r="S851" s="37"/>
      <c r="T851" s="37"/>
      <c r="U851" s="37"/>
      <c r="V851" s="37"/>
      <c r="W851" s="37"/>
      <c r="X851" s="37"/>
    </row>
    <row r="852">
      <c r="A852" s="37"/>
      <c r="B852" s="49"/>
      <c r="H852" s="50"/>
      <c r="I852" s="51"/>
      <c r="J852" s="37"/>
      <c r="K852" s="37"/>
      <c r="L852" s="37"/>
      <c r="M852" s="37"/>
      <c r="N852" s="37"/>
      <c r="O852" s="37"/>
      <c r="P852" s="37"/>
      <c r="Q852" s="37"/>
      <c r="R852" s="37"/>
      <c r="S852" s="37"/>
      <c r="T852" s="37"/>
      <c r="U852" s="37"/>
      <c r="V852" s="37"/>
      <c r="W852" s="37"/>
      <c r="X852" s="37"/>
    </row>
    <row r="853">
      <c r="A853" s="37"/>
      <c r="B853" s="49"/>
      <c r="H853" s="50"/>
      <c r="I853" s="51"/>
      <c r="J853" s="37"/>
      <c r="K853" s="37"/>
      <c r="L853" s="37"/>
      <c r="M853" s="37"/>
      <c r="N853" s="37"/>
      <c r="O853" s="37"/>
      <c r="P853" s="37"/>
      <c r="Q853" s="37"/>
      <c r="R853" s="37"/>
      <c r="S853" s="37"/>
      <c r="T853" s="37"/>
      <c r="U853" s="37"/>
      <c r="V853" s="37"/>
      <c r="W853" s="37"/>
      <c r="X853" s="37"/>
    </row>
    <row r="854">
      <c r="A854" s="37"/>
      <c r="B854" s="49"/>
      <c r="H854" s="50"/>
      <c r="I854" s="51"/>
      <c r="J854" s="37"/>
      <c r="K854" s="37"/>
      <c r="L854" s="37"/>
      <c r="M854" s="37"/>
      <c r="N854" s="37"/>
      <c r="O854" s="37"/>
      <c r="P854" s="37"/>
      <c r="Q854" s="37"/>
      <c r="R854" s="37"/>
      <c r="S854" s="37"/>
      <c r="T854" s="37"/>
      <c r="U854" s="37"/>
      <c r="V854" s="37"/>
      <c r="W854" s="37"/>
      <c r="X854" s="37"/>
    </row>
    <row r="855">
      <c r="A855" s="37"/>
      <c r="B855" s="49"/>
      <c r="H855" s="50"/>
      <c r="I855" s="51"/>
      <c r="J855" s="37"/>
      <c r="K855" s="37"/>
      <c r="L855" s="37"/>
      <c r="M855" s="37"/>
      <c r="N855" s="37"/>
      <c r="O855" s="37"/>
      <c r="P855" s="37"/>
      <c r="Q855" s="37"/>
      <c r="R855" s="37"/>
      <c r="S855" s="37"/>
      <c r="T855" s="37"/>
      <c r="U855" s="37"/>
      <c r="V855" s="37"/>
      <c r="W855" s="37"/>
      <c r="X855" s="37"/>
    </row>
    <row r="856">
      <c r="A856" s="37"/>
      <c r="B856" s="49"/>
      <c r="H856" s="50"/>
      <c r="I856" s="51"/>
      <c r="J856" s="37"/>
      <c r="K856" s="37"/>
      <c r="L856" s="37"/>
      <c r="M856" s="37"/>
      <c r="N856" s="37"/>
      <c r="O856" s="37"/>
      <c r="P856" s="37"/>
      <c r="Q856" s="37"/>
      <c r="R856" s="37"/>
      <c r="S856" s="37"/>
      <c r="T856" s="37"/>
      <c r="U856" s="37"/>
      <c r="V856" s="37"/>
      <c r="W856" s="37"/>
      <c r="X856" s="37"/>
    </row>
    <row r="857">
      <c r="A857" s="37"/>
      <c r="B857" s="49"/>
      <c r="H857" s="50"/>
      <c r="I857" s="51"/>
      <c r="J857" s="37"/>
      <c r="K857" s="37"/>
      <c r="L857" s="37"/>
      <c r="M857" s="37"/>
      <c r="N857" s="37"/>
      <c r="O857" s="37"/>
      <c r="P857" s="37"/>
      <c r="Q857" s="37"/>
      <c r="R857" s="37"/>
      <c r="S857" s="37"/>
      <c r="T857" s="37"/>
      <c r="U857" s="37"/>
      <c r="V857" s="37"/>
      <c r="W857" s="37"/>
      <c r="X857" s="37"/>
    </row>
    <row r="858">
      <c r="A858" s="37"/>
      <c r="B858" s="49"/>
      <c r="H858" s="50"/>
      <c r="I858" s="51"/>
      <c r="J858" s="37"/>
      <c r="K858" s="37"/>
      <c r="L858" s="37"/>
      <c r="M858" s="37"/>
      <c r="N858" s="37"/>
      <c r="O858" s="37"/>
      <c r="P858" s="37"/>
      <c r="Q858" s="37"/>
      <c r="R858" s="37"/>
      <c r="S858" s="37"/>
      <c r="T858" s="37"/>
      <c r="U858" s="37"/>
      <c r="V858" s="37"/>
      <c r="W858" s="37"/>
      <c r="X858" s="37"/>
    </row>
    <row r="859">
      <c r="A859" s="37"/>
      <c r="B859" s="49"/>
      <c r="H859" s="50"/>
      <c r="I859" s="51"/>
      <c r="J859" s="37"/>
      <c r="K859" s="37"/>
      <c r="L859" s="37"/>
      <c r="M859" s="37"/>
      <c r="N859" s="37"/>
      <c r="O859" s="37"/>
      <c r="P859" s="37"/>
      <c r="Q859" s="37"/>
      <c r="R859" s="37"/>
      <c r="S859" s="37"/>
      <c r="T859" s="37"/>
      <c r="U859" s="37"/>
      <c r="V859" s="37"/>
      <c r="W859" s="37"/>
      <c r="X859" s="37"/>
    </row>
    <row r="860">
      <c r="A860" s="37"/>
      <c r="B860" s="49"/>
      <c r="H860" s="50"/>
      <c r="I860" s="51"/>
      <c r="J860" s="37"/>
      <c r="K860" s="37"/>
      <c r="L860" s="37"/>
      <c r="M860" s="37"/>
      <c r="N860" s="37"/>
      <c r="O860" s="37"/>
      <c r="P860" s="37"/>
      <c r="Q860" s="37"/>
      <c r="R860" s="37"/>
      <c r="S860" s="37"/>
      <c r="T860" s="37"/>
      <c r="U860" s="37"/>
      <c r="V860" s="37"/>
      <c r="W860" s="37"/>
      <c r="X860" s="37"/>
    </row>
    <row r="861">
      <c r="A861" s="37"/>
      <c r="B861" s="49"/>
      <c r="H861" s="50"/>
      <c r="I861" s="51"/>
      <c r="J861" s="37"/>
      <c r="K861" s="37"/>
      <c r="L861" s="37"/>
      <c r="M861" s="37"/>
      <c r="N861" s="37"/>
      <c r="O861" s="37"/>
      <c r="P861" s="37"/>
      <c r="Q861" s="37"/>
      <c r="R861" s="37"/>
      <c r="S861" s="37"/>
      <c r="T861" s="37"/>
      <c r="U861" s="37"/>
      <c r="V861" s="37"/>
      <c r="W861" s="37"/>
      <c r="X861" s="37"/>
    </row>
    <row r="862">
      <c r="A862" s="37"/>
      <c r="B862" s="49"/>
      <c r="H862" s="50"/>
      <c r="I862" s="51"/>
      <c r="J862" s="37"/>
      <c r="K862" s="37"/>
      <c r="L862" s="37"/>
      <c r="M862" s="37"/>
      <c r="N862" s="37"/>
      <c r="O862" s="37"/>
      <c r="P862" s="37"/>
      <c r="Q862" s="37"/>
      <c r="R862" s="37"/>
      <c r="S862" s="37"/>
      <c r="T862" s="37"/>
      <c r="U862" s="37"/>
      <c r="V862" s="37"/>
      <c r="W862" s="37"/>
      <c r="X862" s="37"/>
    </row>
    <row r="863">
      <c r="A863" s="37"/>
      <c r="B863" s="49"/>
      <c r="H863" s="50"/>
      <c r="I863" s="51"/>
      <c r="J863" s="37"/>
      <c r="K863" s="37"/>
      <c r="L863" s="37"/>
      <c r="M863" s="37"/>
      <c r="N863" s="37"/>
      <c r="O863" s="37"/>
      <c r="P863" s="37"/>
      <c r="Q863" s="37"/>
      <c r="R863" s="37"/>
      <c r="S863" s="37"/>
      <c r="T863" s="37"/>
      <c r="U863" s="37"/>
      <c r="V863" s="37"/>
      <c r="W863" s="37"/>
      <c r="X863" s="37"/>
    </row>
    <row r="864">
      <c r="A864" s="37"/>
      <c r="B864" s="49"/>
      <c r="H864" s="50"/>
      <c r="I864" s="51"/>
      <c r="J864" s="37"/>
      <c r="K864" s="37"/>
      <c r="L864" s="37"/>
      <c r="M864" s="37"/>
      <c r="N864" s="37"/>
      <c r="O864" s="37"/>
      <c r="P864" s="37"/>
      <c r="Q864" s="37"/>
      <c r="R864" s="37"/>
      <c r="S864" s="37"/>
      <c r="T864" s="37"/>
      <c r="U864" s="37"/>
      <c r="V864" s="37"/>
      <c r="W864" s="37"/>
      <c r="X864" s="37"/>
    </row>
    <row r="865">
      <c r="A865" s="37"/>
      <c r="B865" s="49"/>
      <c r="H865" s="50"/>
      <c r="I865" s="51"/>
      <c r="J865" s="37"/>
      <c r="K865" s="37"/>
      <c r="L865" s="37"/>
      <c r="M865" s="37"/>
      <c r="N865" s="37"/>
      <c r="O865" s="37"/>
      <c r="P865" s="37"/>
      <c r="Q865" s="37"/>
      <c r="R865" s="37"/>
      <c r="S865" s="37"/>
      <c r="T865" s="37"/>
      <c r="U865" s="37"/>
      <c r="V865" s="37"/>
      <c r="W865" s="37"/>
      <c r="X865" s="37"/>
    </row>
    <row r="866">
      <c r="A866" s="37"/>
      <c r="B866" s="49"/>
      <c r="H866" s="50"/>
      <c r="I866" s="51"/>
      <c r="J866" s="37"/>
      <c r="K866" s="37"/>
      <c r="L866" s="37"/>
      <c r="M866" s="37"/>
      <c r="N866" s="37"/>
      <c r="O866" s="37"/>
      <c r="P866" s="37"/>
      <c r="Q866" s="37"/>
      <c r="R866" s="37"/>
      <c r="S866" s="37"/>
      <c r="T866" s="37"/>
      <c r="U866" s="37"/>
      <c r="V866" s="37"/>
      <c r="W866" s="37"/>
      <c r="X866" s="37"/>
    </row>
    <row r="867">
      <c r="A867" s="37"/>
      <c r="B867" s="49"/>
      <c r="H867" s="50"/>
      <c r="I867" s="51"/>
      <c r="J867" s="37"/>
      <c r="K867" s="37"/>
      <c r="L867" s="37"/>
      <c r="M867" s="37"/>
      <c r="N867" s="37"/>
      <c r="O867" s="37"/>
      <c r="P867" s="37"/>
      <c r="Q867" s="37"/>
      <c r="R867" s="37"/>
      <c r="S867" s="37"/>
      <c r="T867" s="37"/>
      <c r="U867" s="37"/>
      <c r="V867" s="37"/>
      <c r="W867" s="37"/>
      <c r="X867" s="37"/>
    </row>
    <row r="868">
      <c r="A868" s="37"/>
      <c r="B868" s="49"/>
      <c r="H868" s="50"/>
      <c r="I868" s="51"/>
      <c r="J868" s="37"/>
      <c r="K868" s="37"/>
      <c r="L868" s="37"/>
      <c r="M868" s="37"/>
      <c r="N868" s="37"/>
      <c r="O868" s="37"/>
      <c r="P868" s="37"/>
      <c r="Q868" s="37"/>
      <c r="R868" s="37"/>
      <c r="S868" s="37"/>
      <c r="T868" s="37"/>
      <c r="U868" s="37"/>
      <c r="V868" s="37"/>
      <c r="W868" s="37"/>
      <c r="X868" s="37"/>
    </row>
    <row r="869">
      <c r="A869" s="37"/>
      <c r="B869" s="49"/>
      <c r="H869" s="50"/>
      <c r="I869" s="51"/>
      <c r="J869" s="37"/>
      <c r="K869" s="37"/>
      <c r="L869" s="37"/>
      <c r="M869" s="37"/>
      <c r="N869" s="37"/>
      <c r="O869" s="37"/>
      <c r="P869" s="37"/>
      <c r="Q869" s="37"/>
      <c r="R869" s="37"/>
      <c r="S869" s="37"/>
      <c r="T869" s="37"/>
      <c r="U869" s="37"/>
      <c r="V869" s="37"/>
      <c r="W869" s="37"/>
      <c r="X869" s="37"/>
    </row>
    <row r="870">
      <c r="A870" s="37"/>
      <c r="B870" s="49"/>
      <c r="H870" s="50"/>
      <c r="I870" s="51"/>
      <c r="J870" s="37"/>
      <c r="K870" s="37"/>
      <c r="L870" s="37"/>
      <c r="M870" s="37"/>
      <c r="N870" s="37"/>
      <c r="O870" s="37"/>
      <c r="P870" s="37"/>
      <c r="Q870" s="37"/>
      <c r="R870" s="37"/>
      <c r="S870" s="37"/>
      <c r="T870" s="37"/>
      <c r="U870" s="37"/>
      <c r="V870" s="37"/>
      <c r="W870" s="37"/>
      <c r="X870" s="37"/>
    </row>
    <row r="871">
      <c r="A871" s="37"/>
      <c r="B871" s="49"/>
      <c r="H871" s="50"/>
      <c r="I871" s="51"/>
      <c r="J871" s="37"/>
      <c r="K871" s="37"/>
      <c r="L871" s="37"/>
      <c r="M871" s="37"/>
      <c r="N871" s="37"/>
      <c r="O871" s="37"/>
      <c r="P871" s="37"/>
      <c r="Q871" s="37"/>
      <c r="R871" s="37"/>
      <c r="S871" s="37"/>
      <c r="T871" s="37"/>
      <c r="U871" s="37"/>
      <c r="V871" s="37"/>
      <c r="W871" s="37"/>
      <c r="X871" s="37"/>
    </row>
    <row r="872">
      <c r="A872" s="37"/>
      <c r="B872" s="49"/>
      <c r="H872" s="50"/>
      <c r="I872" s="51"/>
      <c r="J872" s="37"/>
      <c r="K872" s="37"/>
      <c r="L872" s="37"/>
      <c r="M872" s="37"/>
      <c r="N872" s="37"/>
      <c r="O872" s="37"/>
      <c r="P872" s="37"/>
      <c r="Q872" s="37"/>
      <c r="R872" s="37"/>
      <c r="S872" s="37"/>
      <c r="T872" s="37"/>
      <c r="U872" s="37"/>
      <c r="V872" s="37"/>
      <c r="W872" s="37"/>
      <c r="X872" s="37"/>
    </row>
    <row r="873">
      <c r="A873" s="37"/>
      <c r="B873" s="49"/>
      <c r="H873" s="50"/>
      <c r="I873" s="51"/>
      <c r="J873" s="37"/>
      <c r="K873" s="37"/>
      <c r="L873" s="37"/>
      <c r="M873" s="37"/>
      <c r="N873" s="37"/>
      <c r="O873" s="37"/>
      <c r="P873" s="37"/>
      <c r="Q873" s="37"/>
      <c r="R873" s="37"/>
      <c r="S873" s="37"/>
      <c r="T873" s="37"/>
      <c r="U873" s="37"/>
      <c r="V873" s="37"/>
      <c r="W873" s="37"/>
      <c r="X873" s="37"/>
    </row>
    <row r="874">
      <c r="A874" s="37"/>
      <c r="B874" s="49"/>
      <c r="H874" s="50"/>
      <c r="I874" s="51"/>
      <c r="J874" s="37"/>
      <c r="K874" s="37"/>
      <c r="L874" s="37"/>
      <c r="M874" s="37"/>
      <c r="N874" s="37"/>
      <c r="O874" s="37"/>
      <c r="P874" s="37"/>
      <c r="Q874" s="37"/>
      <c r="R874" s="37"/>
      <c r="S874" s="37"/>
      <c r="T874" s="37"/>
      <c r="U874" s="37"/>
      <c r="V874" s="37"/>
      <c r="W874" s="37"/>
      <c r="X874" s="37"/>
    </row>
    <row r="875">
      <c r="A875" s="37"/>
      <c r="B875" s="49"/>
      <c r="H875" s="50"/>
      <c r="I875" s="51"/>
      <c r="J875" s="37"/>
      <c r="K875" s="37"/>
      <c r="L875" s="37"/>
      <c r="M875" s="37"/>
      <c r="N875" s="37"/>
      <c r="O875" s="37"/>
      <c r="P875" s="37"/>
      <c r="Q875" s="37"/>
      <c r="R875" s="37"/>
      <c r="S875" s="37"/>
      <c r="T875" s="37"/>
      <c r="U875" s="37"/>
      <c r="V875" s="37"/>
      <c r="W875" s="37"/>
      <c r="X875" s="37"/>
    </row>
    <row r="876">
      <c r="A876" s="37"/>
      <c r="B876" s="49"/>
      <c r="H876" s="50"/>
      <c r="I876" s="51"/>
      <c r="J876" s="37"/>
      <c r="K876" s="37"/>
      <c r="L876" s="37"/>
      <c r="M876" s="37"/>
      <c r="N876" s="37"/>
      <c r="O876" s="37"/>
      <c r="P876" s="37"/>
      <c r="Q876" s="37"/>
      <c r="R876" s="37"/>
      <c r="S876" s="37"/>
      <c r="T876" s="37"/>
      <c r="U876" s="37"/>
      <c r="V876" s="37"/>
      <c r="W876" s="37"/>
      <c r="X876" s="37"/>
    </row>
    <row r="877">
      <c r="A877" s="37"/>
      <c r="B877" s="49"/>
      <c r="H877" s="50"/>
      <c r="I877" s="51"/>
      <c r="J877" s="37"/>
      <c r="K877" s="37"/>
      <c r="L877" s="37"/>
      <c r="M877" s="37"/>
      <c r="N877" s="37"/>
      <c r="O877" s="37"/>
      <c r="P877" s="37"/>
      <c r="Q877" s="37"/>
      <c r="R877" s="37"/>
      <c r="S877" s="37"/>
      <c r="T877" s="37"/>
      <c r="U877" s="37"/>
      <c r="V877" s="37"/>
      <c r="W877" s="37"/>
      <c r="X877" s="37"/>
    </row>
    <row r="878">
      <c r="A878" s="37"/>
      <c r="B878" s="49"/>
      <c r="H878" s="50"/>
      <c r="I878" s="51"/>
      <c r="J878" s="37"/>
      <c r="K878" s="37"/>
      <c r="L878" s="37"/>
      <c r="M878" s="37"/>
      <c r="N878" s="37"/>
      <c r="O878" s="37"/>
      <c r="P878" s="37"/>
      <c r="Q878" s="37"/>
      <c r="R878" s="37"/>
      <c r="S878" s="37"/>
      <c r="T878" s="37"/>
      <c r="U878" s="37"/>
      <c r="V878" s="37"/>
      <c r="W878" s="37"/>
      <c r="X878" s="37"/>
    </row>
    <row r="879">
      <c r="A879" s="37"/>
      <c r="B879" s="49"/>
      <c r="H879" s="50"/>
      <c r="I879" s="51"/>
      <c r="J879" s="37"/>
      <c r="K879" s="37"/>
      <c r="L879" s="37"/>
      <c r="M879" s="37"/>
      <c r="N879" s="37"/>
      <c r="O879" s="37"/>
      <c r="P879" s="37"/>
      <c r="Q879" s="37"/>
      <c r="R879" s="37"/>
      <c r="S879" s="37"/>
      <c r="T879" s="37"/>
      <c r="U879" s="37"/>
      <c r="V879" s="37"/>
      <c r="W879" s="37"/>
      <c r="X879" s="37"/>
    </row>
    <row r="880">
      <c r="A880" s="37"/>
      <c r="B880" s="49"/>
      <c r="H880" s="50"/>
      <c r="I880" s="51"/>
      <c r="J880" s="37"/>
      <c r="K880" s="37"/>
      <c r="L880" s="37"/>
      <c r="M880" s="37"/>
      <c r="N880" s="37"/>
      <c r="O880" s="37"/>
      <c r="P880" s="37"/>
      <c r="Q880" s="37"/>
      <c r="R880" s="37"/>
      <c r="S880" s="37"/>
      <c r="T880" s="37"/>
      <c r="U880" s="37"/>
      <c r="V880" s="37"/>
      <c r="W880" s="37"/>
      <c r="X880" s="37"/>
    </row>
    <row r="881">
      <c r="A881" s="37"/>
      <c r="B881" s="49"/>
      <c r="H881" s="50"/>
      <c r="I881" s="51"/>
      <c r="J881" s="37"/>
      <c r="K881" s="37"/>
      <c r="L881" s="37"/>
      <c r="M881" s="37"/>
      <c r="N881" s="37"/>
      <c r="O881" s="37"/>
      <c r="P881" s="37"/>
      <c r="Q881" s="37"/>
      <c r="R881" s="37"/>
      <c r="S881" s="37"/>
      <c r="T881" s="37"/>
      <c r="U881" s="37"/>
      <c r="V881" s="37"/>
      <c r="W881" s="37"/>
      <c r="X881" s="37"/>
    </row>
    <row r="882">
      <c r="A882" s="37"/>
      <c r="B882" s="49"/>
      <c r="H882" s="50"/>
      <c r="I882" s="51"/>
      <c r="J882" s="37"/>
      <c r="K882" s="37"/>
      <c r="L882" s="37"/>
      <c r="M882" s="37"/>
      <c r="N882" s="37"/>
      <c r="O882" s="37"/>
      <c r="P882" s="37"/>
      <c r="Q882" s="37"/>
      <c r="R882" s="37"/>
      <c r="S882" s="37"/>
      <c r="T882" s="37"/>
      <c r="U882" s="37"/>
      <c r="V882" s="37"/>
      <c r="W882" s="37"/>
      <c r="X882" s="37"/>
    </row>
    <row r="883">
      <c r="A883" s="37"/>
      <c r="B883" s="49"/>
      <c r="H883" s="50"/>
      <c r="I883" s="51"/>
      <c r="J883" s="37"/>
      <c r="K883" s="37"/>
      <c r="L883" s="37"/>
      <c r="M883" s="37"/>
      <c r="N883" s="37"/>
      <c r="O883" s="37"/>
      <c r="P883" s="37"/>
      <c r="Q883" s="37"/>
      <c r="R883" s="37"/>
      <c r="S883" s="37"/>
      <c r="T883" s="37"/>
      <c r="U883" s="37"/>
      <c r="V883" s="37"/>
      <c r="W883" s="37"/>
      <c r="X883" s="37"/>
    </row>
    <row r="884">
      <c r="A884" s="37"/>
      <c r="B884" s="49"/>
      <c r="H884" s="50"/>
      <c r="I884" s="51"/>
      <c r="J884" s="37"/>
      <c r="K884" s="37"/>
      <c r="L884" s="37"/>
      <c r="M884" s="37"/>
      <c r="N884" s="37"/>
      <c r="O884" s="37"/>
      <c r="P884" s="37"/>
      <c r="Q884" s="37"/>
      <c r="R884" s="37"/>
      <c r="S884" s="37"/>
      <c r="T884" s="37"/>
      <c r="U884" s="37"/>
      <c r="V884" s="37"/>
      <c r="W884" s="37"/>
      <c r="X884" s="37"/>
    </row>
    <row r="885">
      <c r="A885" s="37"/>
      <c r="B885" s="49"/>
      <c r="H885" s="50"/>
      <c r="I885" s="51"/>
      <c r="J885" s="37"/>
      <c r="K885" s="37"/>
      <c r="L885" s="37"/>
      <c r="M885" s="37"/>
      <c r="N885" s="37"/>
      <c r="O885" s="37"/>
      <c r="P885" s="37"/>
      <c r="Q885" s="37"/>
      <c r="R885" s="37"/>
      <c r="S885" s="37"/>
      <c r="T885" s="37"/>
      <c r="U885" s="37"/>
      <c r="V885" s="37"/>
      <c r="W885" s="37"/>
      <c r="X885" s="37"/>
    </row>
    <row r="886">
      <c r="A886" s="37"/>
      <c r="B886" s="49"/>
      <c r="H886" s="50"/>
      <c r="I886" s="51"/>
      <c r="J886" s="37"/>
      <c r="K886" s="37"/>
      <c r="L886" s="37"/>
      <c r="M886" s="37"/>
      <c r="N886" s="37"/>
      <c r="O886" s="37"/>
      <c r="P886" s="37"/>
      <c r="Q886" s="37"/>
      <c r="R886" s="37"/>
      <c r="S886" s="37"/>
      <c r="T886" s="37"/>
      <c r="U886" s="37"/>
      <c r="V886" s="37"/>
      <c r="W886" s="37"/>
      <c r="X886" s="37"/>
    </row>
    <row r="887">
      <c r="A887" s="37"/>
      <c r="B887" s="49"/>
      <c r="H887" s="50"/>
      <c r="I887" s="51"/>
      <c r="J887" s="37"/>
      <c r="K887" s="37"/>
      <c r="L887" s="37"/>
      <c r="M887" s="37"/>
      <c r="N887" s="37"/>
      <c r="O887" s="37"/>
      <c r="P887" s="37"/>
      <c r="Q887" s="37"/>
      <c r="R887" s="37"/>
      <c r="S887" s="37"/>
      <c r="T887" s="37"/>
      <c r="U887" s="37"/>
      <c r="V887" s="37"/>
      <c r="W887" s="37"/>
      <c r="X887" s="37"/>
    </row>
    <row r="888">
      <c r="A888" s="37"/>
      <c r="B888" s="49"/>
      <c r="H888" s="50"/>
      <c r="I888" s="51"/>
      <c r="J888" s="37"/>
      <c r="K888" s="37"/>
      <c r="L888" s="37"/>
      <c r="M888" s="37"/>
      <c r="N888" s="37"/>
      <c r="O888" s="37"/>
      <c r="P888" s="37"/>
      <c r="Q888" s="37"/>
      <c r="R888" s="37"/>
      <c r="S888" s="37"/>
      <c r="T888" s="37"/>
      <c r="U888" s="37"/>
      <c r="V888" s="37"/>
      <c r="W888" s="37"/>
      <c r="X888" s="37"/>
    </row>
    <row r="889">
      <c r="A889" s="37"/>
      <c r="B889" s="49"/>
      <c r="H889" s="50"/>
      <c r="I889" s="51"/>
      <c r="J889" s="37"/>
      <c r="K889" s="37"/>
      <c r="L889" s="37"/>
      <c r="M889" s="37"/>
      <c r="N889" s="37"/>
      <c r="O889" s="37"/>
      <c r="P889" s="37"/>
      <c r="Q889" s="37"/>
      <c r="R889" s="37"/>
      <c r="S889" s="37"/>
      <c r="T889" s="37"/>
      <c r="U889" s="37"/>
      <c r="V889" s="37"/>
      <c r="W889" s="37"/>
      <c r="X889" s="37"/>
    </row>
    <row r="890">
      <c r="A890" s="37"/>
      <c r="B890" s="49"/>
      <c r="H890" s="50"/>
      <c r="I890" s="51"/>
      <c r="J890" s="37"/>
      <c r="K890" s="37"/>
      <c r="L890" s="37"/>
      <c r="M890" s="37"/>
      <c r="N890" s="37"/>
      <c r="O890" s="37"/>
      <c r="P890" s="37"/>
      <c r="Q890" s="37"/>
      <c r="R890" s="37"/>
      <c r="S890" s="37"/>
      <c r="T890" s="37"/>
      <c r="U890" s="37"/>
      <c r="V890" s="37"/>
      <c r="W890" s="37"/>
      <c r="X890" s="37"/>
    </row>
    <row r="891">
      <c r="A891" s="37"/>
      <c r="B891" s="49"/>
      <c r="H891" s="50"/>
      <c r="I891" s="51"/>
      <c r="J891" s="37"/>
      <c r="K891" s="37"/>
      <c r="L891" s="37"/>
      <c r="M891" s="37"/>
      <c r="N891" s="37"/>
      <c r="O891" s="37"/>
      <c r="P891" s="37"/>
      <c r="Q891" s="37"/>
      <c r="R891" s="37"/>
      <c r="S891" s="37"/>
      <c r="T891" s="37"/>
      <c r="U891" s="37"/>
      <c r="V891" s="37"/>
      <c r="W891" s="37"/>
      <c r="X891" s="37"/>
    </row>
    <row r="892">
      <c r="A892" s="37"/>
      <c r="B892" s="49"/>
      <c r="H892" s="50"/>
      <c r="I892" s="51"/>
      <c r="J892" s="37"/>
      <c r="K892" s="37"/>
      <c r="L892" s="37"/>
      <c r="M892" s="37"/>
      <c r="N892" s="37"/>
      <c r="O892" s="37"/>
      <c r="P892" s="37"/>
      <c r="Q892" s="37"/>
      <c r="R892" s="37"/>
      <c r="S892" s="37"/>
      <c r="T892" s="37"/>
      <c r="U892" s="37"/>
      <c r="V892" s="37"/>
      <c r="W892" s="37"/>
      <c r="X892" s="37"/>
    </row>
    <row r="893">
      <c r="A893" s="37"/>
      <c r="B893" s="49"/>
      <c r="H893" s="50"/>
      <c r="I893" s="51"/>
      <c r="J893" s="37"/>
      <c r="K893" s="37"/>
      <c r="L893" s="37"/>
      <c r="M893" s="37"/>
      <c r="N893" s="37"/>
      <c r="O893" s="37"/>
      <c r="P893" s="37"/>
      <c r="Q893" s="37"/>
      <c r="R893" s="37"/>
      <c r="S893" s="37"/>
      <c r="T893" s="37"/>
      <c r="U893" s="37"/>
      <c r="V893" s="37"/>
      <c r="W893" s="37"/>
      <c r="X893" s="37"/>
    </row>
    <row r="894">
      <c r="A894" s="37"/>
      <c r="B894" s="49"/>
      <c r="H894" s="50"/>
      <c r="I894" s="51"/>
      <c r="J894" s="37"/>
      <c r="K894" s="37"/>
      <c r="L894" s="37"/>
      <c r="M894" s="37"/>
      <c r="N894" s="37"/>
      <c r="O894" s="37"/>
      <c r="P894" s="37"/>
      <c r="Q894" s="37"/>
      <c r="R894" s="37"/>
      <c r="S894" s="37"/>
      <c r="T894" s="37"/>
      <c r="U894" s="37"/>
      <c r="V894" s="37"/>
      <c r="W894" s="37"/>
      <c r="X894" s="37"/>
    </row>
    <row r="895">
      <c r="A895" s="37"/>
      <c r="B895" s="49"/>
      <c r="H895" s="50"/>
      <c r="I895" s="51"/>
      <c r="J895" s="37"/>
      <c r="K895" s="37"/>
      <c r="L895" s="37"/>
      <c r="M895" s="37"/>
      <c r="N895" s="37"/>
      <c r="O895" s="37"/>
      <c r="P895" s="37"/>
      <c r="Q895" s="37"/>
      <c r="R895" s="37"/>
      <c r="S895" s="37"/>
      <c r="T895" s="37"/>
      <c r="U895" s="37"/>
      <c r="V895" s="37"/>
      <c r="W895" s="37"/>
      <c r="X895" s="37"/>
    </row>
    <row r="896">
      <c r="A896" s="37"/>
      <c r="B896" s="49"/>
      <c r="H896" s="50"/>
      <c r="I896" s="51"/>
      <c r="J896" s="37"/>
      <c r="K896" s="37"/>
      <c r="L896" s="37"/>
      <c r="M896" s="37"/>
      <c r="N896" s="37"/>
      <c r="O896" s="37"/>
      <c r="P896" s="37"/>
      <c r="Q896" s="37"/>
      <c r="R896" s="37"/>
      <c r="S896" s="37"/>
      <c r="T896" s="37"/>
      <c r="U896" s="37"/>
      <c r="V896" s="37"/>
      <c r="W896" s="37"/>
      <c r="X896" s="37"/>
    </row>
    <row r="897">
      <c r="A897" s="37"/>
      <c r="B897" s="49"/>
      <c r="H897" s="50"/>
      <c r="I897" s="51"/>
      <c r="J897" s="37"/>
      <c r="K897" s="37"/>
      <c r="L897" s="37"/>
      <c r="M897" s="37"/>
      <c r="N897" s="37"/>
      <c r="O897" s="37"/>
      <c r="P897" s="37"/>
      <c r="Q897" s="37"/>
      <c r="R897" s="37"/>
      <c r="S897" s="37"/>
      <c r="T897" s="37"/>
      <c r="U897" s="37"/>
      <c r="V897" s="37"/>
      <c r="W897" s="37"/>
      <c r="X897" s="37"/>
    </row>
    <row r="898">
      <c r="A898" s="37"/>
      <c r="B898" s="49"/>
      <c r="H898" s="50"/>
      <c r="I898" s="51"/>
      <c r="J898" s="37"/>
      <c r="K898" s="37"/>
      <c r="L898" s="37"/>
      <c r="M898" s="37"/>
      <c r="N898" s="37"/>
      <c r="O898" s="37"/>
      <c r="P898" s="37"/>
      <c r="Q898" s="37"/>
      <c r="R898" s="37"/>
      <c r="S898" s="37"/>
      <c r="T898" s="37"/>
      <c r="U898" s="37"/>
      <c r="V898" s="37"/>
      <c r="W898" s="37"/>
      <c r="X898" s="37"/>
    </row>
    <row r="899">
      <c r="A899" s="37"/>
      <c r="B899" s="49"/>
      <c r="H899" s="50"/>
      <c r="I899" s="51"/>
      <c r="J899" s="37"/>
      <c r="K899" s="37"/>
      <c r="L899" s="37"/>
      <c r="M899" s="37"/>
      <c r="N899" s="37"/>
      <c r="O899" s="37"/>
      <c r="P899" s="37"/>
      <c r="Q899" s="37"/>
      <c r="R899" s="37"/>
      <c r="S899" s="37"/>
      <c r="T899" s="37"/>
      <c r="U899" s="37"/>
      <c r="V899" s="37"/>
      <c r="W899" s="37"/>
      <c r="X899" s="37"/>
    </row>
    <row r="900">
      <c r="A900" s="37"/>
      <c r="B900" s="49"/>
      <c r="H900" s="50"/>
      <c r="I900" s="51"/>
      <c r="J900" s="37"/>
      <c r="K900" s="37"/>
      <c r="L900" s="37"/>
      <c r="M900" s="37"/>
      <c r="N900" s="37"/>
      <c r="O900" s="37"/>
      <c r="P900" s="37"/>
      <c r="Q900" s="37"/>
      <c r="R900" s="37"/>
      <c r="S900" s="37"/>
      <c r="T900" s="37"/>
      <c r="U900" s="37"/>
      <c r="V900" s="37"/>
      <c r="W900" s="37"/>
      <c r="X900" s="37"/>
    </row>
    <row r="901">
      <c r="A901" s="37"/>
      <c r="B901" s="49"/>
      <c r="H901" s="50"/>
      <c r="I901" s="51"/>
      <c r="J901" s="37"/>
      <c r="K901" s="37"/>
      <c r="L901" s="37"/>
      <c r="M901" s="37"/>
      <c r="N901" s="37"/>
      <c r="O901" s="37"/>
      <c r="P901" s="37"/>
      <c r="Q901" s="37"/>
      <c r="R901" s="37"/>
      <c r="S901" s="37"/>
      <c r="T901" s="37"/>
      <c r="U901" s="37"/>
      <c r="V901" s="37"/>
      <c r="W901" s="37"/>
      <c r="X901" s="37"/>
    </row>
    <row r="902">
      <c r="A902" s="37"/>
      <c r="B902" s="49"/>
      <c r="H902" s="50"/>
      <c r="I902" s="51"/>
      <c r="J902" s="37"/>
      <c r="K902" s="37"/>
      <c r="L902" s="37"/>
      <c r="M902" s="37"/>
      <c r="N902" s="37"/>
      <c r="O902" s="37"/>
      <c r="P902" s="37"/>
      <c r="Q902" s="37"/>
      <c r="R902" s="37"/>
      <c r="S902" s="37"/>
      <c r="T902" s="37"/>
      <c r="U902" s="37"/>
      <c r="V902" s="37"/>
      <c r="W902" s="37"/>
      <c r="X902" s="37"/>
    </row>
    <row r="903">
      <c r="A903" s="37"/>
      <c r="B903" s="49"/>
      <c r="H903" s="50"/>
      <c r="I903" s="51"/>
      <c r="J903" s="37"/>
      <c r="K903" s="37"/>
      <c r="L903" s="37"/>
      <c r="M903" s="37"/>
      <c r="N903" s="37"/>
      <c r="O903" s="37"/>
      <c r="P903" s="37"/>
      <c r="Q903" s="37"/>
      <c r="R903" s="37"/>
      <c r="S903" s="37"/>
      <c r="T903" s="37"/>
      <c r="U903" s="37"/>
      <c r="V903" s="37"/>
      <c r="W903" s="37"/>
      <c r="X903" s="37"/>
    </row>
    <row r="904">
      <c r="A904" s="37"/>
      <c r="B904" s="49"/>
      <c r="H904" s="50"/>
      <c r="I904" s="51"/>
      <c r="J904" s="37"/>
      <c r="K904" s="37"/>
      <c r="L904" s="37"/>
      <c r="M904" s="37"/>
      <c r="N904" s="37"/>
      <c r="O904" s="37"/>
      <c r="P904" s="37"/>
      <c r="Q904" s="37"/>
      <c r="R904" s="37"/>
      <c r="S904" s="37"/>
      <c r="T904" s="37"/>
      <c r="U904" s="37"/>
      <c r="V904" s="37"/>
      <c r="W904" s="37"/>
      <c r="X904" s="37"/>
    </row>
    <row r="905">
      <c r="A905" s="37"/>
      <c r="B905" s="49"/>
      <c r="H905" s="50"/>
      <c r="I905" s="51"/>
      <c r="J905" s="37"/>
      <c r="K905" s="37"/>
      <c r="L905" s="37"/>
      <c r="M905" s="37"/>
      <c r="N905" s="37"/>
      <c r="O905" s="37"/>
      <c r="P905" s="37"/>
      <c r="Q905" s="37"/>
      <c r="R905" s="37"/>
      <c r="S905" s="37"/>
      <c r="T905" s="37"/>
      <c r="U905" s="37"/>
      <c r="V905" s="37"/>
      <c r="W905" s="37"/>
      <c r="X905" s="37"/>
    </row>
    <row r="906">
      <c r="A906" s="37"/>
      <c r="B906" s="49"/>
      <c r="H906" s="50"/>
      <c r="I906" s="51"/>
      <c r="J906" s="37"/>
      <c r="K906" s="37"/>
      <c r="L906" s="37"/>
      <c r="M906" s="37"/>
      <c r="N906" s="37"/>
      <c r="O906" s="37"/>
      <c r="P906" s="37"/>
      <c r="Q906" s="37"/>
      <c r="R906" s="37"/>
      <c r="S906" s="37"/>
      <c r="T906" s="37"/>
      <c r="U906" s="37"/>
      <c r="V906" s="37"/>
      <c r="W906" s="37"/>
      <c r="X906" s="37"/>
    </row>
    <row r="907">
      <c r="A907" s="37"/>
      <c r="B907" s="49"/>
      <c r="H907" s="50"/>
      <c r="I907" s="51"/>
      <c r="J907" s="37"/>
      <c r="K907" s="37"/>
      <c r="L907" s="37"/>
      <c r="M907" s="37"/>
      <c r="N907" s="37"/>
      <c r="O907" s="37"/>
      <c r="P907" s="37"/>
      <c r="Q907" s="37"/>
      <c r="R907" s="37"/>
      <c r="S907" s="37"/>
      <c r="T907" s="37"/>
      <c r="U907" s="37"/>
      <c r="V907" s="37"/>
      <c r="W907" s="37"/>
      <c r="X907" s="37"/>
    </row>
    <row r="908">
      <c r="A908" s="37"/>
      <c r="B908" s="49"/>
      <c r="H908" s="50"/>
      <c r="I908" s="51"/>
      <c r="J908" s="37"/>
      <c r="K908" s="37"/>
      <c r="L908" s="37"/>
      <c r="M908" s="37"/>
      <c r="N908" s="37"/>
      <c r="O908" s="37"/>
      <c r="P908" s="37"/>
      <c r="Q908" s="37"/>
      <c r="R908" s="37"/>
      <c r="S908" s="37"/>
      <c r="T908" s="37"/>
      <c r="U908" s="37"/>
      <c r="V908" s="37"/>
      <c r="W908" s="37"/>
      <c r="X908" s="37"/>
    </row>
    <row r="909">
      <c r="A909" s="37"/>
      <c r="B909" s="49"/>
      <c r="H909" s="50"/>
      <c r="I909" s="51"/>
      <c r="J909" s="37"/>
      <c r="K909" s="37"/>
      <c r="L909" s="37"/>
      <c r="M909" s="37"/>
      <c r="N909" s="37"/>
      <c r="O909" s="37"/>
      <c r="P909" s="37"/>
      <c r="Q909" s="37"/>
      <c r="R909" s="37"/>
      <c r="S909" s="37"/>
      <c r="T909" s="37"/>
      <c r="U909" s="37"/>
      <c r="V909" s="37"/>
      <c r="W909" s="37"/>
      <c r="X909" s="37"/>
    </row>
    <row r="910">
      <c r="A910" s="37"/>
      <c r="B910" s="49"/>
      <c r="H910" s="50"/>
      <c r="I910" s="51"/>
      <c r="J910" s="37"/>
      <c r="K910" s="37"/>
      <c r="L910" s="37"/>
      <c r="M910" s="37"/>
      <c r="N910" s="37"/>
      <c r="O910" s="37"/>
      <c r="P910" s="37"/>
      <c r="Q910" s="37"/>
      <c r="R910" s="37"/>
      <c r="S910" s="37"/>
      <c r="T910" s="37"/>
      <c r="U910" s="37"/>
      <c r="V910" s="37"/>
      <c r="W910" s="37"/>
      <c r="X910" s="37"/>
    </row>
    <row r="911">
      <c r="A911" s="37"/>
      <c r="B911" s="49"/>
      <c r="H911" s="50"/>
      <c r="I911" s="51"/>
      <c r="J911" s="37"/>
      <c r="K911" s="37"/>
      <c r="L911" s="37"/>
      <c r="M911" s="37"/>
      <c r="N911" s="37"/>
      <c r="O911" s="37"/>
      <c r="P911" s="37"/>
      <c r="Q911" s="37"/>
      <c r="R911" s="37"/>
      <c r="S911" s="37"/>
      <c r="T911" s="37"/>
      <c r="U911" s="37"/>
      <c r="V911" s="37"/>
      <c r="W911" s="37"/>
      <c r="X911" s="37"/>
    </row>
    <row r="912">
      <c r="A912" s="37"/>
      <c r="B912" s="49"/>
      <c r="H912" s="50"/>
      <c r="I912" s="51"/>
      <c r="J912" s="37"/>
      <c r="K912" s="37"/>
      <c r="L912" s="37"/>
      <c r="M912" s="37"/>
      <c r="N912" s="37"/>
      <c r="O912" s="37"/>
      <c r="P912" s="37"/>
      <c r="Q912" s="37"/>
      <c r="R912" s="37"/>
      <c r="S912" s="37"/>
      <c r="T912" s="37"/>
      <c r="U912" s="37"/>
      <c r="V912" s="37"/>
      <c r="W912" s="37"/>
      <c r="X912" s="37"/>
    </row>
    <row r="913">
      <c r="A913" s="37"/>
      <c r="B913" s="49"/>
      <c r="H913" s="50"/>
      <c r="I913" s="51"/>
      <c r="J913" s="37"/>
      <c r="K913" s="37"/>
      <c r="L913" s="37"/>
      <c r="M913" s="37"/>
      <c r="N913" s="37"/>
      <c r="O913" s="37"/>
      <c r="P913" s="37"/>
      <c r="Q913" s="37"/>
      <c r="R913" s="37"/>
      <c r="S913" s="37"/>
      <c r="T913" s="37"/>
      <c r="U913" s="37"/>
      <c r="V913" s="37"/>
      <c r="W913" s="37"/>
      <c r="X913" s="37"/>
    </row>
    <row r="914">
      <c r="A914" s="37"/>
      <c r="B914" s="49"/>
      <c r="H914" s="50"/>
      <c r="I914" s="51"/>
      <c r="J914" s="37"/>
      <c r="K914" s="37"/>
      <c r="L914" s="37"/>
      <c r="M914" s="37"/>
      <c r="N914" s="37"/>
      <c r="O914" s="37"/>
      <c r="P914" s="37"/>
      <c r="Q914" s="37"/>
      <c r="R914" s="37"/>
      <c r="S914" s="37"/>
      <c r="T914" s="37"/>
      <c r="U914" s="37"/>
      <c r="V914" s="37"/>
      <c r="W914" s="37"/>
      <c r="X914" s="37"/>
    </row>
    <row r="915">
      <c r="A915" s="37"/>
      <c r="B915" s="49"/>
      <c r="H915" s="50"/>
      <c r="I915" s="51"/>
      <c r="J915" s="37"/>
      <c r="K915" s="37"/>
      <c r="L915" s="37"/>
      <c r="M915" s="37"/>
      <c r="N915" s="37"/>
      <c r="O915" s="37"/>
      <c r="P915" s="37"/>
      <c r="Q915" s="37"/>
      <c r="R915" s="37"/>
      <c r="S915" s="37"/>
      <c r="T915" s="37"/>
      <c r="U915" s="37"/>
      <c r="V915" s="37"/>
      <c r="W915" s="37"/>
      <c r="X915" s="37"/>
    </row>
    <row r="916">
      <c r="A916" s="37"/>
      <c r="B916" s="49"/>
      <c r="H916" s="50"/>
      <c r="I916" s="51"/>
      <c r="J916" s="37"/>
      <c r="K916" s="37"/>
      <c r="L916" s="37"/>
      <c r="M916" s="37"/>
      <c r="N916" s="37"/>
      <c r="O916" s="37"/>
      <c r="P916" s="37"/>
      <c r="Q916" s="37"/>
      <c r="R916" s="37"/>
      <c r="S916" s="37"/>
      <c r="T916" s="37"/>
      <c r="U916" s="37"/>
      <c r="V916" s="37"/>
      <c r="W916" s="37"/>
      <c r="X916" s="37"/>
    </row>
    <row r="917">
      <c r="A917" s="37"/>
      <c r="B917" s="49"/>
      <c r="H917" s="50"/>
      <c r="I917" s="51"/>
      <c r="J917" s="37"/>
      <c r="K917" s="37"/>
      <c r="L917" s="37"/>
      <c r="M917" s="37"/>
      <c r="N917" s="37"/>
      <c r="O917" s="37"/>
      <c r="P917" s="37"/>
      <c r="Q917" s="37"/>
      <c r="R917" s="37"/>
      <c r="S917" s="37"/>
      <c r="T917" s="37"/>
      <c r="U917" s="37"/>
      <c r="V917" s="37"/>
      <c r="W917" s="37"/>
      <c r="X917" s="37"/>
    </row>
    <row r="918">
      <c r="A918" s="37"/>
      <c r="B918" s="49"/>
      <c r="H918" s="50"/>
      <c r="I918" s="51"/>
      <c r="J918" s="37"/>
      <c r="K918" s="37"/>
      <c r="L918" s="37"/>
      <c r="M918" s="37"/>
      <c r="N918" s="37"/>
      <c r="O918" s="37"/>
      <c r="P918" s="37"/>
      <c r="Q918" s="37"/>
      <c r="R918" s="37"/>
      <c r="S918" s="37"/>
      <c r="T918" s="37"/>
      <c r="U918" s="37"/>
      <c r="V918" s="37"/>
      <c r="W918" s="37"/>
      <c r="X918" s="37"/>
    </row>
    <row r="919">
      <c r="A919" s="37"/>
      <c r="B919" s="49"/>
      <c r="H919" s="50"/>
      <c r="I919" s="51"/>
      <c r="J919" s="37"/>
      <c r="K919" s="37"/>
      <c r="L919" s="37"/>
      <c r="M919" s="37"/>
      <c r="N919" s="37"/>
      <c r="O919" s="37"/>
      <c r="P919" s="37"/>
      <c r="Q919" s="37"/>
      <c r="R919" s="37"/>
      <c r="S919" s="37"/>
      <c r="T919" s="37"/>
      <c r="U919" s="37"/>
      <c r="V919" s="37"/>
      <c r="W919" s="37"/>
      <c r="X919" s="37"/>
    </row>
    <row r="920">
      <c r="A920" s="37"/>
      <c r="B920" s="49"/>
      <c r="H920" s="50"/>
      <c r="I920" s="51"/>
      <c r="J920" s="37"/>
      <c r="K920" s="37"/>
      <c r="L920" s="37"/>
      <c r="M920" s="37"/>
      <c r="N920" s="37"/>
      <c r="O920" s="37"/>
      <c r="P920" s="37"/>
      <c r="Q920" s="37"/>
      <c r="R920" s="37"/>
      <c r="S920" s="37"/>
      <c r="T920" s="37"/>
      <c r="U920" s="37"/>
      <c r="V920" s="37"/>
      <c r="W920" s="37"/>
      <c r="X920" s="37"/>
    </row>
    <row r="921">
      <c r="A921" s="37"/>
      <c r="B921" s="49"/>
      <c r="H921" s="50"/>
      <c r="I921" s="51"/>
      <c r="J921" s="37"/>
      <c r="K921" s="37"/>
      <c r="L921" s="37"/>
      <c r="M921" s="37"/>
      <c r="N921" s="37"/>
      <c r="O921" s="37"/>
      <c r="P921" s="37"/>
      <c r="Q921" s="37"/>
      <c r="R921" s="37"/>
      <c r="S921" s="37"/>
      <c r="T921" s="37"/>
      <c r="U921" s="37"/>
      <c r="V921" s="37"/>
      <c r="W921" s="37"/>
      <c r="X921" s="37"/>
    </row>
    <row r="922">
      <c r="A922" s="37"/>
      <c r="B922" s="49"/>
      <c r="H922" s="50"/>
      <c r="I922" s="51"/>
      <c r="J922" s="37"/>
      <c r="K922" s="37"/>
      <c r="L922" s="37"/>
      <c r="M922" s="37"/>
      <c r="N922" s="37"/>
      <c r="O922" s="37"/>
      <c r="P922" s="37"/>
      <c r="Q922" s="37"/>
      <c r="R922" s="37"/>
      <c r="S922" s="37"/>
      <c r="T922" s="37"/>
      <c r="U922" s="37"/>
      <c r="V922" s="37"/>
      <c r="W922" s="37"/>
      <c r="X922" s="37"/>
    </row>
    <row r="923">
      <c r="A923" s="37"/>
      <c r="B923" s="49"/>
      <c r="H923" s="50"/>
      <c r="I923" s="51"/>
      <c r="J923" s="37"/>
      <c r="K923" s="37"/>
      <c r="L923" s="37"/>
      <c r="M923" s="37"/>
      <c r="N923" s="37"/>
      <c r="O923" s="37"/>
      <c r="P923" s="37"/>
      <c r="Q923" s="37"/>
      <c r="R923" s="37"/>
      <c r="S923" s="37"/>
      <c r="T923" s="37"/>
      <c r="U923" s="37"/>
      <c r="V923" s="37"/>
      <c r="W923" s="37"/>
      <c r="X923" s="37"/>
    </row>
    <row r="924">
      <c r="A924" s="37"/>
      <c r="B924" s="49"/>
      <c r="H924" s="50"/>
      <c r="I924" s="51"/>
      <c r="J924" s="37"/>
      <c r="K924" s="37"/>
      <c r="L924" s="37"/>
      <c r="M924" s="37"/>
      <c r="N924" s="37"/>
      <c r="O924" s="37"/>
      <c r="P924" s="37"/>
      <c r="Q924" s="37"/>
      <c r="R924" s="37"/>
      <c r="S924" s="37"/>
      <c r="T924" s="37"/>
      <c r="U924" s="37"/>
      <c r="V924" s="37"/>
      <c r="W924" s="37"/>
      <c r="X924" s="37"/>
    </row>
    <row r="925">
      <c r="A925" s="37"/>
      <c r="B925" s="49"/>
      <c r="H925" s="50"/>
      <c r="I925" s="51"/>
      <c r="J925" s="37"/>
      <c r="K925" s="37"/>
      <c r="L925" s="37"/>
      <c r="M925" s="37"/>
      <c r="N925" s="37"/>
      <c r="O925" s="37"/>
      <c r="P925" s="37"/>
      <c r="Q925" s="37"/>
      <c r="R925" s="37"/>
      <c r="S925" s="37"/>
      <c r="T925" s="37"/>
      <c r="U925" s="37"/>
      <c r="V925" s="37"/>
      <c r="W925" s="37"/>
      <c r="X925" s="37"/>
    </row>
    <row r="926">
      <c r="A926" s="37"/>
      <c r="B926" s="49"/>
      <c r="H926" s="50"/>
      <c r="I926" s="51"/>
      <c r="J926" s="37"/>
      <c r="K926" s="37"/>
      <c r="L926" s="37"/>
      <c r="M926" s="37"/>
      <c r="N926" s="37"/>
      <c r="O926" s="37"/>
      <c r="P926" s="37"/>
      <c r="Q926" s="37"/>
      <c r="R926" s="37"/>
      <c r="S926" s="37"/>
      <c r="T926" s="37"/>
      <c r="U926" s="37"/>
      <c r="V926" s="37"/>
      <c r="W926" s="37"/>
      <c r="X926" s="37"/>
    </row>
    <row r="927">
      <c r="A927" s="37"/>
      <c r="B927" s="49"/>
      <c r="H927" s="50"/>
      <c r="I927" s="51"/>
      <c r="J927" s="37"/>
      <c r="K927" s="37"/>
      <c r="L927" s="37"/>
      <c r="M927" s="37"/>
      <c r="N927" s="37"/>
      <c r="O927" s="37"/>
      <c r="P927" s="37"/>
      <c r="Q927" s="37"/>
      <c r="R927" s="37"/>
      <c r="S927" s="37"/>
      <c r="T927" s="37"/>
      <c r="U927" s="37"/>
      <c r="V927" s="37"/>
      <c r="W927" s="37"/>
      <c r="X927" s="37"/>
    </row>
    <row r="928">
      <c r="A928" s="37"/>
      <c r="B928" s="49"/>
      <c r="H928" s="50"/>
      <c r="I928" s="51"/>
      <c r="J928" s="37"/>
      <c r="K928" s="37"/>
      <c r="L928" s="37"/>
      <c r="M928" s="37"/>
      <c r="N928" s="37"/>
      <c r="O928" s="37"/>
      <c r="P928" s="37"/>
      <c r="Q928" s="37"/>
      <c r="R928" s="37"/>
      <c r="S928" s="37"/>
      <c r="T928" s="37"/>
      <c r="U928" s="37"/>
      <c r="V928" s="37"/>
      <c r="W928" s="37"/>
      <c r="X928" s="37"/>
    </row>
    <row r="929">
      <c r="A929" s="37"/>
      <c r="B929" s="49"/>
      <c r="H929" s="50"/>
      <c r="I929" s="51"/>
      <c r="J929" s="37"/>
      <c r="K929" s="37"/>
      <c r="L929" s="37"/>
      <c r="M929" s="37"/>
      <c r="N929" s="37"/>
      <c r="O929" s="37"/>
      <c r="P929" s="37"/>
      <c r="Q929" s="37"/>
      <c r="R929" s="37"/>
      <c r="S929" s="37"/>
      <c r="T929" s="37"/>
      <c r="U929" s="37"/>
      <c r="V929" s="37"/>
      <c r="W929" s="37"/>
      <c r="X929" s="37"/>
    </row>
    <row r="930">
      <c r="A930" s="37"/>
      <c r="B930" s="49"/>
      <c r="H930" s="50"/>
      <c r="I930" s="51"/>
      <c r="J930" s="37"/>
      <c r="K930" s="37"/>
      <c r="L930" s="37"/>
      <c r="M930" s="37"/>
      <c r="N930" s="37"/>
      <c r="O930" s="37"/>
      <c r="P930" s="37"/>
      <c r="Q930" s="37"/>
      <c r="R930" s="37"/>
      <c r="S930" s="37"/>
      <c r="T930" s="37"/>
      <c r="U930" s="37"/>
      <c r="V930" s="37"/>
      <c r="W930" s="37"/>
      <c r="X930" s="37"/>
    </row>
    <row r="931">
      <c r="A931" s="37"/>
      <c r="B931" s="49"/>
      <c r="H931" s="50"/>
      <c r="I931" s="51"/>
      <c r="J931" s="37"/>
      <c r="K931" s="37"/>
      <c r="L931" s="37"/>
      <c r="M931" s="37"/>
      <c r="N931" s="37"/>
      <c r="O931" s="37"/>
      <c r="P931" s="37"/>
      <c r="Q931" s="37"/>
      <c r="R931" s="37"/>
      <c r="S931" s="37"/>
      <c r="T931" s="37"/>
      <c r="U931" s="37"/>
      <c r="V931" s="37"/>
      <c r="W931" s="37"/>
      <c r="X931" s="37"/>
    </row>
    <row r="932">
      <c r="A932" s="37"/>
      <c r="B932" s="49"/>
      <c r="H932" s="50"/>
      <c r="I932" s="51"/>
      <c r="J932" s="37"/>
      <c r="K932" s="37"/>
      <c r="L932" s="37"/>
      <c r="M932" s="37"/>
      <c r="N932" s="37"/>
      <c r="O932" s="37"/>
      <c r="P932" s="37"/>
      <c r="Q932" s="37"/>
      <c r="R932" s="37"/>
      <c r="S932" s="37"/>
      <c r="T932" s="37"/>
      <c r="U932" s="37"/>
      <c r="V932" s="37"/>
      <c r="W932" s="37"/>
      <c r="X932" s="37"/>
    </row>
    <row r="933">
      <c r="A933" s="37"/>
      <c r="B933" s="49"/>
      <c r="H933" s="50"/>
      <c r="I933" s="51"/>
      <c r="J933" s="37"/>
      <c r="K933" s="37"/>
      <c r="L933" s="37"/>
      <c r="M933" s="37"/>
      <c r="N933" s="37"/>
      <c r="O933" s="37"/>
      <c r="P933" s="37"/>
      <c r="Q933" s="37"/>
      <c r="R933" s="37"/>
      <c r="S933" s="37"/>
      <c r="T933" s="37"/>
      <c r="U933" s="37"/>
      <c r="V933" s="37"/>
      <c r="W933" s="37"/>
      <c r="X933" s="37"/>
    </row>
    <row r="934">
      <c r="A934" s="37"/>
      <c r="B934" s="49"/>
      <c r="H934" s="50"/>
      <c r="I934" s="51"/>
      <c r="J934" s="37"/>
      <c r="K934" s="37"/>
      <c r="L934" s="37"/>
      <c r="M934" s="37"/>
      <c r="N934" s="37"/>
      <c r="O934" s="37"/>
      <c r="P934" s="37"/>
      <c r="Q934" s="37"/>
      <c r="R934" s="37"/>
      <c r="S934" s="37"/>
      <c r="T934" s="37"/>
      <c r="U934" s="37"/>
      <c r="V934" s="37"/>
      <c r="W934" s="37"/>
      <c r="X934" s="37"/>
    </row>
    <row r="935">
      <c r="A935" s="37"/>
      <c r="B935" s="49"/>
      <c r="H935" s="50"/>
      <c r="I935" s="51"/>
      <c r="J935" s="37"/>
      <c r="K935" s="37"/>
      <c r="L935" s="37"/>
      <c r="M935" s="37"/>
      <c r="N935" s="37"/>
      <c r="O935" s="37"/>
      <c r="P935" s="37"/>
      <c r="Q935" s="37"/>
      <c r="R935" s="37"/>
      <c r="S935" s="37"/>
      <c r="T935" s="37"/>
      <c r="U935" s="37"/>
      <c r="V935" s="37"/>
      <c r="W935" s="37"/>
      <c r="X935" s="37"/>
    </row>
    <row r="936">
      <c r="A936" s="37"/>
      <c r="B936" s="49"/>
      <c r="H936" s="50"/>
      <c r="I936" s="51"/>
      <c r="J936" s="37"/>
      <c r="K936" s="37"/>
      <c r="L936" s="37"/>
      <c r="M936" s="37"/>
      <c r="N936" s="37"/>
      <c r="O936" s="37"/>
      <c r="P936" s="37"/>
      <c r="Q936" s="37"/>
      <c r="R936" s="37"/>
      <c r="S936" s="37"/>
      <c r="T936" s="37"/>
      <c r="U936" s="37"/>
      <c r="V936" s="37"/>
      <c r="W936" s="37"/>
      <c r="X936" s="37"/>
    </row>
    <row r="937">
      <c r="A937" s="37"/>
      <c r="B937" s="49"/>
      <c r="H937" s="50"/>
      <c r="I937" s="51"/>
      <c r="J937" s="37"/>
      <c r="K937" s="37"/>
      <c r="L937" s="37"/>
      <c r="M937" s="37"/>
      <c r="N937" s="37"/>
      <c r="O937" s="37"/>
      <c r="P937" s="37"/>
      <c r="Q937" s="37"/>
      <c r="R937" s="37"/>
      <c r="S937" s="37"/>
      <c r="T937" s="37"/>
      <c r="U937" s="37"/>
      <c r="V937" s="37"/>
      <c r="W937" s="37"/>
      <c r="X937" s="37"/>
    </row>
    <row r="938">
      <c r="A938" s="37"/>
      <c r="B938" s="49"/>
      <c r="H938" s="50"/>
      <c r="I938" s="51"/>
      <c r="J938" s="37"/>
      <c r="K938" s="37"/>
      <c r="L938" s="37"/>
      <c r="M938" s="37"/>
      <c r="N938" s="37"/>
      <c r="O938" s="37"/>
      <c r="P938" s="37"/>
      <c r="Q938" s="37"/>
      <c r="R938" s="37"/>
      <c r="S938" s="37"/>
      <c r="T938" s="37"/>
      <c r="U938" s="37"/>
      <c r="V938" s="37"/>
      <c r="W938" s="37"/>
      <c r="X938" s="37"/>
    </row>
    <row r="939">
      <c r="A939" s="37"/>
      <c r="B939" s="49"/>
      <c r="H939" s="50"/>
      <c r="I939" s="51"/>
      <c r="J939" s="37"/>
      <c r="K939" s="37"/>
      <c r="L939" s="37"/>
      <c r="M939" s="37"/>
      <c r="N939" s="37"/>
      <c r="O939" s="37"/>
      <c r="P939" s="37"/>
      <c r="Q939" s="37"/>
      <c r="R939" s="37"/>
      <c r="S939" s="37"/>
      <c r="T939" s="37"/>
      <c r="U939" s="37"/>
      <c r="V939" s="37"/>
      <c r="W939" s="37"/>
      <c r="X939" s="37"/>
    </row>
    <row r="940">
      <c r="A940" s="37"/>
      <c r="B940" s="49"/>
      <c r="H940" s="50"/>
      <c r="I940" s="51"/>
      <c r="J940" s="37"/>
      <c r="K940" s="37"/>
      <c r="L940" s="37"/>
      <c r="M940" s="37"/>
      <c r="N940" s="37"/>
      <c r="O940" s="37"/>
      <c r="P940" s="37"/>
      <c r="Q940" s="37"/>
      <c r="R940" s="37"/>
      <c r="S940" s="37"/>
      <c r="T940" s="37"/>
      <c r="U940" s="37"/>
      <c r="V940" s="37"/>
      <c r="W940" s="37"/>
      <c r="X940" s="37"/>
    </row>
    <row r="941">
      <c r="A941" s="37"/>
      <c r="B941" s="49"/>
      <c r="H941" s="50"/>
      <c r="I941" s="51"/>
      <c r="J941" s="37"/>
      <c r="K941" s="37"/>
      <c r="L941" s="37"/>
      <c r="M941" s="37"/>
      <c r="N941" s="37"/>
      <c r="O941" s="37"/>
      <c r="P941" s="37"/>
      <c r="Q941" s="37"/>
      <c r="R941" s="37"/>
      <c r="S941" s="37"/>
      <c r="T941" s="37"/>
      <c r="U941" s="37"/>
      <c r="V941" s="37"/>
      <c r="W941" s="37"/>
      <c r="X941" s="37"/>
    </row>
    <row r="942">
      <c r="A942" s="37"/>
      <c r="B942" s="49"/>
      <c r="H942" s="50"/>
      <c r="I942" s="51"/>
      <c r="J942" s="37"/>
      <c r="K942" s="37"/>
      <c r="L942" s="37"/>
      <c r="M942" s="37"/>
      <c r="N942" s="37"/>
      <c r="O942" s="37"/>
      <c r="P942" s="37"/>
      <c r="Q942" s="37"/>
      <c r="R942" s="37"/>
      <c r="S942" s="37"/>
      <c r="T942" s="37"/>
      <c r="U942" s="37"/>
      <c r="V942" s="37"/>
      <c r="W942" s="37"/>
      <c r="X942" s="37"/>
    </row>
    <row r="943">
      <c r="A943" s="37"/>
      <c r="B943" s="49"/>
      <c r="H943" s="50"/>
      <c r="I943" s="51"/>
      <c r="J943" s="37"/>
      <c r="K943" s="37"/>
      <c r="L943" s="37"/>
      <c r="M943" s="37"/>
      <c r="N943" s="37"/>
      <c r="O943" s="37"/>
      <c r="P943" s="37"/>
      <c r="Q943" s="37"/>
      <c r="R943" s="37"/>
      <c r="S943" s="37"/>
      <c r="T943" s="37"/>
      <c r="U943" s="37"/>
      <c r="V943" s="37"/>
      <c r="W943" s="37"/>
      <c r="X943" s="37"/>
    </row>
    <row r="944">
      <c r="A944" s="37"/>
      <c r="B944" s="49"/>
      <c r="H944" s="50"/>
      <c r="I944" s="51"/>
      <c r="J944" s="37"/>
      <c r="K944" s="37"/>
      <c r="L944" s="37"/>
      <c r="M944" s="37"/>
      <c r="N944" s="37"/>
      <c r="O944" s="37"/>
      <c r="P944" s="37"/>
      <c r="Q944" s="37"/>
      <c r="R944" s="37"/>
      <c r="S944" s="37"/>
      <c r="T944" s="37"/>
      <c r="U944" s="37"/>
      <c r="V944" s="37"/>
      <c r="W944" s="37"/>
      <c r="X944" s="37"/>
    </row>
    <row r="945">
      <c r="A945" s="37"/>
      <c r="B945" s="49"/>
      <c r="H945" s="50"/>
      <c r="I945" s="51"/>
      <c r="J945" s="37"/>
      <c r="K945" s="37"/>
      <c r="L945" s="37"/>
      <c r="M945" s="37"/>
      <c r="N945" s="37"/>
      <c r="O945" s="37"/>
      <c r="P945" s="37"/>
      <c r="Q945" s="37"/>
      <c r="R945" s="37"/>
      <c r="S945" s="37"/>
      <c r="T945" s="37"/>
      <c r="U945" s="37"/>
      <c r="V945" s="37"/>
      <c r="W945" s="37"/>
      <c r="X945" s="37"/>
    </row>
    <row r="946">
      <c r="A946" s="37"/>
      <c r="B946" s="49"/>
      <c r="H946" s="50"/>
      <c r="I946" s="51"/>
      <c r="J946" s="37"/>
      <c r="K946" s="37"/>
      <c r="L946" s="37"/>
      <c r="M946" s="37"/>
      <c r="N946" s="37"/>
      <c r="O946" s="37"/>
      <c r="P946" s="37"/>
      <c r="Q946" s="37"/>
      <c r="R946" s="37"/>
      <c r="S946" s="37"/>
      <c r="T946" s="37"/>
      <c r="U946" s="37"/>
      <c r="V946" s="37"/>
      <c r="W946" s="37"/>
      <c r="X946" s="37"/>
    </row>
    <row r="947">
      <c r="A947" s="37"/>
      <c r="B947" s="49"/>
      <c r="H947" s="50"/>
      <c r="I947" s="51"/>
      <c r="J947" s="37"/>
      <c r="K947" s="37"/>
      <c r="L947" s="37"/>
      <c r="M947" s="37"/>
      <c r="N947" s="37"/>
      <c r="O947" s="37"/>
      <c r="P947" s="37"/>
      <c r="Q947" s="37"/>
      <c r="R947" s="37"/>
      <c r="S947" s="37"/>
      <c r="T947" s="37"/>
      <c r="U947" s="37"/>
      <c r="V947" s="37"/>
      <c r="W947" s="37"/>
      <c r="X947" s="37"/>
    </row>
    <row r="948">
      <c r="A948" s="37"/>
      <c r="B948" s="49"/>
      <c r="H948" s="50"/>
      <c r="I948" s="51"/>
      <c r="J948" s="37"/>
      <c r="K948" s="37"/>
      <c r="L948" s="37"/>
      <c r="M948" s="37"/>
      <c r="N948" s="37"/>
      <c r="O948" s="37"/>
      <c r="P948" s="37"/>
      <c r="Q948" s="37"/>
      <c r="R948" s="37"/>
      <c r="S948" s="37"/>
      <c r="T948" s="37"/>
      <c r="U948" s="37"/>
      <c r="V948" s="37"/>
      <c r="W948" s="37"/>
      <c r="X948" s="37"/>
    </row>
    <row r="949">
      <c r="A949" s="37"/>
      <c r="B949" s="49"/>
      <c r="H949" s="50"/>
      <c r="I949" s="51"/>
      <c r="J949" s="37"/>
      <c r="K949" s="37"/>
      <c r="L949" s="37"/>
      <c r="M949" s="37"/>
      <c r="N949" s="37"/>
      <c r="O949" s="37"/>
      <c r="P949" s="37"/>
      <c r="Q949" s="37"/>
      <c r="R949" s="37"/>
      <c r="S949" s="37"/>
      <c r="T949" s="37"/>
      <c r="U949" s="37"/>
      <c r="V949" s="37"/>
      <c r="W949" s="37"/>
      <c r="X949" s="37"/>
    </row>
    <row r="950">
      <c r="A950" s="37"/>
      <c r="B950" s="49"/>
      <c r="H950" s="50"/>
      <c r="I950" s="51"/>
      <c r="J950" s="37"/>
      <c r="K950" s="37"/>
      <c r="L950" s="37"/>
      <c r="M950" s="37"/>
      <c r="N950" s="37"/>
      <c r="O950" s="37"/>
      <c r="P950" s="37"/>
      <c r="Q950" s="37"/>
      <c r="R950" s="37"/>
      <c r="S950" s="37"/>
      <c r="T950" s="37"/>
      <c r="U950" s="37"/>
      <c r="V950" s="37"/>
      <c r="W950" s="37"/>
      <c r="X950" s="37"/>
    </row>
    <row r="951">
      <c r="A951" s="37"/>
      <c r="B951" s="49"/>
      <c r="H951" s="50"/>
      <c r="I951" s="51"/>
      <c r="J951" s="37"/>
      <c r="K951" s="37"/>
      <c r="L951" s="37"/>
      <c r="M951" s="37"/>
      <c r="N951" s="37"/>
      <c r="O951" s="37"/>
      <c r="P951" s="37"/>
      <c r="Q951" s="37"/>
      <c r="R951" s="37"/>
      <c r="S951" s="37"/>
      <c r="T951" s="37"/>
      <c r="U951" s="37"/>
      <c r="V951" s="37"/>
      <c r="W951" s="37"/>
      <c r="X951" s="37"/>
    </row>
    <row r="952">
      <c r="A952" s="37"/>
      <c r="B952" s="49"/>
      <c r="H952" s="50"/>
      <c r="I952" s="51"/>
      <c r="J952" s="37"/>
      <c r="K952" s="37"/>
      <c r="L952" s="37"/>
      <c r="M952" s="37"/>
      <c r="N952" s="37"/>
      <c r="O952" s="37"/>
      <c r="P952" s="37"/>
      <c r="Q952" s="37"/>
      <c r="R952" s="37"/>
      <c r="S952" s="37"/>
      <c r="T952" s="37"/>
      <c r="U952" s="37"/>
      <c r="V952" s="37"/>
      <c r="W952" s="37"/>
      <c r="X952" s="37"/>
    </row>
    <row r="953">
      <c r="A953" s="37"/>
      <c r="B953" s="49"/>
      <c r="H953" s="50"/>
      <c r="I953" s="51"/>
      <c r="J953" s="37"/>
      <c r="K953" s="37"/>
      <c r="L953" s="37"/>
      <c r="M953" s="37"/>
      <c r="N953" s="37"/>
      <c r="O953" s="37"/>
      <c r="P953" s="37"/>
      <c r="Q953" s="37"/>
      <c r="R953" s="37"/>
      <c r="S953" s="37"/>
      <c r="T953" s="37"/>
      <c r="U953" s="37"/>
      <c r="V953" s="37"/>
      <c r="W953" s="37"/>
      <c r="X953" s="37"/>
    </row>
    <row r="954">
      <c r="A954" s="37"/>
      <c r="B954" s="49"/>
      <c r="H954" s="50"/>
      <c r="I954" s="51"/>
      <c r="J954" s="37"/>
      <c r="K954" s="37"/>
      <c r="L954" s="37"/>
      <c r="M954" s="37"/>
      <c r="N954" s="37"/>
      <c r="O954" s="37"/>
      <c r="P954" s="37"/>
      <c r="Q954" s="37"/>
      <c r="R954" s="37"/>
      <c r="S954" s="37"/>
      <c r="T954" s="37"/>
      <c r="U954" s="37"/>
      <c r="V954" s="37"/>
      <c r="W954" s="37"/>
      <c r="X954" s="37"/>
    </row>
    <row r="955">
      <c r="A955" s="37"/>
      <c r="B955" s="49"/>
      <c r="H955" s="50"/>
      <c r="I955" s="51"/>
      <c r="J955" s="37"/>
      <c r="K955" s="37"/>
      <c r="L955" s="37"/>
      <c r="M955" s="37"/>
      <c r="N955" s="37"/>
      <c r="O955" s="37"/>
      <c r="P955" s="37"/>
      <c r="Q955" s="37"/>
      <c r="R955" s="37"/>
      <c r="S955" s="37"/>
      <c r="T955" s="37"/>
      <c r="U955" s="37"/>
      <c r="V955" s="37"/>
      <c r="W955" s="37"/>
      <c r="X955" s="37"/>
    </row>
    <row r="956">
      <c r="A956" s="37"/>
      <c r="B956" s="49"/>
      <c r="H956" s="50"/>
      <c r="I956" s="51"/>
      <c r="J956" s="37"/>
      <c r="K956" s="37"/>
      <c r="L956" s="37"/>
      <c r="M956" s="37"/>
      <c r="N956" s="37"/>
      <c r="O956" s="37"/>
      <c r="P956" s="37"/>
      <c r="Q956" s="37"/>
      <c r="R956" s="37"/>
      <c r="S956" s="37"/>
      <c r="T956" s="37"/>
      <c r="U956" s="37"/>
      <c r="V956" s="37"/>
      <c r="W956" s="37"/>
      <c r="X956" s="37"/>
    </row>
    <row r="957">
      <c r="A957" s="37"/>
      <c r="B957" s="49"/>
      <c r="H957" s="50"/>
      <c r="I957" s="51"/>
      <c r="J957" s="37"/>
      <c r="K957" s="37"/>
      <c r="L957" s="37"/>
      <c r="M957" s="37"/>
      <c r="N957" s="37"/>
      <c r="O957" s="37"/>
      <c r="P957" s="37"/>
      <c r="Q957" s="37"/>
      <c r="R957" s="37"/>
      <c r="S957" s="37"/>
      <c r="T957" s="37"/>
      <c r="U957" s="37"/>
      <c r="V957" s="37"/>
      <c r="W957" s="37"/>
      <c r="X957" s="37"/>
    </row>
    <row r="958">
      <c r="A958" s="37"/>
      <c r="B958" s="49"/>
      <c r="H958" s="50"/>
      <c r="I958" s="51"/>
      <c r="J958" s="37"/>
      <c r="K958" s="37"/>
      <c r="L958" s="37"/>
      <c r="M958" s="37"/>
      <c r="N958" s="37"/>
      <c r="O958" s="37"/>
      <c r="P958" s="37"/>
      <c r="Q958" s="37"/>
      <c r="R958" s="37"/>
      <c r="S958" s="37"/>
      <c r="T958" s="37"/>
      <c r="U958" s="37"/>
      <c r="V958" s="37"/>
      <c r="W958" s="37"/>
      <c r="X958" s="37"/>
    </row>
    <row r="959">
      <c r="A959" s="37"/>
      <c r="B959" s="49"/>
      <c r="H959" s="50"/>
      <c r="I959" s="51"/>
      <c r="J959" s="37"/>
      <c r="K959" s="37"/>
      <c r="L959" s="37"/>
      <c r="M959" s="37"/>
      <c r="N959" s="37"/>
      <c r="O959" s="37"/>
      <c r="P959" s="37"/>
      <c r="Q959" s="37"/>
      <c r="R959" s="37"/>
      <c r="S959" s="37"/>
      <c r="T959" s="37"/>
      <c r="U959" s="37"/>
      <c r="V959" s="37"/>
      <c r="W959" s="37"/>
      <c r="X959" s="37"/>
    </row>
    <row r="960">
      <c r="A960" s="37"/>
      <c r="B960" s="49"/>
      <c r="H960" s="50"/>
      <c r="I960" s="51"/>
      <c r="J960" s="37"/>
      <c r="K960" s="37"/>
      <c r="L960" s="37"/>
      <c r="M960" s="37"/>
      <c r="N960" s="37"/>
      <c r="O960" s="37"/>
      <c r="P960" s="37"/>
      <c r="Q960" s="37"/>
      <c r="R960" s="37"/>
      <c r="S960" s="37"/>
      <c r="T960" s="37"/>
      <c r="U960" s="37"/>
      <c r="V960" s="37"/>
      <c r="W960" s="37"/>
      <c r="X960" s="37"/>
    </row>
    <row r="961">
      <c r="A961" s="37"/>
      <c r="B961" s="49"/>
      <c r="H961" s="50"/>
      <c r="I961" s="51"/>
      <c r="J961" s="37"/>
      <c r="K961" s="37"/>
      <c r="L961" s="37"/>
      <c r="M961" s="37"/>
      <c r="N961" s="37"/>
      <c r="O961" s="37"/>
      <c r="P961" s="37"/>
      <c r="Q961" s="37"/>
      <c r="R961" s="37"/>
      <c r="S961" s="37"/>
      <c r="T961" s="37"/>
      <c r="U961" s="37"/>
      <c r="V961" s="37"/>
      <c r="W961" s="37"/>
      <c r="X961" s="37"/>
    </row>
    <row r="962">
      <c r="A962" s="37"/>
      <c r="B962" s="49"/>
      <c r="H962" s="50"/>
      <c r="I962" s="51"/>
      <c r="J962" s="37"/>
      <c r="K962" s="37"/>
      <c r="L962" s="37"/>
      <c r="M962" s="37"/>
      <c r="N962" s="37"/>
      <c r="O962" s="37"/>
      <c r="P962" s="37"/>
      <c r="Q962" s="37"/>
      <c r="R962" s="37"/>
      <c r="S962" s="37"/>
      <c r="T962" s="37"/>
      <c r="U962" s="37"/>
      <c r="V962" s="37"/>
      <c r="W962" s="37"/>
      <c r="X962" s="37"/>
    </row>
    <row r="963">
      <c r="A963" s="37"/>
      <c r="B963" s="49"/>
      <c r="H963" s="50"/>
      <c r="I963" s="51"/>
      <c r="J963" s="37"/>
      <c r="K963" s="37"/>
      <c r="L963" s="37"/>
      <c r="M963" s="37"/>
      <c r="N963" s="37"/>
      <c r="O963" s="37"/>
      <c r="P963" s="37"/>
      <c r="Q963" s="37"/>
      <c r="R963" s="37"/>
      <c r="S963" s="37"/>
      <c r="T963" s="37"/>
      <c r="U963" s="37"/>
      <c r="V963" s="37"/>
      <c r="W963" s="37"/>
      <c r="X963" s="37"/>
    </row>
    <row r="964">
      <c r="A964" s="37"/>
      <c r="B964" s="49"/>
      <c r="H964" s="50"/>
      <c r="I964" s="51"/>
      <c r="J964" s="37"/>
      <c r="K964" s="37"/>
      <c r="L964" s="37"/>
      <c r="M964" s="37"/>
      <c r="N964" s="37"/>
      <c r="O964" s="37"/>
      <c r="P964" s="37"/>
      <c r="Q964" s="37"/>
      <c r="R964" s="37"/>
      <c r="S964" s="37"/>
      <c r="T964" s="37"/>
      <c r="U964" s="37"/>
      <c r="V964" s="37"/>
      <c r="W964" s="37"/>
      <c r="X964" s="37"/>
    </row>
    <row r="965">
      <c r="A965" s="37"/>
      <c r="B965" s="49"/>
      <c r="H965" s="50"/>
      <c r="I965" s="51"/>
      <c r="J965" s="37"/>
      <c r="K965" s="37"/>
      <c r="L965" s="37"/>
      <c r="M965" s="37"/>
      <c r="N965" s="37"/>
      <c r="O965" s="37"/>
      <c r="P965" s="37"/>
      <c r="Q965" s="37"/>
      <c r="R965" s="37"/>
      <c r="S965" s="37"/>
      <c r="T965" s="37"/>
      <c r="U965" s="37"/>
      <c r="V965" s="37"/>
      <c r="W965" s="37"/>
      <c r="X965" s="37"/>
    </row>
    <row r="966">
      <c r="A966" s="37"/>
      <c r="B966" s="49"/>
      <c r="H966" s="50"/>
      <c r="I966" s="51"/>
      <c r="J966" s="37"/>
      <c r="K966" s="37"/>
      <c r="L966" s="37"/>
      <c r="M966" s="37"/>
      <c r="N966" s="37"/>
      <c r="O966" s="37"/>
      <c r="P966" s="37"/>
      <c r="Q966" s="37"/>
      <c r="R966" s="37"/>
      <c r="S966" s="37"/>
      <c r="T966" s="37"/>
      <c r="U966" s="37"/>
      <c r="V966" s="37"/>
      <c r="W966" s="37"/>
      <c r="X966" s="37"/>
    </row>
    <row r="967">
      <c r="A967" s="37"/>
      <c r="B967" s="49"/>
      <c r="H967" s="50"/>
      <c r="I967" s="51"/>
      <c r="J967" s="37"/>
      <c r="K967" s="37"/>
      <c r="L967" s="37"/>
      <c r="M967" s="37"/>
      <c r="N967" s="37"/>
      <c r="O967" s="37"/>
      <c r="P967" s="37"/>
      <c r="Q967" s="37"/>
      <c r="R967" s="37"/>
      <c r="S967" s="37"/>
      <c r="T967" s="37"/>
      <c r="U967" s="37"/>
      <c r="V967" s="37"/>
      <c r="W967" s="37"/>
      <c r="X967" s="37"/>
    </row>
    <row r="968">
      <c r="A968" s="37"/>
      <c r="B968" s="49"/>
      <c r="H968" s="50"/>
      <c r="I968" s="51"/>
      <c r="J968" s="37"/>
      <c r="K968" s="37"/>
      <c r="L968" s="37"/>
      <c r="M968" s="37"/>
      <c r="N968" s="37"/>
      <c r="O968" s="37"/>
      <c r="P968" s="37"/>
      <c r="Q968" s="37"/>
      <c r="R968" s="37"/>
      <c r="S968" s="37"/>
      <c r="T968" s="37"/>
      <c r="U968" s="37"/>
      <c r="V968" s="37"/>
      <c r="W968" s="37"/>
      <c r="X968" s="37"/>
    </row>
    <row r="969">
      <c r="A969" s="37"/>
      <c r="B969" s="49"/>
      <c r="H969" s="50"/>
      <c r="I969" s="51"/>
      <c r="J969" s="37"/>
      <c r="K969" s="37"/>
      <c r="L969" s="37"/>
      <c r="M969" s="37"/>
      <c r="N969" s="37"/>
      <c r="O969" s="37"/>
      <c r="P969" s="37"/>
      <c r="Q969" s="37"/>
      <c r="R969" s="37"/>
      <c r="S969" s="37"/>
      <c r="T969" s="37"/>
      <c r="U969" s="37"/>
      <c r="V969" s="37"/>
      <c r="W969" s="37"/>
      <c r="X969" s="37"/>
    </row>
    <row r="970">
      <c r="A970" s="37"/>
      <c r="B970" s="49"/>
      <c r="H970" s="50"/>
      <c r="I970" s="51"/>
      <c r="J970" s="37"/>
      <c r="K970" s="37"/>
      <c r="L970" s="37"/>
      <c r="M970" s="37"/>
      <c r="N970" s="37"/>
      <c r="O970" s="37"/>
      <c r="P970" s="37"/>
      <c r="Q970" s="37"/>
      <c r="R970" s="37"/>
      <c r="S970" s="37"/>
      <c r="T970" s="37"/>
      <c r="U970" s="37"/>
      <c r="V970" s="37"/>
      <c r="W970" s="37"/>
      <c r="X970" s="37"/>
    </row>
    <row r="971">
      <c r="A971" s="37"/>
      <c r="B971" s="49"/>
      <c r="H971" s="50"/>
      <c r="I971" s="51"/>
      <c r="J971" s="37"/>
      <c r="K971" s="37"/>
      <c r="L971" s="37"/>
      <c r="M971" s="37"/>
      <c r="N971" s="37"/>
      <c r="O971" s="37"/>
      <c r="P971" s="37"/>
      <c r="Q971" s="37"/>
      <c r="R971" s="37"/>
      <c r="S971" s="37"/>
      <c r="T971" s="37"/>
      <c r="U971" s="37"/>
      <c r="V971" s="37"/>
      <c r="W971" s="37"/>
      <c r="X971" s="37"/>
    </row>
    <row r="972">
      <c r="A972" s="37"/>
      <c r="B972" s="49"/>
      <c r="H972" s="50"/>
      <c r="I972" s="51"/>
      <c r="J972" s="37"/>
      <c r="K972" s="37"/>
      <c r="L972" s="37"/>
      <c r="M972" s="37"/>
      <c r="N972" s="37"/>
      <c r="O972" s="37"/>
      <c r="P972" s="37"/>
      <c r="Q972" s="37"/>
      <c r="R972" s="37"/>
      <c r="S972" s="37"/>
      <c r="T972" s="37"/>
      <c r="U972" s="37"/>
      <c r="V972" s="37"/>
      <c r="W972" s="37"/>
      <c r="X972" s="37"/>
    </row>
    <row r="973">
      <c r="A973" s="37"/>
      <c r="B973" s="49"/>
      <c r="H973" s="50"/>
      <c r="I973" s="51"/>
      <c r="J973" s="37"/>
      <c r="K973" s="37"/>
      <c r="L973" s="37"/>
      <c r="M973" s="37"/>
      <c r="N973" s="37"/>
      <c r="O973" s="37"/>
      <c r="P973" s="37"/>
      <c r="Q973" s="37"/>
      <c r="R973" s="37"/>
      <c r="S973" s="37"/>
      <c r="T973" s="37"/>
      <c r="U973" s="37"/>
      <c r="V973" s="37"/>
      <c r="W973" s="37"/>
      <c r="X973" s="37"/>
    </row>
    <row r="974">
      <c r="A974" s="37"/>
      <c r="B974" s="49"/>
      <c r="H974" s="50"/>
      <c r="I974" s="51"/>
      <c r="J974" s="37"/>
      <c r="K974" s="37"/>
      <c r="L974" s="37"/>
      <c r="M974" s="37"/>
      <c r="N974" s="37"/>
      <c r="O974" s="37"/>
      <c r="P974" s="37"/>
      <c r="Q974" s="37"/>
      <c r="R974" s="37"/>
      <c r="S974" s="37"/>
      <c r="T974" s="37"/>
      <c r="U974" s="37"/>
      <c r="V974" s="37"/>
      <c r="W974" s="37"/>
      <c r="X974" s="37"/>
    </row>
    <row r="975">
      <c r="A975" s="37"/>
      <c r="B975" s="49"/>
      <c r="H975" s="50"/>
      <c r="I975" s="51"/>
      <c r="J975" s="37"/>
      <c r="K975" s="37"/>
      <c r="L975" s="37"/>
      <c r="M975" s="37"/>
      <c r="N975" s="37"/>
      <c r="O975" s="37"/>
      <c r="P975" s="37"/>
      <c r="Q975" s="37"/>
      <c r="R975" s="37"/>
      <c r="S975" s="37"/>
      <c r="T975" s="37"/>
      <c r="U975" s="37"/>
      <c r="V975" s="37"/>
      <c r="W975" s="37"/>
      <c r="X975" s="37"/>
    </row>
    <row r="976">
      <c r="A976" s="37"/>
      <c r="B976" s="49"/>
      <c r="H976" s="50"/>
      <c r="I976" s="51"/>
      <c r="J976" s="37"/>
      <c r="K976" s="37"/>
      <c r="L976" s="37"/>
      <c r="M976" s="37"/>
      <c r="N976" s="37"/>
      <c r="O976" s="37"/>
      <c r="P976" s="37"/>
      <c r="Q976" s="37"/>
      <c r="R976" s="37"/>
      <c r="S976" s="37"/>
      <c r="T976" s="37"/>
      <c r="U976" s="37"/>
      <c r="V976" s="37"/>
      <c r="W976" s="37"/>
      <c r="X976" s="37"/>
    </row>
    <row r="977">
      <c r="A977" s="37"/>
      <c r="B977" s="49"/>
      <c r="H977" s="50"/>
      <c r="I977" s="51"/>
      <c r="J977" s="37"/>
      <c r="K977" s="37"/>
      <c r="L977" s="37"/>
      <c r="M977" s="37"/>
      <c r="N977" s="37"/>
      <c r="O977" s="37"/>
      <c r="P977" s="37"/>
      <c r="Q977" s="37"/>
      <c r="R977" s="37"/>
      <c r="S977" s="37"/>
      <c r="T977" s="37"/>
      <c r="U977" s="37"/>
      <c r="V977" s="37"/>
      <c r="W977" s="37"/>
      <c r="X977" s="37"/>
    </row>
    <row r="978">
      <c r="A978" s="37"/>
      <c r="B978" s="49"/>
      <c r="H978" s="50"/>
      <c r="I978" s="51"/>
      <c r="J978" s="37"/>
      <c r="K978" s="37"/>
      <c r="L978" s="37"/>
      <c r="M978" s="37"/>
      <c r="N978" s="37"/>
      <c r="O978" s="37"/>
      <c r="P978" s="37"/>
      <c r="Q978" s="37"/>
      <c r="R978" s="37"/>
      <c r="S978" s="37"/>
      <c r="T978" s="37"/>
      <c r="U978" s="37"/>
      <c r="V978" s="37"/>
      <c r="W978" s="37"/>
      <c r="X978" s="37"/>
    </row>
    <row r="979">
      <c r="A979" s="37"/>
      <c r="B979" s="49"/>
      <c r="H979" s="50"/>
      <c r="I979" s="51"/>
      <c r="J979" s="37"/>
      <c r="K979" s="37"/>
      <c r="L979" s="37"/>
      <c r="M979" s="37"/>
      <c r="N979" s="37"/>
      <c r="O979" s="37"/>
      <c r="P979" s="37"/>
      <c r="Q979" s="37"/>
      <c r="R979" s="37"/>
      <c r="S979" s="37"/>
      <c r="T979" s="37"/>
      <c r="U979" s="37"/>
      <c r="V979" s="37"/>
      <c r="W979" s="37"/>
      <c r="X979" s="37"/>
    </row>
    <row r="980">
      <c r="A980" s="37"/>
      <c r="B980" s="49"/>
      <c r="H980" s="50"/>
      <c r="I980" s="51"/>
      <c r="J980" s="37"/>
      <c r="K980" s="37"/>
      <c r="L980" s="37"/>
      <c r="M980" s="37"/>
      <c r="N980" s="37"/>
      <c r="O980" s="37"/>
      <c r="P980" s="37"/>
      <c r="Q980" s="37"/>
      <c r="R980" s="37"/>
      <c r="S980" s="37"/>
      <c r="T980" s="37"/>
      <c r="U980" s="37"/>
      <c r="V980" s="37"/>
      <c r="W980" s="37"/>
      <c r="X980" s="37"/>
    </row>
    <row r="981">
      <c r="A981" s="37"/>
      <c r="B981" s="49"/>
      <c r="H981" s="50"/>
      <c r="I981" s="51"/>
      <c r="J981" s="37"/>
      <c r="K981" s="37"/>
      <c r="L981" s="37"/>
      <c r="M981" s="37"/>
      <c r="N981" s="37"/>
      <c r="O981" s="37"/>
      <c r="P981" s="37"/>
      <c r="Q981" s="37"/>
      <c r="R981" s="37"/>
      <c r="S981" s="37"/>
      <c r="T981" s="37"/>
      <c r="U981" s="37"/>
      <c r="V981" s="37"/>
      <c r="W981" s="37"/>
      <c r="X981" s="37"/>
    </row>
    <row r="982">
      <c r="A982" s="37"/>
      <c r="B982" s="49"/>
      <c r="H982" s="50"/>
      <c r="I982" s="51"/>
      <c r="J982" s="37"/>
      <c r="K982" s="37"/>
      <c r="L982" s="37"/>
      <c r="M982" s="37"/>
      <c r="N982" s="37"/>
      <c r="O982" s="37"/>
      <c r="P982" s="37"/>
      <c r="Q982" s="37"/>
      <c r="R982" s="37"/>
      <c r="S982" s="37"/>
      <c r="T982" s="37"/>
      <c r="U982" s="37"/>
      <c r="V982" s="37"/>
      <c r="W982" s="37"/>
      <c r="X982" s="37"/>
    </row>
    <row r="983">
      <c r="A983" s="37"/>
      <c r="B983" s="49"/>
      <c r="H983" s="50"/>
      <c r="I983" s="51"/>
      <c r="J983" s="37"/>
      <c r="K983" s="37"/>
      <c r="L983" s="37"/>
      <c r="M983" s="37"/>
      <c r="N983" s="37"/>
      <c r="O983" s="37"/>
      <c r="P983" s="37"/>
      <c r="Q983" s="37"/>
      <c r="R983" s="37"/>
      <c r="S983" s="37"/>
      <c r="T983" s="37"/>
      <c r="U983" s="37"/>
      <c r="V983" s="37"/>
      <c r="W983" s="37"/>
      <c r="X983" s="37"/>
    </row>
    <row r="984">
      <c r="A984" s="37"/>
      <c r="B984" s="49"/>
      <c r="H984" s="50"/>
      <c r="I984" s="51"/>
      <c r="J984" s="37"/>
      <c r="K984" s="37"/>
      <c r="L984" s="37"/>
      <c r="M984" s="37"/>
      <c r="N984" s="37"/>
      <c r="O984" s="37"/>
      <c r="P984" s="37"/>
      <c r="Q984" s="37"/>
      <c r="R984" s="37"/>
      <c r="S984" s="37"/>
      <c r="T984" s="37"/>
      <c r="U984" s="37"/>
      <c r="V984" s="37"/>
      <c r="W984" s="37"/>
      <c r="X984" s="37"/>
    </row>
    <row r="985">
      <c r="A985" s="37"/>
      <c r="B985" s="49"/>
      <c r="H985" s="50"/>
      <c r="I985" s="51"/>
      <c r="J985" s="37"/>
      <c r="K985" s="37"/>
      <c r="L985" s="37"/>
      <c r="M985" s="37"/>
      <c r="N985" s="37"/>
      <c r="O985" s="37"/>
      <c r="P985" s="37"/>
      <c r="Q985" s="37"/>
      <c r="R985" s="37"/>
      <c r="S985" s="37"/>
      <c r="T985" s="37"/>
      <c r="U985" s="37"/>
      <c r="V985" s="37"/>
      <c r="W985" s="37"/>
      <c r="X985" s="37"/>
    </row>
    <row r="986">
      <c r="A986" s="37"/>
      <c r="B986" s="49"/>
      <c r="H986" s="50"/>
      <c r="I986" s="51"/>
      <c r="J986" s="37"/>
      <c r="K986" s="37"/>
      <c r="L986" s="37"/>
      <c r="M986" s="37"/>
      <c r="N986" s="37"/>
      <c r="O986" s="37"/>
      <c r="P986" s="37"/>
      <c r="Q986" s="37"/>
      <c r="R986" s="37"/>
      <c r="S986" s="37"/>
      <c r="T986" s="37"/>
      <c r="U986" s="37"/>
      <c r="V986" s="37"/>
      <c r="W986" s="37"/>
      <c r="X986" s="37"/>
    </row>
    <row r="987">
      <c r="A987" s="37"/>
      <c r="B987" s="49"/>
      <c r="H987" s="50"/>
      <c r="I987" s="51"/>
      <c r="J987" s="37"/>
      <c r="K987" s="37"/>
      <c r="L987" s="37"/>
      <c r="M987" s="37"/>
      <c r="N987" s="37"/>
      <c r="O987" s="37"/>
      <c r="P987" s="37"/>
      <c r="Q987" s="37"/>
      <c r="R987" s="37"/>
      <c r="S987" s="37"/>
      <c r="T987" s="37"/>
      <c r="U987" s="37"/>
      <c r="V987" s="37"/>
      <c r="W987" s="37"/>
      <c r="X987" s="37"/>
    </row>
    <row r="988">
      <c r="A988" s="37"/>
      <c r="B988" s="49"/>
      <c r="H988" s="50"/>
      <c r="I988" s="51"/>
      <c r="J988" s="37"/>
      <c r="K988" s="37"/>
      <c r="L988" s="37"/>
      <c r="M988" s="37"/>
      <c r="N988" s="37"/>
      <c r="O988" s="37"/>
      <c r="P988" s="37"/>
      <c r="Q988" s="37"/>
      <c r="R988" s="37"/>
      <c r="S988" s="37"/>
      <c r="T988" s="37"/>
      <c r="U988" s="37"/>
      <c r="V988" s="37"/>
      <c r="W988" s="37"/>
      <c r="X988" s="37"/>
    </row>
    <row r="989">
      <c r="A989" s="37"/>
      <c r="B989" s="49"/>
      <c r="H989" s="50"/>
      <c r="I989" s="51"/>
      <c r="J989" s="37"/>
      <c r="K989" s="37"/>
      <c r="L989" s="37"/>
      <c r="M989" s="37"/>
      <c r="N989" s="37"/>
      <c r="O989" s="37"/>
      <c r="P989" s="37"/>
      <c r="Q989" s="37"/>
      <c r="R989" s="37"/>
      <c r="S989" s="37"/>
      <c r="T989" s="37"/>
      <c r="U989" s="37"/>
      <c r="V989" s="37"/>
      <c r="W989" s="37"/>
      <c r="X989" s="37"/>
    </row>
    <row r="990">
      <c r="A990" s="37"/>
      <c r="B990" s="49"/>
      <c r="H990" s="50"/>
      <c r="I990" s="51"/>
      <c r="J990" s="37"/>
      <c r="K990" s="37"/>
      <c r="L990" s="37"/>
      <c r="M990" s="37"/>
      <c r="N990" s="37"/>
      <c r="O990" s="37"/>
      <c r="P990" s="37"/>
      <c r="Q990" s="37"/>
      <c r="R990" s="37"/>
      <c r="S990" s="37"/>
      <c r="T990" s="37"/>
      <c r="U990" s="37"/>
      <c r="V990" s="37"/>
      <c r="W990" s="37"/>
      <c r="X990" s="37"/>
    </row>
    <row r="991">
      <c r="A991" s="37"/>
      <c r="B991" s="49"/>
      <c r="H991" s="50"/>
      <c r="I991" s="51"/>
      <c r="J991" s="37"/>
      <c r="K991" s="37"/>
      <c r="L991" s="37"/>
      <c r="M991" s="37"/>
      <c r="N991" s="37"/>
      <c r="O991" s="37"/>
      <c r="P991" s="37"/>
      <c r="Q991" s="37"/>
      <c r="R991" s="37"/>
      <c r="S991" s="37"/>
      <c r="T991" s="37"/>
      <c r="U991" s="37"/>
      <c r="V991" s="37"/>
      <c r="W991" s="37"/>
      <c r="X991" s="37"/>
    </row>
    <row r="992">
      <c r="A992" s="37"/>
      <c r="B992" s="49"/>
      <c r="H992" s="50"/>
      <c r="I992" s="51"/>
      <c r="J992" s="37"/>
      <c r="K992" s="37"/>
      <c r="L992" s="37"/>
      <c r="M992" s="37"/>
      <c r="N992" s="37"/>
      <c r="O992" s="37"/>
      <c r="P992" s="37"/>
      <c r="Q992" s="37"/>
      <c r="R992" s="37"/>
      <c r="S992" s="37"/>
      <c r="T992" s="37"/>
      <c r="U992" s="37"/>
      <c r="V992" s="37"/>
      <c r="W992" s="37"/>
      <c r="X992" s="37"/>
    </row>
    <row r="993">
      <c r="A993" s="37"/>
      <c r="B993" s="49"/>
      <c r="H993" s="50"/>
      <c r="I993" s="51"/>
      <c r="J993" s="37"/>
      <c r="K993" s="37"/>
      <c r="L993" s="37"/>
      <c r="M993" s="37"/>
      <c r="N993" s="37"/>
      <c r="O993" s="37"/>
      <c r="P993" s="37"/>
      <c r="Q993" s="37"/>
      <c r="R993" s="37"/>
      <c r="S993" s="37"/>
      <c r="T993" s="37"/>
      <c r="U993" s="37"/>
      <c r="V993" s="37"/>
      <c r="W993" s="37"/>
      <c r="X993" s="37"/>
    </row>
    <row r="994">
      <c r="A994" s="37"/>
      <c r="B994" s="49"/>
      <c r="H994" s="50"/>
      <c r="I994" s="51"/>
      <c r="J994" s="37"/>
      <c r="K994" s="37"/>
      <c r="L994" s="37"/>
      <c r="M994" s="37"/>
      <c r="N994" s="37"/>
      <c r="O994" s="37"/>
      <c r="P994" s="37"/>
      <c r="Q994" s="37"/>
      <c r="R994" s="37"/>
      <c r="S994" s="37"/>
      <c r="T994" s="37"/>
      <c r="U994" s="37"/>
      <c r="V994" s="37"/>
      <c r="W994" s="37"/>
      <c r="X994" s="37"/>
    </row>
    <row r="995">
      <c r="A995" s="37"/>
      <c r="B995" s="49"/>
      <c r="H995" s="50"/>
      <c r="I995" s="51"/>
      <c r="J995" s="37"/>
      <c r="K995" s="37"/>
      <c r="L995" s="37"/>
      <c r="M995" s="37"/>
      <c r="N995" s="37"/>
      <c r="O995" s="37"/>
      <c r="P995" s="37"/>
      <c r="Q995" s="37"/>
      <c r="R995" s="37"/>
      <c r="S995" s="37"/>
      <c r="T995" s="37"/>
      <c r="U995" s="37"/>
      <c r="V995" s="37"/>
      <c r="W995" s="37"/>
      <c r="X995" s="37"/>
    </row>
    <row r="996">
      <c r="A996" s="37"/>
      <c r="B996" s="49"/>
      <c r="H996" s="50"/>
      <c r="I996" s="51"/>
      <c r="J996" s="37"/>
      <c r="K996" s="37"/>
      <c r="L996" s="37"/>
      <c r="M996" s="37"/>
      <c r="N996" s="37"/>
      <c r="O996" s="37"/>
      <c r="P996" s="37"/>
      <c r="Q996" s="37"/>
      <c r="R996" s="37"/>
      <c r="S996" s="37"/>
      <c r="T996" s="37"/>
      <c r="U996" s="37"/>
      <c r="V996" s="37"/>
      <c r="W996" s="37"/>
      <c r="X996" s="37"/>
    </row>
    <row r="997">
      <c r="A997" s="37"/>
      <c r="B997" s="49"/>
      <c r="H997" s="50"/>
      <c r="I997" s="51"/>
      <c r="J997" s="37"/>
      <c r="K997" s="37"/>
      <c r="L997" s="37"/>
      <c r="M997" s="37"/>
      <c r="N997" s="37"/>
      <c r="O997" s="37"/>
      <c r="P997" s="37"/>
      <c r="Q997" s="37"/>
      <c r="R997" s="37"/>
      <c r="S997" s="37"/>
      <c r="T997" s="37"/>
      <c r="U997" s="37"/>
      <c r="V997" s="37"/>
      <c r="W997" s="37"/>
      <c r="X997" s="37"/>
    </row>
    <row r="998">
      <c r="A998" s="37"/>
      <c r="B998" s="49"/>
      <c r="H998" s="50"/>
      <c r="I998" s="51"/>
      <c r="J998" s="37"/>
      <c r="K998" s="37"/>
      <c r="L998" s="37"/>
      <c r="M998" s="37"/>
      <c r="N998" s="37"/>
      <c r="O998" s="37"/>
      <c r="P998" s="37"/>
      <c r="Q998" s="37"/>
      <c r="R998" s="37"/>
      <c r="S998" s="37"/>
      <c r="T998" s="37"/>
      <c r="U998" s="37"/>
      <c r="V998" s="37"/>
      <c r="W998" s="37"/>
      <c r="X998" s="37"/>
    </row>
    <row r="999">
      <c r="A999" s="37"/>
      <c r="B999" s="53"/>
      <c r="C999" s="54"/>
      <c r="D999" s="54"/>
      <c r="E999" s="54"/>
      <c r="F999" s="54"/>
      <c r="G999" s="54"/>
      <c r="H999" s="55"/>
      <c r="I999" s="51"/>
      <c r="J999" s="37"/>
      <c r="K999" s="37"/>
      <c r="L999" s="37"/>
      <c r="M999" s="37"/>
      <c r="N999" s="37"/>
      <c r="O999" s="37"/>
      <c r="P999" s="37"/>
      <c r="Q999" s="37"/>
      <c r="R999" s="37"/>
      <c r="S999" s="37"/>
      <c r="T999" s="37"/>
      <c r="U999" s="37"/>
      <c r="V999" s="37"/>
      <c r="W999" s="37"/>
      <c r="X999" s="37"/>
    </row>
  </sheetData>
  <conditionalFormatting sqref="H1:H409">
    <cfRule type="colorScale" priority="1">
      <colorScale>
        <cfvo type="formula" val="0"/>
        <cfvo type="max"/>
        <color rgb="FFFFFFFF"/>
        <color rgb="FFE67C73"/>
      </colorScale>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tr">
        <f>IFERROR(__xludf.DUMMYFUNCTION("ARRAYFORMULA(SUBSTITUTE({unique(query('OTPI Scores'!C:C,""select C""))},""'"",""""))"),"Player Name")</f>
        <v>Player Name</v>
      </c>
      <c r="B1" s="5" t="s">
        <v>171</v>
      </c>
      <c r="I1" s="2"/>
    </row>
    <row r="2">
      <c r="A2" s="3" t="str">
        <f>IFERROR(__xludf.DUMMYFUNCTION("""COMPUTED_VALUE"""),"Nima Naghdi")</f>
        <v>Nima Naghdi</v>
      </c>
      <c r="B2" s="2" t="str">
        <f>IFERROR(__xludf.DUMMYFUNCTION("index({query({arrayformula(SUBSTITUTE('OTPI Scores'!C:C,""'"","""")),'OTPI Scores'!D:D,arrayformula(TO_TEXT('OTPI Scores'!E:E))},""select Col3, count(Col1) where Col1 = '""&amp;A2&amp;""' group by Col3 order by count(Col1) desc"", 0)},2,1)"),"4")</f>
        <v>4</v>
      </c>
    </row>
    <row r="3">
      <c r="A3" s="3" t="str">
        <f>IFERROR(__xludf.DUMMYFUNCTION("""COMPUTED_VALUE"""),"James Bashford")</f>
        <v>James Bashford</v>
      </c>
      <c r="B3" s="2" t="str">
        <f>IFERROR(__xludf.DUMMYFUNCTION("index({query({arrayformula(SUBSTITUTE('OTPI Scores'!C:C,""'"","""")),'OTPI Scores'!D:D,arrayformula(TO_TEXT('OTPI Scores'!E:E))},""select Col3, count(Col1) where Col1 = '""&amp;A3&amp;""' group by Col3 order by count(Col1) desc"", 0)},2,1)"),"4")</f>
        <v>4</v>
      </c>
    </row>
    <row r="4">
      <c r="A4" s="3" t="str">
        <f>IFERROR(__xludf.DUMMYFUNCTION("""COMPUTED_VALUE"""),"Oli Barton")</f>
        <v>Oli Barton</v>
      </c>
      <c r="B4" s="2" t="str">
        <f>IFERROR(__xludf.DUMMYFUNCTION("index({query({arrayformula(SUBSTITUTE('OTPI Scores'!C:C,""'"","""")),'OTPI Scores'!D:D,arrayformula(TO_TEXT('OTPI Scores'!E:E))},""select Col3, count(Col1) where Col1 = '""&amp;A4&amp;""' group by Col3 order by count(Col1) desc"", 0)},2,1)"),"3")</f>
        <v>3</v>
      </c>
    </row>
    <row r="5">
      <c r="A5" s="3" t="str">
        <f>IFERROR(__xludf.DUMMYFUNCTION("""COMPUTED_VALUE"""),"Andreas Andreou")</f>
        <v>Andreas Andreou</v>
      </c>
      <c r="B5" s="2" t="str">
        <f>IFERROR(__xludf.DUMMYFUNCTION("index({query({arrayformula(SUBSTITUTE('OTPI Scores'!C:C,""'"","""")),'OTPI Scores'!D:D,arrayformula(TO_TEXT('OTPI Scores'!E:E))},""select Col3, count(Col1) where Col1 = '""&amp;A5&amp;""' group by Col3 order by count(Col1) desc"", 0)},2,1)"),"5")</f>
        <v>5</v>
      </c>
    </row>
    <row r="6">
      <c r="A6" s="3" t="str">
        <f>IFERROR(__xludf.DUMMYFUNCTION("""COMPUTED_VALUE"""),"Tom Love")</f>
        <v>Tom Love</v>
      </c>
      <c r="B6" s="2" t="str">
        <f>IFERROR(__xludf.DUMMYFUNCTION("index({query({arrayformula(SUBSTITUTE('OTPI Scores'!C:C,""'"","""")),'OTPI Scores'!D:D,arrayformula(TO_TEXT('OTPI Scores'!E:E))},""select Col3, count(Col1) where Col1 = '""&amp;A6&amp;""' group by Col3 order by count(Col1) desc"", 0)},2,1)"),"4")</f>
        <v>4</v>
      </c>
    </row>
    <row r="7">
      <c r="A7" s="3" t="str">
        <f>IFERROR(__xludf.DUMMYFUNCTION("""COMPUTED_VALUE"""),"Sean Rowlett")</f>
        <v>Sean Rowlett</v>
      </c>
      <c r="B7" s="2" t="str">
        <f>IFERROR(__xludf.DUMMYFUNCTION("index({query({arrayformula(SUBSTITUTE('OTPI Scores'!C:C,""'"","""")),'OTPI Scores'!D:D,arrayformula(TO_TEXT('OTPI Scores'!E:E))},""select Col3, count(Col1) where Col1 = '""&amp;A7&amp;""' group by Col3 order by count(Col1) desc"", 0)},2,1)"),"4")</f>
        <v>4</v>
      </c>
    </row>
    <row r="8">
      <c r="A8" s="3" t="str">
        <f>IFERROR(__xludf.DUMMYFUNCTION("""COMPUTED_VALUE"""),"Jack Hind")</f>
        <v>Jack Hind</v>
      </c>
      <c r="B8" s="2" t="str">
        <f>IFERROR(__xludf.DUMMYFUNCTION("index({query({arrayformula(SUBSTITUTE('OTPI Scores'!C:C,""'"","""")),'OTPI Scores'!D:D,arrayformula(TO_TEXT('OTPI Scores'!E:E))},""select Col3, count(Col1) where Col1 = '""&amp;A8&amp;""' group by Col3 order by count(Col1) desc"", 0)},2,1)"),"6")</f>
        <v>6</v>
      </c>
    </row>
    <row r="9">
      <c r="A9" s="3" t="str">
        <f>IFERROR(__xludf.DUMMYFUNCTION("""COMPUTED_VALUE"""),"Lawrence Asante")</f>
        <v>Lawrence Asante</v>
      </c>
      <c r="B9" s="2" t="str">
        <f>IFERROR(__xludf.DUMMYFUNCTION("index({query({arrayformula(SUBSTITUTE('OTPI Scores'!C:C,""'"","""")),'OTPI Scores'!D:D,arrayformula(TO_TEXT('OTPI Scores'!E:E))},""select Col3, count(Col1) where Col1 = '""&amp;A9&amp;""' group by Col3 order by count(Col1) desc"", 0)},2,1)"),"5")</f>
        <v>5</v>
      </c>
    </row>
    <row r="10">
      <c r="A10" s="3" t="str">
        <f>IFERROR(__xludf.DUMMYFUNCTION("""COMPUTED_VALUE"""),"Jason Nwakaeze")</f>
        <v>Jason Nwakaeze</v>
      </c>
      <c r="B10" s="2" t="str">
        <f>IFERROR(__xludf.DUMMYFUNCTION("index({query({arrayformula(SUBSTITUTE('OTPI Scores'!C:C,""'"","""")),'OTPI Scores'!D:D,arrayformula(TO_TEXT('OTPI Scores'!E:E))},""select Col3, count(Col1) where Col1 = '""&amp;A10&amp;""' group by Col3 order by count(Col1) desc"", 0)},2,1)"),"3")</f>
        <v>3</v>
      </c>
    </row>
    <row r="11">
      <c r="A11" s="3" t="str">
        <f>IFERROR(__xludf.DUMMYFUNCTION("""COMPUTED_VALUE"""),"Masood Hamidi")</f>
        <v>Masood Hamidi</v>
      </c>
      <c r="B11" s="2" t="str">
        <f>IFERROR(__xludf.DUMMYFUNCTION("index({query({arrayformula(SUBSTITUTE('OTPI Scores'!C:C,""'"","""")),'OTPI Scores'!D:D,arrayformula(TO_TEXT('OTPI Scores'!E:E))},""select Col3, count(Col1) where Col1 = '""&amp;A11&amp;""' group by Col3 order by count(Col1) desc"", 0)},2,1)"),"4")</f>
        <v>4</v>
      </c>
    </row>
    <row r="12">
      <c r="A12" s="3" t="str">
        <f>IFERROR(__xludf.DUMMYFUNCTION("""COMPUTED_VALUE"""),"Gulled Hersi")</f>
        <v>Gulled Hersi</v>
      </c>
      <c r="B12" s="2" t="str">
        <f>IFERROR(__xludf.DUMMYFUNCTION("index({query({arrayformula(SUBSTITUTE('OTPI Scores'!C:C,""'"","""")),'OTPI Scores'!D:D,arrayformula(TO_TEXT('OTPI Scores'!E:E))},""select Col3, count(Col1) where Col1 = '""&amp;A12&amp;""' group by Col3 order by count(Col1) desc"", 0)},2,1)"),"6")</f>
        <v>6</v>
      </c>
    </row>
    <row r="13">
      <c r="A13" s="3" t="str">
        <f>IFERROR(__xludf.DUMMYFUNCTION("""COMPUTED_VALUE"""),"Jabari Dixon")</f>
        <v>Jabari Dixon</v>
      </c>
      <c r="B13" s="2" t="str">
        <f>IFERROR(__xludf.DUMMYFUNCTION("index({query({arrayformula(SUBSTITUTE('OTPI Scores'!C:C,""'"","""")),'OTPI Scores'!D:D,arrayformula(TO_TEXT('OTPI Scores'!E:E))},""select Col3, count(Col1) where Col1 = '""&amp;A13&amp;""' group by Col3 order by count(Col1) desc"", 0)},2,1)"),"6")</f>
        <v>6</v>
      </c>
    </row>
    <row r="14">
      <c r="A14" s="3" t="str">
        <f>IFERROR(__xludf.DUMMYFUNCTION("""COMPUTED_VALUE"""),"Charlie Doe")</f>
        <v>Charlie Doe</v>
      </c>
      <c r="B14" s="2" t="str">
        <f>IFERROR(__xludf.DUMMYFUNCTION("index({query({arrayformula(SUBSTITUTE('OTPI Scores'!C:C,""'"","""")),'OTPI Scores'!D:D,arrayformula(TO_TEXT('OTPI Scores'!E:E))},""select Col3, count(Col1) where Col1 = '""&amp;A14&amp;""' group by Col3 order by count(Col1) desc"", 0)},2,1)"),"4")</f>
        <v>4</v>
      </c>
    </row>
    <row r="15">
      <c r="A15" s="3" t="str">
        <f>IFERROR(__xludf.DUMMYFUNCTION("""COMPUTED_VALUE"""),"Christian King")</f>
        <v>Christian King</v>
      </c>
      <c r="B15" s="2" t="str">
        <f>IFERROR(__xludf.DUMMYFUNCTION("index({query({arrayformula(SUBSTITUTE('OTPI Scores'!C:C,""'"","""")),'OTPI Scores'!D:D,arrayformula(TO_TEXT('OTPI Scores'!E:E))},""select Col3, count(Col1) where Col1 = '""&amp;A15&amp;""' group by Col3 order by count(Col1) desc"", 0)},2,1)"),"5")</f>
        <v>5</v>
      </c>
    </row>
    <row r="16">
      <c r="A16" s="3" t="str">
        <f>IFERROR(__xludf.DUMMYFUNCTION("""COMPUTED_VALUE"""),"Janam Satra")</f>
        <v>Janam Satra</v>
      </c>
      <c r="B16" s="2" t="str">
        <f>IFERROR(__xludf.DUMMYFUNCTION("index({query({arrayformula(SUBSTITUTE('OTPI Scores'!C:C,""'"","""")),'OTPI Scores'!D:D,arrayformula(TO_TEXT('OTPI Scores'!E:E))},""select Col3, count(Col1) where Col1 = '""&amp;A16&amp;""' group by Col3 order by count(Col1) desc"", 0)},2,1)"),"6")</f>
        <v>6</v>
      </c>
    </row>
    <row r="17">
      <c r="A17" s="3" t="str">
        <f>IFERROR(__xludf.DUMMYFUNCTION("""COMPUTED_VALUE"""),"Pearl Bakengela")</f>
        <v>Pearl Bakengela</v>
      </c>
      <c r="B17" s="2" t="str">
        <f>IFERROR(__xludf.DUMMYFUNCTION("index({query({arrayformula(SUBSTITUTE('OTPI Scores'!C:C,""'"","""")),'OTPI Scores'!D:D,arrayformula(TO_TEXT('OTPI Scores'!E:E))},""select Col3, count(Col1) where Col1 = '""&amp;A17&amp;""' group by Col3 order by count(Col1) desc"", 0)},2,1)"),"4")</f>
        <v>4</v>
      </c>
    </row>
    <row r="18">
      <c r="A18" s="3" t="str">
        <f>IFERROR(__xludf.DUMMYFUNCTION("""COMPUTED_VALUE"""),"Mike Moon")</f>
        <v>Mike Moon</v>
      </c>
      <c r="B18" s="2" t="str">
        <f>IFERROR(__xludf.DUMMYFUNCTION("index({query({arrayformula(SUBSTITUTE('OTPI Scores'!C:C,""'"","""")),'OTPI Scores'!D:D,arrayformula(TO_TEXT('OTPI Scores'!E:E))},""select Col3, count(Col1) where Col1 = '""&amp;A18&amp;""' group by Col3 order by count(Col1) desc"", 0)},2,1)"),"6")</f>
        <v>6</v>
      </c>
    </row>
    <row r="19">
      <c r="A19" s="3" t="str">
        <f>IFERROR(__xludf.DUMMYFUNCTION("""COMPUTED_VALUE"""),"Chris Tong")</f>
        <v>Chris Tong</v>
      </c>
      <c r="B19" s="2" t="str">
        <f>IFERROR(__xludf.DUMMYFUNCTION("index({query({arrayformula(SUBSTITUTE('OTPI Scores'!C:C,""'"","""")),'OTPI Scores'!D:D,arrayformula(TO_TEXT('OTPI Scores'!E:E))},""select Col3, count(Col1) where Col1 = '""&amp;A19&amp;""' group by Col3 order by count(Col1) desc"", 0)},2,1)"),"6")</f>
        <v>6</v>
      </c>
    </row>
    <row r="20">
      <c r="A20" s="3" t="str">
        <f>IFERROR(__xludf.DUMMYFUNCTION("""COMPUTED_VALUE"""),"Ryan Cochrane")</f>
        <v>Ryan Cochrane</v>
      </c>
      <c r="B20" s="2" t="str">
        <f>IFERROR(__xludf.DUMMYFUNCTION("index({query({arrayformula(SUBSTITUTE('OTPI Scores'!C:C,""'"","""")),'OTPI Scores'!D:D,arrayformula(TO_TEXT('OTPI Scores'!E:E))},""select Col3, count(Col1) where Col1 = '""&amp;A20&amp;""' group by Col3 order by count(Col1) desc"", 0)},2,1)"),"6")</f>
        <v>6</v>
      </c>
    </row>
    <row r="21">
      <c r="A21" s="3" t="str">
        <f>IFERROR(__xludf.DUMMYFUNCTION("""COMPUTED_VALUE"""),"Matt Hope")</f>
        <v>Matt Hope</v>
      </c>
      <c r="B21" s="2" t="str">
        <f>IFERROR(__xludf.DUMMYFUNCTION("index({query({arrayformula(SUBSTITUTE('OTPI Scores'!C:C,""'"","""")),'OTPI Scores'!D:D,arrayformula(TO_TEXT('OTPI Scores'!E:E))},""select Col3, count(Col1) where Col1 = '""&amp;A21&amp;""' group by Col3 order by count(Col1) desc"", 0)},2,1)"),"6")</f>
        <v>6</v>
      </c>
    </row>
    <row r="22">
      <c r="A22" s="3" t="str">
        <f>IFERROR(__xludf.DUMMYFUNCTION("""COMPUTED_VALUE"""),"Charlie Brooks")</f>
        <v>Charlie Brooks</v>
      </c>
      <c r="B22" s="2" t="str">
        <f>IFERROR(__xludf.DUMMYFUNCTION("index({query({arrayformula(SUBSTITUTE('OTPI Scores'!C:C,""'"","""")),'OTPI Scores'!D:D,arrayformula(TO_TEXT('OTPI Scores'!E:E))},""select Col3, count(Col1) where Col1 = '""&amp;A22&amp;""' group by Col3 order by count(Col1) desc"", 0)},2,1)"),"6")</f>
        <v>6</v>
      </c>
    </row>
    <row r="23">
      <c r="A23" s="3" t="str">
        <f>IFERROR(__xludf.DUMMYFUNCTION("""COMPUTED_VALUE"""),"Joel Wright")</f>
        <v>Joel Wright</v>
      </c>
      <c r="B23" s="2" t="str">
        <f>IFERROR(__xludf.DUMMYFUNCTION("index({query({arrayformula(SUBSTITUTE('OTPI Scores'!C:C,""'"","""")),'OTPI Scores'!D:D,arrayformula(TO_TEXT('OTPI Scores'!E:E))},""select Col3, count(Col1) where Col1 = '""&amp;A23&amp;""' group by Col3 order by count(Col1) desc"", 0)},2,1)"),"6")</f>
        <v>6</v>
      </c>
    </row>
    <row r="24">
      <c r="A24" s="3" t="str">
        <f>IFERROR(__xludf.DUMMYFUNCTION("""COMPUTED_VALUE"""),"Sam ACourt")</f>
        <v>Sam ACourt</v>
      </c>
      <c r="B24" s="2" t="str">
        <f>IFERROR(__xludf.DUMMYFUNCTION("index({query({arrayformula(SUBSTITUTE('OTPI Scores'!C:C,""'"","""")),'OTPI Scores'!D:D,arrayformula(TO_TEXT('OTPI Scores'!E:E))},""select Col3, count(Col1) where Col1 = '""&amp;A24&amp;""' group by Col3 order by count(Col1) desc"", 0)},2,1)"),"5")</f>
        <v>5</v>
      </c>
    </row>
    <row r="25">
      <c r="A25" s="3" t="str">
        <f>IFERROR(__xludf.DUMMYFUNCTION("""COMPUTED_VALUE"""),"Anish Philips")</f>
        <v>Anish Philips</v>
      </c>
      <c r="B25" s="2" t="str">
        <f>IFERROR(__xludf.DUMMYFUNCTION("index({query({arrayformula(SUBSTITUTE('OTPI Scores'!C:C,""'"","""")),'OTPI Scores'!D:D,arrayformula(TO_TEXT('OTPI Scores'!E:E))},""select Col3, count(Col1) where Col1 = '""&amp;A25&amp;""' group by Col3 order by count(Col1) desc"", 0)},2,1)"),"4")</f>
        <v>4</v>
      </c>
    </row>
    <row r="26">
      <c r="A26" s="3" t="str">
        <f>IFERROR(__xludf.DUMMYFUNCTION("""COMPUTED_VALUE"""),"Nick Chimonides")</f>
        <v>Nick Chimonides</v>
      </c>
      <c r="B26" s="2" t="str">
        <f>IFERROR(__xludf.DUMMYFUNCTION("index({query({arrayformula(SUBSTITUTE('OTPI Scores'!C:C,""'"","""")),'OTPI Scores'!D:D,arrayformula(TO_TEXT('OTPI Scores'!E:E))},""select Col3, count(Col1) where Col1 = '""&amp;A26&amp;""' group by Col3 order by count(Col1) desc"", 0)},2,1)"),"2")</f>
        <v>2</v>
      </c>
    </row>
    <row r="27">
      <c r="A27" s="3" t="str">
        <f>IFERROR(__xludf.DUMMYFUNCTION("""COMPUTED_VALUE"""),"Ben Dockerill")</f>
        <v>Ben Dockerill</v>
      </c>
      <c r="B27" s="2" t="str">
        <f>IFERROR(__xludf.DUMMYFUNCTION("index({query({arrayformula(SUBSTITUTE('OTPI Scores'!C:C,""'"","""")),'OTPI Scores'!D:D,arrayformula(TO_TEXT('OTPI Scores'!E:E))},""select Col3, count(Col1) where Col1 = '""&amp;A27&amp;""' group by Col3 order by count(Col1) desc"", 0)},2,1)"),"1")</f>
        <v>1</v>
      </c>
    </row>
    <row r="28">
      <c r="A28" s="3" t="str">
        <f>IFERROR(__xludf.DUMMYFUNCTION("""COMPUTED_VALUE"""),"Matt Crowe")</f>
        <v>Matt Crowe</v>
      </c>
      <c r="B28" s="2" t="str">
        <f>IFERROR(__xludf.DUMMYFUNCTION("index({query({arrayformula(SUBSTITUTE('OTPI Scores'!C:C,""'"","""")),'OTPI Scores'!D:D,arrayformula(TO_TEXT('OTPI Scores'!E:E))},""select Col3, count(Col1) where Col1 = '""&amp;A28&amp;""' group by Col3 order by count(Col1) desc"", 0)},2,1)"),"1")</f>
        <v>1</v>
      </c>
    </row>
    <row r="29">
      <c r="A29" s="3" t="str">
        <f>IFERROR(__xludf.DUMMYFUNCTION("""COMPUTED_VALUE"""),"Theo Horton")</f>
        <v>Theo Horton</v>
      </c>
      <c r="B29" s="2" t="str">
        <f>IFERROR(__xludf.DUMMYFUNCTION("index({query({arrayformula(SUBSTITUTE('OTPI Scores'!C:C,""'"","""")),'OTPI Scores'!D:D,arrayformula(TO_TEXT('OTPI Scores'!E:E))},""select Col3, count(Col1) where Col1 = '""&amp;A29&amp;""' group by Col3 order by count(Col1) desc"", 0)},2,1)"),"1")</f>
        <v>1</v>
      </c>
    </row>
    <row r="30">
      <c r="A30" s="3" t="str">
        <f>IFERROR(__xludf.DUMMYFUNCTION("""COMPUTED_VALUE"""),"Jamie Wood")</f>
        <v>Jamie Wood</v>
      </c>
      <c r="B30" s="2" t="str">
        <f>IFERROR(__xludf.DUMMYFUNCTION("index({query({arrayformula(SUBSTITUTE('OTPI Scores'!C:C,""'"","""")),'OTPI Scores'!D:D,arrayformula(TO_TEXT('OTPI Scores'!E:E))},""select Col3, count(Col1) where Col1 = '""&amp;A30&amp;""' group by Col3 order by count(Col1) desc"", 0)},2,1)"),"1")</f>
        <v>1</v>
      </c>
    </row>
    <row r="31">
      <c r="A31" s="3" t="str">
        <f>IFERROR(__xludf.DUMMYFUNCTION("""COMPUTED_VALUE"""),"Sam Laidler")</f>
        <v>Sam Laidler</v>
      </c>
      <c r="B31" s="2" t="str">
        <f>IFERROR(__xludf.DUMMYFUNCTION("index({query({arrayformula(SUBSTITUTE('OTPI Scores'!C:C,""'"","""")),'OTPI Scores'!D:D,arrayformula(TO_TEXT('OTPI Scores'!E:E))},""select Col3, count(Col1) where Col1 = '""&amp;A31&amp;""' group by Col3 order by count(Col1) desc"", 0)},2,1)"),"Vets")</f>
        <v>Vets</v>
      </c>
    </row>
    <row r="32">
      <c r="A32" s="3" t="str">
        <f>IFERROR(__xludf.DUMMYFUNCTION("""COMPUTED_VALUE"""),"Matthew Thomas")</f>
        <v>Matthew Thomas</v>
      </c>
      <c r="B32" s="2" t="str">
        <f>IFERROR(__xludf.DUMMYFUNCTION("index({query({arrayformula(SUBSTITUTE('OTPI Scores'!C:C,""'"","""")),'OTPI Scores'!D:D,arrayformula(TO_TEXT('OTPI Scores'!E:E))},""select Col3, count(Col1) where Col1 = '""&amp;A32&amp;""' group by Col3 order by count(Col1) desc"", 0)},2,1)"),"1")</f>
        <v>1</v>
      </c>
    </row>
    <row r="33">
      <c r="A33" s="3" t="str">
        <f>IFERROR(__xludf.DUMMYFUNCTION("""COMPUTED_VALUE"""),"Finn Coolen")</f>
        <v>Finn Coolen</v>
      </c>
      <c r="B33" s="2" t="str">
        <f>IFERROR(__xludf.DUMMYFUNCTION("index({query({arrayformula(SUBSTITUTE('OTPI Scores'!C:C,""'"","""")),'OTPI Scores'!D:D,arrayformula(TO_TEXT('OTPI Scores'!E:E))},""select Col3, count(Col1) where Col1 = '""&amp;A33&amp;""' group by Col3 order by count(Col1) desc"", 0)},2,1)"),"2")</f>
        <v>2</v>
      </c>
    </row>
    <row r="34">
      <c r="A34" s="3" t="str">
        <f>IFERROR(__xludf.DUMMYFUNCTION("""COMPUTED_VALUE"""),"Stanley Timms")</f>
        <v>Stanley Timms</v>
      </c>
      <c r="B34" s="2" t="str">
        <f>IFERROR(__xludf.DUMMYFUNCTION("index({query({arrayformula(SUBSTITUTE('OTPI Scores'!C:C,""'"","""")),'OTPI Scores'!D:D,arrayformula(TO_TEXT('OTPI Scores'!E:E))},""select Col3, count(Col1) where Col1 = '""&amp;A34&amp;""' group by Col3 order by count(Col1) desc"", 0)},2,1)"),"1")</f>
        <v>1</v>
      </c>
    </row>
    <row r="35">
      <c r="A35" s="3" t="str">
        <f>IFERROR(__xludf.DUMMYFUNCTION("""COMPUTED_VALUE"""),"James Rodriguez")</f>
        <v>James Rodriguez</v>
      </c>
      <c r="B35" s="2" t="str">
        <f>IFERROR(__xludf.DUMMYFUNCTION("index({query({arrayformula(SUBSTITUTE('OTPI Scores'!C:C,""'"","""")),'OTPI Scores'!D:D,arrayformula(TO_TEXT('OTPI Scores'!E:E))},""select Col3, count(Col1) where Col1 = '""&amp;A35&amp;""' group by Col3 order by count(Col1) desc"", 0)},2,1)"),"1")</f>
        <v>1</v>
      </c>
    </row>
    <row r="36">
      <c r="A36" s="3" t="str">
        <f>IFERROR(__xludf.DUMMYFUNCTION("""COMPUTED_VALUE"""),"Micah Pinnock")</f>
        <v>Micah Pinnock</v>
      </c>
      <c r="B36" s="2" t="str">
        <f>IFERROR(__xludf.DUMMYFUNCTION("index({query({arrayformula(SUBSTITUTE('OTPI Scores'!C:C,""'"","""")),'OTPI Scores'!D:D,arrayformula(TO_TEXT('OTPI Scores'!E:E))},""select Col3, count(Col1) where Col1 = '""&amp;A36&amp;""' group by Col3 order by count(Col1) desc"", 0)},2,1)"),"2")</f>
        <v>2</v>
      </c>
    </row>
    <row r="37">
      <c r="A37" s="3" t="str">
        <f>IFERROR(__xludf.DUMMYFUNCTION("""COMPUTED_VALUE"""),"Seb Curle")</f>
        <v>Seb Curle</v>
      </c>
      <c r="B37" s="2" t="str">
        <f>IFERROR(__xludf.DUMMYFUNCTION("index({query({arrayformula(SUBSTITUTE('OTPI Scores'!C:C,""'"","""")),'OTPI Scores'!D:D,arrayformula(TO_TEXT('OTPI Scores'!E:E))},""select Col3, count(Col1) where Col1 = '""&amp;A37&amp;""' group by Col3 order by count(Col1) desc"", 0)},2,1)"),"2")</f>
        <v>2</v>
      </c>
    </row>
    <row r="38">
      <c r="A38" s="3" t="str">
        <f>IFERROR(__xludf.DUMMYFUNCTION("""COMPUTED_VALUE"""),"Harold Kiyingi")</f>
        <v>Harold Kiyingi</v>
      </c>
      <c r="B38" s="2" t="str">
        <f>IFERROR(__xludf.DUMMYFUNCTION("index({query({arrayformula(SUBSTITUTE('OTPI Scores'!C:C,""'"","""")),'OTPI Scores'!D:D,arrayformula(TO_TEXT('OTPI Scores'!E:E))},""select Col3, count(Col1) where Col1 = '""&amp;A38&amp;""' group by Col3 order by count(Col1) desc"", 0)},2,1)"),"2")</f>
        <v>2</v>
      </c>
    </row>
    <row r="39">
      <c r="A39" s="3" t="str">
        <f>IFERROR(__xludf.DUMMYFUNCTION("""COMPUTED_VALUE"""),"Anitej Rao")</f>
        <v>Anitej Rao</v>
      </c>
      <c r="B39" s="2" t="str">
        <f>IFERROR(__xludf.DUMMYFUNCTION("index({query({arrayformula(SUBSTITUTE('OTPI Scores'!C:C,""'"","""")),'OTPI Scores'!D:D,arrayformula(TO_TEXT('OTPI Scores'!E:E))},""select Col3, count(Col1) where Col1 = '""&amp;A39&amp;""' group by Col3 order by count(Col1) desc"", 0)},2,1)"),"1")</f>
        <v>1</v>
      </c>
    </row>
    <row r="40">
      <c r="A40" s="3" t="str">
        <f>IFERROR(__xludf.DUMMYFUNCTION("""COMPUTED_VALUE"""),"Corey Cleave")</f>
        <v>Corey Cleave</v>
      </c>
      <c r="B40" s="2" t="str">
        <f>IFERROR(__xludf.DUMMYFUNCTION("index({query({arrayformula(SUBSTITUTE('OTPI Scores'!C:C,""'"","""")),'OTPI Scores'!D:D,arrayformula(TO_TEXT('OTPI Scores'!E:E))},""select Col3, count(Col1) where Col1 = '""&amp;A40&amp;""' group by Col3 order by count(Col1) desc"", 0)},2,1)"),"2")</f>
        <v>2</v>
      </c>
    </row>
    <row r="41">
      <c r="A41" s="3" t="str">
        <f>IFERROR(__xludf.DUMMYFUNCTION("""COMPUTED_VALUE"""),"Richard Jones")</f>
        <v>Richard Jones</v>
      </c>
      <c r="B41" s="2" t="str">
        <f>IFERROR(__xludf.DUMMYFUNCTION("index({query({arrayformula(SUBSTITUTE('OTPI Scores'!C:C,""'"","""")),'OTPI Scores'!D:D,arrayformula(TO_TEXT('OTPI Scores'!E:E))},""select Col3, count(Col1) where Col1 = '""&amp;A41&amp;""' group by Col3 order by count(Col1) desc"", 0)},2,1)"),"3")</f>
        <v>3</v>
      </c>
    </row>
    <row r="42">
      <c r="A42" s="3" t="str">
        <f>IFERROR(__xludf.DUMMYFUNCTION("""COMPUTED_VALUE"""),"Harry Calvesbert")</f>
        <v>Harry Calvesbert</v>
      </c>
      <c r="B42" s="2" t="str">
        <f>IFERROR(__xludf.DUMMYFUNCTION("index({query({arrayformula(SUBSTITUTE('OTPI Scores'!C:C,""'"","""")),'OTPI Scores'!D:D,arrayformula(TO_TEXT('OTPI Scores'!E:E))},""select Col3, count(Col1) where Col1 = '""&amp;A42&amp;""' group by Col3 order by count(Col1) desc"", 0)},2,1)"),"2")</f>
        <v>2</v>
      </c>
    </row>
    <row r="43">
      <c r="A43" s="3" t="str">
        <f>IFERROR(__xludf.DUMMYFUNCTION("""COMPUTED_VALUE"""),"Sean Staunton")</f>
        <v>Sean Staunton</v>
      </c>
      <c r="B43" s="2" t="str">
        <f>IFERROR(__xludf.DUMMYFUNCTION("index({query({arrayformula(SUBSTITUTE('OTPI Scores'!C:C,""'"","""")),'OTPI Scores'!D:D,arrayformula(TO_TEXT('OTPI Scores'!E:E))},""select Col3, count(Col1) where Col1 = '""&amp;A43&amp;""' group by Col3 order by count(Col1) desc"", 0)},2,1)"),"2")</f>
        <v>2</v>
      </c>
    </row>
    <row r="44">
      <c r="A44" s="3" t="str">
        <f>IFERROR(__xludf.DUMMYFUNCTION("""COMPUTED_VALUE"""),"Will Sollory")</f>
        <v>Will Sollory</v>
      </c>
      <c r="B44" s="2" t="str">
        <f>IFERROR(__xludf.DUMMYFUNCTION("index({query({arrayformula(SUBSTITUTE('OTPI Scores'!C:C,""'"","""")),'OTPI Scores'!D:D,arrayformula(TO_TEXT('OTPI Scores'!E:E))},""select Col3, count(Col1) where Col1 = '""&amp;A44&amp;""' group by Col3 order by count(Col1) desc"", 0)},2,1)"),"3")</f>
        <v>3</v>
      </c>
    </row>
    <row r="45">
      <c r="A45" s="3" t="str">
        <f>IFERROR(__xludf.DUMMYFUNCTION("""COMPUTED_VALUE"""),"Kevin Gonzalez")</f>
        <v>Kevin Gonzalez</v>
      </c>
      <c r="B45" s="2" t="str">
        <f>IFERROR(__xludf.DUMMYFUNCTION("index({query({arrayformula(SUBSTITUTE('OTPI Scores'!C:C,""'"","""")),'OTPI Scores'!D:D,arrayformula(TO_TEXT('OTPI Scores'!E:E))},""select Col3, count(Col1) where Col1 = '""&amp;A45&amp;""' group by Col3 order by count(Col1) desc"", 0)},2,1)"),"4")</f>
        <v>4</v>
      </c>
    </row>
    <row r="46">
      <c r="A46" s="3" t="str">
        <f>IFERROR(__xludf.DUMMYFUNCTION("""COMPUTED_VALUE"""),"Christian Cleave")</f>
        <v>Christian Cleave</v>
      </c>
      <c r="B46" s="2" t="str">
        <f>IFERROR(__xludf.DUMMYFUNCTION("index({query({arrayformula(SUBSTITUTE('OTPI Scores'!C:C,""'"","""")),'OTPI Scores'!D:D,arrayformula(TO_TEXT('OTPI Scores'!E:E))},""select Col3, count(Col1) where Col1 = '""&amp;A46&amp;""' group by Col3 order by count(Col1) desc"", 0)},2,1)"),"2")</f>
        <v>2</v>
      </c>
    </row>
    <row r="47">
      <c r="A47" s="3" t="str">
        <f>IFERROR(__xludf.DUMMYFUNCTION("""COMPUTED_VALUE"""),"Joe Docherty")</f>
        <v>Joe Docherty</v>
      </c>
      <c r="B47" s="2" t="str">
        <f>IFERROR(__xludf.DUMMYFUNCTION("index({query({arrayformula(SUBSTITUTE('OTPI Scores'!C:C,""'"","""")),'OTPI Scores'!D:D,arrayformula(TO_TEXT('OTPI Scores'!E:E))},""select Col3, count(Col1) where Col1 = '""&amp;A47&amp;""' group by Col3 order by count(Col1) desc"", 0)},2,1)"),"2")</f>
        <v>2</v>
      </c>
    </row>
    <row r="48">
      <c r="A48" s="3" t="str">
        <f>IFERROR(__xludf.DUMMYFUNCTION("""COMPUTED_VALUE"""),"Nathan Baverstock")</f>
        <v>Nathan Baverstock</v>
      </c>
      <c r="B48" s="2" t="str">
        <f>IFERROR(__xludf.DUMMYFUNCTION("index({query({arrayformula(SUBSTITUTE('OTPI Scores'!C:C,""'"","""")),'OTPI Scores'!D:D,arrayformula(TO_TEXT('OTPI Scores'!E:E))},""select Col3, count(Col1) where Col1 = '""&amp;A48&amp;""' group by Col3 order by count(Col1) desc"", 0)},2,1)"),"3")</f>
        <v>3</v>
      </c>
    </row>
    <row r="49">
      <c r="A49" s="3" t="str">
        <f>IFERROR(__xludf.DUMMYFUNCTION("""COMPUTED_VALUE"""),"Gaz Wheldale")</f>
        <v>Gaz Wheldale</v>
      </c>
      <c r="B49" s="2" t="str">
        <f>IFERROR(__xludf.DUMMYFUNCTION("index({query({arrayformula(SUBSTITUTE('OTPI Scores'!C:C,""'"","""")),'OTPI Scores'!D:D,arrayformula(TO_TEXT('OTPI Scores'!E:E))},""select Col3, count(Col1) where Col1 = '""&amp;A49&amp;""' group by Col3 order by count(Col1) desc"", 0)},2,1)"),"3")</f>
        <v>3</v>
      </c>
    </row>
    <row r="50">
      <c r="A50" s="3" t="str">
        <f>IFERROR(__xludf.DUMMYFUNCTION("""COMPUTED_VALUE"""),"Will French")</f>
        <v>Will French</v>
      </c>
      <c r="B50" s="2" t="str">
        <f>IFERROR(__xludf.DUMMYFUNCTION("index({query({arrayformula(SUBSTITUTE('OTPI Scores'!C:C,""'"","""")),'OTPI Scores'!D:D,arrayformula(TO_TEXT('OTPI Scores'!E:E))},""select Col3, count(Col1) where Col1 = '""&amp;A50&amp;""' group by Col3 order by count(Col1) desc"", 0)},2,1)"),"3")</f>
        <v>3</v>
      </c>
    </row>
    <row r="51">
      <c r="A51" s="3" t="str">
        <f>IFERROR(__xludf.DUMMYFUNCTION("""COMPUTED_VALUE"""),"Tali Kiwanuka")</f>
        <v>Tali Kiwanuka</v>
      </c>
      <c r="B51" s="2" t="str">
        <f>IFERROR(__xludf.DUMMYFUNCTION("index({query({arrayformula(SUBSTITUTE('OTPI Scores'!C:C,""'"","""")),'OTPI Scores'!D:D,arrayformula(TO_TEXT('OTPI Scores'!E:E))},""select Col3, count(Col1) where Col1 = '""&amp;A51&amp;""' group by Col3 order by count(Col1) desc"", 0)},2,1)"),"4")</f>
        <v>4</v>
      </c>
    </row>
    <row r="52">
      <c r="A52" s="3" t="str">
        <f>IFERROR(__xludf.DUMMYFUNCTION("""COMPUTED_VALUE"""),"Nikolay Machev")</f>
        <v>Nikolay Machev</v>
      </c>
      <c r="B52" s="2" t="str">
        <f>IFERROR(__xludf.DUMMYFUNCTION("index({query({arrayformula(SUBSTITUTE('OTPI Scores'!C:C,""'"","""")),'OTPI Scores'!D:D,arrayformula(TO_TEXT('OTPI Scores'!E:E))},""select Col3, count(Col1) where Col1 = '""&amp;A52&amp;""' group by Col3 order by count(Col1) desc"", 0)},2,1)"),"2")</f>
        <v>2</v>
      </c>
    </row>
    <row r="53">
      <c r="A53" s="3" t="str">
        <f>IFERROR(__xludf.DUMMYFUNCTION("""COMPUTED_VALUE"""),"Jack Harris")</f>
        <v>Jack Harris</v>
      </c>
      <c r="B53" s="2" t="str">
        <f>IFERROR(__xludf.DUMMYFUNCTION("index({query({arrayformula(SUBSTITUTE('OTPI Scores'!C:C,""'"","""")),'OTPI Scores'!D:D,arrayformula(TO_TEXT('OTPI Scores'!E:E))},""select Col3, count(Col1) where Col1 = '""&amp;A53&amp;""' group by Col3 order by count(Col1) desc"", 0)},2,1)"),"5")</f>
        <v>5</v>
      </c>
    </row>
    <row r="54">
      <c r="A54" s="3" t="str">
        <f>IFERROR(__xludf.DUMMYFUNCTION("""COMPUTED_VALUE"""),"Nathan Davis")</f>
        <v>Nathan Davis</v>
      </c>
      <c r="B54" s="2" t="str">
        <f>IFERROR(__xludf.DUMMYFUNCTION("index({query({arrayformula(SUBSTITUTE('OTPI Scores'!C:C,""'"","""")),'OTPI Scores'!D:D,arrayformula(TO_TEXT('OTPI Scores'!E:E))},""select Col3, count(Col1) where Col1 = '""&amp;A54&amp;""' group by Col3 order by count(Col1) desc"", 0)},2,1)"),"1")</f>
        <v>1</v>
      </c>
    </row>
    <row r="55">
      <c r="A55" s="3" t="str">
        <f>IFERROR(__xludf.DUMMYFUNCTION("""COMPUTED_VALUE"""),"Alex Scott-Ruddock")</f>
        <v>Alex Scott-Ruddock</v>
      </c>
      <c r="B55" s="2" t="str">
        <f>IFERROR(__xludf.DUMMYFUNCTION("index({query({arrayformula(SUBSTITUTE('OTPI Scores'!C:C,""'"","""")),'OTPI Scores'!D:D,arrayformula(TO_TEXT('OTPI Scores'!E:E))},""select Col3, count(Col1) where Col1 = '""&amp;A55&amp;""' group by Col3 order by count(Col1) desc"", 0)},2,1)"),"5")</f>
        <v>5</v>
      </c>
    </row>
    <row r="56">
      <c r="A56" s="3" t="str">
        <f>IFERROR(__xludf.DUMMYFUNCTION("""COMPUTED_VALUE"""),"Cameron Hildebrandt-Brooks")</f>
        <v>Cameron Hildebrandt-Brooks</v>
      </c>
      <c r="B56" s="2" t="str">
        <f>IFERROR(__xludf.DUMMYFUNCTION("index({query({arrayformula(SUBSTITUTE('OTPI Scores'!C:C,""'"","""")),'OTPI Scores'!D:D,arrayformula(TO_TEXT('OTPI Scores'!E:E))},""select Col3, count(Col1) where Col1 = '""&amp;A56&amp;""' group by Col3 order by count(Col1) desc"", 0)},2,1)"),"5")</f>
        <v>5</v>
      </c>
    </row>
    <row r="57">
      <c r="A57" s="3" t="str">
        <f>IFERROR(__xludf.DUMMYFUNCTION("""COMPUTED_VALUE"""),"Aidan Byrne")</f>
        <v>Aidan Byrne</v>
      </c>
      <c r="B57" s="2" t="str">
        <f>IFERROR(__xludf.DUMMYFUNCTION("index({query({arrayformula(SUBSTITUTE('OTPI Scores'!C:C,""'"","""")),'OTPI Scores'!D:D,arrayformula(TO_TEXT('OTPI Scores'!E:E))},""select Col3, count(Col1) where Col1 = '""&amp;A57&amp;""' group by Col3 order by count(Col1) desc"", 0)},2,1)"),"5")</f>
        <v>5</v>
      </c>
    </row>
    <row r="58">
      <c r="A58" s="3" t="str">
        <f>IFERROR(__xludf.DUMMYFUNCTION("""COMPUTED_VALUE"""),"Colin Paterson")</f>
        <v>Colin Paterson</v>
      </c>
      <c r="B58" s="2" t="str">
        <f>IFERROR(__xludf.DUMMYFUNCTION("index({query({arrayformula(SUBSTITUTE('OTPI Scores'!C:C,""'"","""")),'OTPI Scores'!D:D,arrayformula(TO_TEXT('OTPI Scores'!E:E))},""select Col3, count(Col1) where Col1 = '""&amp;A58&amp;""' group by Col3 order by count(Col1) desc"", 0)},2,1)"),"5")</f>
        <v>5</v>
      </c>
    </row>
    <row r="59">
      <c r="A59" s="3" t="str">
        <f>IFERROR(__xludf.DUMMYFUNCTION("""COMPUTED_VALUE"""),"Ollie Eldridge")</f>
        <v>Ollie Eldridge</v>
      </c>
      <c r="B59" s="2" t="str">
        <f>IFERROR(__xludf.DUMMYFUNCTION("index({query({arrayformula(SUBSTITUTE('OTPI Scores'!C:C,""'"","""")),'OTPI Scores'!D:D,arrayformula(TO_TEXT('OTPI Scores'!E:E))},""select Col3, count(Col1) where Col1 = '""&amp;A59&amp;""' group by Col3 order by count(Col1) desc"", 0)},2,1)"),"5")</f>
        <v>5</v>
      </c>
    </row>
    <row r="60">
      <c r="A60" s="3" t="str">
        <f>IFERROR(__xludf.DUMMYFUNCTION("""COMPUTED_VALUE"""),"Magno Pinto")</f>
        <v>Magno Pinto</v>
      </c>
      <c r="B60" s="2" t="str">
        <f>IFERROR(__xludf.DUMMYFUNCTION("index({query({arrayformula(SUBSTITUTE('OTPI Scores'!C:C,""'"","""")),'OTPI Scores'!D:D,arrayformula(TO_TEXT('OTPI Scores'!E:E))},""select Col3, count(Col1) where Col1 = '""&amp;A60&amp;""' group by Col3 order by count(Col1) desc"", 0)},2,1)"),"6")</f>
        <v>6</v>
      </c>
    </row>
    <row r="61">
      <c r="A61" s="3" t="str">
        <f>IFERROR(__xludf.DUMMYFUNCTION("""COMPUTED_VALUE"""),"Daniel Salazar Ponce")</f>
        <v>Daniel Salazar Ponce</v>
      </c>
      <c r="B61" s="2" t="str">
        <f>IFERROR(__xludf.DUMMYFUNCTION("index({query({arrayformula(SUBSTITUTE('OTPI Scores'!C:C,""'"","""")),'OTPI Scores'!D:D,arrayformula(TO_TEXT('OTPI Scores'!E:E))},""select Col3, count(Col1) where Col1 = '""&amp;A61&amp;""' group by Col3 order by count(Col1) desc"", 0)},2,1)"),"5")</f>
        <v>5</v>
      </c>
    </row>
    <row r="62">
      <c r="A62" s="3" t="str">
        <f>IFERROR(__xludf.DUMMYFUNCTION("""COMPUTED_VALUE"""),"Pierce Bennett")</f>
        <v>Pierce Bennett</v>
      </c>
      <c r="B62" s="2" t="str">
        <f>IFERROR(__xludf.DUMMYFUNCTION("index({query({arrayformula(SUBSTITUTE('OTPI Scores'!C:C,""'"","""")),'OTPI Scores'!D:D,arrayformula(TO_TEXT('OTPI Scores'!E:E))},""select Col3, count(Col1) where Col1 = '""&amp;A62&amp;""' group by Col3 order by count(Col1) desc"", 0)},2,1)"),"4")</f>
        <v>4</v>
      </c>
    </row>
    <row r="63">
      <c r="A63" s="3" t="str">
        <f>IFERROR(__xludf.DUMMYFUNCTION("""COMPUTED_VALUE"""),"Ben Himpe")</f>
        <v>Ben Himpe</v>
      </c>
      <c r="B63" s="2" t="str">
        <f>IFERROR(__xludf.DUMMYFUNCTION("index({query({arrayformula(SUBSTITUTE('OTPI Scores'!C:C,""'"","""")),'OTPI Scores'!D:D,arrayformula(TO_TEXT('OTPI Scores'!E:E))},""select Col3, count(Col1) where Col1 = '""&amp;A63&amp;""' group by Col3 order by count(Col1) desc"", 0)},2,1)"),"3")</f>
        <v>3</v>
      </c>
    </row>
    <row r="64">
      <c r="A64" s="3" t="str">
        <f>IFERROR(__xludf.DUMMYFUNCTION("""COMPUTED_VALUE"""),"Richard Scott")</f>
        <v>Richard Scott</v>
      </c>
      <c r="B64" s="2" t="str">
        <f>IFERROR(__xludf.DUMMYFUNCTION("index({query({arrayformula(SUBSTITUTE('OTPI Scores'!C:C,""'"","""")),'OTPI Scores'!D:D,arrayformula(TO_TEXT('OTPI Scores'!E:E))},""select Col3, count(Col1) where Col1 = '""&amp;A64&amp;""' group by Col3 order by count(Col1) desc"", 0)},2,1)"),"5")</f>
        <v>5</v>
      </c>
    </row>
    <row r="65">
      <c r="A65" s="3" t="str">
        <f>IFERROR(__xludf.DUMMYFUNCTION("""COMPUTED_VALUE"""),"Denver Lalonde")</f>
        <v>Denver Lalonde</v>
      </c>
      <c r="B65" s="2" t="str">
        <f>IFERROR(__xludf.DUMMYFUNCTION("index({query({arrayformula(SUBSTITUTE('OTPI Scores'!C:C,""'"","""")),'OTPI Scores'!D:D,arrayformula(TO_TEXT('OTPI Scores'!E:E))},""select Col3, count(Col1) where Col1 = '""&amp;A65&amp;""' group by Col3 order by count(Col1) desc"", 0)},2,1)"),"3")</f>
        <v>3</v>
      </c>
    </row>
    <row r="66">
      <c r="A66" s="3" t="str">
        <f>IFERROR(__xludf.DUMMYFUNCTION("""COMPUTED_VALUE"""),"Ade Lawal")</f>
        <v>Ade Lawal</v>
      </c>
      <c r="B66" s="2" t="str">
        <f>IFERROR(__xludf.DUMMYFUNCTION("index({query({arrayformula(SUBSTITUTE('OTPI Scores'!C:C,""'"","""")),'OTPI Scores'!D:D,arrayformula(TO_TEXT('OTPI Scores'!E:E))},""select Col3, count(Col1) where Col1 = '""&amp;A66&amp;""' group by Col3 order by count(Col1) desc"", 0)},2,1)"),"5")</f>
        <v>5</v>
      </c>
    </row>
    <row r="67">
      <c r="A67" s="3" t="str">
        <f>IFERROR(__xludf.DUMMYFUNCTION("""COMPUTED_VALUE"""),"Chris Douthwaite")</f>
        <v>Chris Douthwaite</v>
      </c>
      <c r="B67" s="2" t="str">
        <f>IFERROR(__xludf.DUMMYFUNCTION("index({query({arrayformula(SUBSTITUTE('OTPI Scores'!C:C,""'"","""")),'OTPI Scores'!D:D,arrayformula(TO_TEXT('OTPI Scores'!E:E))},""select Col3, count(Col1) where Col1 = '""&amp;A67&amp;""' group by Col3 order by count(Col1) desc"", 0)},2,1)"),"3")</f>
        <v>3</v>
      </c>
    </row>
    <row r="68">
      <c r="A68" s="3" t="str">
        <f>IFERROR(__xludf.DUMMYFUNCTION("""COMPUTED_VALUE"""),"Dan Russell")</f>
        <v>Dan Russell</v>
      </c>
      <c r="B68" s="2" t="str">
        <f>IFERROR(__xludf.DUMMYFUNCTION("index({query({arrayformula(SUBSTITUTE('OTPI Scores'!C:C,""'"","""")),'OTPI Scores'!D:D,arrayformula(TO_TEXT('OTPI Scores'!E:E))},""select Col3, count(Col1) where Col1 = '""&amp;A68&amp;""' group by Col3 order by count(Col1) desc"", 0)},2,1)"),"3")</f>
        <v>3</v>
      </c>
    </row>
    <row r="69">
      <c r="A69" s="3" t="str">
        <f>IFERROR(__xludf.DUMMYFUNCTION("""COMPUTED_VALUE"""),"Ismail Wall")</f>
        <v>Ismail Wall</v>
      </c>
      <c r="B69" s="2" t="str">
        <f>IFERROR(__xludf.DUMMYFUNCTION("index({query({arrayformula(SUBSTITUTE('OTPI Scores'!C:C,""'"","""")),'OTPI Scores'!D:D,arrayformula(TO_TEXT('OTPI Scores'!E:E))},""select Col3, count(Col1) where Col1 = '""&amp;A69&amp;""' group by Col3 order by count(Col1) desc"", 0)},2,1)"),"3")</f>
        <v>3</v>
      </c>
    </row>
    <row r="70">
      <c r="A70" s="3" t="str">
        <f>IFERROR(__xludf.DUMMYFUNCTION("""COMPUTED_VALUE"""),"Mileek Delisser")</f>
        <v>Mileek Delisser</v>
      </c>
      <c r="B70" s="2" t="str">
        <f>IFERROR(__xludf.DUMMYFUNCTION("index({query({arrayformula(SUBSTITUTE('OTPI Scores'!C:C,""'"","""")),'OTPI Scores'!D:D,arrayformula(TO_TEXT('OTPI Scores'!E:E))},""select Col3, count(Col1) where Col1 = '""&amp;A70&amp;""' group by Col3 order by count(Col1) desc"", 0)},2,1)"),"3")</f>
        <v>3</v>
      </c>
    </row>
    <row r="71">
      <c r="A71" s="3" t="str">
        <f>IFERROR(__xludf.DUMMYFUNCTION("""COMPUTED_VALUE"""),"Rich Lundie")</f>
        <v>Rich Lundie</v>
      </c>
      <c r="B71" s="2" t="str">
        <f>IFERROR(__xludf.DUMMYFUNCTION("index({query({arrayformula(SUBSTITUTE('OTPI Scores'!C:C,""'"","""")),'OTPI Scores'!D:D,arrayformula(TO_TEXT('OTPI Scores'!E:E))},""select Col3, count(Col1) where Col1 = '""&amp;A71&amp;""' group by Col3 order by count(Col1) desc"", 0)},2,1)"),"3")</f>
        <v>3</v>
      </c>
    </row>
    <row r="72">
      <c r="A72" s="3" t="str">
        <f>IFERROR(__xludf.DUMMYFUNCTION("""COMPUTED_VALUE"""),"Rob Pritchard-Jones")</f>
        <v>Rob Pritchard-Jones</v>
      </c>
      <c r="B72" s="2" t="str">
        <f>IFERROR(__xludf.DUMMYFUNCTION("index({query({arrayformula(SUBSTITUTE('OTPI Scores'!C:C,""'"","""")),'OTPI Scores'!D:D,arrayformula(TO_TEXT('OTPI Scores'!E:E))},""select Col3, count(Col1) where Col1 = '""&amp;A72&amp;""' group by Col3 order by count(Col1) desc"", 0)},2,1)"),"3")</f>
        <v>3</v>
      </c>
    </row>
    <row r="73">
      <c r="A73" s="3" t="str">
        <f>IFERROR(__xludf.DUMMYFUNCTION("""COMPUTED_VALUE"""),"Martin Goodson")</f>
        <v>Martin Goodson</v>
      </c>
      <c r="B73" s="2" t="str">
        <f>IFERROR(__xludf.DUMMYFUNCTION("index({query({arrayformula(SUBSTITUTE('OTPI Scores'!C:C,""'"","""")),'OTPI Scores'!D:D,arrayformula(TO_TEXT('OTPI Scores'!E:E))},""select Col3, count(Col1) where Col1 = '""&amp;A73&amp;""' group by Col3 order by count(Col1) desc"", 0)},2,1)"),"6")</f>
        <v>6</v>
      </c>
    </row>
    <row r="74">
      <c r="A74" s="3" t="str">
        <f>IFERROR(__xludf.DUMMYFUNCTION("""COMPUTED_VALUE"""),"Joe Tanner")</f>
        <v>Joe Tanner</v>
      </c>
      <c r="B74" s="2" t="str">
        <f>IFERROR(__xludf.DUMMYFUNCTION("index({query({arrayformula(SUBSTITUTE('OTPI Scores'!C:C,""'"","""")),'OTPI Scores'!D:D,arrayformula(TO_TEXT('OTPI Scores'!E:E))},""select Col3, count(Col1) where Col1 = '""&amp;A74&amp;""' group by Col3 order by count(Col1) desc"", 0)},2,1)"),"4")</f>
        <v>4</v>
      </c>
    </row>
    <row r="75">
      <c r="A75" s="3" t="str">
        <f>IFERROR(__xludf.DUMMYFUNCTION("""COMPUTED_VALUE"""),"Kolawole Kehinde")</f>
        <v>Kolawole Kehinde</v>
      </c>
      <c r="B75" s="2" t="str">
        <f>IFERROR(__xludf.DUMMYFUNCTION("index({query({arrayformula(SUBSTITUTE('OTPI Scores'!C:C,""'"","""")),'OTPI Scores'!D:D,arrayformula(TO_TEXT('OTPI Scores'!E:E))},""select Col3, count(Col1) where Col1 = '""&amp;A75&amp;""' group by Col3 order by count(Col1) desc"", 0)},2,1)"),"4")</f>
        <v>4</v>
      </c>
    </row>
    <row r="76">
      <c r="A76" s="3" t="str">
        <f>IFERROR(__xludf.DUMMYFUNCTION("""COMPUTED_VALUE"""),"Gus Neill")</f>
        <v>Gus Neill</v>
      </c>
      <c r="B76" s="2" t="str">
        <f>IFERROR(__xludf.DUMMYFUNCTION("index({query({arrayformula(SUBSTITUTE('OTPI Scores'!C:C,""'"","""")),'OTPI Scores'!D:D,arrayformula(TO_TEXT('OTPI Scores'!E:E))},""select Col3, count(Col1) where Col1 = '""&amp;A76&amp;""' group by Col3 order by count(Col1) desc"", 0)},2,1)"),"4")</f>
        <v>4</v>
      </c>
    </row>
    <row r="77">
      <c r="A77" s="3" t="str">
        <f>IFERROR(__xludf.DUMMYFUNCTION("""COMPUTED_VALUE"""),"Stu Halliday")</f>
        <v>Stu Halliday</v>
      </c>
      <c r="B77" s="2" t="str">
        <f>IFERROR(__xludf.DUMMYFUNCTION("index({query({arrayformula(SUBSTITUTE('OTPI Scores'!C:C,""'"","""")),'OTPI Scores'!D:D,arrayformula(TO_TEXT('OTPI Scores'!E:E))},""select Col3, count(Col1) where Col1 = '""&amp;A77&amp;""' group by Col3 order by count(Col1) desc"", 0)},2,1)"),"Vets")</f>
        <v>Vets</v>
      </c>
    </row>
    <row r="78">
      <c r="A78" s="3" t="str">
        <f>IFERROR(__xludf.DUMMYFUNCTION("""COMPUTED_VALUE"""),"Kye Williams")</f>
        <v>Kye Williams</v>
      </c>
      <c r="B78" s="2" t="str">
        <f>IFERROR(__xludf.DUMMYFUNCTION("index({query({arrayformula(SUBSTITUTE('OTPI Scores'!C:C,""'"","""")),'OTPI Scores'!D:D,arrayformula(TO_TEXT('OTPI Scores'!E:E))},""select Col3, count(Col1) where Col1 = '""&amp;A78&amp;""' group by Col3 order by count(Col1) desc"", 0)},2,1)"),"3")</f>
        <v>3</v>
      </c>
    </row>
    <row r="79">
      <c r="A79" s="3" t="str">
        <f>IFERROR(__xludf.DUMMYFUNCTION("""COMPUTED_VALUE"""),"Anthony Ball")</f>
        <v>Anthony Ball</v>
      </c>
      <c r="B79" s="2" t="str">
        <f>IFERROR(__xludf.DUMMYFUNCTION("index({query({arrayformula(SUBSTITUTE('OTPI Scores'!C:C,""'"","""")),'OTPI Scores'!D:D,arrayformula(TO_TEXT('OTPI Scores'!E:E))},""select Col3, count(Col1) where Col1 = '""&amp;A79&amp;""' group by Col3 order by count(Col1) desc"", 0)},2,1)"),"5")</f>
        <v>5</v>
      </c>
    </row>
    <row r="80">
      <c r="A80" s="3" t="str">
        <f>IFERROR(__xludf.DUMMYFUNCTION("""COMPUTED_VALUE"""),"Dereece Pinder")</f>
        <v>Dereece Pinder</v>
      </c>
      <c r="B80" s="2" t="str">
        <f>IFERROR(__xludf.DUMMYFUNCTION("index({query({arrayformula(SUBSTITUTE('OTPI Scores'!C:C,""'"","""")),'OTPI Scores'!D:D,arrayformula(TO_TEXT('OTPI Scores'!E:E))},""select Col3, count(Col1) where Col1 = '""&amp;A80&amp;""' group by Col3 order by count(Col1) desc"", 0)},2,1)"),"5")</f>
        <v>5</v>
      </c>
    </row>
    <row r="81">
      <c r="A81" s="3" t="str">
        <f>IFERROR(__xludf.DUMMYFUNCTION("""COMPUTED_VALUE"""),"Leuman Coronado")</f>
        <v>Leuman Coronado</v>
      </c>
      <c r="B81" s="2" t="str">
        <f>IFERROR(__xludf.DUMMYFUNCTION("index({query({arrayformula(SUBSTITUTE('OTPI Scores'!C:C,""'"","""")),'OTPI Scores'!D:D,arrayformula(TO_TEXT('OTPI Scores'!E:E))},""select Col3, count(Col1) where Col1 = '""&amp;A81&amp;""' group by Col3 order by count(Col1) desc"", 0)},2,1)"),"6")</f>
        <v>6</v>
      </c>
    </row>
    <row r="82">
      <c r="A82" s="3" t="str">
        <f>IFERROR(__xludf.DUMMYFUNCTION("""COMPUTED_VALUE"""),"Fraser Wylie")</f>
        <v>Fraser Wylie</v>
      </c>
      <c r="B82" s="2" t="str">
        <f>IFERROR(__xludf.DUMMYFUNCTION("index({query({arrayformula(SUBSTITUTE('OTPI Scores'!C:C,""'"","""")),'OTPI Scores'!D:D,arrayformula(TO_TEXT('OTPI Scores'!E:E))},""select Col3, count(Col1) where Col1 = '""&amp;A82&amp;""' group by Col3 order by count(Col1) desc"", 0)},2,1)"),"6")</f>
        <v>6</v>
      </c>
    </row>
    <row r="83">
      <c r="A83" s="3" t="str">
        <f>IFERROR(__xludf.DUMMYFUNCTION("""COMPUTED_VALUE"""),"Harry Fripp")</f>
        <v>Harry Fripp</v>
      </c>
      <c r="B83" s="2" t="str">
        <f>IFERROR(__xludf.DUMMYFUNCTION("index({query({arrayformula(SUBSTITUTE('OTPI Scores'!C:C,""'"","""")),'OTPI Scores'!D:D,arrayformula(TO_TEXT('OTPI Scores'!E:E))},""select Col3, count(Col1) where Col1 = '""&amp;A83&amp;""' group by Col3 order by count(Col1) desc"", 0)},2,1)"),"5")</f>
        <v>5</v>
      </c>
    </row>
    <row r="84">
      <c r="A84" s="3" t="str">
        <f>IFERROR(__xludf.DUMMYFUNCTION("""COMPUTED_VALUE"""),"Calum Edwards")</f>
        <v>Calum Edwards</v>
      </c>
      <c r="B84" s="2" t="str">
        <f>IFERROR(__xludf.DUMMYFUNCTION("index({query({arrayformula(SUBSTITUTE('OTPI Scores'!C:C,""'"","""")),'OTPI Scores'!D:D,arrayformula(TO_TEXT('OTPI Scores'!E:E))},""select Col3, count(Col1) where Col1 = '""&amp;A84&amp;""' group by Col3 order by count(Col1) desc"", 0)},2,1)"),"6")</f>
        <v>6</v>
      </c>
    </row>
    <row r="85">
      <c r="A85" s="3" t="str">
        <f>IFERROR(__xludf.DUMMYFUNCTION("""COMPUTED_VALUE"""),"Christian Roach")</f>
        <v>Christian Roach</v>
      </c>
      <c r="B85" s="2" t="str">
        <f>IFERROR(__xludf.DUMMYFUNCTION("index({query({arrayformula(SUBSTITUTE('OTPI Scores'!C:C,""'"","""")),'OTPI Scores'!D:D,arrayformula(TO_TEXT('OTPI Scores'!E:E))},""select Col3, count(Col1) where Col1 = '""&amp;A85&amp;""' group by Col3 order by count(Col1) desc"", 0)},2,1)"),"6")</f>
        <v>6</v>
      </c>
    </row>
    <row r="86">
      <c r="A86" s="3" t="str">
        <f>IFERROR(__xludf.DUMMYFUNCTION("""COMPUTED_VALUE"""),"Josh Billings")</f>
        <v>Josh Billings</v>
      </c>
      <c r="B86" s="2" t="str">
        <f>IFERROR(__xludf.DUMMYFUNCTION("index({query({arrayformula(SUBSTITUTE('OTPI Scores'!C:C,""'"","""")),'OTPI Scores'!D:D,arrayformula(TO_TEXT('OTPI Scores'!E:E))},""select Col3, count(Col1) where Col1 = '""&amp;A86&amp;""' group by Col3 order by count(Col1) desc"", 0)},2,1)"),"5")</f>
        <v>5</v>
      </c>
    </row>
    <row r="87">
      <c r="A87" s="3" t="str">
        <f>IFERROR(__xludf.DUMMYFUNCTION("""COMPUTED_VALUE"""),"Nassim Sandjakeddine")</f>
        <v>Nassim Sandjakeddine</v>
      </c>
      <c r="B87" s="2" t="str">
        <f>IFERROR(__xludf.DUMMYFUNCTION("index({query({arrayformula(SUBSTITUTE('OTPI Scores'!C:C,""'"","""")),'OTPI Scores'!D:D,arrayformula(TO_TEXT('OTPI Scores'!E:E))},""select Col3, count(Col1) where Col1 = '""&amp;A87&amp;""' group by Col3 order by count(Col1) desc"", 0)},2,1)"),"5")</f>
        <v>5</v>
      </c>
    </row>
    <row r="88">
      <c r="A88" s="3" t="str">
        <f>IFERROR(__xludf.DUMMYFUNCTION("""COMPUTED_VALUE"""),"Jason Heath")</f>
        <v>Jason Heath</v>
      </c>
      <c r="B88" s="2" t="str">
        <f>IFERROR(__xludf.DUMMYFUNCTION("index({query({arrayformula(SUBSTITUTE('OTPI Scores'!C:C,""'"","""")),'OTPI Scores'!D:D,arrayformula(TO_TEXT('OTPI Scores'!E:E))},""select Col3, count(Col1) where Col1 = '""&amp;A88&amp;""' group by Col3 order by count(Col1) desc"", 0)},2,1)"),"6")</f>
        <v>6</v>
      </c>
    </row>
    <row r="89">
      <c r="A89" s="3" t="str">
        <f>IFERROR(__xludf.DUMMYFUNCTION("""COMPUTED_VALUE"""),"Ellis Forrester")</f>
        <v>Ellis Forrester</v>
      </c>
      <c r="B89" s="2" t="str">
        <f>IFERROR(__xludf.DUMMYFUNCTION("index({query({arrayformula(SUBSTITUTE('OTPI Scores'!C:C,""'"","""")),'OTPI Scores'!D:D,arrayformula(TO_TEXT('OTPI Scores'!E:E))},""select Col3, count(Col1) where Col1 = '""&amp;A89&amp;""' group by Col3 order by count(Col1) desc"", 0)},2,1)"),"6")</f>
        <v>6</v>
      </c>
    </row>
    <row r="90">
      <c r="A90" s="3" t="str">
        <f>IFERROR(__xludf.DUMMYFUNCTION("""COMPUTED_VALUE"""),"Peter Green")</f>
        <v>Peter Green</v>
      </c>
      <c r="B90" s="2" t="str">
        <f>IFERROR(__xludf.DUMMYFUNCTION("index({query({arrayformula(SUBSTITUTE('OTPI Scores'!C:C,""'"","""")),'OTPI Scores'!D:D,arrayformula(TO_TEXT('OTPI Scores'!E:E))},""select Col3, count(Col1) where Col1 = '""&amp;A90&amp;""' group by Col3 order by count(Col1) desc"", 0)},2,1)"),"6")</f>
        <v>6</v>
      </c>
    </row>
    <row r="91">
      <c r="A91" s="3" t="str">
        <f>IFERROR(__xludf.DUMMYFUNCTION("""COMPUTED_VALUE"""),"Jerome Goncalves")</f>
        <v>Jerome Goncalves</v>
      </c>
      <c r="B91" s="2" t="str">
        <f>IFERROR(__xludf.DUMMYFUNCTION("index({query({arrayformula(SUBSTITUTE('OTPI Scores'!C:C,""'"","""")),'OTPI Scores'!D:D,arrayformula(TO_TEXT('OTPI Scores'!E:E))},""select Col3, count(Col1) where Col1 = '""&amp;A91&amp;""' group by Col3 order by count(Col1) desc"", 0)},2,1)"),"6")</f>
        <v>6</v>
      </c>
    </row>
    <row r="92">
      <c r="A92" s="3" t="str">
        <f>IFERROR(__xludf.DUMMYFUNCTION("""COMPUTED_VALUE"""),"Niall Wootten")</f>
        <v>Niall Wootten</v>
      </c>
      <c r="B92" s="2" t="str">
        <f>IFERROR(__xludf.DUMMYFUNCTION("index({query({arrayformula(SUBSTITUTE('OTPI Scores'!C:C,""'"","""")),'OTPI Scores'!D:D,arrayformula(TO_TEXT('OTPI Scores'!E:E))},""select Col3, count(Col1) where Col1 = '""&amp;A92&amp;""' group by Col3 order by count(Col1) desc"", 0)},2,1)"),"6")</f>
        <v>6</v>
      </c>
    </row>
    <row r="93">
      <c r="A93" s="3" t="str">
        <f>IFERROR(__xludf.DUMMYFUNCTION("""COMPUTED_VALUE"""),"Ciaran Curran")</f>
        <v>Ciaran Curran</v>
      </c>
      <c r="B93" s="2" t="str">
        <f>IFERROR(__xludf.DUMMYFUNCTION("index({query({arrayformula(SUBSTITUTE('OTPI Scores'!C:C,""'"","""")),'OTPI Scores'!D:D,arrayformula(TO_TEXT('OTPI Scores'!E:E))},""select Col3, count(Col1) where Col1 = '""&amp;A93&amp;""' group by Col3 order by count(Col1) desc"", 0)},2,1)"),"5")</f>
        <v>5</v>
      </c>
    </row>
    <row r="94">
      <c r="A94" s="3" t="str">
        <f>IFERROR(__xludf.DUMMYFUNCTION("""COMPUTED_VALUE"""),"John Harrison")</f>
        <v>John Harrison</v>
      </c>
      <c r="B94" s="2" t="str">
        <f>IFERROR(__xludf.DUMMYFUNCTION("index({query({arrayformula(SUBSTITUTE('OTPI Scores'!C:C,""'"","""")),'OTPI Scores'!D:D,arrayformula(TO_TEXT('OTPI Scores'!E:E))},""select Col3, count(Col1) where Col1 = '""&amp;A94&amp;""' group by Col3 order by count(Col1) desc"", 0)},2,1)"),"1")</f>
        <v>1</v>
      </c>
    </row>
    <row r="95">
      <c r="A95" s="3" t="str">
        <f>IFERROR(__xludf.DUMMYFUNCTION("""COMPUTED_VALUE"""),"Paul Ball")</f>
        <v>Paul Ball</v>
      </c>
      <c r="B95" s="2" t="str">
        <f>IFERROR(__xludf.DUMMYFUNCTION("index({query({arrayformula(SUBSTITUTE('OTPI Scores'!C:C,""'"","""")),'OTPI Scores'!D:D,arrayformula(TO_TEXT('OTPI Scores'!E:E))},""select Col3, count(Col1) where Col1 = '""&amp;A95&amp;""' group by Col3 order by count(Col1) desc"", 0)},2,1)"),"2")</f>
        <v>2</v>
      </c>
    </row>
    <row r="96">
      <c r="A96" s="3" t="str">
        <f>IFERROR(__xludf.DUMMYFUNCTION("""COMPUTED_VALUE"""),"Connor White")</f>
        <v>Connor White</v>
      </c>
      <c r="B96" s="2" t="str">
        <f>IFERROR(__xludf.DUMMYFUNCTION("index({query({arrayformula(SUBSTITUTE('OTPI Scores'!C:C,""'"","""")),'OTPI Scores'!D:D,arrayformula(TO_TEXT('OTPI Scores'!E:E))},""select Col3, count(Col1) where Col1 = '""&amp;A96&amp;""' group by Col3 order by count(Col1) desc"", 0)},2,1)"),"2")</f>
        <v>2</v>
      </c>
    </row>
    <row r="97">
      <c r="A97" s="3" t="str">
        <f>IFERROR(__xludf.DUMMYFUNCTION("""COMPUTED_VALUE"""),"Billy Mclean")</f>
        <v>Billy Mclean</v>
      </c>
      <c r="B97" s="2" t="str">
        <f>IFERROR(__xludf.DUMMYFUNCTION("index({query({arrayformula(SUBSTITUTE('OTPI Scores'!C:C,""'"","""")),'OTPI Scores'!D:D,arrayformula(TO_TEXT('OTPI Scores'!E:E))},""select Col3, count(Col1) where Col1 = '""&amp;A97&amp;""' group by Col3 order by count(Col1) desc"", 0)},2,1)"),"1")</f>
        <v>1</v>
      </c>
    </row>
    <row r="98">
      <c r="A98" s="3" t="str">
        <f>IFERROR(__xludf.DUMMYFUNCTION("""COMPUTED_VALUE"""),"Jonny Simmons")</f>
        <v>Jonny Simmons</v>
      </c>
      <c r="B98" s="2" t="str">
        <f>IFERROR(__xludf.DUMMYFUNCTION("index({query({arrayformula(SUBSTITUTE('OTPI Scores'!C:C,""'"","""")),'OTPI Scores'!D:D,arrayformula(TO_TEXT('OTPI Scores'!E:E))},""select Col3, count(Col1) where Col1 = '""&amp;A98&amp;""' group by Col3 order by count(Col1) desc"", 0)},2,1)"),"2")</f>
        <v>2</v>
      </c>
    </row>
    <row r="99">
      <c r="A99" s="3" t="str">
        <f>IFERROR(__xludf.DUMMYFUNCTION("""COMPUTED_VALUE"""),"Tom Riley")</f>
        <v>Tom Riley</v>
      </c>
      <c r="B99" s="2" t="str">
        <f>IFERROR(__xludf.DUMMYFUNCTION("index({query({arrayformula(SUBSTITUTE('OTPI Scores'!C:C,""'"","""")),'OTPI Scores'!D:D,arrayformula(TO_TEXT('OTPI Scores'!E:E))},""select Col3, count(Col1) where Col1 = '""&amp;A99&amp;""' group by Col3 order by count(Col1) desc"", 0)},2,1)"),"2")</f>
        <v>2</v>
      </c>
    </row>
    <row r="100">
      <c r="A100" s="3" t="str">
        <f>IFERROR(__xludf.DUMMYFUNCTION("""COMPUTED_VALUE"""),"Deji Ogunyemi")</f>
        <v>Deji Ogunyemi</v>
      </c>
      <c r="B100" s="2" t="str">
        <f>IFERROR(__xludf.DUMMYFUNCTION("index({query({arrayformula(SUBSTITUTE('OTPI Scores'!C:C,""'"","""")),'OTPI Scores'!D:D,arrayformula(TO_TEXT('OTPI Scores'!E:E))},""select Col3, count(Col1) where Col1 = '""&amp;A100&amp;""' group by Col3 order by count(Col1) desc"", 0)},2,1)"),"Vets")</f>
        <v>Vets</v>
      </c>
    </row>
    <row r="101">
      <c r="A101" s="3" t="str">
        <f>IFERROR(__xludf.DUMMYFUNCTION("""COMPUTED_VALUE"""),"Alex Dockerill")</f>
        <v>Alex Dockerill</v>
      </c>
      <c r="B101" s="2" t="str">
        <f>IFERROR(__xludf.DUMMYFUNCTION("index({query({arrayformula(SUBSTITUTE('OTPI Scores'!C:C,""'"","""")),'OTPI Scores'!D:D,arrayformula(TO_TEXT('OTPI Scores'!E:E))},""select Col3, count(Col1) where Col1 = '""&amp;A101&amp;""' group by Col3 order by count(Col1) desc"", 0)},2,1)"),"2")</f>
        <v>2</v>
      </c>
    </row>
    <row r="102">
      <c r="A102" s="3" t="str">
        <f>IFERROR(__xludf.DUMMYFUNCTION("""COMPUTED_VALUE"""),"Jordan Davis")</f>
        <v>Jordan Davis</v>
      </c>
      <c r="B102" s="2" t="str">
        <f>IFERROR(__xludf.DUMMYFUNCTION("index({query({arrayformula(SUBSTITUTE('OTPI Scores'!C:C,""'"","""")),'OTPI Scores'!D:D,arrayformula(TO_TEXT('OTPI Scores'!E:E))},""select Col3, count(Col1) where Col1 = '""&amp;A102&amp;""' group by Col3 order by count(Col1) desc"", 0)},2,1)"),"2")</f>
        <v>2</v>
      </c>
    </row>
    <row r="103">
      <c r="A103" s="3" t="str">
        <f>IFERROR(__xludf.DUMMYFUNCTION("""COMPUTED_VALUE"""),"Keaton Cohen")</f>
        <v>Keaton Cohen</v>
      </c>
      <c r="B103" s="2" t="str">
        <f>IFERROR(__xludf.DUMMYFUNCTION("index({query({arrayformula(SUBSTITUTE('OTPI Scores'!C:C,""'"","""")),'OTPI Scores'!D:D,arrayformula(TO_TEXT('OTPI Scores'!E:E))},""select Col3, count(Col1) where Col1 = '""&amp;A103&amp;""' group by Col3 order by count(Col1) desc"", 0)},2,1)"),"1")</f>
        <v>1</v>
      </c>
    </row>
    <row r="104">
      <c r="A104" s="3" t="str">
        <f>IFERROR(__xludf.DUMMYFUNCTION("""COMPUTED_VALUE"""),"Josh Sherriff-Jolly")</f>
        <v>Josh Sherriff-Jolly</v>
      </c>
      <c r="B104" s="2" t="str">
        <f>IFERROR(__xludf.DUMMYFUNCTION("index({query({arrayformula(SUBSTITUTE('OTPI Scores'!C:C,""'"","""")),'OTPI Scores'!D:D,arrayformula(TO_TEXT('OTPI Scores'!E:E))},""select Col3, count(Col1) where Col1 = '""&amp;A104&amp;""' group by Col3 order by count(Col1) desc"", 0)},2,1)"),"1")</f>
        <v>1</v>
      </c>
    </row>
    <row r="105">
      <c r="A105" s="3" t="str">
        <f>IFERROR(__xludf.DUMMYFUNCTION("""COMPUTED_VALUE"""),"Jarvis Cheek")</f>
        <v>Jarvis Cheek</v>
      </c>
      <c r="B105" s="2" t="str">
        <f>IFERROR(__xludf.DUMMYFUNCTION("index({query({arrayformula(SUBSTITUTE('OTPI Scores'!C:C,""'"","""")),'OTPI Scores'!D:D,arrayformula(TO_TEXT('OTPI Scores'!E:E))},""select Col3, count(Col1) where Col1 = '""&amp;A105&amp;""' group by Col3 order by count(Col1) desc"", 0)},2,1)"),"1")</f>
        <v>1</v>
      </c>
    </row>
    <row r="106">
      <c r="A106" s="3" t="str">
        <f>IFERROR(__xludf.DUMMYFUNCTION("""COMPUTED_VALUE"""),"Reiss Hutton")</f>
        <v>Reiss Hutton</v>
      </c>
      <c r="B106" s="2" t="str">
        <f>IFERROR(__xludf.DUMMYFUNCTION("index({query({arrayformula(SUBSTITUTE('OTPI Scores'!C:C,""'"","""")),'OTPI Scores'!D:D,arrayformula(TO_TEXT('OTPI Scores'!E:E))},""select Col3, count(Col1) where Col1 = '""&amp;A106&amp;""' group by Col3 order by count(Col1) desc"", 0)},2,1)"),"1")</f>
        <v>1</v>
      </c>
    </row>
    <row r="107">
      <c r="A107" s="3" t="str">
        <f>IFERROR(__xludf.DUMMYFUNCTION("""COMPUTED_VALUE"""),"Max Watson")</f>
        <v>Max Watson</v>
      </c>
      <c r="B107" s="2" t="str">
        <f>IFERROR(__xludf.DUMMYFUNCTION("index({query({arrayformula(SUBSTITUTE('OTPI Scores'!C:C,""'"","""")),'OTPI Scores'!D:D,arrayformula(TO_TEXT('OTPI Scores'!E:E))},""select Col3, count(Col1) where Col1 = '""&amp;A107&amp;""' group by Col3 order by count(Col1) desc"", 0)},2,1)"),"2")</f>
        <v>2</v>
      </c>
    </row>
    <row r="108">
      <c r="A108" s="3" t="str">
        <f>IFERROR(__xludf.DUMMYFUNCTION("""COMPUTED_VALUE"""),"Oliver Golzari")</f>
        <v>Oliver Golzari</v>
      </c>
      <c r="B108" s="2" t="str">
        <f>IFERROR(__xludf.DUMMYFUNCTION("index({query({arrayformula(SUBSTITUTE('OTPI Scores'!C:C,""'"","""")),'OTPI Scores'!D:D,arrayformula(TO_TEXT('OTPI Scores'!E:E))},""select Col3, count(Col1) where Col1 = '""&amp;A108&amp;""' group by Col3 order by count(Col1) desc"", 0)},2,1)"),"2")</f>
        <v>2</v>
      </c>
    </row>
    <row r="109">
      <c r="A109" s="3" t="str">
        <f>IFERROR(__xludf.DUMMYFUNCTION("""COMPUTED_VALUE"""),"Alex Clark")</f>
        <v>Alex Clark</v>
      </c>
      <c r="B109" s="2" t="str">
        <f>IFERROR(__xludf.DUMMYFUNCTION("index({query({arrayformula(SUBSTITUTE('OTPI Scores'!C:C,""'"","""")),'OTPI Scores'!D:D,arrayformula(TO_TEXT('OTPI Scores'!E:E))},""select Col3, count(Col1) where Col1 = '""&amp;A109&amp;""' group by Col3 order by count(Col1) desc"", 0)},2,1)"),"2")</f>
        <v>2</v>
      </c>
    </row>
    <row r="110">
      <c r="A110" s="3" t="str">
        <f>IFERROR(__xludf.DUMMYFUNCTION("""COMPUTED_VALUE"""),"Ewan Porteous")</f>
        <v>Ewan Porteous</v>
      </c>
      <c r="B110" s="2" t="str">
        <f>IFERROR(__xludf.DUMMYFUNCTION("index({query({arrayformula(SUBSTITUTE('OTPI Scores'!C:C,""'"","""")),'OTPI Scores'!D:D,arrayformula(TO_TEXT('OTPI Scores'!E:E))},""select Col3, count(Col1) where Col1 = '""&amp;A110&amp;""' group by Col3 order by count(Col1) desc"", 0)},2,1)"),"2")</f>
        <v>2</v>
      </c>
    </row>
    <row r="111">
      <c r="A111" s="3" t="str">
        <f>IFERROR(__xludf.DUMMYFUNCTION("""COMPUTED_VALUE"""),"Joey Wackrill")</f>
        <v>Joey Wackrill</v>
      </c>
      <c r="B111" s="2" t="str">
        <f>IFERROR(__xludf.DUMMYFUNCTION("index({query({arrayformula(SUBSTITUTE('OTPI Scores'!C:C,""'"","""")),'OTPI Scores'!D:D,arrayformula(TO_TEXT('OTPI Scores'!E:E))},""select Col3, count(Col1) where Col1 = '""&amp;A111&amp;""' group by Col3 order by count(Col1) desc"", 0)},2,1)"),"2")</f>
        <v>2</v>
      </c>
    </row>
    <row r="112">
      <c r="A112" s="3" t="str">
        <f>IFERROR(__xludf.DUMMYFUNCTION("""COMPUTED_VALUE"""),"Alex Mansfield")</f>
        <v>Alex Mansfield</v>
      </c>
      <c r="B112" s="2" t="str">
        <f>IFERROR(__xludf.DUMMYFUNCTION("index({query({arrayformula(SUBSTITUTE('OTPI Scores'!C:C,""'"","""")),'OTPI Scores'!D:D,arrayformula(TO_TEXT('OTPI Scores'!E:E))},""select Col3, count(Col1) where Col1 = '""&amp;A112&amp;""' group by Col3 order by count(Col1) desc"", 0)},2,1)"),"3")</f>
        <v>3</v>
      </c>
    </row>
    <row r="113">
      <c r="A113" s="3" t="str">
        <f>IFERROR(__xludf.DUMMYFUNCTION("""COMPUTED_VALUE"""),"Sean Woodhouse")</f>
        <v>Sean Woodhouse</v>
      </c>
      <c r="B113" s="2" t="str">
        <f>IFERROR(__xludf.DUMMYFUNCTION("index({query({arrayformula(SUBSTITUTE('OTPI Scores'!C:C,""'"","""")),'OTPI Scores'!D:D,arrayformula(TO_TEXT('OTPI Scores'!E:E))},""select Col3, count(Col1) where Col1 = '""&amp;A113&amp;""' group by Col3 order by count(Col1) desc"", 0)},2,1)"),"3")</f>
        <v>3</v>
      </c>
    </row>
    <row r="114">
      <c r="A114" s="3" t="str">
        <f>IFERROR(__xludf.DUMMYFUNCTION("""COMPUTED_VALUE"""),"Leigh Cremin")</f>
        <v>Leigh Cremin</v>
      </c>
      <c r="B114" s="2" t="str">
        <f>IFERROR(__xludf.DUMMYFUNCTION("index({query({arrayformula(SUBSTITUTE('OTPI Scores'!C:C,""'"","""")),'OTPI Scores'!D:D,arrayformula(TO_TEXT('OTPI Scores'!E:E))},""select Col3, count(Col1) where Col1 = '""&amp;A114&amp;""' group by Col3 order by count(Col1) desc"", 0)},2,1)"),"6")</f>
        <v>6</v>
      </c>
    </row>
    <row r="115">
      <c r="A115" s="3" t="str">
        <f>IFERROR(__xludf.DUMMYFUNCTION("""COMPUTED_VALUE"""),"Landry Naubo")</f>
        <v>Landry Naubo</v>
      </c>
      <c r="B115" s="2" t="str">
        <f>IFERROR(__xludf.DUMMYFUNCTION("index({query({arrayformula(SUBSTITUTE('OTPI Scores'!C:C,""'"","""")),'OTPI Scores'!D:D,arrayformula(TO_TEXT('OTPI Scores'!E:E))},""select Col3, count(Col1) where Col1 = '""&amp;A115&amp;""' group by Col3 order by count(Col1) desc"", 0)},2,1)"),"5")</f>
        <v>5</v>
      </c>
    </row>
    <row r="116">
      <c r="A116" s="3" t="str">
        <f>IFERROR(__xludf.DUMMYFUNCTION("""COMPUTED_VALUE"""),"Jay Mair")</f>
        <v>Jay Mair</v>
      </c>
      <c r="B116" s="2" t="str">
        <f>IFERROR(__xludf.DUMMYFUNCTION("index({query({arrayformula(SUBSTITUTE('OTPI Scores'!C:C,""'"","""")),'OTPI Scores'!D:D,arrayformula(TO_TEXT('OTPI Scores'!E:E))},""select Col3, count(Col1) where Col1 = '""&amp;A116&amp;""' group by Col3 order by count(Col1) desc"", 0)},2,1)"),"6")</f>
        <v>6</v>
      </c>
    </row>
    <row r="117">
      <c r="A117" s="3" t="str">
        <f>IFERROR(__xludf.DUMMYFUNCTION("""COMPUTED_VALUE"""),"Kian Leslie-Bigby")</f>
        <v>Kian Leslie-Bigby</v>
      </c>
      <c r="B117" s="2" t="str">
        <f>IFERROR(__xludf.DUMMYFUNCTION("index({query({arrayformula(SUBSTITUTE('OTPI Scores'!C:C,""'"","""")),'OTPI Scores'!D:D,arrayformula(TO_TEXT('OTPI Scores'!E:E))},""select Col3, count(Col1) where Col1 = '""&amp;A117&amp;""' group by Col3 order by count(Col1) desc"", 0)},2,1)"),"5")</f>
        <v>5</v>
      </c>
    </row>
    <row r="118">
      <c r="A118" s="3" t="str">
        <f>IFERROR(__xludf.DUMMYFUNCTION("""COMPUTED_VALUE"""),"Raj Ramful")</f>
        <v>Raj Ramful</v>
      </c>
      <c r="B118" s="2" t="str">
        <f>IFERROR(__xludf.DUMMYFUNCTION("index({query({arrayformula(SUBSTITUTE('OTPI Scores'!C:C,""'"","""")),'OTPI Scores'!D:D,arrayformula(TO_TEXT('OTPI Scores'!E:E))},""select Col3, count(Col1) where Col1 = '""&amp;A118&amp;""' group by Col3 order by count(Col1) desc"", 0)},2,1)"),"6")</f>
        <v>6</v>
      </c>
    </row>
    <row r="119">
      <c r="A119" s="3" t="str">
        <f>IFERROR(__xludf.DUMMYFUNCTION("""COMPUTED_VALUE"""),"James Timmins")</f>
        <v>James Timmins</v>
      </c>
      <c r="B119" s="2" t="str">
        <f>IFERROR(__xludf.DUMMYFUNCTION("index({query({arrayformula(SUBSTITUTE('OTPI Scores'!C:C,""'"","""")),'OTPI Scores'!D:D,arrayformula(TO_TEXT('OTPI Scores'!E:E))},""select Col3, count(Col1) where Col1 = '""&amp;A119&amp;""' group by Col3 order by count(Col1) desc"", 0)},2,1)"),"6")</f>
        <v>6</v>
      </c>
    </row>
    <row r="120">
      <c r="A120" s="3" t="str">
        <f>IFERROR(__xludf.DUMMYFUNCTION("""COMPUTED_VALUE"""),"Steve Francis")</f>
        <v>Steve Francis</v>
      </c>
      <c r="B120" s="2" t="str">
        <f>IFERROR(__xludf.DUMMYFUNCTION("index({query({arrayformula(SUBSTITUTE('OTPI Scores'!C:C,""'"","""")),'OTPI Scores'!D:D,arrayformula(TO_TEXT('OTPI Scores'!E:E))},""select Col3, count(Col1) where Col1 = '""&amp;A120&amp;""' group by Col3 order by count(Col1) desc"", 0)},2,1)"),"Vets")</f>
        <v>Vets</v>
      </c>
    </row>
    <row r="121">
      <c r="A121" s="3" t="str">
        <f>IFERROR(__xludf.DUMMYFUNCTION("""COMPUTED_VALUE"""),"Liam Gover")</f>
        <v>Liam Gover</v>
      </c>
      <c r="B121" s="2" t="str">
        <f>IFERROR(__xludf.DUMMYFUNCTION("index({query({arrayformula(SUBSTITUTE('OTPI Scores'!C:C,""'"","""")),'OTPI Scores'!D:D,arrayformula(TO_TEXT('OTPI Scores'!E:E))},""select Col3, count(Col1) where Col1 = '""&amp;A121&amp;""' group by Col3 order by count(Col1) desc"", 0)},2,1)"),"Vets")</f>
        <v>Vets</v>
      </c>
    </row>
    <row r="122">
      <c r="A122" s="3" t="str">
        <f>IFERROR(__xludf.DUMMYFUNCTION("""COMPUTED_VALUE"""),"Chris Marx")</f>
        <v>Chris Marx</v>
      </c>
      <c r="B122" s="2" t="str">
        <f>IFERROR(__xludf.DUMMYFUNCTION("index({query({arrayformula(SUBSTITUTE('OTPI Scores'!C:C,""'"","""")),'OTPI Scores'!D:D,arrayformula(TO_TEXT('OTPI Scores'!E:E))},""select Col3, count(Col1) where Col1 = '""&amp;A122&amp;""' group by Col3 order by count(Col1) desc"", 0)},2,1)"),"Vets")</f>
        <v>Vets</v>
      </c>
    </row>
    <row r="123">
      <c r="A123" s="3" t="str">
        <f>IFERROR(__xludf.DUMMYFUNCTION("""COMPUTED_VALUE"""),"Paul Jalil")</f>
        <v>Paul Jalil</v>
      </c>
      <c r="B123" s="2" t="str">
        <f>IFERROR(__xludf.DUMMYFUNCTION("index({query({arrayformula(SUBSTITUTE('OTPI Scores'!C:C,""'"","""")),'OTPI Scores'!D:D,arrayformula(TO_TEXT('OTPI Scores'!E:E))},""select Col3, count(Col1) where Col1 = '""&amp;A123&amp;""' group by Col3 order by count(Col1) desc"", 0)},2,1)"),"Vets")</f>
        <v>Vets</v>
      </c>
    </row>
    <row r="124">
      <c r="A124" s="3" t="str">
        <f>IFERROR(__xludf.DUMMYFUNCTION("""COMPUTED_VALUE"""),"Jamie Arkell")</f>
        <v>Jamie Arkell</v>
      </c>
      <c r="B124" s="2" t="str">
        <f>IFERROR(__xludf.DUMMYFUNCTION("index({query({arrayformula(SUBSTITUTE('OTPI Scores'!C:C,""'"","""")),'OTPI Scores'!D:D,arrayformula(TO_TEXT('OTPI Scores'!E:E))},""select Col3, count(Col1) where Col1 = '""&amp;A124&amp;""' group by Col3 order by count(Col1) desc"", 0)},2,1)"),"Vets")</f>
        <v>Vets</v>
      </c>
    </row>
    <row r="125">
      <c r="A125" s="3" t="str">
        <f>IFERROR(__xludf.DUMMYFUNCTION("""COMPUTED_VALUE"""),"Chris Lang")</f>
        <v>Chris Lang</v>
      </c>
      <c r="B125" s="2" t="str">
        <f>IFERROR(__xludf.DUMMYFUNCTION("index({query({arrayformula(SUBSTITUTE('OTPI Scores'!C:C,""'"","""")),'OTPI Scores'!D:D,arrayformula(TO_TEXT('OTPI Scores'!E:E))},""select Col3, count(Col1) where Col1 = '""&amp;A125&amp;""' group by Col3 order by count(Col1) desc"", 0)},2,1)"),"Vets")</f>
        <v>Vets</v>
      </c>
    </row>
    <row r="126">
      <c r="A126" s="3" t="str">
        <f>IFERROR(__xludf.DUMMYFUNCTION("""COMPUTED_VALUE"""),"Si Thomas")</f>
        <v>Si Thomas</v>
      </c>
      <c r="B126" s="2" t="str">
        <f>IFERROR(__xludf.DUMMYFUNCTION("index({query({arrayformula(SUBSTITUTE('OTPI Scores'!C:C,""'"","""")),'OTPI Scores'!D:D,arrayformula(TO_TEXT('OTPI Scores'!E:E))},""select Col3, count(Col1) where Col1 = '""&amp;A126&amp;""' group by Col3 order by count(Col1) desc"", 0)},2,1)"),"Vets")</f>
        <v>Vets</v>
      </c>
    </row>
    <row r="127">
      <c r="A127" s="3" t="str">
        <f>IFERROR(__xludf.DUMMYFUNCTION("""COMPUTED_VALUE"""),"Chris Boden")</f>
        <v>Chris Boden</v>
      </c>
      <c r="B127" s="2" t="str">
        <f>IFERROR(__xludf.DUMMYFUNCTION("index({query({arrayformula(SUBSTITUTE('OTPI Scores'!C:C,""'"","""")),'OTPI Scores'!D:D,arrayformula(TO_TEXT('OTPI Scores'!E:E))},""select Col3, count(Col1) where Col1 = '""&amp;A127&amp;""' group by Col3 order by count(Col1) desc"", 0)},2,1)"),"Vets")</f>
        <v>Vets</v>
      </c>
    </row>
    <row r="128">
      <c r="A128" s="3" t="str">
        <f>IFERROR(__xludf.DUMMYFUNCTION("""COMPUTED_VALUE"""),"Dave Webster")</f>
        <v>Dave Webster</v>
      </c>
      <c r="B128" s="2" t="str">
        <f>IFERROR(__xludf.DUMMYFUNCTION("index({query({arrayformula(SUBSTITUTE('OTPI Scores'!C:C,""'"","""")),'OTPI Scores'!D:D,arrayformula(TO_TEXT('OTPI Scores'!E:E))},""select Col3, count(Col1) where Col1 = '""&amp;A128&amp;""' group by Col3 order by count(Col1) desc"", 0)},2,1)"),"Vets")</f>
        <v>Vets</v>
      </c>
    </row>
    <row r="129">
      <c r="A129" s="3" t="str">
        <f>IFERROR(__xludf.DUMMYFUNCTION("""COMPUTED_VALUE"""),"Yemi Oviosu")</f>
        <v>Yemi Oviosu</v>
      </c>
      <c r="B129" s="2" t="str">
        <f>IFERROR(__xludf.DUMMYFUNCTION("index({query({arrayformula(SUBSTITUTE('OTPI Scores'!C:C,""'"","""")),'OTPI Scores'!D:D,arrayformula(TO_TEXT('OTPI Scores'!E:E))},""select Col3, count(Col1) where Col1 = '""&amp;A129&amp;""' group by Col3 order by count(Col1) desc"", 0)},2,1)"),"1")</f>
        <v>1</v>
      </c>
    </row>
    <row r="130">
      <c r="A130" s="3" t="str">
        <f>IFERROR(__xludf.DUMMYFUNCTION("""COMPUTED_VALUE"""),"Ben Roberts")</f>
        <v>Ben Roberts</v>
      </c>
      <c r="B130" s="2" t="str">
        <f>IFERROR(__xludf.DUMMYFUNCTION("index({query({arrayformula(SUBSTITUTE('OTPI Scores'!C:C,""'"","""")),'OTPI Scores'!D:D,arrayformula(TO_TEXT('OTPI Scores'!E:E))},""select Col3, count(Col1) where Col1 = '""&amp;A130&amp;""' group by Col3 order by count(Col1) desc"", 0)},2,1)"),"3")</f>
        <v>3</v>
      </c>
    </row>
    <row r="131">
      <c r="A131" s="3" t="str">
        <f>IFERROR(__xludf.DUMMYFUNCTION("""COMPUTED_VALUE"""),"Lee Clark")</f>
        <v>Lee Clark</v>
      </c>
      <c r="B131" s="2" t="str">
        <f>IFERROR(__xludf.DUMMYFUNCTION("index({query({arrayformula(SUBSTITUTE('OTPI Scores'!C:C,""'"","""")),'OTPI Scores'!D:D,arrayformula(TO_TEXT('OTPI Scores'!E:E))},""select Col3, count(Col1) where Col1 = '""&amp;A131&amp;""' group by Col3 order by count(Col1) desc"", 0)},2,1)"),"5")</f>
        <v>5</v>
      </c>
    </row>
    <row r="132">
      <c r="A132" s="3" t="str">
        <f>IFERROR(__xludf.DUMMYFUNCTION("""COMPUTED_VALUE"""),"Calum Bennett")</f>
        <v>Calum Bennett</v>
      </c>
      <c r="B132" s="2" t="str">
        <f>IFERROR(__xludf.DUMMYFUNCTION("index({query({arrayformula(SUBSTITUTE('OTPI Scores'!C:C,""'"","""")),'OTPI Scores'!D:D,arrayformula(TO_TEXT('OTPI Scores'!E:E))},""select Col3, count(Col1) where Col1 = '""&amp;A132&amp;""' group by Col3 order by count(Col1) desc"", 0)},2,1)"),"5")</f>
        <v>5</v>
      </c>
    </row>
    <row r="133">
      <c r="A133" s="3" t="str">
        <f>IFERROR(__xludf.DUMMYFUNCTION("""COMPUTED_VALUE"""),"Joseph Smith")</f>
        <v>Joseph Smith</v>
      </c>
      <c r="B133" s="2" t="str">
        <f>IFERROR(__xludf.DUMMYFUNCTION("index({query({arrayformula(SUBSTITUTE('OTPI Scores'!C:C,""'"","""")),'OTPI Scores'!D:D,arrayformula(TO_TEXT('OTPI Scores'!E:E))},""select Col3, count(Col1) where Col1 = '""&amp;A133&amp;""' group by Col3 order by count(Col1) desc"", 0)},2,1)"),"4")</f>
        <v>4</v>
      </c>
    </row>
    <row r="134">
      <c r="A134" s="3" t="str">
        <f>IFERROR(__xludf.DUMMYFUNCTION("""COMPUTED_VALUE"""),"Lewis Young")</f>
        <v>Lewis Young</v>
      </c>
      <c r="B134" s="2" t="str">
        <f>IFERROR(__xludf.DUMMYFUNCTION("index({query({arrayformula(SUBSTITUTE('OTPI Scores'!C:C,""'"","""")),'OTPI Scores'!D:D,arrayformula(TO_TEXT('OTPI Scores'!E:E))},""select Col3, count(Col1) where Col1 = '""&amp;A134&amp;""' group by Col3 order by count(Col1) desc"", 0)},2,1)"),"6")</f>
        <v>6</v>
      </c>
    </row>
    <row r="135">
      <c r="A135" s="3" t="str">
        <f>IFERROR(__xludf.DUMMYFUNCTION("""COMPUTED_VALUE"""),"Jose Cortez")</f>
        <v>Jose Cortez</v>
      </c>
      <c r="B135" s="2" t="str">
        <f>IFERROR(__xludf.DUMMYFUNCTION("index({query({arrayformula(SUBSTITUTE('OTPI Scores'!C:C,""'"","""")),'OTPI Scores'!D:D,arrayformula(TO_TEXT('OTPI Scores'!E:E))},""select Col3, count(Col1) where Col1 = '""&amp;A135&amp;""' group by Col3 order by count(Col1) desc"", 0)},2,1)"),"6")</f>
        <v>6</v>
      </c>
    </row>
    <row r="136">
      <c r="A136" s="3" t="str">
        <f>IFERROR(__xludf.DUMMYFUNCTION("""COMPUTED_VALUE"""),"Tim Ward")</f>
        <v>Tim Ward</v>
      </c>
      <c r="B136" s="2" t="str">
        <f>IFERROR(__xludf.DUMMYFUNCTION("index({query({arrayformula(SUBSTITUTE('OTPI Scores'!C:C,""'"","""")),'OTPI Scores'!D:D,arrayformula(TO_TEXT('OTPI Scores'!E:E))},""select Col3, count(Col1) where Col1 = '""&amp;A136&amp;""' group by Col3 order by count(Col1) desc"", 0)},2,1)"),"6")</f>
        <v>6</v>
      </c>
    </row>
    <row r="137">
      <c r="A137" s="3" t="str">
        <f>IFERROR(__xludf.DUMMYFUNCTION("""COMPUTED_VALUE"""),"Aaron Snelling")</f>
        <v>Aaron Snelling</v>
      </c>
      <c r="B137" s="2" t="str">
        <f>IFERROR(__xludf.DUMMYFUNCTION("index({query({arrayformula(SUBSTITUTE('OTPI Scores'!C:C,""'"","""")),'OTPI Scores'!D:D,arrayformula(TO_TEXT('OTPI Scores'!E:E))},""select Col3, count(Col1) where Col1 = '""&amp;A137&amp;""' group by Col3 order by count(Col1) desc"", 0)},2,1)"),"1")</f>
        <v>1</v>
      </c>
    </row>
    <row r="138">
      <c r="A138" s="3" t="str">
        <f>IFERROR(__xludf.DUMMYFUNCTION("""COMPUTED_VALUE"""),"Adam Platten")</f>
        <v>Adam Platten</v>
      </c>
      <c r="B138" s="2" t="str">
        <f>IFERROR(__xludf.DUMMYFUNCTION("index({query({arrayformula(SUBSTITUTE('OTPI Scores'!C:C,""'"","""")),'OTPI Scores'!D:D,arrayformula(TO_TEXT('OTPI Scores'!E:E))},""select Col3, count(Col1) where Col1 = '""&amp;A138&amp;""' group by Col3 order by count(Col1) desc"", 0)},2,1)"),"1")</f>
        <v>1</v>
      </c>
    </row>
    <row r="139">
      <c r="A139" s="3" t="str">
        <f>IFERROR(__xludf.DUMMYFUNCTION("""COMPUTED_VALUE"""),"Sam Bowen")</f>
        <v>Sam Bowen</v>
      </c>
      <c r="B139" s="2" t="str">
        <f>IFERROR(__xludf.DUMMYFUNCTION("index({query({arrayformula(SUBSTITUTE('OTPI Scores'!C:C,""'"","""")),'OTPI Scores'!D:D,arrayformula(TO_TEXT('OTPI Scores'!E:E))},""select Col3, count(Col1) where Col1 = '""&amp;A139&amp;""' group by Col3 order by count(Col1) desc"", 0)},2,1)"),"5")</f>
        <v>5</v>
      </c>
    </row>
    <row r="140">
      <c r="A140" s="3" t="str">
        <f>IFERROR(__xludf.DUMMYFUNCTION("""COMPUTED_VALUE"""),"Jack Butcher")</f>
        <v>Jack Butcher</v>
      </c>
      <c r="B140" s="2" t="str">
        <f>IFERROR(__xludf.DUMMYFUNCTION("index({query({arrayformula(SUBSTITUTE('OTPI Scores'!C:C,""'"","""")),'OTPI Scores'!D:D,arrayformula(TO_TEXT('OTPI Scores'!E:E))},""select Col3, count(Col1) where Col1 = '""&amp;A140&amp;""' group by Col3 order by count(Col1) desc"", 0)},2,1)"),"Vets")</f>
        <v>Vets</v>
      </c>
    </row>
    <row r="141">
      <c r="A141" s="3" t="str">
        <f>IFERROR(__xludf.DUMMYFUNCTION("""COMPUTED_VALUE"""),"George Havord")</f>
        <v>George Havord</v>
      </c>
      <c r="B141" s="2" t="str">
        <f>IFERROR(__xludf.DUMMYFUNCTION("index({query({arrayformula(SUBSTITUTE('OTPI Scores'!C:C,""'"","""")),'OTPI Scores'!D:D,arrayformula(TO_TEXT('OTPI Scores'!E:E))},""select Col3, count(Col1) where Col1 = '""&amp;A141&amp;""' group by Col3 order by count(Col1) desc"", 0)},2,1)"),"4")</f>
        <v>4</v>
      </c>
    </row>
    <row r="142">
      <c r="A142" s="3" t="str">
        <f>IFERROR(__xludf.DUMMYFUNCTION("""COMPUTED_VALUE"""),"Joe France")</f>
        <v>Joe France</v>
      </c>
      <c r="B142" s="2" t="str">
        <f>IFERROR(__xludf.DUMMYFUNCTION("index({query({arrayformula(SUBSTITUTE('OTPI Scores'!C:C,""'"","""")),'OTPI Scores'!D:D,arrayformula(TO_TEXT('OTPI Scores'!E:E))},""select Col3, count(Col1) where Col1 = '""&amp;A142&amp;""' group by Col3 order by count(Col1) desc"", 0)},2,1)"),"4")</f>
        <v>4</v>
      </c>
    </row>
    <row r="143">
      <c r="A143" s="3" t="str">
        <f>IFERROR(__xludf.DUMMYFUNCTION("""COMPUTED_VALUE"""),"Andres Ahlgren")</f>
        <v>Andres Ahlgren</v>
      </c>
      <c r="B143" s="2" t="str">
        <f>IFERROR(__xludf.DUMMYFUNCTION("index({query({arrayformula(SUBSTITUTE('OTPI Scores'!C:C,""'"","""")),'OTPI Scores'!D:D,arrayformula(TO_TEXT('OTPI Scores'!E:E))},""select Col3, count(Col1) where Col1 = '""&amp;A143&amp;""' group by Col3 order by count(Col1) desc"", 0)},2,1)"),"5")</f>
        <v>5</v>
      </c>
    </row>
    <row r="144">
      <c r="A144" s="3" t="str">
        <f>IFERROR(__xludf.DUMMYFUNCTION("""COMPUTED_VALUE"""),"Dean Wright")</f>
        <v>Dean Wright</v>
      </c>
      <c r="B144" s="2" t="str">
        <f>IFERROR(__xludf.DUMMYFUNCTION("index({query({arrayformula(SUBSTITUTE('OTPI Scores'!C:C,""'"","""")),'OTPI Scores'!D:D,arrayformula(TO_TEXT('OTPI Scores'!E:E))},""select Col3, count(Col1) where Col1 = '""&amp;A144&amp;""' group by Col3 order by count(Col1) desc"", 0)},2,1)"),"Vets")</f>
        <v>Vets</v>
      </c>
    </row>
    <row r="145">
      <c r="A145" s="3" t="str">
        <f>IFERROR(__xludf.DUMMYFUNCTION("""COMPUTED_VALUE"""),"Rob Edmonds")</f>
        <v>Rob Edmonds</v>
      </c>
      <c r="B145" s="2" t="str">
        <f>IFERROR(__xludf.DUMMYFUNCTION("index({query({arrayformula(SUBSTITUTE('OTPI Scores'!C:C,""'"","""")),'OTPI Scores'!D:D,arrayformula(TO_TEXT('OTPI Scores'!E:E))},""select Col3, count(Col1) where Col1 = '""&amp;A145&amp;""' group by Col3 order by count(Col1) desc"", 0)},2,1)"),"3")</f>
        <v>3</v>
      </c>
    </row>
    <row r="146">
      <c r="A146" s="3" t="str">
        <f>IFERROR(__xludf.DUMMYFUNCTION("""COMPUTED_VALUE"""),"Hallam Wye")</f>
        <v>Hallam Wye</v>
      </c>
      <c r="B146" s="2" t="str">
        <f>IFERROR(__xludf.DUMMYFUNCTION("index({query({arrayformula(SUBSTITUTE('OTPI Scores'!C:C,""'"","""")),'OTPI Scores'!D:D,arrayformula(TO_TEXT('OTPI Scores'!E:E))},""select Col3, count(Col1) where Col1 = '""&amp;A146&amp;""' group by Col3 order by count(Col1) desc"", 0)},2,1)"),"3")</f>
        <v>3</v>
      </c>
    </row>
    <row r="147">
      <c r="A147" s="3" t="str">
        <f>IFERROR(__xludf.DUMMYFUNCTION("""COMPUTED_VALUE"""),"Parimal Patel")</f>
        <v>Parimal Patel</v>
      </c>
      <c r="B147" s="2" t="str">
        <f>IFERROR(__xludf.DUMMYFUNCTION("index({query({arrayformula(SUBSTITUTE('OTPI Scores'!C:C,""'"","""")),'OTPI Scores'!D:D,arrayformula(TO_TEXT('OTPI Scores'!E:E))},""select Col3, count(Col1) where Col1 = '""&amp;A147&amp;""' group by Col3 order by count(Col1) desc"", 0)},2,1)"),"1")</f>
        <v>1</v>
      </c>
    </row>
    <row r="148">
      <c r="A148" s="3" t="str">
        <f>IFERROR(__xludf.DUMMYFUNCTION("""COMPUTED_VALUE"""),"Cameron Ward")</f>
        <v>Cameron Ward</v>
      </c>
      <c r="B148" s="2" t="str">
        <f>IFERROR(__xludf.DUMMYFUNCTION("index({query({arrayformula(SUBSTITUTE('OTPI Scores'!C:C,""'"","""")),'OTPI Scores'!D:D,arrayformula(TO_TEXT('OTPI Scores'!E:E))},""select Col3, count(Col1) where Col1 = '""&amp;A148&amp;""' group by Col3 order by count(Col1) desc"", 0)},2,1)"),"3")</f>
        <v>3</v>
      </c>
    </row>
    <row r="149">
      <c r="A149" s="3" t="str">
        <f>IFERROR(__xludf.DUMMYFUNCTION("""COMPUTED_VALUE"""),"Jed Evamy")</f>
        <v>Jed Evamy</v>
      </c>
      <c r="B149" s="2" t="str">
        <f>IFERROR(__xludf.DUMMYFUNCTION("index({query({arrayformula(SUBSTITUTE('OTPI Scores'!C:C,""'"","""")),'OTPI Scores'!D:D,arrayformula(TO_TEXT('OTPI Scores'!E:E))},""select Col3, count(Col1) where Col1 = '""&amp;A149&amp;""' group by Col3 order by count(Col1) desc"", 0)},2,1)"),"1")</f>
        <v>1</v>
      </c>
    </row>
    <row r="150">
      <c r="A150" s="3" t="str">
        <f>IFERROR(__xludf.DUMMYFUNCTION("""COMPUTED_VALUE"""),"Andrew Barclay")</f>
        <v>Andrew Barclay</v>
      </c>
      <c r="B150" s="2" t="str">
        <f>IFERROR(__xludf.DUMMYFUNCTION("index({query({arrayformula(SUBSTITUTE('OTPI Scores'!C:C,""'"","""")),'OTPI Scores'!D:D,arrayformula(TO_TEXT('OTPI Scores'!E:E))},""select Col3, count(Col1) where Col1 = '""&amp;A150&amp;""' group by Col3 order by count(Col1) desc"", 0)},2,1)"),"Vets")</f>
        <v>Vets</v>
      </c>
    </row>
    <row r="151">
      <c r="A151" s="3" t="str">
        <f>IFERROR(__xludf.DUMMYFUNCTION("""COMPUTED_VALUE"""),"Ollie Sewell")</f>
        <v>Ollie Sewell</v>
      </c>
      <c r="B151" s="2" t="str">
        <f>IFERROR(__xludf.DUMMYFUNCTION("index({query({arrayformula(SUBSTITUTE('OTPI Scores'!C:C,""'"","""")),'OTPI Scores'!D:D,arrayformula(TO_TEXT('OTPI Scores'!E:E))},""select Col3, count(Col1) where Col1 = '""&amp;A151&amp;""' group by Col3 order by count(Col1) desc"", 0)},2,1)"),"1")</f>
        <v>1</v>
      </c>
    </row>
    <row r="152">
      <c r="A152" s="3" t="str">
        <f>IFERROR(__xludf.DUMMYFUNCTION("""COMPUTED_VALUE"""),"Dan Klin")</f>
        <v>Dan Klin</v>
      </c>
      <c r="B152" s="2" t="str">
        <f>IFERROR(__xludf.DUMMYFUNCTION("index({query({arrayformula(SUBSTITUTE('OTPI Scores'!C:C,""'"","""")),'OTPI Scores'!D:D,arrayformula(TO_TEXT('OTPI Scores'!E:E))},""select Col3, count(Col1) where Col1 = '""&amp;A152&amp;""' group by Col3 order by count(Col1) desc"", 0)},2,1)"),"4")</f>
        <v>4</v>
      </c>
    </row>
    <row r="153">
      <c r="A153" s="3" t="str">
        <f>IFERROR(__xludf.DUMMYFUNCTION("""COMPUTED_VALUE"""),"Emi Muhadri")</f>
        <v>Emi Muhadri</v>
      </c>
      <c r="B153" s="2" t="str">
        <f>IFERROR(__xludf.DUMMYFUNCTION("index({query({arrayformula(SUBSTITUTE('OTPI Scores'!C:C,""'"","""")),'OTPI Scores'!D:D,arrayformula(TO_TEXT('OTPI Scores'!E:E))},""select Col3, count(Col1) where Col1 = '""&amp;A153&amp;""' group by Col3 order by count(Col1) desc"", 0)},2,1)"),"5")</f>
        <v>5</v>
      </c>
    </row>
    <row r="154">
      <c r="A154" s="3" t="str">
        <f>IFERROR(__xludf.DUMMYFUNCTION("""COMPUTED_VALUE"""),"Sidney Hopper-Kelly")</f>
        <v>Sidney Hopper-Kelly</v>
      </c>
      <c r="B154" s="2" t="str">
        <f>IFERROR(__xludf.DUMMYFUNCTION("index({query({arrayformula(SUBSTITUTE('OTPI Scores'!C:C,""'"","""")),'OTPI Scores'!D:D,arrayformula(TO_TEXT('OTPI Scores'!E:E))},""select Col3, count(Col1) where Col1 = '""&amp;A154&amp;""' group by Col3 order by count(Col1) desc"", 0)},2,1)"),"4")</f>
        <v>4</v>
      </c>
    </row>
    <row r="155">
      <c r="A155" s="3" t="str">
        <f>IFERROR(__xludf.DUMMYFUNCTION("""COMPUTED_VALUE"""),"Chris Claeys")</f>
        <v>Chris Claeys</v>
      </c>
      <c r="B155" s="2" t="str">
        <f>IFERROR(__xludf.DUMMYFUNCTION("index({query({arrayformula(SUBSTITUTE('OTPI Scores'!C:C,""'"","""")),'OTPI Scores'!D:D,arrayformula(TO_TEXT('OTPI Scores'!E:E))},""select Col3, count(Col1) where Col1 = '""&amp;A155&amp;""' group by Col3 order by count(Col1) desc"", 0)},2,1)"),"5")</f>
        <v>5</v>
      </c>
    </row>
    <row r="156">
      <c r="A156" s="3" t="str">
        <f>IFERROR(__xludf.DUMMYFUNCTION("""COMPUTED_VALUE"""),"Matt Powell")</f>
        <v>Matt Powell</v>
      </c>
      <c r="B156" s="2" t="str">
        <f>IFERROR(__xludf.DUMMYFUNCTION("index({query({arrayformula(SUBSTITUTE('OTPI Scores'!C:C,""'"","""")),'OTPI Scores'!D:D,arrayformula(TO_TEXT('OTPI Scores'!E:E))},""select Col3, count(Col1) where Col1 = '""&amp;A156&amp;""' group by Col3 order by count(Col1) desc"", 0)},2,1)"),"Vets")</f>
        <v>Vets</v>
      </c>
    </row>
    <row r="157">
      <c r="A157" s="3" t="str">
        <f>IFERROR(__xludf.DUMMYFUNCTION("""COMPUTED_VALUE"""),"Victor Lemmer")</f>
        <v>Victor Lemmer</v>
      </c>
      <c r="B157" s="2" t="str">
        <f>IFERROR(__xludf.DUMMYFUNCTION("index({query({arrayformula(SUBSTITUTE('OTPI Scores'!C:C,""'"","""")),'OTPI Scores'!D:D,arrayformula(TO_TEXT('OTPI Scores'!E:E))},""select Col3, count(Col1) where Col1 = '""&amp;A157&amp;""' group by Col3 order by count(Col1) desc"", 0)},2,1)"),"6")</f>
        <v>6</v>
      </c>
    </row>
    <row r="158">
      <c r="A158" s="3" t="str">
        <f>IFERROR(__xludf.DUMMYFUNCTION("""COMPUTED_VALUE"""),"Sonny Kombo")</f>
        <v>Sonny Kombo</v>
      </c>
      <c r="B158" s="2" t="str">
        <f>IFERROR(__xludf.DUMMYFUNCTION("index({query({arrayformula(SUBSTITUTE('OTPI Scores'!C:C,""'"","""")),'OTPI Scores'!D:D,arrayformula(TO_TEXT('OTPI Scores'!E:E))},""select Col3, count(Col1) where Col1 = '""&amp;A158&amp;""' group by Col3 order by count(Col1) desc"", 0)},2,1)"),"Vets")</f>
        <v>Vets</v>
      </c>
    </row>
    <row r="159">
      <c r="A159" s="3" t="str">
        <f>IFERROR(__xludf.DUMMYFUNCTION("""COMPUTED_VALUE"""),"Nick Daley")</f>
        <v>Nick Daley</v>
      </c>
      <c r="B159" s="2" t="str">
        <f>IFERROR(__xludf.DUMMYFUNCTION("index({query({arrayformula(SUBSTITUTE('OTPI Scores'!C:C,""'"","""")),'OTPI Scores'!D:D,arrayformula(TO_TEXT('OTPI Scores'!E:E))},""select Col3, count(Col1) where Col1 = '""&amp;A159&amp;""' group by Col3 order by count(Col1) desc"", 0)},2,1)"),"Vets")</f>
        <v>Vets</v>
      </c>
    </row>
    <row r="160">
      <c r="A160" s="3" t="str">
        <f>IFERROR(__xludf.DUMMYFUNCTION("""COMPUTED_VALUE"""),"Ste Calder")</f>
        <v>Ste Calder</v>
      </c>
      <c r="B160" s="2" t="str">
        <f>IFERROR(__xludf.DUMMYFUNCTION("index({query({arrayformula(SUBSTITUTE('OTPI Scores'!C:C,""'"","""")),'OTPI Scores'!D:D,arrayformula(TO_TEXT('OTPI Scores'!E:E))},""select Col3, count(Col1) where Col1 = '""&amp;A160&amp;""' group by Col3 order by count(Col1) desc"", 0)},2,1)"),"Vets")</f>
        <v>Vets</v>
      </c>
    </row>
    <row r="161">
      <c r="A161" s="3" t="str">
        <f>IFERROR(__xludf.DUMMYFUNCTION("""COMPUTED_VALUE"""),"Jason Raife")</f>
        <v>Jason Raife</v>
      </c>
      <c r="B161" s="2" t="str">
        <f>IFERROR(__xludf.DUMMYFUNCTION("index({query({arrayformula(SUBSTITUTE('OTPI Scores'!C:C,""'"","""")),'OTPI Scores'!D:D,arrayformula(TO_TEXT('OTPI Scores'!E:E))},""select Col3, count(Col1) where Col1 = '""&amp;A161&amp;""' group by Col3 order by count(Col1) desc"", 0)},2,1)"),"Vets")</f>
        <v>Vets</v>
      </c>
    </row>
    <row r="162">
      <c r="A162" s="3" t="str">
        <f>IFERROR(__xludf.DUMMYFUNCTION("""COMPUTED_VALUE"""),"Stu Jordan")</f>
        <v>Stu Jordan</v>
      </c>
      <c r="B162" s="2" t="str">
        <f>IFERROR(__xludf.DUMMYFUNCTION("index({query({arrayformula(SUBSTITUTE('OTPI Scores'!C:C,""'"","""")),'OTPI Scores'!D:D,arrayformula(TO_TEXT('OTPI Scores'!E:E))},""select Col3, count(Col1) where Col1 = '""&amp;A162&amp;""' group by Col3 order by count(Col1) desc"", 0)},2,1)"),"5")</f>
        <v>5</v>
      </c>
    </row>
    <row r="163">
      <c r="A163" s="3" t="str">
        <f>IFERROR(__xludf.DUMMYFUNCTION("""COMPUTED_VALUE"""),"Ali Koc")</f>
        <v>Ali Koc</v>
      </c>
      <c r="B163" s="2" t="str">
        <f>IFERROR(__xludf.DUMMYFUNCTION("index({query({arrayformula(SUBSTITUTE('OTPI Scores'!C:C,""'"","""")),'OTPI Scores'!D:D,arrayformula(TO_TEXT('OTPI Scores'!E:E))},""select Col3, count(Col1) where Col1 = '""&amp;A163&amp;""' group by Col3 order by count(Col1) desc"", 0)},2,1)"),"4")</f>
        <v>4</v>
      </c>
    </row>
    <row r="164">
      <c r="A164" s="3" t="str">
        <f>IFERROR(__xludf.DUMMYFUNCTION("""COMPUTED_VALUE"""),"David Holmes-White")</f>
        <v>David Holmes-White</v>
      </c>
      <c r="B164" s="2" t="str">
        <f>IFERROR(__xludf.DUMMYFUNCTION("index({query({arrayformula(SUBSTITUTE('OTPI Scores'!C:C,""'"","""")),'OTPI Scores'!D:D,arrayformula(TO_TEXT('OTPI Scores'!E:E))},""select Col3, count(Col1) where Col1 = '""&amp;A164&amp;""' group by Col3 order by count(Col1) desc"", 0)},2,1)"),"5")</f>
        <v>5</v>
      </c>
    </row>
    <row r="165">
      <c r="A165" s="3" t="str">
        <f>IFERROR(__xludf.DUMMYFUNCTION("""COMPUTED_VALUE"""),"James Black")</f>
        <v>James Black</v>
      </c>
      <c r="B165" s="2" t="str">
        <f>IFERROR(__xludf.DUMMYFUNCTION("index({query({arrayformula(SUBSTITUTE('OTPI Scores'!C:C,""'"","""")),'OTPI Scores'!D:D,arrayformula(TO_TEXT('OTPI Scores'!E:E))},""select Col3, count(Col1) where Col1 = '""&amp;A165&amp;""' group by Col3 order by count(Col1) desc"", 0)},2,1)"),"2")</f>
        <v>2</v>
      </c>
    </row>
    <row r="166">
      <c r="A166" s="3" t="str">
        <f>IFERROR(__xludf.DUMMYFUNCTION("""COMPUTED_VALUE"""),"Ewan Harris")</f>
        <v>Ewan Harris</v>
      </c>
      <c r="B166" s="2" t="str">
        <f>IFERROR(__xludf.DUMMYFUNCTION("index({query({arrayformula(SUBSTITUTE('OTPI Scores'!C:C,""'"","""")),'OTPI Scores'!D:D,arrayformula(TO_TEXT('OTPI Scores'!E:E))},""select Col3, count(Col1) where Col1 = '""&amp;A166&amp;""' group by Col3 order by count(Col1) desc"", 0)},2,1)"),"3")</f>
        <v>3</v>
      </c>
    </row>
    <row r="167">
      <c r="A167" s="3" t="str">
        <f>IFERROR(__xludf.DUMMYFUNCTION("""COMPUTED_VALUE"""),"Michael Dill")</f>
        <v>Michael Dill</v>
      </c>
      <c r="B167" s="2" t="str">
        <f>IFERROR(__xludf.DUMMYFUNCTION("index({query({arrayformula(SUBSTITUTE('OTPI Scores'!C:C,""'"","""")),'OTPI Scores'!D:D,arrayformula(TO_TEXT('OTPI Scores'!E:E))},""select Col3, count(Col1) where Col1 = '""&amp;A167&amp;""' group by Col3 order by count(Col1) desc"", 0)},2,1)"),"3")</f>
        <v>3</v>
      </c>
    </row>
    <row r="168">
      <c r="A168" s="3" t="str">
        <f>IFERROR(__xludf.DUMMYFUNCTION("""COMPUTED_VALUE"""),"Nathan Nzau")</f>
        <v>Nathan Nzau</v>
      </c>
      <c r="B168" s="2" t="str">
        <f>IFERROR(__xludf.DUMMYFUNCTION("index({query({arrayformula(SUBSTITUTE('OTPI Scores'!C:C,""'"","""")),'OTPI Scores'!D:D,arrayformula(TO_TEXT('OTPI Scores'!E:E))},""select Col3, count(Col1) where Col1 = '""&amp;A168&amp;""' group by Col3 order by count(Col1) desc"", 0)},2,1)"),"3")</f>
        <v>3</v>
      </c>
    </row>
    <row r="169">
      <c r="A169" s="3" t="str">
        <f>IFERROR(__xludf.DUMMYFUNCTION("""COMPUTED_VALUE"""),"Shavon Muir")</f>
        <v>Shavon Muir</v>
      </c>
      <c r="B169" s="2" t="str">
        <f>IFERROR(__xludf.DUMMYFUNCTION("index({query({arrayformula(SUBSTITUTE('OTPI Scores'!C:C,""'"","""")),'OTPI Scores'!D:D,arrayformula(TO_TEXT('OTPI Scores'!E:E))},""select Col3, count(Col1) where Col1 = '""&amp;A169&amp;""' group by Col3 order by count(Col1) desc"", 0)},2,1)"),"3")</f>
        <v>3</v>
      </c>
    </row>
    <row r="170">
      <c r="A170" s="3" t="str">
        <f>IFERROR(__xludf.DUMMYFUNCTION("""COMPUTED_VALUE"""),"Liam Gunn")</f>
        <v>Liam Gunn</v>
      </c>
      <c r="B170" s="2" t="str">
        <f>IFERROR(__xludf.DUMMYFUNCTION("index({query({arrayformula(SUBSTITUTE('OTPI Scores'!C:C,""'"","""")),'OTPI Scores'!D:D,arrayformula(TO_TEXT('OTPI Scores'!E:E))},""select Col3, count(Col1) where Col1 = '""&amp;A170&amp;""' group by Col3 order by count(Col1) desc"", 0)},2,1)"),"4")</f>
        <v>4</v>
      </c>
    </row>
    <row r="171">
      <c r="A171" s="3" t="str">
        <f>IFERROR(__xludf.DUMMYFUNCTION("""COMPUTED_VALUE"""),"Afnan Khan")</f>
        <v>Afnan Khan</v>
      </c>
      <c r="B171" s="2" t="str">
        <f>IFERROR(__xludf.DUMMYFUNCTION("index({query({arrayformula(SUBSTITUTE('OTPI Scores'!C:C,""'"","""")),'OTPI Scores'!D:D,arrayformula(TO_TEXT('OTPI Scores'!E:E))},""select Col3, count(Col1) where Col1 = '""&amp;A171&amp;""' group by Col3 order by count(Col1) desc"", 0)},2,1)"),"6")</f>
        <v>6</v>
      </c>
    </row>
    <row r="172">
      <c r="A172" s="3" t="str">
        <f>IFERROR(__xludf.DUMMYFUNCTION("""COMPUTED_VALUE"""),"Tom Davidson")</f>
        <v>Tom Davidson</v>
      </c>
      <c r="B172" s="2" t="str">
        <f>IFERROR(__xludf.DUMMYFUNCTION("index({query({arrayformula(SUBSTITUTE('OTPI Scores'!C:C,""'"","""")),'OTPI Scores'!D:D,arrayformula(TO_TEXT('OTPI Scores'!E:E))},""select Col3, count(Col1) where Col1 = '""&amp;A172&amp;""' group by Col3 order by count(Col1) desc"", 0)},2,1)"),"6")</f>
        <v>6</v>
      </c>
    </row>
    <row r="173">
      <c r="A173" s="3" t="str">
        <f>IFERROR(__xludf.DUMMYFUNCTION("""COMPUTED_VALUE"""),"Abz Marfa")</f>
        <v>Abz Marfa</v>
      </c>
      <c r="B173" s="2" t="str">
        <f>IFERROR(__xludf.DUMMYFUNCTION("index({query({arrayformula(SUBSTITUTE('OTPI Scores'!C:C,""'"","""")),'OTPI Scores'!D:D,arrayformula(TO_TEXT('OTPI Scores'!E:E))},""select Col3, count(Col1) where Col1 = '""&amp;A173&amp;""' group by Col3 order by count(Col1) desc"", 0)},2,1)"),"6")</f>
        <v>6</v>
      </c>
    </row>
    <row r="174">
      <c r="A174" s="3" t="str">
        <f>IFERROR(__xludf.DUMMYFUNCTION("""COMPUTED_VALUE"""),"Mark Roberts")</f>
        <v>Mark Roberts</v>
      </c>
      <c r="B174" s="2" t="str">
        <f>IFERROR(__xludf.DUMMYFUNCTION("index({query({arrayformula(SUBSTITUTE('OTPI Scores'!C:C,""'"","""")),'OTPI Scores'!D:D,arrayformula(TO_TEXT('OTPI Scores'!E:E))},""select Col3, count(Col1) where Col1 = '""&amp;A174&amp;""' group by Col3 order by count(Col1) desc"", 0)},2,1)"),"6")</f>
        <v>6</v>
      </c>
    </row>
    <row r="175">
      <c r="A175" s="3" t="str">
        <f>IFERROR(__xludf.DUMMYFUNCTION("""COMPUTED_VALUE"""),"Al Humphrey")</f>
        <v>Al Humphrey</v>
      </c>
      <c r="B175" s="2" t="str">
        <f>IFERROR(__xludf.DUMMYFUNCTION("index({query({arrayformula(SUBSTITUTE('OTPI Scores'!C:C,""'"","""")),'OTPI Scores'!D:D,arrayformula(TO_TEXT('OTPI Scores'!E:E))},""select Col3, count(Col1) where Col1 = '""&amp;A175&amp;""' group by Col3 order by count(Col1) desc"", 0)},2,1)"),"Vets")</f>
        <v>Vets</v>
      </c>
    </row>
    <row r="176">
      <c r="A176" s="3" t="str">
        <f>IFERROR(__xludf.DUMMYFUNCTION("""COMPUTED_VALUE"""),"Ryan Sketchley")</f>
        <v>Ryan Sketchley</v>
      </c>
      <c r="B176" s="2" t="str">
        <f>IFERROR(__xludf.DUMMYFUNCTION("index({query({arrayformula(SUBSTITUTE('OTPI Scores'!C:C,""'"","""")),'OTPI Scores'!D:D,arrayformula(TO_TEXT('OTPI Scores'!E:E))},""select Col3, count(Col1) where Col1 = '""&amp;A176&amp;""' group by Col3 order by count(Col1) desc"", 0)},2,1)"),"Vets")</f>
        <v>Vets</v>
      </c>
    </row>
    <row r="177">
      <c r="A177" s="3" t="str">
        <f>IFERROR(__xludf.DUMMYFUNCTION("""COMPUTED_VALUE"""),"Ash Mayers")</f>
        <v>Ash Mayers</v>
      </c>
      <c r="B177" s="2" t="str">
        <f>IFERROR(__xludf.DUMMYFUNCTION("index({query({arrayformula(SUBSTITUTE('OTPI Scores'!C:C,""'"","""")),'OTPI Scores'!D:D,arrayformula(TO_TEXT('OTPI Scores'!E:E))},""select Col3, count(Col1) where Col1 = '""&amp;A177&amp;""' group by Col3 order by count(Col1) desc"", 0)},2,1)"),"Vets")</f>
        <v>Vets</v>
      </c>
    </row>
    <row r="178">
      <c r="A178" s="3" t="str">
        <f>IFERROR(__xludf.DUMMYFUNCTION("""COMPUTED_VALUE"""),"Phil Boden")</f>
        <v>Phil Boden</v>
      </c>
      <c r="B178" s="2" t="str">
        <f>IFERROR(__xludf.DUMMYFUNCTION("index({query({arrayformula(SUBSTITUTE('OTPI Scores'!C:C,""'"","""")),'OTPI Scores'!D:D,arrayformula(TO_TEXT('OTPI Scores'!E:E))},""select Col3, count(Col1) where Col1 = '""&amp;A178&amp;""' group by Col3 order by count(Col1) desc"", 0)},2,1)"),"Vets")</f>
        <v>Vets</v>
      </c>
    </row>
    <row r="179">
      <c r="A179" s="3" t="str">
        <f>IFERROR(__xludf.DUMMYFUNCTION("""COMPUTED_VALUE"""),"Matt Price")</f>
        <v>Matt Price</v>
      </c>
      <c r="B179" s="2" t="str">
        <f>IFERROR(__xludf.DUMMYFUNCTION("index({query({arrayformula(SUBSTITUTE('OTPI Scores'!C:C,""'"","""")),'OTPI Scores'!D:D,arrayformula(TO_TEXT('OTPI Scores'!E:E))},""select Col3, count(Col1) where Col1 = '""&amp;A179&amp;""' group by Col3 order by count(Col1) desc"", 0)},2,1)"),"2")</f>
        <v>2</v>
      </c>
    </row>
    <row r="180">
      <c r="A180" s="3" t="str">
        <f>IFERROR(__xludf.DUMMYFUNCTION("""COMPUTED_VALUE"""),"Joe Vincent")</f>
        <v>Joe Vincent</v>
      </c>
      <c r="B180" s="2" t="str">
        <f>IFERROR(__xludf.DUMMYFUNCTION("index({query({arrayformula(SUBSTITUTE('OTPI Scores'!C:C,""'"","""")),'OTPI Scores'!D:D,arrayformula(TO_TEXT('OTPI Scores'!E:E))},""select Col3, count(Col1) where Col1 = '""&amp;A180&amp;""' group by Col3 order by count(Col1) desc"", 0)},2,1)"),"3")</f>
        <v>3</v>
      </c>
    </row>
    <row r="181">
      <c r="A181" s="3" t="str">
        <f>IFERROR(__xludf.DUMMYFUNCTION("""COMPUTED_VALUE"""),"George Connolly")</f>
        <v>George Connolly</v>
      </c>
      <c r="B181" s="2" t="str">
        <f>IFERROR(__xludf.DUMMYFUNCTION("index({query({arrayformula(SUBSTITUTE('OTPI Scores'!C:C,""'"","""")),'OTPI Scores'!D:D,arrayformula(TO_TEXT('OTPI Scores'!E:E))},""select Col3, count(Col1) where Col1 = '""&amp;A181&amp;""' group by Col3 order by count(Col1) desc"", 0)},2,1)"),"4")</f>
        <v>4</v>
      </c>
    </row>
    <row r="182">
      <c r="A182" s="3" t="str">
        <f>IFERROR(__xludf.DUMMYFUNCTION("""COMPUTED_VALUE"""),"Jayden Wong")</f>
        <v>Jayden Wong</v>
      </c>
      <c r="B182" s="2" t="str">
        <f>IFERROR(__xludf.DUMMYFUNCTION("index({query({arrayformula(SUBSTITUTE('OTPI Scores'!C:C,""'"","""")),'OTPI Scores'!D:D,arrayformula(TO_TEXT('OTPI Scores'!E:E))},""select Col3, count(Col1) where Col1 = '""&amp;A182&amp;""' group by Col3 order by count(Col1) desc"", 0)},2,1)"),"6")</f>
        <v>6</v>
      </c>
    </row>
    <row r="183">
      <c r="A183" s="3" t="str">
        <f>IFERROR(__xludf.DUMMYFUNCTION("""COMPUTED_VALUE"""),"Luke Dyges")</f>
        <v>Luke Dyges</v>
      </c>
      <c r="B183" s="2" t="str">
        <f>IFERROR(__xludf.DUMMYFUNCTION("index({query({arrayformula(SUBSTITUTE('OTPI Scores'!C:C,""'"","""")),'OTPI Scores'!D:D,arrayformula(TO_TEXT('OTPI Scores'!E:E))},""select Col3, count(Col1) where Col1 = '""&amp;A183&amp;""' group by Col3 order by count(Col1) desc"", 0)},2,1)"),"1")</f>
        <v>1</v>
      </c>
    </row>
    <row r="184">
      <c r="A184" s="3" t="str">
        <f>IFERROR(__xludf.DUMMYFUNCTION("""COMPUTED_VALUE"""),"Cameron Pashley")</f>
        <v>Cameron Pashley</v>
      </c>
      <c r="B184" s="2" t="str">
        <f>IFERROR(__xludf.DUMMYFUNCTION("index({query({arrayformula(SUBSTITUTE('OTPI Scores'!C:C,""'"","""")),'OTPI Scores'!D:D,arrayformula(TO_TEXT('OTPI Scores'!E:E))},""select Col3, count(Col1) where Col1 = '""&amp;A184&amp;""' group by Col3 order by count(Col1) desc"", 0)},2,1)"),"3")</f>
        <v>3</v>
      </c>
    </row>
    <row r="185">
      <c r="A185" s="3" t="str">
        <f>IFERROR(__xludf.DUMMYFUNCTION("""COMPUTED_VALUE"""),"Ed Wightman")</f>
        <v>Ed Wightman</v>
      </c>
      <c r="B185" s="2" t="str">
        <f>IFERROR(__xludf.DUMMYFUNCTION("index({query({arrayformula(SUBSTITUTE('OTPI Scores'!C:C,""'"","""")),'OTPI Scores'!D:D,arrayformula(TO_TEXT('OTPI Scores'!E:E))},""select Col3, count(Col1) where Col1 = '""&amp;A185&amp;""' group by Col3 order by count(Col1) desc"", 0)},2,1)"),"4")</f>
        <v>4</v>
      </c>
    </row>
    <row r="186">
      <c r="A186" s="3" t="str">
        <f>IFERROR(__xludf.DUMMYFUNCTION("""COMPUTED_VALUE"""),"Alex Stevens")</f>
        <v>Alex Stevens</v>
      </c>
      <c r="B186" s="2" t="str">
        <f>IFERROR(__xludf.DUMMYFUNCTION("index({query({arrayformula(SUBSTITUTE('OTPI Scores'!C:C,""'"","""")),'OTPI Scores'!D:D,arrayformula(TO_TEXT('OTPI Scores'!E:E))},""select Col3, count(Col1) where Col1 = '""&amp;A186&amp;""' group by Col3 order by count(Col1) desc"", 0)},2,1)"),"3")</f>
        <v>3</v>
      </c>
    </row>
    <row r="187">
      <c r="A187" s="3" t="str">
        <f>IFERROR(__xludf.DUMMYFUNCTION("""COMPUTED_VALUE"""),"Isaac Adepegba")</f>
        <v>Isaac Adepegba</v>
      </c>
      <c r="B187" s="2" t="str">
        <f>IFERROR(__xludf.DUMMYFUNCTION("index({query({arrayformula(SUBSTITUTE('OTPI Scores'!C:C,""'"","""")),'OTPI Scores'!D:D,arrayformula(TO_TEXT('OTPI Scores'!E:E))},""select Col3, count(Col1) where Col1 = '""&amp;A187&amp;""' group by Col3 order by count(Col1) desc"", 0)},2,1)"),"6")</f>
        <v>6</v>
      </c>
    </row>
    <row r="188">
      <c r="A188" s="3" t="str">
        <f>IFERROR(__xludf.DUMMYFUNCTION("""COMPUTED_VALUE"""),"Charlie Heptinstall")</f>
        <v>Charlie Heptinstall</v>
      </c>
      <c r="B188" s="2" t="str">
        <f>IFERROR(__xludf.DUMMYFUNCTION("index({query({arrayformula(SUBSTITUTE('OTPI Scores'!C:C,""'"","""")),'OTPI Scores'!D:D,arrayformula(TO_TEXT('OTPI Scores'!E:E))},""select Col3, count(Col1) where Col1 = '""&amp;A188&amp;""' group by Col3 order by count(Col1) desc"", 0)},2,1)"),"3")</f>
        <v>3</v>
      </c>
    </row>
    <row r="189">
      <c r="A189" s="3" t="str">
        <f>IFERROR(__xludf.DUMMYFUNCTION("""COMPUTED_VALUE"""),"Max Miles")</f>
        <v>Max Miles</v>
      </c>
      <c r="B189" s="2" t="str">
        <f>IFERROR(__xludf.DUMMYFUNCTION("index({query({arrayformula(SUBSTITUTE('OTPI Scores'!C:C,""'"","""")),'OTPI Scores'!D:D,arrayformula(TO_TEXT('OTPI Scores'!E:E))},""select Col3, count(Col1) where Col1 = '""&amp;A189&amp;""' group by Col3 order by count(Col1) desc"", 0)},2,1)"),"4")</f>
        <v>4</v>
      </c>
    </row>
    <row r="190">
      <c r="A190" s="3" t="str">
        <f>IFERROR(__xludf.DUMMYFUNCTION("""COMPUTED_VALUE"""),"Lewis Anderson")</f>
        <v>Lewis Anderson</v>
      </c>
      <c r="B190" s="2" t="str">
        <f>IFERROR(__xludf.DUMMYFUNCTION("index({query({arrayformula(SUBSTITUTE('OTPI Scores'!C:C,""'"","""")),'OTPI Scores'!D:D,arrayformula(TO_TEXT('OTPI Scores'!E:E))},""select Col3, count(Col1) where Col1 = '""&amp;A190&amp;""' group by Col3 order by count(Col1) desc"", 0)},2,1)"),"3")</f>
        <v>3</v>
      </c>
    </row>
    <row r="191">
      <c r="A191" s="3" t="str">
        <f>IFERROR(__xludf.DUMMYFUNCTION("""COMPUTED_VALUE"""),"Rich Robinson")</f>
        <v>Rich Robinson</v>
      </c>
      <c r="B191" s="2" t="str">
        <f>IFERROR(__xludf.DUMMYFUNCTION("index({query({arrayformula(SUBSTITUTE('OTPI Scores'!C:C,""'"","""")),'OTPI Scores'!D:D,arrayformula(TO_TEXT('OTPI Scores'!E:E))},""select Col3, count(Col1) where Col1 = '""&amp;A191&amp;""' group by Col3 order by count(Col1) desc"", 0)},2,1)"),"3")</f>
        <v>3</v>
      </c>
    </row>
    <row r="192">
      <c r="A192" s="3" t="str">
        <f>IFERROR(__xludf.DUMMYFUNCTION("""COMPUTED_VALUE"""),"Olly Mason")</f>
        <v>Olly Mason</v>
      </c>
      <c r="B192" s="2" t="str">
        <f>IFERROR(__xludf.DUMMYFUNCTION("index({query({arrayformula(SUBSTITUTE('OTPI Scores'!C:C,""'"","""")),'OTPI Scores'!D:D,arrayformula(TO_TEXT('OTPI Scores'!E:E))},""select Col3, count(Col1) where Col1 = '""&amp;A192&amp;""' group by Col3 order by count(Col1) desc"", 0)},2,1)"),"2")</f>
        <v>2</v>
      </c>
    </row>
    <row r="193">
      <c r="A193" s="3" t="str">
        <f>IFERROR(__xludf.DUMMYFUNCTION("""COMPUTED_VALUE"""),"Tam de Lacey")</f>
        <v>Tam de Lacey</v>
      </c>
      <c r="B193" s="2" t="str">
        <f>IFERROR(__xludf.DUMMYFUNCTION("index({query({arrayformula(SUBSTITUTE('OTPI Scores'!C:C,""'"","""")),'OTPI Scores'!D:D,arrayformula(TO_TEXT('OTPI Scores'!E:E))},""select Col3, count(Col1) where Col1 = '""&amp;A193&amp;""' group by Col3 order by count(Col1) desc"", 0)},2,1)"),"2")</f>
        <v>2</v>
      </c>
    </row>
    <row r="194">
      <c r="A194" s="3" t="str">
        <f>IFERROR(__xludf.DUMMYFUNCTION("""COMPUTED_VALUE"""),"Henry Pepperell")</f>
        <v>Henry Pepperell</v>
      </c>
      <c r="B194" s="2" t="str">
        <f>IFERROR(__xludf.DUMMYFUNCTION("index({query({arrayformula(SUBSTITUTE('OTPI Scores'!C:C,""'"","""")),'OTPI Scores'!D:D,arrayformula(TO_TEXT('OTPI Scores'!E:E))},""select Col3, count(Col1) where Col1 = '""&amp;A194&amp;""' group by Col3 order by count(Col1) desc"", 0)},2,1)"),"2")</f>
        <v>2</v>
      </c>
    </row>
    <row r="195">
      <c r="A195" s="3" t="str">
        <f>IFERROR(__xludf.DUMMYFUNCTION("""COMPUTED_VALUE"""),"Chris Weir")</f>
        <v>Chris Weir</v>
      </c>
      <c r="B195" s="2" t="str">
        <f>IFERROR(__xludf.DUMMYFUNCTION("index({query({arrayformula(SUBSTITUTE('OTPI Scores'!C:C,""'"","""")),'OTPI Scores'!D:D,arrayformula(TO_TEXT('OTPI Scores'!E:E))},""select Col3, count(Col1) where Col1 = '""&amp;A195&amp;""' group by Col3 order by count(Col1) desc"", 0)},2,1)"),"3")</f>
        <v>3</v>
      </c>
    </row>
    <row r="196">
      <c r="A196" s="3" t="str">
        <f>IFERROR(__xludf.DUMMYFUNCTION("""COMPUTED_VALUE"""),"Mark Rowntree")</f>
        <v>Mark Rowntree</v>
      </c>
      <c r="B196" s="2" t="str">
        <f>IFERROR(__xludf.DUMMYFUNCTION("index({query({arrayformula(SUBSTITUTE('OTPI Scores'!C:C,""'"","""")),'OTPI Scores'!D:D,arrayformula(TO_TEXT('OTPI Scores'!E:E))},""select Col3, count(Col1) where Col1 = '""&amp;A196&amp;""' group by Col3 order by count(Col1) desc"", 0)},2,1)"),"Vets")</f>
        <v>Vets</v>
      </c>
    </row>
    <row r="197">
      <c r="A197" s="3" t="str">
        <f>IFERROR(__xludf.DUMMYFUNCTION("""COMPUTED_VALUE"""),"Samuel Osewa")</f>
        <v>Samuel Osewa</v>
      </c>
      <c r="B197" s="2" t="str">
        <f>IFERROR(__xludf.DUMMYFUNCTION("index({query({arrayformula(SUBSTITUTE('OTPI Scores'!C:C,""'"","""")),'OTPI Scores'!D:D,arrayformula(TO_TEXT('OTPI Scores'!E:E))},""select Col3, count(Col1) where Col1 = '""&amp;A197&amp;""' group by Col3 order by count(Col1) desc"", 0)},2,1)"),"4")</f>
        <v>4</v>
      </c>
    </row>
    <row r="198">
      <c r="A198" s="3" t="str">
        <f>IFERROR(__xludf.DUMMYFUNCTION("""COMPUTED_VALUE"""),"Kai Clack")</f>
        <v>Kai Clack</v>
      </c>
      <c r="B198" s="2" t="str">
        <f>IFERROR(__xludf.DUMMYFUNCTION("index({query({arrayformula(SUBSTITUTE('OTPI Scores'!C:C,""'"","""")),'OTPI Scores'!D:D,arrayformula(TO_TEXT('OTPI Scores'!E:E))},""select Col3, count(Col1) where Col1 = '""&amp;A198&amp;""' group by Col3 order by count(Col1) desc"", 0)},2,1)"),"5")</f>
        <v>5</v>
      </c>
    </row>
    <row r="199">
      <c r="A199" s="3" t="str">
        <f>IFERROR(__xludf.DUMMYFUNCTION("""COMPUTED_VALUE"""),"Stevie Wood")</f>
        <v>Stevie Wood</v>
      </c>
      <c r="B199" s="2" t="str">
        <f>IFERROR(__xludf.DUMMYFUNCTION("index({query({arrayformula(SUBSTITUTE('OTPI Scores'!C:C,""'"","""")),'OTPI Scores'!D:D,arrayformula(TO_TEXT('OTPI Scores'!E:E))},""select Col3, count(Col1) where Col1 = '""&amp;A199&amp;""' group by Col3 order by count(Col1) desc"", 0)},2,1)"),"Vets")</f>
        <v>Vets</v>
      </c>
    </row>
    <row r="200">
      <c r="A200" s="3" t="str">
        <f>IFERROR(__xludf.DUMMYFUNCTION("""COMPUTED_VALUE"""),"Sid Nayaar")</f>
        <v>Sid Nayaar</v>
      </c>
      <c r="B200" s="2" t="str">
        <f>IFERROR(__xludf.DUMMYFUNCTION("index({query({arrayformula(SUBSTITUTE('OTPI Scores'!C:C,""'"","""")),'OTPI Scores'!D:D,arrayformula(TO_TEXT('OTPI Scores'!E:E))},""select Col3, count(Col1) where Col1 = '""&amp;A200&amp;""' group by Col3 order by count(Col1) desc"", 0)},2,1)"),"3")</f>
        <v>3</v>
      </c>
    </row>
    <row r="201">
      <c r="A201" s="3" t="str">
        <f>IFERROR(__xludf.DUMMYFUNCTION("""COMPUTED_VALUE"""),"Claudien Mwalimu")</f>
        <v>Claudien Mwalimu</v>
      </c>
      <c r="B201" s="2" t="str">
        <f>IFERROR(__xludf.DUMMYFUNCTION("index({query({arrayformula(SUBSTITUTE('OTPI Scores'!C:C,""'"","""")),'OTPI Scores'!D:D,arrayformula(TO_TEXT('OTPI Scores'!E:E))},""select Col3, count(Col1) where Col1 = '""&amp;A201&amp;""' group by Col3 order by count(Col1) desc"", 0)},2,1)"),"2")</f>
        <v>2</v>
      </c>
    </row>
    <row r="202">
      <c r="A202" s="3" t="str">
        <f>IFERROR(__xludf.DUMMYFUNCTION("""COMPUTED_VALUE"""),"Dom Robbins")</f>
        <v>Dom Robbins</v>
      </c>
      <c r="B202" s="2" t="str">
        <f>IFERROR(__xludf.DUMMYFUNCTION("index({query({arrayformula(SUBSTITUTE('OTPI Scores'!C:C,""'"","""")),'OTPI Scores'!D:D,arrayformula(TO_TEXT('OTPI Scores'!E:E))},""select Col3, count(Col1) where Col1 = '""&amp;A202&amp;""' group by Col3 order by count(Col1) desc"", 0)},2,1)"),"3")</f>
        <v>3</v>
      </c>
    </row>
    <row r="203">
      <c r="A203" s="3" t="str">
        <f>IFERROR(__xludf.DUMMYFUNCTION("""COMPUTED_VALUE"""),"Miles Shirtcliffe")</f>
        <v>Miles Shirtcliffe</v>
      </c>
      <c r="B203" s="2" t="str">
        <f>IFERROR(__xludf.DUMMYFUNCTION("index({query({arrayformula(SUBSTITUTE('OTPI Scores'!C:C,""'"","""")),'OTPI Scores'!D:D,arrayformula(TO_TEXT('OTPI Scores'!E:E))},""select Col3, count(Col1) where Col1 = '""&amp;A203&amp;""' group by Col3 order by count(Col1) desc"", 0)},2,1)"),"3")</f>
        <v>3</v>
      </c>
    </row>
    <row r="204">
      <c r="A204" s="3" t="str">
        <f>IFERROR(__xludf.DUMMYFUNCTION("""COMPUTED_VALUE"""),"Cameron Divine")</f>
        <v>Cameron Divine</v>
      </c>
      <c r="B204" s="2" t="str">
        <f>IFERROR(__xludf.DUMMYFUNCTION("index({query({arrayformula(SUBSTITUTE('OTPI Scores'!C:C,""'"","""")),'OTPI Scores'!D:D,arrayformula(TO_TEXT('OTPI Scores'!E:E))},""select Col3, count(Col1) where Col1 = '""&amp;A204&amp;""' group by Col3 order by count(Col1) desc"", 0)},2,1)"),"5")</f>
        <v>5</v>
      </c>
    </row>
    <row r="205">
      <c r="A205" s="3" t="str">
        <f>IFERROR(__xludf.DUMMYFUNCTION("""COMPUTED_VALUE"""),"Billy King")</f>
        <v>Billy King</v>
      </c>
      <c r="B205" s="2" t="str">
        <f>IFERROR(__xludf.DUMMYFUNCTION("index({query({arrayformula(SUBSTITUTE('OTPI Scores'!C:C,""'"","""")),'OTPI Scores'!D:D,arrayformula(TO_TEXT('OTPI Scores'!E:E))},""select Col3, count(Col1) where Col1 = '""&amp;A205&amp;""' group by Col3 order by count(Col1) desc"", 0)},2,1)"),"4")</f>
        <v>4</v>
      </c>
    </row>
    <row r="206">
      <c r="A206" s="3" t="str">
        <f>IFERROR(__xludf.DUMMYFUNCTION("""COMPUTED_VALUE"""),"Daniel Sheehan")</f>
        <v>Daniel Sheehan</v>
      </c>
      <c r="B206" s="2" t="str">
        <f>IFERROR(__xludf.DUMMYFUNCTION("index({query({arrayformula(SUBSTITUTE('OTPI Scores'!C:C,""'"","""")),'OTPI Scores'!D:D,arrayformula(TO_TEXT('OTPI Scores'!E:E))},""select Col3, count(Col1) where Col1 = '""&amp;A206&amp;""' group by Col3 order by count(Col1) desc"", 0)},2,1)"),"5")</f>
        <v>5</v>
      </c>
    </row>
    <row r="207">
      <c r="A207" s="3" t="str">
        <f>IFERROR(__xludf.DUMMYFUNCTION("""COMPUTED_VALUE"""),"Jamie Dedman")</f>
        <v>Jamie Dedman</v>
      </c>
      <c r="B207" s="2" t="str">
        <f>IFERROR(__xludf.DUMMYFUNCTION("index({query({arrayformula(SUBSTITUTE('OTPI Scores'!C:C,""'"","""")),'OTPI Scores'!D:D,arrayformula(TO_TEXT('OTPI Scores'!E:E))},""select Col3, count(Col1) where Col1 = '""&amp;A207&amp;""' group by Col3 order by count(Col1) desc"", 0)},2,1)"),"5")</f>
        <v>5</v>
      </c>
    </row>
    <row r="208">
      <c r="A208" s="3" t="str">
        <f>IFERROR(__xludf.DUMMYFUNCTION("""COMPUTED_VALUE"""),"Tom Taylor")</f>
        <v>Tom Taylor</v>
      </c>
      <c r="B208" s="2" t="str">
        <f>IFERROR(__xludf.DUMMYFUNCTION("index({query({arrayformula(SUBSTITUTE('OTPI Scores'!C:C,""'"","""")),'OTPI Scores'!D:D,arrayformula(TO_TEXT('OTPI Scores'!E:E))},""select Col3, count(Col1) where Col1 = '""&amp;A208&amp;""' group by Col3 order by count(Col1) desc"", 0)},2,1)"),"4")</f>
        <v>4</v>
      </c>
    </row>
    <row r="209">
      <c r="A209" s="3" t="str">
        <f>IFERROR(__xludf.DUMMYFUNCTION("""COMPUTED_VALUE"""),"Remi Sellers")</f>
        <v>Remi Sellers</v>
      </c>
      <c r="B209" s="2" t="str">
        <f>IFERROR(__xludf.DUMMYFUNCTION("index({query({arrayformula(SUBSTITUTE('OTPI Scores'!C:C,""'"","""")),'OTPI Scores'!D:D,arrayformula(TO_TEXT('OTPI Scores'!E:E))},""select Col3, count(Col1) where Col1 = '""&amp;A209&amp;""' group by Col3 order by count(Col1) desc"", 0)},2,1)"),"Vets")</f>
        <v>Vets</v>
      </c>
    </row>
    <row r="210">
      <c r="A210" s="3" t="str">
        <f>IFERROR(__xludf.DUMMYFUNCTION("""COMPUTED_VALUE"""),"Wayne Ebanks")</f>
        <v>Wayne Ebanks</v>
      </c>
      <c r="B210" s="2" t="str">
        <f>IFERROR(__xludf.DUMMYFUNCTION("index({query({arrayformula(SUBSTITUTE('OTPI Scores'!C:C,""'"","""")),'OTPI Scores'!D:D,arrayformula(TO_TEXT('OTPI Scores'!E:E))},""select Col3, count(Col1) where Col1 = '""&amp;A210&amp;""' group by Col3 order by count(Col1) desc"", 0)},2,1)"),"Vets")</f>
        <v>Vets</v>
      </c>
    </row>
    <row r="211">
      <c r="A211" s="3" t="str">
        <f>IFERROR(__xludf.DUMMYFUNCTION("""COMPUTED_VALUE"""),"Harrison Woolley")</f>
        <v>Harrison Woolley</v>
      </c>
      <c r="B211" s="2" t="str">
        <f>IFERROR(__xludf.DUMMYFUNCTION("index({query({arrayformula(SUBSTITUTE('OTPI Scores'!C:C,""'"","""")),'OTPI Scores'!D:D,arrayformula(TO_TEXT('OTPI Scores'!E:E))},""select Col3, count(Col1) where Col1 = '""&amp;A211&amp;""' group by Col3 order by count(Col1) desc"", 0)},2,1)"),"5")</f>
        <v>5</v>
      </c>
    </row>
    <row r="212">
      <c r="A212" s="3" t="str">
        <f>IFERROR(__xludf.DUMMYFUNCTION("""COMPUTED_VALUE"""),"Kim Jaeyoon")</f>
        <v>Kim Jaeyoon</v>
      </c>
      <c r="B212" s="2" t="str">
        <f>IFERROR(__xludf.DUMMYFUNCTION("index({query({arrayformula(SUBSTITUTE('OTPI Scores'!C:C,""'"","""")),'OTPI Scores'!D:D,arrayformula(TO_TEXT('OTPI Scores'!E:E))},""select Col3, count(Col1) where Col1 = '""&amp;A212&amp;""' group by Col3 order by count(Col1) desc"", 0)},2,1)"),"2")</f>
        <v>2</v>
      </c>
    </row>
    <row r="213">
      <c r="A213" s="3" t="str">
        <f>IFERROR(__xludf.DUMMYFUNCTION("""COMPUTED_VALUE"""),"Fabio Teixeira")</f>
        <v>Fabio Teixeira</v>
      </c>
      <c r="B213" s="2" t="str">
        <f>IFERROR(__xludf.DUMMYFUNCTION("index({query({arrayformula(SUBSTITUTE('OTPI Scores'!C:C,""'"","""")),'OTPI Scores'!D:D,arrayformula(TO_TEXT('OTPI Scores'!E:E))},""select Col3, count(Col1) where Col1 = '""&amp;A213&amp;""' group by Col3 order by count(Col1) desc"", 0)},2,1)"),"4")</f>
        <v>4</v>
      </c>
    </row>
    <row r="214">
      <c r="A214" s="3" t="str">
        <f>IFERROR(__xludf.DUMMYFUNCTION("""COMPUTED_VALUE"""),"Paddy Troy")</f>
        <v>Paddy Troy</v>
      </c>
      <c r="B214" s="2" t="str">
        <f>IFERROR(__xludf.DUMMYFUNCTION("index({query({arrayformula(SUBSTITUTE('OTPI Scores'!C:C,""'"","""")),'OTPI Scores'!D:D,arrayformula(TO_TEXT('OTPI Scores'!E:E))},""select Col3, count(Col1) where Col1 = '""&amp;A214&amp;""' group by Col3 order by count(Col1) desc"", 0)},2,1)"),"2")</f>
        <v>2</v>
      </c>
    </row>
    <row r="215">
      <c r="A215" s="3" t="str">
        <f>IFERROR(__xludf.DUMMYFUNCTION("""COMPUTED_VALUE"""),"")</f>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tr">
        <f>IFERROR(__xludf.DUMMYFUNCTION("unique(query('OTPI Scores'!C:C,""select C""))"),"Player Name")</f>
        <v>Player Name</v>
      </c>
      <c r="B1" s="5" t="s">
        <v>170</v>
      </c>
      <c r="I1" s="2"/>
    </row>
    <row r="2">
      <c r="A2" s="3" t="str">
        <f>IFERROR(__xludf.DUMMYFUNCTION("""COMPUTED_VALUE"""),"Nima Naghdi")</f>
        <v>Nima Naghdi</v>
      </c>
      <c r="B2" s="3">
        <f t="array" ref="B2">IF(IFERROR(lookup(1,1/SEARCH(A2,'OTPI Scores'!C:C),'OTPI Scores'!E:E),0)="Vets",7,IFERROR(lookup(1,1/SEARCH(A2,'OTPI Scores'!C:C),'OTPI Scores'!E:E),0))</f>
        <v>4</v>
      </c>
    </row>
    <row r="3">
      <c r="A3" s="3" t="str">
        <f>IFERROR(__xludf.DUMMYFUNCTION("""COMPUTED_VALUE"""),"James Bashford")</f>
        <v>James Bashford</v>
      </c>
      <c r="B3" s="3">
        <f t="array" ref="B3">IF(IFERROR(lookup(1,1/SEARCH(A3,'OTPI Scores'!C:C),'OTPI Scores'!E:E),0)="Vets",7,IFERROR(lookup(1,1/SEARCH(A3,'OTPI Scores'!C:C),'OTPI Scores'!E:E),0))</f>
        <v>4</v>
      </c>
    </row>
    <row r="4">
      <c r="A4" s="3" t="str">
        <f>IFERROR(__xludf.DUMMYFUNCTION("""COMPUTED_VALUE"""),"Oli Barton")</f>
        <v>Oli Barton</v>
      </c>
      <c r="B4" s="3">
        <f t="array" ref="B4">IF(IFERROR(lookup(1,1/SEARCH(A4,'OTPI Scores'!C:C),'OTPI Scores'!E:E),0)="Vets",7,IFERROR(lookup(1,1/SEARCH(A4,'OTPI Scores'!C:C),'OTPI Scores'!E:E),0))</f>
        <v>3</v>
      </c>
    </row>
    <row r="5">
      <c r="A5" s="3" t="str">
        <f>IFERROR(__xludf.DUMMYFUNCTION("""COMPUTED_VALUE"""),"Andreas Andreou")</f>
        <v>Andreas Andreou</v>
      </c>
      <c r="B5" s="3">
        <f t="array" ref="B5">IF(IFERROR(lookup(1,1/SEARCH(A5,'OTPI Scores'!C:C),'OTPI Scores'!E:E),0)="Vets",7,IFERROR(lookup(1,1/SEARCH(A5,'OTPI Scores'!C:C),'OTPI Scores'!E:E),0))</f>
        <v>5</v>
      </c>
    </row>
    <row r="6">
      <c r="A6" s="3" t="str">
        <f>IFERROR(__xludf.DUMMYFUNCTION("""COMPUTED_VALUE"""),"Tom Love")</f>
        <v>Tom Love</v>
      </c>
      <c r="B6" s="3">
        <f t="array" ref="B6">IF(IFERROR(lookup(1,1/SEARCH(A6,'OTPI Scores'!C:C),'OTPI Scores'!E:E),0)="Vets",7,IFERROR(lookup(1,1/SEARCH(A6,'OTPI Scores'!C:C),'OTPI Scores'!E:E),0))</f>
        <v>3</v>
      </c>
    </row>
    <row r="7">
      <c r="A7" s="3" t="str">
        <f>IFERROR(__xludf.DUMMYFUNCTION("""COMPUTED_VALUE"""),"Sean Rowlett")</f>
        <v>Sean Rowlett</v>
      </c>
      <c r="B7" s="3">
        <f t="array" ref="B7">IF(IFERROR(lookup(1,1/SEARCH(A7,'OTPI Scores'!C:C),'OTPI Scores'!E:E),0)="Vets",7,IFERROR(lookup(1,1/SEARCH(A7,'OTPI Scores'!C:C),'OTPI Scores'!E:E),0))</f>
        <v>4</v>
      </c>
    </row>
    <row r="8">
      <c r="A8" s="3" t="str">
        <f>IFERROR(__xludf.DUMMYFUNCTION("""COMPUTED_VALUE"""),"Jack Hind")</f>
        <v>Jack Hind</v>
      </c>
      <c r="B8" s="3">
        <f t="array" ref="B8">IF(IFERROR(lookup(1,1/SEARCH(A8,'OTPI Scores'!C:C),'OTPI Scores'!E:E),0)="Vets",7,IFERROR(lookup(1,1/SEARCH(A8,'OTPI Scores'!C:C),'OTPI Scores'!E:E),0))</f>
        <v>6</v>
      </c>
    </row>
    <row r="9">
      <c r="A9" s="3" t="str">
        <f>IFERROR(__xludf.DUMMYFUNCTION("""COMPUTED_VALUE"""),"Lawrence Asante")</f>
        <v>Lawrence Asante</v>
      </c>
      <c r="B9" s="3">
        <f t="array" ref="B9">IF(IFERROR(lookup(1,1/SEARCH(A9,'OTPI Scores'!C:C),'OTPI Scores'!E:E),0)="Vets",7,IFERROR(lookup(1,1/SEARCH(A9,'OTPI Scores'!C:C),'OTPI Scores'!E:E),0))</f>
        <v>6</v>
      </c>
    </row>
    <row r="10">
      <c r="A10" s="3" t="str">
        <f>IFERROR(__xludf.DUMMYFUNCTION("""COMPUTED_VALUE"""),"Jason Nwakaeze")</f>
        <v>Jason Nwakaeze</v>
      </c>
      <c r="B10" s="3">
        <f t="array" ref="B10">IF(IFERROR(lookup(1,1/SEARCH(A10,'OTPI Scores'!C:C),'OTPI Scores'!E:E),0)="Vets",7,IFERROR(lookup(1,1/SEARCH(A10,'OTPI Scores'!C:C),'OTPI Scores'!E:E),0))</f>
        <v>3</v>
      </c>
    </row>
    <row r="11">
      <c r="A11" s="3" t="str">
        <f>IFERROR(__xludf.DUMMYFUNCTION("""COMPUTED_VALUE"""),"Masood Hamidi")</f>
        <v>Masood Hamidi</v>
      </c>
      <c r="B11" s="3">
        <f t="array" ref="B11">IF(IFERROR(lookup(1,1/SEARCH(A11,'OTPI Scores'!C:C),'OTPI Scores'!E:E),0)="Vets",7,IFERROR(lookup(1,1/SEARCH(A11,'OTPI Scores'!C:C),'OTPI Scores'!E:E),0))</f>
        <v>4</v>
      </c>
    </row>
    <row r="12">
      <c r="A12" s="3" t="str">
        <f>IFERROR(__xludf.DUMMYFUNCTION("""COMPUTED_VALUE"""),"Gulled Hersi")</f>
        <v>Gulled Hersi</v>
      </c>
      <c r="B12" s="3">
        <f t="array" ref="B12">IF(IFERROR(lookup(1,1/SEARCH(A12,'OTPI Scores'!C:C),'OTPI Scores'!E:E),0)="Vets",7,IFERROR(lookup(1,1/SEARCH(A12,'OTPI Scores'!C:C),'OTPI Scores'!E:E),0))</f>
        <v>6</v>
      </c>
    </row>
    <row r="13">
      <c r="A13" s="3" t="str">
        <f>IFERROR(__xludf.DUMMYFUNCTION("""COMPUTED_VALUE"""),"Jabari Dixon")</f>
        <v>Jabari Dixon</v>
      </c>
      <c r="B13" s="3">
        <f t="array" ref="B13">IF(IFERROR(lookup(1,1/SEARCH(A13,'OTPI Scores'!C:C),'OTPI Scores'!E:E),0)="Vets",7,IFERROR(lookup(1,1/SEARCH(A13,'OTPI Scores'!C:C),'OTPI Scores'!E:E),0))</f>
        <v>6</v>
      </c>
    </row>
    <row r="14">
      <c r="A14" s="3" t="str">
        <f>IFERROR(__xludf.DUMMYFUNCTION("""COMPUTED_VALUE"""),"Charlie Doe")</f>
        <v>Charlie Doe</v>
      </c>
      <c r="B14" s="3">
        <f t="array" ref="B14">IF(IFERROR(lookup(1,1/SEARCH(A14,'OTPI Scores'!C:C),'OTPI Scores'!E:E),0)="Vets",7,IFERROR(lookup(1,1/SEARCH(A14,'OTPI Scores'!C:C),'OTPI Scores'!E:E),0))</f>
        <v>4</v>
      </c>
    </row>
    <row r="15">
      <c r="A15" s="3" t="str">
        <f>IFERROR(__xludf.DUMMYFUNCTION("""COMPUTED_VALUE"""),"Christian King")</f>
        <v>Christian King</v>
      </c>
      <c r="B15" s="3">
        <f t="array" ref="B15">IF(IFERROR(lookup(1,1/SEARCH(A15,'OTPI Scores'!C:C),'OTPI Scores'!E:E),0)="Vets",7,IFERROR(lookup(1,1/SEARCH(A15,'OTPI Scores'!C:C),'OTPI Scores'!E:E),0))</f>
        <v>5</v>
      </c>
    </row>
    <row r="16">
      <c r="A16" s="3" t="str">
        <f>IFERROR(__xludf.DUMMYFUNCTION("""COMPUTED_VALUE"""),"Janam Satra")</f>
        <v>Janam Satra</v>
      </c>
      <c r="B16" s="3">
        <f t="array" ref="B16">IF(IFERROR(lookup(1,1/SEARCH(A16,'OTPI Scores'!C:C),'OTPI Scores'!E:E),0)="Vets",7,IFERROR(lookup(1,1/SEARCH(A16,'OTPI Scores'!C:C),'OTPI Scores'!E:E),0))</f>
        <v>6</v>
      </c>
    </row>
    <row r="17">
      <c r="A17" s="3" t="str">
        <f>IFERROR(__xludf.DUMMYFUNCTION("""COMPUTED_VALUE"""),"Pearl Bakengela")</f>
        <v>Pearl Bakengela</v>
      </c>
      <c r="B17" s="3">
        <f t="array" ref="B17">IF(IFERROR(lookup(1,1/SEARCH(A17,'OTPI Scores'!C:C),'OTPI Scores'!E:E),0)="Vets",7,IFERROR(lookup(1,1/SEARCH(A17,'OTPI Scores'!C:C),'OTPI Scores'!E:E),0))</f>
        <v>6</v>
      </c>
    </row>
    <row r="18">
      <c r="A18" s="3" t="str">
        <f>IFERROR(__xludf.DUMMYFUNCTION("""COMPUTED_VALUE"""),"Mike Moon")</f>
        <v>Mike Moon</v>
      </c>
      <c r="B18" s="3">
        <f t="array" ref="B18">IF(IFERROR(lookup(1,1/SEARCH(A18,'OTPI Scores'!C:C),'OTPI Scores'!E:E),0)="Vets",7,IFERROR(lookup(1,1/SEARCH(A18,'OTPI Scores'!C:C),'OTPI Scores'!E:E),0))</f>
        <v>6</v>
      </c>
    </row>
    <row r="19">
      <c r="A19" s="3" t="str">
        <f>IFERROR(__xludf.DUMMYFUNCTION("""COMPUTED_VALUE"""),"Chris Tong")</f>
        <v>Chris Tong</v>
      </c>
      <c r="B19" s="3">
        <f t="array" ref="B19">IF(IFERROR(lookup(1,1/SEARCH(A19,'OTPI Scores'!C:C),'OTPI Scores'!E:E),0)="Vets",7,IFERROR(lookup(1,1/SEARCH(A19,'OTPI Scores'!C:C),'OTPI Scores'!E:E),0))</f>
        <v>6</v>
      </c>
    </row>
    <row r="20">
      <c r="A20" s="3" t="str">
        <f>IFERROR(__xludf.DUMMYFUNCTION("""COMPUTED_VALUE"""),"Ryan Cochrane")</f>
        <v>Ryan Cochrane</v>
      </c>
      <c r="B20" s="3">
        <f t="array" ref="B20">IF(IFERROR(lookup(1,1/SEARCH(A20,'OTPI Scores'!C:C),'OTPI Scores'!E:E),0)="Vets",7,IFERROR(lookup(1,1/SEARCH(A20,'OTPI Scores'!C:C),'OTPI Scores'!E:E),0))</f>
        <v>6</v>
      </c>
    </row>
    <row r="21">
      <c r="A21" s="3" t="str">
        <f>IFERROR(__xludf.DUMMYFUNCTION("""COMPUTED_VALUE"""),"Matt Hope")</f>
        <v>Matt Hope</v>
      </c>
      <c r="B21" s="3">
        <f t="array" ref="B21">IF(IFERROR(lookup(1,1/SEARCH(A21,'OTPI Scores'!C:C),'OTPI Scores'!E:E),0)="Vets",7,IFERROR(lookup(1,1/SEARCH(A21,'OTPI Scores'!C:C),'OTPI Scores'!E:E),0))</f>
        <v>6</v>
      </c>
    </row>
    <row r="22">
      <c r="A22" s="3" t="str">
        <f>IFERROR(__xludf.DUMMYFUNCTION("""COMPUTED_VALUE"""),"Charlie Brooks")</f>
        <v>Charlie Brooks</v>
      </c>
      <c r="B22" s="3">
        <f t="array" ref="B22">IF(IFERROR(lookup(1,1/SEARCH(A22,'OTPI Scores'!C:C),'OTPI Scores'!E:E),0)="Vets",7,IFERROR(lookup(1,1/SEARCH(A22,'OTPI Scores'!C:C),'OTPI Scores'!E:E),0))</f>
        <v>6</v>
      </c>
    </row>
    <row r="23">
      <c r="A23" s="3" t="str">
        <f>IFERROR(__xludf.DUMMYFUNCTION("""COMPUTED_VALUE"""),"Joel Wright")</f>
        <v>Joel Wright</v>
      </c>
      <c r="B23" s="3">
        <f t="array" ref="B23">IF(IFERROR(lookup(1,1/SEARCH(A23,'OTPI Scores'!C:C),'OTPI Scores'!E:E),0)="Vets",7,IFERROR(lookup(1,1/SEARCH(A23,'OTPI Scores'!C:C),'OTPI Scores'!E:E),0))</f>
        <v>5</v>
      </c>
    </row>
    <row r="24">
      <c r="A24" s="3" t="str">
        <f>IFERROR(__xludf.DUMMYFUNCTION("""COMPUTED_VALUE"""),"Sam A'Court")</f>
        <v>Sam A'Court</v>
      </c>
      <c r="B24" s="3">
        <f t="array" ref="B24">IF(IFERROR(lookup(1,1/SEARCH(A24,'OTPI Scores'!C:C),'OTPI Scores'!E:E),0)="Vets",7,IFERROR(lookup(1,1/SEARCH(A24,'OTPI Scores'!C:C),'OTPI Scores'!E:E),0))</f>
        <v>5</v>
      </c>
    </row>
    <row r="25">
      <c r="A25" s="3" t="str">
        <f>IFERROR(__xludf.DUMMYFUNCTION("""COMPUTED_VALUE"""),"Anish Philips")</f>
        <v>Anish Philips</v>
      </c>
      <c r="B25" s="3">
        <f t="array" ref="B25">IF(IFERROR(lookup(1,1/SEARCH(A25,'OTPI Scores'!C:C),'OTPI Scores'!E:E),0)="Vets",7,IFERROR(lookup(1,1/SEARCH(A25,'OTPI Scores'!C:C),'OTPI Scores'!E:E),0))</f>
        <v>4</v>
      </c>
    </row>
    <row r="26">
      <c r="A26" s="3" t="str">
        <f>IFERROR(__xludf.DUMMYFUNCTION("""COMPUTED_VALUE"""),"Nick Chimonides")</f>
        <v>Nick Chimonides</v>
      </c>
      <c r="B26" s="3">
        <f t="array" ref="B26">IF(IFERROR(lookup(1,1/SEARCH(A26,'OTPI Scores'!C:C),'OTPI Scores'!E:E),0)="Vets",7,IFERROR(lookup(1,1/SEARCH(A26,'OTPI Scores'!C:C),'OTPI Scores'!E:E),0))</f>
        <v>3</v>
      </c>
    </row>
    <row r="27">
      <c r="A27" s="3" t="str">
        <f>IFERROR(__xludf.DUMMYFUNCTION("""COMPUTED_VALUE"""),"Ben Dockerill")</f>
        <v>Ben Dockerill</v>
      </c>
      <c r="B27" s="3">
        <f t="array" ref="B27">IF(IFERROR(lookup(1,1/SEARCH(A27,'OTPI Scores'!C:C),'OTPI Scores'!E:E),0)="Vets",7,IFERROR(lookup(1,1/SEARCH(A27,'OTPI Scores'!C:C),'OTPI Scores'!E:E),0))</f>
        <v>1</v>
      </c>
    </row>
    <row r="28">
      <c r="A28" s="3" t="str">
        <f>IFERROR(__xludf.DUMMYFUNCTION("""COMPUTED_VALUE"""),"Matt Crowe")</f>
        <v>Matt Crowe</v>
      </c>
      <c r="B28" s="3">
        <f t="array" ref="B28">IF(IFERROR(lookup(1,1/SEARCH(A28,'OTPI Scores'!C:C),'OTPI Scores'!E:E),0)="Vets",7,IFERROR(lookup(1,1/SEARCH(A28,'OTPI Scores'!C:C),'OTPI Scores'!E:E),0))</f>
        <v>1</v>
      </c>
    </row>
    <row r="29">
      <c r="A29" s="3" t="str">
        <f>IFERROR(__xludf.DUMMYFUNCTION("""COMPUTED_VALUE"""),"Theo Horton")</f>
        <v>Theo Horton</v>
      </c>
      <c r="B29" s="3">
        <f t="array" ref="B29">IF(IFERROR(lookup(1,1/SEARCH(A29,'OTPI Scores'!C:C),'OTPI Scores'!E:E),0)="Vets",7,IFERROR(lookup(1,1/SEARCH(A29,'OTPI Scores'!C:C),'OTPI Scores'!E:E),0))</f>
        <v>1</v>
      </c>
    </row>
    <row r="30">
      <c r="A30" s="3" t="str">
        <f>IFERROR(__xludf.DUMMYFUNCTION("""COMPUTED_VALUE"""),"Jamie Wood")</f>
        <v>Jamie Wood</v>
      </c>
      <c r="B30" s="3">
        <f t="array" ref="B30">IF(IFERROR(lookup(1,1/SEARCH(A30,'OTPI Scores'!C:C),'OTPI Scores'!E:E),0)="Vets",7,IFERROR(lookup(1,1/SEARCH(A30,'OTPI Scores'!C:C),'OTPI Scores'!E:E),0))</f>
        <v>1</v>
      </c>
    </row>
    <row r="31">
      <c r="A31" s="3" t="str">
        <f>IFERROR(__xludf.DUMMYFUNCTION("""COMPUTED_VALUE"""),"Sam Laidler")</f>
        <v>Sam Laidler</v>
      </c>
      <c r="B31" s="3">
        <f t="array" ref="B31">IF(IFERROR(lookup(1,1/SEARCH(A31,'OTPI Scores'!C:C),'OTPI Scores'!E:E),0)="Vets",7,IFERROR(lookup(1,1/SEARCH(A31,'OTPI Scores'!C:C),'OTPI Scores'!E:E),0))</f>
        <v>7</v>
      </c>
    </row>
    <row r="32">
      <c r="A32" s="3" t="str">
        <f>IFERROR(__xludf.DUMMYFUNCTION("""COMPUTED_VALUE"""),"Matthew Thomas")</f>
        <v>Matthew Thomas</v>
      </c>
      <c r="B32" s="3">
        <f t="array" ref="B32">IF(IFERROR(lookup(1,1/SEARCH(A32,'OTPI Scores'!C:C),'OTPI Scores'!E:E),0)="Vets",7,IFERROR(lookup(1,1/SEARCH(A32,'OTPI Scores'!C:C),'OTPI Scores'!E:E),0))</f>
        <v>1</v>
      </c>
    </row>
    <row r="33">
      <c r="A33" s="3" t="str">
        <f>IFERROR(__xludf.DUMMYFUNCTION("""COMPUTED_VALUE"""),"Finn Coolen")</f>
        <v>Finn Coolen</v>
      </c>
      <c r="B33" s="3">
        <f t="array" ref="B33">IF(IFERROR(lookup(1,1/SEARCH(A33,'OTPI Scores'!C:C),'OTPI Scores'!E:E),0)="Vets",7,IFERROR(lookup(1,1/SEARCH(A33,'OTPI Scores'!C:C),'OTPI Scores'!E:E),0))</f>
        <v>2</v>
      </c>
    </row>
    <row r="34">
      <c r="A34" s="3" t="str">
        <f>IFERROR(__xludf.DUMMYFUNCTION("""COMPUTED_VALUE"""),"Stanley Timms")</f>
        <v>Stanley Timms</v>
      </c>
      <c r="B34" s="3">
        <f t="array" ref="B34">IF(IFERROR(lookup(1,1/SEARCH(A34,'OTPI Scores'!C:C),'OTPI Scores'!E:E),0)="Vets",7,IFERROR(lookup(1,1/SEARCH(A34,'OTPI Scores'!C:C),'OTPI Scores'!E:E),0))</f>
        <v>2</v>
      </c>
    </row>
    <row r="35">
      <c r="A35" s="3" t="str">
        <f>IFERROR(__xludf.DUMMYFUNCTION("""COMPUTED_VALUE"""),"James Rodriguez")</f>
        <v>James Rodriguez</v>
      </c>
      <c r="B35" s="3">
        <f t="array" ref="B35">IF(IFERROR(lookup(1,1/SEARCH(A35,'OTPI Scores'!C:C),'OTPI Scores'!E:E),0)="Vets",7,IFERROR(lookup(1,1/SEARCH(A35,'OTPI Scores'!C:C),'OTPI Scores'!E:E),0))</f>
        <v>1</v>
      </c>
    </row>
    <row r="36">
      <c r="A36" s="3" t="str">
        <f>IFERROR(__xludf.DUMMYFUNCTION("""COMPUTED_VALUE"""),"Micah Pinnock")</f>
        <v>Micah Pinnock</v>
      </c>
      <c r="B36" s="3">
        <f t="array" ref="B36">IF(IFERROR(lookup(1,1/SEARCH(A36,'OTPI Scores'!C:C),'OTPI Scores'!E:E),0)="Vets",7,IFERROR(lookup(1,1/SEARCH(A36,'OTPI Scores'!C:C),'OTPI Scores'!E:E),0))</f>
        <v>2</v>
      </c>
    </row>
    <row r="37">
      <c r="A37" s="3" t="str">
        <f>IFERROR(__xludf.DUMMYFUNCTION("""COMPUTED_VALUE"""),"Seb Curle")</f>
        <v>Seb Curle</v>
      </c>
      <c r="B37" s="3">
        <f t="array" ref="B37">IF(IFERROR(lookup(1,1/SEARCH(A37,'OTPI Scores'!C:C),'OTPI Scores'!E:E),0)="Vets",7,IFERROR(lookup(1,1/SEARCH(A37,'OTPI Scores'!C:C),'OTPI Scores'!E:E),0))</f>
        <v>2</v>
      </c>
    </row>
    <row r="38">
      <c r="A38" s="3" t="str">
        <f>IFERROR(__xludf.DUMMYFUNCTION("""COMPUTED_VALUE"""),"Harold Kiyingi")</f>
        <v>Harold Kiyingi</v>
      </c>
      <c r="B38" s="3">
        <f t="array" ref="B38">IF(IFERROR(lookup(1,1/SEARCH(A38,'OTPI Scores'!C:C),'OTPI Scores'!E:E),0)="Vets",7,IFERROR(lookup(1,1/SEARCH(A38,'OTPI Scores'!C:C),'OTPI Scores'!E:E),0))</f>
        <v>3</v>
      </c>
    </row>
    <row r="39">
      <c r="A39" s="3" t="str">
        <f>IFERROR(__xludf.DUMMYFUNCTION("""COMPUTED_VALUE"""),"Anitej Rao")</f>
        <v>Anitej Rao</v>
      </c>
      <c r="B39" s="3">
        <f t="array" ref="B39">IF(IFERROR(lookup(1,1/SEARCH(A39,'OTPI Scores'!C:C),'OTPI Scores'!E:E),0)="Vets",7,IFERROR(lookup(1,1/SEARCH(A39,'OTPI Scores'!C:C),'OTPI Scores'!E:E),0))</f>
        <v>1</v>
      </c>
    </row>
    <row r="40">
      <c r="A40" s="3" t="str">
        <f>IFERROR(__xludf.DUMMYFUNCTION("""COMPUTED_VALUE"""),"Corey Cleave")</f>
        <v>Corey Cleave</v>
      </c>
      <c r="B40" s="3">
        <f t="array" ref="B40">IF(IFERROR(lookup(1,1/SEARCH(A40,'OTPI Scores'!C:C),'OTPI Scores'!E:E),0)="Vets",7,IFERROR(lookup(1,1/SEARCH(A40,'OTPI Scores'!C:C),'OTPI Scores'!E:E),0))</f>
        <v>2</v>
      </c>
    </row>
    <row r="41">
      <c r="A41" s="3" t="str">
        <f>IFERROR(__xludf.DUMMYFUNCTION("""COMPUTED_VALUE"""),"Richard Jones")</f>
        <v>Richard Jones</v>
      </c>
      <c r="B41" s="3">
        <f t="array" ref="B41">IF(IFERROR(lookup(1,1/SEARCH(A41,'OTPI Scores'!C:C),'OTPI Scores'!E:E),0)="Vets",7,IFERROR(lookup(1,1/SEARCH(A41,'OTPI Scores'!C:C),'OTPI Scores'!E:E),0))</f>
        <v>3</v>
      </c>
    </row>
    <row r="42">
      <c r="A42" s="3" t="str">
        <f>IFERROR(__xludf.DUMMYFUNCTION("""COMPUTED_VALUE"""),"Harry Calvesbert")</f>
        <v>Harry Calvesbert</v>
      </c>
      <c r="B42" s="3">
        <f t="array" ref="B42">IF(IFERROR(lookup(1,1/SEARCH(A42,'OTPI Scores'!C:C),'OTPI Scores'!E:E),0)="Vets",7,IFERROR(lookup(1,1/SEARCH(A42,'OTPI Scores'!C:C),'OTPI Scores'!E:E),0))</f>
        <v>2</v>
      </c>
    </row>
    <row r="43">
      <c r="A43" s="3" t="str">
        <f>IFERROR(__xludf.DUMMYFUNCTION("""COMPUTED_VALUE"""),"Sean Staunton")</f>
        <v>Sean Staunton</v>
      </c>
      <c r="B43" s="3">
        <f t="array" ref="B43">IF(IFERROR(lookup(1,1/SEARCH(A43,'OTPI Scores'!C:C),'OTPI Scores'!E:E),0)="Vets",7,IFERROR(lookup(1,1/SEARCH(A43,'OTPI Scores'!C:C),'OTPI Scores'!E:E),0))</f>
        <v>2</v>
      </c>
    </row>
    <row r="44">
      <c r="A44" s="3" t="str">
        <f>IFERROR(__xludf.DUMMYFUNCTION("""COMPUTED_VALUE"""),"Will Sollory")</f>
        <v>Will Sollory</v>
      </c>
      <c r="B44" s="3">
        <f t="array" ref="B44">IF(IFERROR(lookup(1,1/SEARCH(A44,'OTPI Scores'!C:C),'OTPI Scores'!E:E),0)="Vets",7,IFERROR(lookup(1,1/SEARCH(A44,'OTPI Scores'!C:C),'OTPI Scores'!E:E),0))</f>
        <v>3</v>
      </c>
    </row>
    <row r="45">
      <c r="A45" s="3" t="str">
        <f>IFERROR(__xludf.DUMMYFUNCTION("""COMPUTED_VALUE"""),"Kevin Gonzalez")</f>
        <v>Kevin Gonzalez</v>
      </c>
      <c r="B45" s="3">
        <f t="array" ref="B45">IF(IFERROR(lookup(1,1/SEARCH(A45,'OTPI Scores'!C:C),'OTPI Scores'!E:E),0)="Vets",7,IFERROR(lookup(1,1/SEARCH(A45,'OTPI Scores'!C:C),'OTPI Scores'!E:E),0))</f>
        <v>4</v>
      </c>
    </row>
    <row r="46">
      <c r="A46" s="3" t="str">
        <f>IFERROR(__xludf.DUMMYFUNCTION("""COMPUTED_VALUE"""),"Christian Cleave")</f>
        <v>Christian Cleave</v>
      </c>
      <c r="B46" s="3">
        <f t="array" ref="B46">IF(IFERROR(lookup(1,1/SEARCH(A46,'OTPI Scores'!C:C),'OTPI Scores'!E:E),0)="Vets",7,IFERROR(lookup(1,1/SEARCH(A46,'OTPI Scores'!C:C),'OTPI Scores'!E:E),0))</f>
        <v>2</v>
      </c>
    </row>
    <row r="47">
      <c r="A47" s="3" t="str">
        <f>IFERROR(__xludf.DUMMYFUNCTION("""COMPUTED_VALUE"""),"Joe Docherty")</f>
        <v>Joe Docherty</v>
      </c>
      <c r="B47" s="3">
        <f t="array" ref="B47">IF(IFERROR(lookup(1,1/SEARCH(A47,'OTPI Scores'!C:C),'OTPI Scores'!E:E),0)="Vets",7,IFERROR(lookup(1,1/SEARCH(A47,'OTPI Scores'!C:C),'OTPI Scores'!E:E),0))</f>
        <v>2</v>
      </c>
    </row>
    <row r="48">
      <c r="A48" s="3" t="str">
        <f>IFERROR(__xludf.DUMMYFUNCTION("""COMPUTED_VALUE"""),"Nathan Baverstock")</f>
        <v>Nathan Baverstock</v>
      </c>
      <c r="B48" s="3">
        <f t="array" ref="B48">IF(IFERROR(lookup(1,1/SEARCH(A48,'OTPI Scores'!C:C),'OTPI Scores'!E:E),0)="Vets",7,IFERROR(lookup(1,1/SEARCH(A48,'OTPI Scores'!C:C),'OTPI Scores'!E:E),0))</f>
        <v>3</v>
      </c>
    </row>
    <row r="49">
      <c r="A49" s="3" t="str">
        <f>IFERROR(__xludf.DUMMYFUNCTION("""COMPUTED_VALUE"""),"Gaz Wheldale")</f>
        <v>Gaz Wheldale</v>
      </c>
      <c r="B49" s="3">
        <f t="array" ref="B49">IF(IFERROR(lookup(1,1/SEARCH(A49,'OTPI Scores'!C:C),'OTPI Scores'!E:E),0)="Vets",7,IFERROR(lookup(1,1/SEARCH(A49,'OTPI Scores'!C:C),'OTPI Scores'!E:E),0))</f>
        <v>3</v>
      </c>
    </row>
    <row r="50">
      <c r="A50" s="3" t="str">
        <f>IFERROR(__xludf.DUMMYFUNCTION("""COMPUTED_VALUE"""),"Will French")</f>
        <v>Will French</v>
      </c>
      <c r="B50" s="3">
        <f t="array" ref="B50">IF(IFERROR(lookup(1,1/SEARCH(A50,'OTPI Scores'!C:C),'OTPI Scores'!E:E),0)="Vets",7,IFERROR(lookup(1,1/SEARCH(A50,'OTPI Scores'!C:C),'OTPI Scores'!E:E),0))</f>
        <v>3</v>
      </c>
    </row>
    <row r="51">
      <c r="A51" s="3" t="str">
        <f>IFERROR(__xludf.DUMMYFUNCTION("""COMPUTED_VALUE"""),"Tali Kiwanuka")</f>
        <v>Tali Kiwanuka</v>
      </c>
      <c r="B51" s="3">
        <f t="array" ref="B51">IF(IFERROR(lookup(1,1/SEARCH(A51,'OTPI Scores'!C:C),'OTPI Scores'!E:E),0)="Vets",7,IFERROR(lookup(1,1/SEARCH(A51,'OTPI Scores'!C:C),'OTPI Scores'!E:E),0))</f>
        <v>6</v>
      </c>
    </row>
    <row r="52">
      <c r="A52" s="3" t="str">
        <f>IFERROR(__xludf.DUMMYFUNCTION("""COMPUTED_VALUE"""),"Nikolay Machev")</f>
        <v>Nikolay Machev</v>
      </c>
      <c r="B52" s="3">
        <f t="array" ref="B52">IF(IFERROR(lookup(1,1/SEARCH(A52,'OTPI Scores'!C:C),'OTPI Scores'!E:E),0)="Vets",7,IFERROR(lookup(1,1/SEARCH(A52,'OTPI Scores'!C:C),'OTPI Scores'!E:E),0))</f>
        <v>6</v>
      </c>
    </row>
    <row r="53">
      <c r="A53" s="3" t="str">
        <f>IFERROR(__xludf.DUMMYFUNCTION("""COMPUTED_VALUE"""),"Jack Harris")</f>
        <v>Jack Harris</v>
      </c>
      <c r="B53" s="3">
        <f t="array" ref="B53">IF(IFERROR(lookup(1,1/SEARCH(A53,'OTPI Scores'!C:C),'OTPI Scores'!E:E),0)="Vets",7,IFERROR(lookup(1,1/SEARCH(A53,'OTPI Scores'!C:C),'OTPI Scores'!E:E),0))</f>
        <v>5</v>
      </c>
    </row>
    <row r="54">
      <c r="A54" s="3" t="str">
        <f>IFERROR(__xludf.DUMMYFUNCTION("""COMPUTED_VALUE"""),"Nathan Davis")</f>
        <v>Nathan Davis</v>
      </c>
      <c r="B54" s="3">
        <f t="array" ref="B54">IF(IFERROR(lookup(1,1/SEARCH(A54,'OTPI Scores'!C:C),'OTPI Scores'!E:E),0)="Vets",7,IFERROR(lookup(1,1/SEARCH(A54,'OTPI Scores'!C:C),'OTPI Scores'!E:E),0))</f>
        <v>2</v>
      </c>
    </row>
    <row r="55">
      <c r="A55" s="3" t="str">
        <f>IFERROR(__xludf.DUMMYFUNCTION("""COMPUTED_VALUE"""),"Alex Scott-Ruddock")</f>
        <v>Alex Scott-Ruddock</v>
      </c>
      <c r="B55" s="3">
        <f t="array" ref="B55">IF(IFERROR(lookup(1,1/SEARCH(A55,'OTPI Scores'!C:C),'OTPI Scores'!E:E),0)="Vets",7,IFERROR(lookup(1,1/SEARCH(A55,'OTPI Scores'!C:C),'OTPI Scores'!E:E),0))</f>
        <v>5</v>
      </c>
    </row>
    <row r="56">
      <c r="A56" s="3" t="str">
        <f>IFERROR(__xludf.DUMMYFUNCTION("""COMPUTED_VALUE"""),"Cameron Hildebrandt-Brooks")</f>
        <v>Cameron Hildebrandt-Brooks</v>
      </c>
      <c r="B56" s="3">
        <f t="array" ref="B56">IF(IFERROR(lookup(1,1/SEARCH(A56,'OTPI Scores'!C:C),'OTPI Scores'!E:E),0)="Vets",7,IFERROR(lookup(1,1/SEARCH(A56,'OTPI Scores'!C:C),'OTPI Scores'!E:E),0))</f>
        <v>6</v>
      </c>
    </row>
    <row r="57">
      <c r="A57" s="3" t="str">
        <f>IFERROR(__xludf.DUMMYFUNCTION("""COMPUTED_VALUE"""),"Aidan Byrne")</f>
        <v>Aidan Byrne</v>
      </c>
      <c r="B57" s="3">
        <f t="array" ref="B57">IF(IFERROR(lookup(1,1/SEARCH(A57,'OTPI Scores'!C:C),'OTPI Scores'!E:E),0)="Vets",7,IFERROR(lookup(1,1/SEARCH(A57,'OTPI Scores'!C:C),'OTPI Scores'!E:E),0))</f>
        <v>5</v>
      </c>
    </row>
    <row r="58">
      <c r="A58" s="3" t="str">
        <f>IFERROR(__xludf.DUMMYFUNCTION("""COMPUTED_VALUE"""),"Colin Paterson")</f>
        <v>Colin Paterson</v>
      </c>
      <c r="B58" s="3">
        <f t="array" ref="B58">IF(IFERROR(lookup(1,1/SEARCH(A58,'OTPI Scores'!C:C),'OTPI Scores'!E:E),0)="Vets",7,IFERROR(lookup(1,1/SEARCH(A58,'OTPI Scores'!C:C),'OTPI Scores'!E:E),0))</f>
        <v>5</v>
      </c>
    </row>
    <row r="59">
      <c r="A59" s="3" t="str">
        <f>IFERROR(__xludf.DUMMYFUNCTION("""COMPUTED_VALUE"""),"Ollie Eldridge")</f>
        <v>Ollie Eldridge</v>
      </c>
      <c r="B59" s="3">
        <f t="array" ref="B59">IF(IFERROR(lookup(1,1/SEARCH(A59,'OTPI Scores'!C:C),'OTPI Scores'!E:E),0)="Vets",7,IFERROR(lookup(1,1/SEARCH(A59,'OTPI Scores'!C:C),'OTPI Scores'!E:E),0))</f>
        <v>5</v>
      </c>
    </row>
    <row r="60">
      <c r="A60" s="3" t="str">
        <f>IFERROR(__xludf.DUMMYFUNCTION("""COMPUTED_VALUE"""),"Magno Pinto")</f>
        <v>Magno Pinto</v>
      </c>
      <c r="B60" s="3">
        <f t="array" ref="B60">IF(IFERROR(lookup(1,1/SEARCH(A60,'OTPI Scores'!C:C),'OTPI Scores'!E:E),0)="Vets",7,IFERROR(lookup(1,1/SEARCH(A60,'OTPI Scores'!C:C),'OTPI Scores'!E:E),0))</f>
        <v>6</v>
      </c>
    </row>
    <row r="61">
      <c r="A61" s="3" t="str">
        <f>IFERROR(__xludf.DUMMYFUNCTION("""COMPUTED_VALUE"""),"Daniel Salazar Ponce")</f>
        <v>Daniel Salazar Ponce</v>
      </c>
      <c r="B61" s="3">
        <f t="array" ref="B61">IF(IFERROR(lookup(1,1/SEARCH(A61,'OTPI Scores'!C:C),'OTPI Scores'!E:E),0)="Vets",7,IFERROR(lookup(1,1/SEARCH(A61,'OTPI Scores'!C:C),'OTPI Scores'!E:E),0))</f>
        <v>5</v>
      </c>
    </row>
    <row r="62">
      <c r="A62" s="3" t="str">
        <f>IFERROR(__xludf.DUMMYFUNCTION("""COMPUTED_VALUE"""),"Pierce Bennett")</f>
        <v>Pierce Bennett</v>
      </c>
      <c r="B62" s="3">
        <f t="array" ref="B62">IF(IFERROR(lookup(1,1/SEARCH(A62,'OTPI Scores'!C:C),'OTPI Scores'!E:E),0)="Vets",7,IFERROR(lookup(1,1/SEARCH(A62,'OTPI Scores'!C:C),'OTPI Scores'!E:E),0))</f>
        <v>6</v>
      </c>
    </row>
    <row r="63">
      <c r="A63" s="3" t="str">
        <f>IFERROR(__xludf.DUMMYFUNCTION("""COMPUTED_VALUE"""),"Ben Himpe")</f>
        <v>Ben Himpe</v>
      </c>
      <c r="B63" s="3">
        <f t="array" ref="B63">IF(IFERROR(lookup(1,1/SEARCH(A63,'OTPI Scores'!C:C),'OTPI Scores'!E:E),0)="Vets",7,IFERROR(lookup(1,1/SEARCH(A63,'OTPI Scores'!C:C),'OTPI Scores'!E:E),0))</f>
        <v>3</v>
      </c>
    </row>
    <row r="64">
      <c r="A64" s="3" t="str">
        <f>IFERROR(__xludf.DUMMYFUNCTION("""COMPUTED_VALUE"""),"Richard Scott")</f>
        <v>Richard Scott</v>
      </c>
      <c r="B64" s="3">
        <f t="array" ref="B64">IF(IFERROR(lookup(1,1/SEARCH(A64,'OTPI Scores'!C:C),'OTPI Scores'!E:E),0)="Vets",7,IFERROR(lookup(1,1/SEARCH(A64,'OTPI Scores'!C:C),'OTPI Scores'!E:E),0))</f>
        <v>7</v>
      </c>
    </row>
    <row r="65">
      <c r="A65" s="3" t="str">
        <f>IFERROR(__xludf.DUMMYFUNCTION("""COMPUTED_VALUE"""),"Denver Lalonde")</f>
        <v>Denver Lalonde</v>
      </c>
      <c r="B65" s="3">
        <f t="array" ref="B65">IF(IFERROR(lookup(1,1/SEARCH(A65,'OTPI Scores'!C:C),'OTPI Scores'!E:E),0)="Vets",7,IFERROR(lookup(1,1/SEARCH(A65,'OTPI Scores'!C:C),'OTPI Scores'!E:E),0))</f>
        <v>3</v>
      </c>
    </row>
    <row r="66">
      <c r="A66" s="3" t="str">
        <f>IFERROR(__xludf.DUMMYFUNCTION("""COMPUTED_VALUE"""),"Ade Lawal")</f>
        <v>Ade Lawal</v>
      </c>
      <c r="B66" s="3">
        <f t="array" ref="B66">IF(IFERROR(lookup(1,1/SEARCH(A66,'OTPI Scores'!C:C),'OTPI Scores'!E:E),0)="Vets",7,IFERROR(lookup(1,1/SEARCH(A66,'OTPI Scores'!C:C),'OTPI Scores'!E:E),0))</f>
        <v>6</v>
      </c>
    </row>
    <row r="67">
      <c r="A67" s="3" t="str">
        <f>IFERROR(__xludf.DUMMYFUNCTION("""COMPUTED_VALUE"""),"Chris Douthwaite")</f>
        <v>Chris Douthwaite</v>
      </c>
      <c r="B67" s="3">
        <f t="array" ref="B67">IF(IFERROR(lookup(1,1/SEARCH(A67,'OTPI Scores'!C:C),'OTPI Scores'!E:E),0)="Vets",7,IFERROR(lookup(1,1/SEARCH(A67,'OTPI Scores'!C:C),'OTPI Scores'!E:E),0))</f>
        <v>3</v>
      </c>
    </row>
    <row r="68">
      <c r="A68" s="3" t="str">
        <f>IFERROR(__xludf.DUMMYFUNCTION("""COMPUTED_VALUE"""),"Dan Russell")</f>
        <v>Dan Russell</v>
      </c>
      <c r="B68" s="3">
        <f t="array" ref="B68">IF(IFERROR(lookup(1,1/SEARCH(A68,'OTPI Scores'!C:C),'OTPI Scores'!E:E),0)="Vets",7,IFERROR(lookup(1,1/SEARCH(A68,'OTPI Scores'!C:C),'OTPI Scores'!E:E),0))</f>
        <v>3</v>
      </c>
    </row>
    <row r="69">
      <c r="A69" s="3" t="str">
        <f>IFERROR(__xludf.DUMMYFUNCTION("""COMPUTED_VALUE"""),"Ismail Wall")</f>
        <v>Ismail Wall</v>
      </c>
      <c r="B69" s="3">
        <f t="array" ref="B69">IF(IFERROR(lookup(1,1/SEARCH(A69,'OTPI Scores'!C:C),'OTPI Scores'!E:E),0)="Vets",7,IFERROR(lookup(1,1/SEARCH(A69,'OTPI Scores'!C:C),'OTPI Scores'!E:E),0))</f>
        <v>3</v>
      </c>
    </row>
    <row r="70">
      <c r="A70" s="3" t="str">
        <f>IFERROR(__xludf.DUMMYFUNCTION("""COMPUTED_VALUE"""),"Mileek Delisser")</f>
        <v>Mileek Delisser</v>
      </c>
      <c r="B70" s="3">
        <f t="array" ref="B70">IF(IFERROR(lookup(1,1/SEARCH(A70,'OTPI Scores'!C:C),'OTPI Scores'!E:E),0)="Vets",7,IFERROR(lookup(1,1/SEARCH(A70,'OTPI Scores'!C:C),'OTPI Scores'!E:E),0))</f>
        <v>3</v>
      </c>
    </row>
    <row r="71">
      <c r="A71" s="3" t="str">
        <f>IFERROR(__xludf.DUMMYFUNCTION("""COMPUTED_VALUE"""),"Rich Lundie")</f>
        <v>Rich Lundie</v>
      </c>
      <c r="B71" s="3">
        <f t="array" ref="B71">IF(IFERROR(lookup(1,1/SEARCH(A71,'OTPI Scores'!C:C),'OTPI Scores'!E:E),0)="Vets",7,IFERROR(lookup(1,1/SEARCH(A71,'OTPI Scores'!C:C),'OTPI Scores'!E:E),0))</f>
        <v>3</v>
      </c>
    </row>
    <row r="72">
      <c r="A72" s="3" t="str">
        <f>IFERROR(__xludf.DUMMYFUNCTION("""COMPUTED_VALUE"""),"Rob Pritchard-Jones")</f>
        <v>Rob Pritchard-Jones</v>
      </c>
      <c r="B72" s="3">
        <f t="array" ref="B72">IF(IFERROR(lookup(1,1/SEARCH(A72,'OTPI Scores'!C:C),'OTPI Scores'!E:E),0)="Vets",7,IFERROR(lookup(1,1/SEARCH(A72,'OTPI Scores'!C:C),'OTPI Scores'!E:E),0))</f>
        <v>3</v>
      </c>
    </row>
    <row r="73">
      <c r="A73" s="3" t="str">
        <f>IFERROR(__xludf.DUMMYFUNCTION("""COMPUTED_VALUE"""),"Martin Goodson")</f>
        <v>Martin Goodson</v>
      </c>
      <c r="B73" s="3">
        <f t="array" ref="B73">IF(IFERROR(lookup(1,1/SEARCH(A73,'OTPI Scores'!C:C),'OTPI Scores'!E:E),0)="Vets",7,IFERROR(lookup(1,1/SEARCH(A73,'OTPI Scores'!C:C),'OTPI Scores'!E:E),0))</f>
        <v>6</v>
      </c>
    </row>
    <row r="74">
      <c r="A74" s="3" t="str">
        <f>IFERROR(__xludf.DUMMYFUNCTION("""COMPUTED_VALUE"""),"Joe Tanner")</f>
        <v>Joe Tanner</v>
      </c>
      <c r="B74" s="3">
        <f t="array" ref="B74">IF(IFERROR(lookup(1,1/SEARCH(A74,'OTPI Scores'!C:C),'OTPI Scores'!E:E),0)="Vets",7,IFERROR(lookup(1,1/SEARCH(A74,'OTPI Scores'!C:C),'OTPI Scores'!E:E),0))</f>
        <v>5</v>
      </c>
    </row>
    <row r="75">
      <c r="A75" s="3" t="str">
        <f>IFERROR(__xludf.DUMMYFUNCTION("""COMPUTED_VALUE"""),"Kolawole Kehinde")</f>
        <v>Kolawole Kehinde</v>
      </c>
      <c r="B75" s="3">
        <f t="array" ref="B75">IF(IFERROR(lookup(1,1/SEARCH(A75,'OTPI Scores'!C:C),'OTPI Scores'!E:E),0)="Vets",7,IFERROR(lookup(1,1/SEARCH(A75,'OTPI Scores'!C:C),'OTPI Scores'!E:E),0))</f>
        <v>4</v>
      </c>
    </row>
    <row r="76">
      <c r="A76" s="3" t="str">
        <f>IFERROR(__xludf.DUMMYFUNCTION("""COMPUTED_VALUE"""),"Gus Neill")</f>
        <v>Gus Neill</v>
      </c>
      <c r="B76" s="3">
        <f t="array" ref="B76">IF(IFERROR(lookup(1,1/SEARCH(A76,'OTPI Scores'!C:C),'OTPI Scores'!E:E),0)="Vets",7,IFERROR(lookup(1,1/SEARCH(A76,'OTPI Scores'!C:C),'OTPI Scores'!E:E),0))</f>
        <v>4</v>
      </c>
    </row>
    <row r="77">
      <c r="A77" s="3" t="str">
        <f>IFERROR(__xludf.DUMMYFUNCTION("""COMPUTED_VALUE"""),"Stu Halliday")</f>
        <v>Stu Halliday</v>
      </c>
      <c r="B77" s="3">
        <f t="array" ref="B77">IF(IFERROR(lookup(1,1/SEARCH(A77,'OTPI Scores'!C:C),'OTPI Scores'!E:E),0)="Vets",7,IFERROR(lookup(1,1/SEARCH(A77,'OTPI Scores'!C:C),'OTPI Scores'!E:E),0))</f>
        <v>7</v>
      </c>
    </row>
    <row r="78">
      <c r="A78" s="3" t="str">
        <f>IFERROR(__xludf.DUMMYFUNCTION("""COMPUTED_VALUE"""),"Kye Williams")</f>
        <v>Kye Williams</v>
      </c>
      <c r="B78" s="3">
        <f t="array" ref="B78">IF(IFERROR(lookup(1,1/SEARCH(A78,'OTPI Scores'!C:C),'OTPI Scores'!E:E),0)="Vets",7,IFERROR(lookup(1,1/SEARCH(A78,'OTPI Scores'!C:C),'OTPI Scores'!E:E),0))</f>
        <v>3</v>
      </c>
    </row>
    <row r="79">
      <c r="A79" s="3" t="str">
        <f>IFERROR(__xludf.DUMMYFUNCTION("""COMPUTED_VALUE"""),"Anthony Ball")</f>
        <v>Anthony Ball</v>
      </c>
      <c r="B79" s="3">
        <f t="array" ref="B79">IF(IFERROR(lookup(1,1/SEARCH(A79,'OTPI Scores'!C:C),'OTPI Scores'!E:E),0)="Vets",7,IFERROR(lookup(1,1/SEARCH(A79,'OTPI Scores'!C:C),'OTPI Scores'!E:E),0))</f>
        <v>5</v>
      </c>
    </row>
    <row r="80">
      <c r="A80" s="3" t="str">
        <f>IFERROR(__xludf.DUMMYFUNCTION("""COMPUTED_VALUE"""),"Dereece Pinder")</f>
        <v>Dereece Pinder</v>
      </c>
      <c r="B80" s="3">
        <f t="array" ref="B80">IF(IFERROR(lookup(1,1/SEARCH(A80,'OTPI Scores'!C:C),'OTPI Scores'!E:E),0)="Vets",7,IFERROR(lookup(1,1/SEARCH(A80,'OTPI Scores'!C:C),'OTPI Scores'!E:E),0))</f>
        <v>6</v>
      </c>
    </row>
    <row r="81">
      <c r="A81" s="3" t="str">
        <f>IFERROR(__xludf.DUMMYFUNCTION("""COMPUTED_VALUE"""),"Leuman Coronado")</f>
        <v>Leuman Coronado</v>
      </c>
      <c r="B81" s="3">
        <f t="array" ref="B81">IF(IFERROR(lookup(1,1/SEARCH(A81,'OTPI Scores'!C:C),'OTPI Scores'!E:E),0)="Vets",7,IFERROR(lookup(1,1/SEARCH(A81,'OTPI Scores'!C:C),'OTPI Scores'!E:E),0))</f>
        <v>6</v>
      </c>
    </row>
    <row r="82">
      <c r="A82" s="3" t="str">
        <f>IFERROR(__xludf.DUMMYFUNCTION("""COMPUTED_VALUE"""),"Fraser Wylie")</f>
        <v>Fraser Wylie</v>
      </c>
      <c r="B82" s="3">
        <f t="array" ref="B82">IF(IFERROR(lookup(1,1/SEARCH(A82,'OTPI Scores'!C:C),'OTPI Scores'!E:E),0)="Vets",7,IFERROR(lookup(1,1/SEARCH(A82,'OTPI Scores'!C:C),'OTPI Scores'!E:E),0))</f>
        <v>6</v>
      </c>
    </row>
    <row r="83">
      <c r="A83" s="3" t="str">
        <f>IFERROR(__xludf.DUMMYFUNCTION("""COMPUTED_VALUE"""),"Harry Fripp")</f>
        <v>Harry Fripp</v>
      </c>
      <c r="B83" s="3">
        <f t="array" ref="B83">IF(IFERROR(lookup(1,1/SEARCH(A83,'OTPI Scores'!C:C),'OTPI Scores'!E:E),0)="Vets",7,IFERROR(lookup(1,1/SEARCH(A83,'OTPI Scores'!C:C),'OTPI Scores'!E:E),0))</f>
        <v>5</v>
      </c>
    </row>
    <row r="84">
      <c r="A84" s="3" t="str">
        <f>IFERROR(__xludf.DUMMYFUNCTION("""COMPUTED_VALUE"""),"Calum Edwards")</f>
        <v>Calum Edwards</v>
      </c>
      <c r="B84" s="3">
        <f t="array" ref="B84">IF(IFERROR(lookup(1,1/SEARCH(A84,'OTPI Scores'!C:C),'OTPI Scores'!E:E),0)="Vets",7,IFERROR(lookup(1,1/SEARCH(A84,'OTPI Scores'!C:C),'OTPI Scores'!E:E),0))</f>
        <v>6</v>
      </c>
    </row>
    <row r="85">
      <c r="A85" s="3" t="str">
        <f>IFERROR(__xludf.DUMMYFUNCTION("""COMPUTED_VALUE"""),"Christian Roach")</f>
        <v>Christian Roach</v>
      </c>
      <c r="B85" s="3">
        <f t="array" ref="B85">IF(IFERROR(lookup(1,1/SEARCH(A85,'OTPI Scores'!C:C),'OTPI Scores'!E:E),0)="Vets",7,IFERROR(lookup(1,1/SEARCH(A85,'OTPI Scores'!C:C),'OTPI Scores'!E:E),0))</f>
        <v>6</v>
      </c>
    </row>
    <row r="86">
      <c r="A86" s="3" t="str">
        <f>IFERROR(__xludf.DUMMYFUNCTION("""COMPUTED_VALUE"""),"Josh Billings")</f>
        <v>Josh Billings</v>
      </c>
      <c r="B86" s="3">
        <f t="array" ref="B86">IF(IFERROR(lookup(1,1/SEARCH(A86,'OTPI Scores'!C:C),'OTPI Scores'!E:E),0)="Vets",7,IFERROR(lookup(1,1/SEARCH(A86,'OTPI Scores'!C:C),'OTPI Scores'!E:E),0))</f>
        <v>5</v>
      </c>
    </row>
    <row r="87">
      <c r="A87" s="3" t="str">
        <f>IFERROR(__xludf.DUMMYFUNCTION("""COMPUTED_VALUE"""),"Nassim Sandjakeddine")</f>
        <v>Nassim Sandjakeddine</v>
      </c>
      <c r="B87" s="3">
        <f t="array" ref="B87">IF(IFERROR(lookup(1,1/SEARCH(A87,'OTPI Scores'!C:C),'OTPI Scores'!E:E),0)="Vets",7,IFERROR(lookup(1,1/SEARCH(A87,'OTPI Scores'!C:C),'OTPI Scores'!E:E),0))</f>
        <v>5</v>
      </c>
    </row>
    <row r="88">
      <c r="A88" s="3" t="str">
        <f>IFERROR(__xludf.DUMMYFUNCTION("""COMPUTED_VALUE"""),"Jason Heath")</f>
        <v>Jason Heath</v>
      </c>
      <c r="B88" s="3">
        <f t="array" ref="B88">IF(IFERROR(lookup(1,1/SEARCH(A88,'OTPI Scores'!C:C),'OTPI Scores'!E:E),0)="Vets",7,IFERROR(lookup(1,1/SEARCH(A88,'OTPI Scores'!C:C),'OTPI Scores'!E:E),0))</f>
        <v>6</v>
      </c>
    </row>
    <row r="89">
      <c r="A89" s="3" t="str">
        <f>IFERROR(__xludf.DUMMYFUNCTION("""COMPUTED_VALUE"""),"Ellis Forrester")</f>
        <v>Ellis Forrester</v>
      </c>
      <c r="B89" s="3">
        <f t="array" ref="B89">IF(IFERROR(lookup(1,1/SEARCH(A89,'OTPI Scores'!C:C),'OTPI Scores'!E:E),0)="Vets",7,IFERROR(lookup(1,1/SEARCH(A89,'OTPI Scores'!C:C),'OTPI Scores'!E:E),0))</f>
        <v>6</v>
      </c>
    </row>
    <row r="90">
      <c r="A90" s="3" t="str">
        <f>IFERROR(__xludf.DUMMYFUNCTION("""COMPUTED_VALUE"""),"Peter Green")</f>
        <v>Peter Green</v>
      </c>
      <c r="B90" s="3">
        <f t="array" ref="B90">IF(IFERROR(lookup(1,1/SEARCH(A90,'OTPI Scores'!C:C),'OTPI Scores'!E:E),0)="Vets",7,IFERROR(lookup(1,1/SEARCH(A90,'OTPI Scores'!C:C),'OTPI Scores'!E:E),0))</f>
        <v>6</v>
      </c>
    </row>
    <row r="91">
      <c r="A91" s="3" t="str">
        <f>IFERROR(__xludf.DUMMYFUNCTION("""COMPUTED_VALUE"""),"Jerome Goncalves")</f>
        <v>Jerome Goncalves</v>
      </c>
      <c r="B91" s="3">
        <f t="array" ref="B91">IF(IFERROR(lookup(1,1/SEARCH(A91,'OTPI Scores'!C:C),'OTPI Scores'!E:E),0)="Vets",7,IFERROR(lookup(1,1/SEARCH(A91,'OTPI Scores'!C:C),'OTPI Scores'!E:E),0))</f>
        <v>6</v>
      </c>
    </row>
    <row r="92">
      <c r="A92" s="3" t="str">
        <f>IFERROR(__xludf.DUMMYFUNCTION("""COMPUTED_VALUE"""),"Niall Wootten")</f>
        <v>Niall Wootten</v>
      </c>
      <c r="B92" s="3">
        <f t="array" ref="B92">IF(IFERROR(lookup(1,1/SEARCH(A92,'OTPI Scores'!C:C),'OTPI Scores'!E:E),0)="Vets",7,IFERROR(lookup(1,1/SEARCH(A92,'OTPI Scores'!C:C),'OTPI Scores'!E:E),0))</f>
        <v>6</v>
      </c>
    </row>
    <row r="93">
      <c r="A93" s="3" t="str">
        <f>IFERROR(__xludf.DUMMYFUNCTION("""COMPUTED_VALUE"""),"Ciaran Curran")</f>
        <v>Ciaran Curran</v>
      </c>
      <c r="B93" s="3">
        <f t="array" ref="B93">IF(IFERROR(lookup(1,1/SEARCH(A93,'OTPI Scores'!C:C),'OTPI Scores'!E:E),0)="Vets",7,IFERROR(lookup(1,1/SEARCH(A93,'OTPI Scores'!C:C),'OTPI Scores'!E:E),0))</f>
        <v>5</v>
      </c>
    </row>
    <row r="94">
      <c r="A94" s="3" t="str">
        <f>IFERROR(__xludf.DUMMYFUNCTION("""COMPUTED_VALUE"""),"John Harrison")</f>
        <v>John Harrison</v>
      </c>
      <c r="B94" s="3">
        <f t="array" ref="B94">IF(IFERROR(lookup(1,1/SEARCH(A94,'OTPI Scores'!C:C),'OTPI Scores'!E:E),0)="Vets",7,IFERROR(lookup(1,1/SEARCH(A94,'OTPI Scores'!C:C),'OTPI Scores'!E:E),0))</f>
        <v>1</v>
      </c>
    </row>
    <row r="95">
      <c r="A95" s="3" t="str">
        <f>IFERROR(__xludf.DUMMYFUNCTION("""COMPUTED_VALUE"""),"Paul Ball")</f>
        <v>Paul Ball</v>
      </c>
      <c r="B95" s="3">
        <f t="array" ref="B95">IF(IFERROR(lookup(1,1/SEARCH(A95,'OTPI Scores'!C:C),'OTPI Scores'!E:E),0)="Vets",7,IFERROR(lookup(1,1/SEARCH(A95,'OTPI Scores'!C:C),'OTPI Scores'!E:E),0))</f>
        <v>2</v>
      </c>
    </row>
    <row r="96">
      <c r="A96" s="3" t="str">
        <f>IFERROR(__xludf.DUMMYFUNCTION("""COMPUTED_VALUE"""),"Connor White")</f>
        <v>Connor White</v>
      </c>
      <c r="B96" s="3">
        <f t="array" ref="B96">IF(IFERROR(lookup(1,1/SEARCH(A96,'OTPI Scores'!C:C),'OTPI Scores'!E:E),0)="Vets",7,IFERROR(lookup(1,1/SEARCH(A96,'OTPI Scores'!C:C),'OTPI Scores'!E:E),0))</f>
        <v>2</v>
      </c>
    </row>
    <row r="97">
      <c r="A97" s="3" t="str">
        <f>IFERROR(__xludf.DUMMYFUNCTION("""COMPUTED_VALUE"""),"Billy Mclean")</f>
        <v>Billy Mclean</v>
      </c>
      <c r="B97" s="3">
        <f t="array" ref="B97">IF(IFERROR(lookup(1,1/SEARCH(A97,'OTPI Scores'!C:C),'OTPI Scores'!E:E),0)="Vets",7,IFERROR(lookup(1,1/SEARCH(A97,'OTPI Scores'!C:C),'OTPI Scores'!E:E),0))</f>
        <v>1</v>
      </c>
    </row>
    <row r="98">
      <c r="A98" s="3" t="str">
        <f>IFERROR(__xludf.DUMMYFUNCTION("""COMPUTED_VALUE"""),"Jonny Simmons")</f>
        <v>Jonny Simmons</v>
      </c>
      <c r="B98" s="3">
        <f t="array" ref="B98">IF(IFERROR(lookup(1,1/SEARCH(A98,'OTPI Scores'!C:C),'OTPI Scores'!E:E),0)="Vets",7,IFERROR(lookup(1,1/SEARCH(A98,'OTPI Scores'!C:C),'OTPI Scores'!E:E),0))</f>
        <v>3</v>
      </c>
    </row>
    <row r="99">
      <c r="A99" s="3" t="str">
        <f>IFERROR(__xludf.DUMMYFUNCTION("""COMPUTED_VALUE"""),"Tom Riley")</f>
        <v>Tom Riley</v>
      </c>
      <c r="B99" s="3">
        <f t="array" ref="B99">IF(IFERROR(lookup(1,1/SEARCH(A99,'OTPI Scores'!C:C),'OTPI Scores'!E:E),0)="Vets",7,IFERROR(lookup(1,1/SEARCH(A99,'OTPI Scores'!C:C),'OTPI Scores'!E:E),0))</f>
        <v>2</v>
      </c>
    </row>
    <row r="100">
      <c r="A100" s="3" t="str">
        <f>IFERROR(__xludf.DUMMYFUNCTION("""COMPUTED_VALUE"""),"Deji Ogunyemi")</f>
        <v>Deji Ogunyemi</v>
      </c>
      <c r="B100" s="3">
        <f t="array" ref="B100">IF(IFERROR(lookup(1,1/SEARCH(A100,'OTPI Scores'!C:C),'OTPI Scores'!E:E),0)="Vets",7,IFERROR(lookup(1,1/SEARCH(A100,'OTPI Scores'!C:C),'OTPI Scores'!E:E),0))</f>
        <v>5</v>
      </c>
    </row>
    <row r="101">
      <c r="A101" s="3" t="str">
        <f>IFERROR(__xludf.DUMMYFUNCTION("""COMPUTED_VALUE"""),"Alex Dockerill")</f>
        <v>Alex Dockerill</v>
      </c>
      <c r="B101" s="3">
        <f t="array" ref="B101">IF(IFERROR(lookup(1,1/SEARCH(A101,'OTPI Scores'!C:C),'OTPI Scores'!E:E),0)="Vets",7,IFERROR(lookup(1,1/SEARCH(A101,'OTPI Scores'!C:C),'OTPI Scores'!E:E),0))</f>
        <v>2</v>
      </c>
    </row>
    <row r="102">
      <c r="A102" s="3" t="str">
        <f>IFERROR(__xludf.DUMMYFUNCTION("""COMPUTED_VALUE"""),"Jordan Davis")</f>
        <v>Jordan Davis</v>
      </c>
      <c r="B102" s="3">
        <f t="array" ref="B102">IF(IFERROR(lookup(1,1/SEARCH(A102,'OTPI Scores'!C:C),'OTPI Scores'!E:E),0)="Vets",7,IFERROR(lookup(1,1/SEARCH(A102,'OTPI Scores'!C:C),'OTPI Scores'!E:E),0))</f>
        <v>3</v>
      </c>
    </row>
    <row r="103">
      <c r="A103" s="3" t="str">
        <f>IFERROR(__xludf.DUMMYFUNCTION("""COMPUTED_VALUE"""),"Keaton Cohen")</f>
        <v>Keaton Cohen</v>
      </c>
      <c r="B103" s="3">
        <f t="array" ref="B103">IF(IFERROR(lookup(1,1/SEARCH(A103,'OTPI Scores'!C:C),'OTPI Scores'!E:E),0)="Vets",7,IFERROR(lookup(1,1/SEARCH(A103,'OTPI Scores'!C:C),'OTPI Scores'!E:E),0))</f>
        <v>1</v>
      </c>
    </row>
    <row r="104">
      <c r="A104" s="3" t="str">
        <f>IFERROR(__xludf.DUMMYFUNCTION("""COMPUTED_VALUE"""),"Josh Sherriff-Jolly")</f>
        <v>Josh Sherriff-Jolly</v>
      </c>
      <c r="B104" s="3">
        <f t="array" ref="B104">IF(IFERROR(lookup(1,1/SEARCH(A104,'OTPI Scores'!C:C),'OTPI Scores'!E:E),0)="Vets",7,IFERROR(lookup(1,1/SEARCH(A104,'OTPI Scores'!C:C),'OTPI Scores'!E:E),0))</f>
        <v>1</v>
      </c>
    </row>
    <row r="105">
      <c r="A105" s="3" t="str">
        <f>IFERROR(__xludf.DUMMYFUNCTION("""COMPUTED_VALUE"""),"Jarvis Cheek")</f>
        <v>Jarvis Cheek</v>
      </c>
      <c r="B105" s="3">
        <f t="array" ref="B105">IF(IFERROR(lookup(1,1/SEARCH(A105,'OTPI Scores'!C:C),'OTPI Scores'!E:E),0)="Vets",7,IFERROR(lookup(1,1/SEARCH(A105,'OTPI Scores'!C:C),'OTPI Scores'!E:E),0))</f>
        <v>1</v>
      </c>
    </row>
    <row r="106">
      <c r="A106" s="3" t="str">
        <f>IFERROR(__xludf.DUMMYFUNCTION("""COMPUTED_VALUE"""),"Reiss Hutton")</f>
        <v>Reiss Hutton</v>
      </c>
      <c r="B106" s="3">
        <f t="array" ref="B106">IF(IFERROR(lookup(1,1/SEARCH(A106,'OTPI Scores'!C:C),'OTPI Scores'!E:E),0)="Vets",7,IFERROR(lookup(1,1/SEARCH(A106,'OTPI Scores'!C:C),'OTPI Scores'!E:E),0))</f>
        <v>1</v>
      </c>
    </row>
    <row r="107">
      <c r="A107" s="3" t="str">
        <f>IFERROR(__xludf.DUMMYFUNCTION("""COMPUTED_VALUE"""),"Max Watson")</f>
        <v>Max Watson</v>
      </c>
      <c r="B107" s="3">
        <f t="array" ref="B107">IF(IFERROR(lookup(1,1/SEARCH(A107,'OTPI Scores'!C:C),'OTPI Scores'!E:E),0)="Vets",7,IFERROR(lookup(1,1/SEARCH(A107,'OTPI Scores'!C:C),'OTPI Scores'!E:E),0))</f>
        <v>2</v>
      </c>
    </row>
    <row r="108">
      <c r="A108" s="3" t="str">
        <f>IFERROR(__xludf.DUMMYFUNCTION("""COMPUTED_VALUE"""),"Oliver Golzari")</f>
        <v>Oliver Golzari</v>
      </c>
      <c r="B108" s="3">
        <f t="array" ref="B108">IF(IFERROR(lookup(1,1/SEARCH(A108,'OTPI Scores'!C:C),'OTPI Scores'!E:E),0)="Vets",7,IFERROR(lookup(1,1/SEARCH(A108,'OTPI Scores'!C:C),'OTPI Scores'!E:E),0))</f>
        <v>2</v>
      </c>
    </row>
    <row r="109">
      <c r="A109" s="3" t="str">
        <f>IFERROR(__xludf.DUMMYFUNCTION("""COMPUTED_VALUE"""),"Alex Clark")</f>
        <v>Alex Clark</v>
      </c>
      <c r="B109" s="3">
        <f t="array" ref="B109">IF(IFERROR(lookup(1,1/SEARCH(A109,'OTPI Scores'!C:C),'OTPI Scores'!E:E),0)="Vets",7,IFERROR(lookup(1,1/SEARCH(A109,'OTPI Scores'!C:C),'OTPI Scores'!E:E),0))</f>
        <v>3</v>
      </c>
    </row>
    <row r="110">
      <c r="A110" s="3" t="str">
        <f>IFERROR(__xludf.DUMMYFUNCTION("""COMPUTED_VALUE"""),"Ewan Porteous")</f>
        <v>Ewan Porteous</v>
      </c>
      <c r="B110" s="3">
        <f t="array" ref="B110">IF(IFERROR(lookup(1,1/SEARCH(A110,'OTPI Scores'!C:C),'OTPI Scores'!E:E),0)="Vets",7,IFERROR(lookup(1,1/SEARCH(A110,'OTPI Scores'!C:C),'OTPI Scores'!E:E),0))</f>
        <v>2</v>
      </c>
    </row>
    <row r="111">
      <c r="A111" s="3" t="str">
        <f>IFERROR(__xludf.DUMMYFUNCTION("""COMPUTED_VALUE"""),"Joey Wackrill")</f>
        <v>Joey Wackrill</v>
      </c>
      <c r="B111" s="3">
        <f t="array" ref="B111">IF(IFERROR(lookup(1,1/SEARCH(A111,'OTPI Scores'!C:C),'OTPI Scores'!E:E),0)="Vets",7,IFERROR(lookup(1,1/SEARCH(A111,'OTPI Scores'!C:C),'OTPI Scores'!E:E),0))</f>
        <v>2</v>
      </c>
    </row>
    <row r="112">
      <c r="A112" s="3" t="str">
        <f>IFERROR(__xludf.DUMMYFUNCTION("""COMPUTED_VALUE"""),"Alex Mansfield")</f>
        <v>Alex Mansfield</v>
      </c>
      <c r="B112" s="3">
        <f t="array" ref="B112">IF(IFERROR(lookup(1,1/SEARCH(A112,'OTPI Scores'!C:C),'OTPI Scores'!E:E),0)="Vets",7,IFERROR(lookup(1,1/SEARCH(A112,'OTPI Scores'!C:C),'OTPI Scores'!E:E),0))</f>
        <v>3</v>
      </c>
    </row>
    <row r="113">
      <c r="A113" s="3" t="str">
        <f>IFERROR(__xludf.DUMMYFUNCTION("""COMPUTED_VALUE"""),"Sean Woodhouse")</f>
        <v>Sean Woodhouse</v>
      </c>
      <c r="B113" s="3">
        <f t="array" ref="B113">IF(IFERROR(lookup(1,1/SEARCH(A113,'OTPI Scores'!C:C),'OTPI Scores'!E:E),0)="Vets",7,IFERROR(lookup(1,1/SEARCH(A113,'OTPI Scores'!C:C),'OTPI Scores'!E:E),0))</f>
        <v>3</v>
      </c>
    </row>
    <row r="114">
      <c r="A114" s="3" t="str">
        <f>IFERROR(__xludf.DUMMYFUNCTION("""COMPUTED_VALUE"""),"Leigh Cremin")</f>
        <v>Leigh Cremin</v>
      </c>
      <c r="B114" s="3">
        <f t="array" ref="B114">IF(IFERROR(lookup(1,1/SEARCH(A114,'OTPI Scores'!C:C),'OTPI Scores'!E:E),0)="Vets",7,IFERROR(lookup(1,1/SEARCH(A114,'OTPI Scores'!C:C),'OTPI Scores'!E:E),0))</f>
        <v>6</v>
      </c>
    </row>
    <row r="115">
      <c r="A115" s="3" t="str">
        <f>IFERROR(__xludf.DUMMYFUNCTION("""COMPUTED_VALUE"""),"Landry Naubo")</f>
        <v>Landry Naubo</v>
      </c>
      <c r="B115" s="3">
        <f t="array" ref="B115">IF(IFERROR(lookup(1,1/SEARCH(A115,'OTPI Scores'!C:C),'OTPI Scores'!E:E),0)="Vets",7,IFERROR(lookup(1,1/SEARCH(A115,'OTPI Scores'!C:C),'OTPI Scores'!E:E),0))</f>
        <v>5</v>
      </c>
    </row>
    <row r="116">
      <c r="A116" s="3" t="str">
        <f>IFERROR(__xludf.DUMMYFUNCTION("""COMPUTED_VALUE"""),"Jay Mair")</f>
        <v>Jay Mair</v>
      </c>
      <c r="B116" s="3">
        <f t="array" ref="B116">IF(IFERROR(lookup(1,1/SEARCH(A116,'OTPI Scores'!C:C),'OTPI Scores'!E:E),0)="Vets",7,IFERROR(lookup(1,1/SEARCH(A116,'OTPI Scores'!C:C),'OTPI Scores'!E:E),0))</f>
        <v>6</v>
      </c>
    </row>
    <row r="117">
      <c r="A117" s="3" t="str">
        <f>IFERROR(__xludf.DUMMYFUNCTION("""COMPUTED_VALUE"""),"Kian Leslie-Bigby")</f>
        <v>Kian Leslie-Bigby</v>
      </c>
      <c r="B117" s="3">
        <f t="array" ref="B117">IF(IFERROR(lookup(1,1/SEARCH(A117,'OTPI Scores'!C:C),'OTPI Scores'!E:E),0)="Vets",7,IFERROR(lookup(1,1/SEARCH(A117,'OTPI Scores'!C:C),'OTPI Scores'!E:E),0))</f>
        <v>5</v>
      </c>
    </row>
    <row r="118">
      <c r="A118" s="3" t="str">
        <f>IFERROR(__xludf.DUMMYFUNCTION("""COMPUTED_VALUE"""),"Raj Ramful")</f>
        <v>Raj Ramful</v>
      </c>
      <c r="B118" s="3">
        <f t="array" ref="B118">IF(IFERROR(lookup(1,1/SEARCH(A118,'OTPI Scores'!C:C),'OTPI Scores'!E:E),0)="Vets",7,IFERROR(lookup(1,1/SEARCH(A118,'OTPI Scores'!C:C),'OTPI Scores'!E:E),0))</f>
        <v>6</v>
      </c>
    </row>
    <row r="119">
      <c r="A119" s="3" t="str">
        <f>IFERROR(__xludf.DUMMYFUNCTION("""COMPUTED_VALUE"""),"James Timmins")</f>
        <v>James Timmins</v>
      </c>
      <c r="B119" s="3">
        <f t="array" ref="B119">IF(IFERROR(lookup(1,1/SEARCH(A119,'OTPI Scores'!C:C),'OTPI Scores'!E:E),0)="Vets",7,IFERROR(lookup(1,1/SEARCH(A119,'OTPI Scores'!C:C),'OTPI Scores'!E:E),0))</f>
        <v>6</v>
      </c>
    </row>
    <row r="120">
      <c r="A120" s="3" t="str">
        <f>IFERROR(__xludf.DUMMYFUNCTION("""COMPUTED_VALUE"""),"Steve Francis")</f>
        <v>Steve Francis</v>
      </c>
      <c r="B120" s="3">
        <f t="array" ref="B120">IF(IFERROR(lookup(1,1/SEARCH(A120,'OTPI Scores'!C:C),'OTPI Scores'!E:E),0)="Vets",7,IFERROR(lookup(1,1/SEARCH(A120,'OTPI Scores'!C:C),'OTPI Scores'!E:E),0))</f>
        <v>7</v>
      </c>
    </row>
    <row r="121">
      <c r="A121" s="3" t="str">
        <f>IFERROR(__xludf.DUMMYFUNCTION("""COMPUTED_VALUE"""),"Liam Gover")</f>
        <v>Liam Gover</v>
      </c>
      <c r="B121" s="3">
        <f t="array" ref="B121">IF(IFERROR(lookup(1,1/SEARCH(A121,'OTPI Scores'!C:C),'OTPI Scores'!E:E),0)="Vets",7,IFERROR(lookup(1,1/SEARCH(A121,'OTPI Scores'!C:C),'OTPI Scores'!E:E),0))</f>
        <v>7</v>
      </c>
    </row>
    <row r="122">
      <c r="A122" s="3" t="str">
        <f>IFERROR(__xludf.DUMMYFUNCTION("""COMPUTED_VALUE"""),"Chris Marx")</f>
        <v>Chris Marx</v>
      </c>
      <c r="B122" s="3">
        <f t="array" ref="B122">IF(IFERROR(lookup(1,1/SEARCH(A122,'OTPI Scores'!C:C),'OTPI Scores'!E:E),0)="Vets",7,IFERROR(lookup(1,1/SEARCH(A122,'OTPI Scores'!C:C),'OTPI Scores'!E:E),0))</f>
        <v>7</v>
      </c>
    </row>
    <row r="123">
      <c r="A123" s="3" t="str">
        <f>IFERROR(__xludf.DUMMYFUNCTION("""COMPUTED_VALUE"""),"Paul Jalil")</f>
        <v>Paul Jalil</v>
      </c>
      <c r="B123" s="3">
        <f t="array" ref="B123">IF(IFERROR(lookup(1,1/SEARCH(A123,'OTPI Scores'!C:C),'OTPI Scores'!E:E),0)="Vets",7,IFERROR(lookup(1,1/SEARCH(A123,'OTPI Scores'!C:C),'OTPI Scores'!E:E),0))</f>
        <v>7</v>
      </c>
    </row>
    <row r="124">
      <c r="A124" s="3" t="str">
        <f>IFERROR(__xludf.DUMMYFUNCTION("""COMPUTED_VALUE"""),"Jamie Arkell")</f>
        <v>Jamie Arkell</v>
      </c>
      <c r="B124" s="3">
        <f t="array" ref="B124">IF(IFERROR(lookup(1,1/SEARCH(A124,'OTPI Scores'!C:C),'OTPI Scores'!E:E),0)="Vets",7,IFERROR(lookup(1,1/SEARCH(A124,'OTPI Scores'!C:C),'OTPI Scores'!E:E),0))</f>
        <v>7</v>
      </c>
    </row>
    <row r="125">
      <c r="A125" s="3" t="str">
        <f>IFERROR(__xludf.DUMMYFUNCTION("""COMPUTED_VALUE"""),"Chris Lang")</f>
        <v>Chris Lang</v>
      </c>
      <c r="B125" s="3">
        <f t="array" ref="B125">IF(IFERROR(lookup(1,1/SEARCH(A125,'OTPI Scores'!C:C),'OTPI Scores'!E:E),0)="Vets",7,IFERROR(lookup(1,1/SEARCH(A125,'OTPI Scores'!C:C),'OTPI Scores'!E:E),0))</f>
        <v>4</v>
      </c>
    </row>
    <row r="126">
      <c r="A126" s="3" t="str">
        <f>IFERROR(__xludf.DUMMYFUNCTION("""COMPUTED_VALUE"""),"Si Thomas")</f>
        <v>Si Thomas</v>
      </c>
      <c r="B126" s="3">
        <f t="array" ref="B126">IF(IFERROR(lookup(1,1/SEARCH(A126,'OTPI Scores'!C:C),'OTPI Scores'!E:E),0)="Vets",7,IFERROR(lookup(1,1/SEARCH(A126,'OTPI Scores'!C:C),'OTPI Scores'!E:E),0))</f>
        <v>7</v>
      </c>
    </row>
    <row r="127">
      <c r="A127" s="3" t="str">
        <f>IFERROR(__xludf.DUMMYFUNCTION("""COMPUTED_VALUE"""),"Chris Boden")</f>
        <v>Chris Boden</v>
      </c>
      <c r="B127" s="3">
        <f t="array" ref="B127">IF(IFERROR(lookup(1,1/SEARCH(A127,'OTPI Scores'!C:C),'OTPI Scores'!E:E),0)="Vets",7,IFERROR(lookup(1,1/SEARCH(A127,'OTPI Scores'!C:C),'OTPI Scores'!E:E),0))</f>
        <v>7</v>
      </c>
    </row>
    <row r="128">
      <c r="A128" s="3" t="str">
        <f>IFERROR(__xludf.DUMMYFUNCTION("""COMPUTED_VALUE"""),"Dave Webster")</f>
        <v>Dave Webster</v>
      </c>
      <c r="B128" s="3">
        <f t="array" ref="B128">IF(IFERROR(lookup(1,1/SEARCH(A128,'OTPI Scores'!C:C),'OTPI Scores'!E:E),0)="Vets",7,IFERROR(lookup(1,1/SEARCH(A128,'OTPI Scores'!C:C),'OTPI Scores'!E:E),0))</f>
        <v>3</v>
      </c>
    </row>
    <row r="129">
      <c r="A129" s="3" t="str">
        <f>IFERROR(__xludf.DUMMYFUNCTION("""COMPUTED_VALUE"""),"Yemi Oviosu")</f>
        <v>Yemi Oviosu</v>
      </c>
      <c r="B129" s="3">
        <f t="array" ref="B129">IF(IFERROR(lookup(1,1/SEARCH(A129,'OTPI Scores'!C:C),'OTPI Scores'!E:E),0)="Vets",7,IFERROR(lookup(1,1/SEARCH(A129,'OTPI Scores'!C:C),'OTPI Scores'!E:E),0))</f>
        <v>1</v>
      </c>
    </row>
    <row r="130">
      <c r="A130" s="3" t="str">
        <f>IFERROR(__xludf.DUMMYFUNCTION("""COMPUTED_VALUE"""),"Ben Roberts")</f>
        <v>Ben Roberts</v>
      </c>
      <c r="B130" s="3">
        <f t="array" ref="B130">IF(IFERROR(lookup(1,1/SEARCH(A130,'OTPI Scores'!C:C),'OTPI Scores'!E:E),0)="Vets",7,IFERROR(lookup(1,1/SEARCH(A130,'OTPI Scores'!C:C),'OTPI Scores'!E:E),0))</f>
        <v>3</v>
      </c>
    </row>
    <row r="131">
      <c r="A131" s="3" t="str">
        <f>IFERROR(__xludf.DUMMYFUNCTION("""COMPUTED_VALUE"""),"Lee Clark")</f>
        <v>Lee Clark</v>
      </c>
      <c r="B131" s="3">
        <f t="array" ref="B131">IF(IFERROR(lookup(1,1/SEARCH(A131,'OTPI Scores'!C:C),'OTPI Scores'!E:E),0)="Vets",7,IFERROR(lookup(1,1/SEARCH(A131,'OTPI Scores'!C:C),'OTPI Scores'!E:E),0))</f>
        <v>5</v>
      </c>
    </row>
    <row r="132">
      <c r="A132" s="3" t="str">
        <f>IFERROR(__xludf.DUMMYFUNCTION("""COMPUTED_VALUE"""),"Calum Bennett")</f>
        <v>Calum Bennett</v>
      </c>
      <c r="B132" s="3">
        <f t="array" ref="B132">IF(IFERROR(lookup(1,1/SEARCH(A132,'OTPI Scores'!C:C),'OTPI Scores'!E:E),0)="Vets",7,IFERROR(lookup(1,1/SEARCH(A132,'OTPI Scores'!C:C),'OTPI Scores'!E:E),0))</f>
        <v>5</v>
      </c>
    </row>
    <row r="133">
      <c r="A133" s="3" t="str">
        <f>IFERROR(__xludf.DUMMYFUNCTION("""COMPUTED_VALUE"""),"Joseph Smith")</f>
        <v>Joseph Smith</v>
      </c>
      <c r="B133" s="3">
        <f t="array" ref="B133">IF(IFERROR(lookup(1,1/SEARCH(A133,'OTPI Scores'!C:C),'OTPI Scores'!E:E),0)="Vets",7,IFERROR(lookup(1,1/SEARCH(A133,'OTPI Scores'!C:C),'OTPI Scores'!E:E),0))</f>
        <v>4</v>
      </c>
    </row>
    <row r="134">
      <c r="A134" s="3" t="str">
        <f>IFERROR(__xludf.DUMMYFUNCTION("""COMPUTED_VALUE"""),"Lewis Young")</f>
        <v>Lewis Young</v>
      </c>
      <c r="B134" s="3">
        <f t="array" ref="B134">IF(IFERROR(lookup(1,1/SEARCH(A134,'OTPI Scores'!C:C),'OTPI Scores'!E:E),0)="Vets",7,IFERROR(lookup(1,1/SEARCH(A134,'OTPI Scores'!C:C),'OTPI Scores'!E:E),0))</f>
        <v>6</v>
      </c>
    </row>
    <row r="135">
      <c r="A135" s="3" t="str">
        <f>IFERROR(__xludf.DUMMYFUNCTION("""COMPUTED_VALUE"""),"Jose Cortez")</f>
        <v>Jose Cortez</v>
      </c>
      <c r="B135" s="3">
        <f t="array" ref="B135">IF(IFERROR(lookup(1,1/SEARCH(A135,'OTPI Scores'!C:C),'OTPI Scores'!E:E),0)="Vets",7,IFERROR(lookup(1,1/SEARCH(A135,'OTPI Scores'!C:C),'OTPI Scores'!E:E),0))</f>
        <v>6</v>
      </c>
    </row>
    <row r="136">
      <c r="A136" s="3" t="str">
        <f>IFERROR(__xludf.DUMMYFUNCTION("""COMPUTED_VALUE"""),"Tim Ward")</f>
        <v>Tim Ward</v>
      </c>
      <c r="B136" s="3">
        <f t="array" ref="B136">IF(IFERROR(lookup(1,1/SEARCH(A136,'OTPI Scores'!C:C),'OTPI Scores'!E:E),0)="Vets",7,IFERROR(lookup(1,1/SEARCH(A136,'OTPI Scores'!C:C),'OTPI Scores'!E:E),0))</f>
        <v>6</v>
      </c>
    </row>
    <row r="137">
      <c r="A137" s="3" t="str">
        <f>IFERROR(__xludf.DUMMYFUNCTION("""COMPUTED_VALUE"""),"Aaron Snelling")</f>
        <v>Aaron Snelling</v>
      </c>
      <c r="B137" s="3">
        <f t="array" ref="B137">IF(IFERROR(lookup(1,1/SEARCH(A137,'OTPI Scores'!C:C),'OTPI Scores'!E:E),0)="Vets",7,IFERROR(lookup(1,1/SEARCH(A137,'OTPI Scores'!C:C),'OTPI Scores'!E:E),0))</f>
        <v>1</v>
      </c>
    </row>
    <row r="138">
      <c r="A138" s="3" t="str">
        <f>IFERROR(__xludf.DUMMYFUNCTION("""COMPUTED_VALUE"""),"Adam Platten")</f>
        <v>Adam Platten</v>
      </c>
      <c r="B138" s="3">
        <f t="array" ref="B138">IF(IFERROR(lookup(1,1/SEARCH(A138,'OTPI Scores'!C:C),'OTPI Scores'!E:E),0)="Vets",7,IFERROR(lookup(1,1/SEARCH(A138,'OTPI Scores'!C:C),'OTPI Scores'!E:E),0))</f>
        <v>1</v>
      </c>
    </row>
    <row r="139">
      <c r="A139" s="3" t="str">
        <f>IFERROR(__xludf.DUMMYFUNCTION("""COMPUTED_VALUE"""),"Sam Bowen")</f>
        <v>Sam Bowen</v>
      </c>
      <c r="B139" s="3">
        <f t="array" ref="B139">IF(IFERROR(lookup(1,1/SEARCH(A139,'OTPI Scores'!C:C),'OTPI Scores'!E:E),0)="Vets",7,IFERROR(lookup(1,1/SEARCH(A139,'OTPI Scores'!C:C),'OTPI Scores'!E:E),0))</f>
        <v>6</v>
      </c>
    </row>
    <row r="140">
      <c r="A140" s="3" t="str">
        <f>IFERROR(__xludf.DUMMYFUNCTION("""COMPUTED_VALUE"""),"Jack Butcher")</f>
        <v>Jack Butcher</v>
      </c>
      <c r="B140" s="3">
        <f t="array" ref="B140">IF(IFERROR(lookup(1,1/SEARCH(A140,'OTPI Scores'!C:C),'OTPI Scores'!E:E),0)="Vets",7,IFERROR(lookup(1,1/SEARCH(A140,'OTPI Scores'!C:C),'OTPI Scores'!E:E),0))</f>
        <v>6</v>
      </c>
    </row>
    <row r="141">
      <c r="A141" s="3" t="str">
        <f>IFERROR(__xludf.DUMMYFUNCTION("""COMPUTED_VALUE"""),"George Havord")</f>
        <v>George Havord</v>
      </c>
      <c r="B141" s="3">
        <f t="array" ref="B141">IF(IFERROR(lookup(1,1/SEARCH(A141,'OTPI Scores'!C:C),'OTPI Scores'!E:E),0)="Vets",7,IFERROR(lookup(1,1/SEARCH(A141,'OTPI Scores'!C:C),'OTPI Scores'!E:E),0))</f>
        <v>6</v>
      </c>
    </row>
    <row r="142">
      <c r="A142" s="3" t="str">
        <f>IFERROR(__xludf.DUMMYFUNCTION("""COMPUTED_VALUE"""),"Joe France")</f>
        <v>Joe France</v>
      </c>
      <c r="B142" s="3">
        <f t="array" ref="B142">IF(IFERROR(lookup(1,1/SEARCH(A142,'OTPI Scores'!C:C),'OTPI Scores'!E:E),0)="Vets",7,IFERROR(lookup(1,1/SEARCH(A142,'OTPI Scores'!C:C),'OTPI Scores'!E:E),0))</f>
        <v>4</v>
      </c>
    </row>
    <row r="143">
      <c r="A143" s="3" t="str">
        <f>IFERROR(__xludf.DUMMYFUNCTION("""COMPUTED_VALUE"""),"Andres Ahlgren")</f>
        <v>Andres Ahlgren</v>
      </c>
      <c r="B143" s="3">
        <f t="array" ref="B143">IF(IFERROR(lookup(1,1/SEARCH(A143,'OTPI Scores'!C:C),'OTPI Scores'!E:E),0)="Vets",7,IFERROR(lookup(1,1/SEARCH(A143,'OTPI Scores'!C:C),'OTPI Scores'!E:E),0))</f>
        <v>5</v>
      </c>
    </row>
    <row r="144">
      <c r="A144" s="3" t="str">
        <f>IFERROR(__xludf.DUMMYFUNCTION("""COMPUTED_VALUE"""),"Dean Wright")</f>
        <v>Dean Wright</v>
      </c>
      <c r="B144" s="3">
        <f t="array" ref="B144">IF(IFERROR(lookup(1,1/SEARCH(A144,'OTPI Scores'!C:C),'OTPI Scores'!E:E),0)="Vets",7,IFERROR(lookup(1,1/SEARCH(A144,'OTPI Scores'!C:C),'OTPI Scores'!E:E),0))</f>
        <v>4</v>
      </c>
    </row>
    <row r="145">
      <c r="A145" s="3" t="str">
        <f>IFERROR(__xludf.DUMMYFUNCTION("""COMPUTED_VALUE"""),"Rob Edmonds")</f>
        <v>Rob Edmonds</v>
      </c>
      <c r="B145" s="3">
        <f t="array" ref="B145">IF(IFERROR(lookup(1,1/SEARCH(A145,'OTPI Scores'!C:C),'OTPI Scores'!E:E),0)="Vets",7,IFERROR(lookup(1,1/SEARCH(A145,'OTPI Scores'!C:C),'OTPI Scores'!E:E),0))</f>
        <v>3</v>
      </c>
    </row>
    <row r="146">
      <c r="A146" s="3" t="str">
        <f>IFERROR(__xludf.DUMMYFUNCTION("""COMPUTED_VALUE"""),"Hallam Wye")</f>
        <v>Hallam Wye</v>
      </c>
      <c r="B146" s="3">
        <f t="array" ref="B146">IF(IFERROR(lookup(1,1/SEARCH(A146,'OTPI Scores'!C:C),'OTPI Scores'!E:E),0)="Vets",7,IFERROR(lookup(1,1/SEARCH(A146,'OTPI Scores'!C:C),'OTPI Scores'!E:E),0))</f>
        <v>4</v>
      </c>
    </row>
    <row r="147">
      <c r="A147" s="3" t="str">
        <f>IFERROR(__xludf.DUMMYFUNCTION("""COMPUTED_VALUE"""),"Parimal Patel")</f>
        <v>Parimal Patel</v>
      </c>
      <c r="B147" s="3">
        <f t="array" ref="B147">IF(IFERROR(lookup(1,1/SEARCH(A147,'OTPI Scores'!C:C),'OTPI Scores'!E:E),0)="Vets",7,IFERROR(lookup(1,1/SEARCH(A147,'OTPI Scores'!C:C),'OTPI Scores'!E:E),0))</f>
        <v>1</v>
      </c>
    </row>
    <row r="148">
      <c r="A148" s="3" t="str">
        <f>IFERROR(__xludf.DUMMYFUNCTION("""COMPUTED_VALUE"""),"Cameron Ward")</f>
        <v>Cameron Ward</v>
      </c>
      <c r="B148" s="3">
        <f t="array" ref="B148">IF(IFERROR(lookup(1,1/SEARCH(A148,'OTPI Scores'!C:C),'OTPI Scores'!E:E),0)="Vets",7,IFERROR(lookup(1,1/SEARCH(A148,'OTPI Scores'!C:C),'OTPI Scores'!E:E),0))</f>
        <v>3</v>
      </c>
    </row>
    <row r="149">
      <c r="A149" s="3" t="str">
        <f>IFERROR(__xludf.DUMMYFUNCTION("""COMPUTED_VALUE"""),"Jed Evamy")</f>
        <v>Jed Evamy</v>
      </c>
      <c r="B149" s="3">
        <f t="array" ref="B149">IF(IFERROR(lookup(1,1/SEARCH(A149,'OTPI Scores'!C:C),'OTPI Scores'!E:E),0)="Vets",7,IFERROR(lookup(1,1/SEARCH(A149,'OTPI Scores'!C:C),'OTPI Scores'!E:E),0))</f>
        <v>1</v>
      </c>
    </row>
    <row r="150">
      <c r="A150" s="3" t="str">
        <f>IFERROR(__xludf.DUMMYFUNCTION("""COMPUTED_VALUE"""),"Andrew Barclay")</f>
        <v>Andrew Barclay</v>
      </c>
      <c r="B150" s="3">
        <f t="array" ref="B150">IF(IFERROR(lookup(1,1/SEARCH(A150,'OTPI Scores'!C:C),'OTPI Scores'!E:E),0)="Vets",7,IFERROR(lookup(1,1/SEARCH(A150,'OTPI Scores'!C:C),'OTPI Scores'!E:E),0))</f>
        <v>7</v>
      </c>
    </row>
    <row r="151">
      <c r="A151" s="3" t="str">
        <f>IFERROR(__xludf.DUMMYFUNCTION("""COMPUTED_VALUE"""),"Ollie Sewell")</f>
        <v>Ollie Sewell</v>
      </c>
      <c r="B151" s="3">
        <f t="array" ref="B151">IF(IFERROR(lookup(1,1/SEARCH(A151,'OTPI Scores'!C:C),'OTPI Scores'!E:E),0)="Vets",7,IFERROR(lookup(1,1/SEARCH(A151,'OTPI Scores'!C:C),'OTPI Scores'!E:E),0))</f>
        <v>1</v>
      </c>
    </row>
    <row r="152">
      <c r="A152" s="3" t="str">
        <f>IFERROR(__xludf.DUMMYFUNCTION("""COMPUTED_VALUE"""),"Dan Klin")</f>
        <v>Dan Klin</v>
      </c>
      <c r="B152" s="3">
        <f t="array" ref="B152">IF(IFERROR(lookup(1,1/SEARCH(A152,'OTPI Scores'!C:C),'OTPI Scores'!E:E),0)="Vets",7,IFERROR(lookup(1,1/SEARCH(A152,'OTPI Scores'!C:C),'OTPI Scores'!E:E),0))</f>
        <v>3</v>
      </c>
    </row>
    <row r="153">
      <c r="A153" s="3" t="str">
        <f>IFERROR(__xludf.DUMMYFUNCTION("""COMPUTED_VALUE"""),"Emi Muhadri")</f>
        <v>Emi Muhadri</v>
      </c>
      <c r="B153" s="3">
        <f t="array" ref="B153">IF(IFERROR(lookup(1,1/SEARCH(A153,'OTPI Scores'!C:C),'OTPI Scores'!E:E),0)="Vets",7,IFERROR(lookup(1,1/SEARCH(A153,'OTPI Scores'!C:C),'OTPI Scores'!E:E),0))</f>
        <v>6</v>
      </c>
    </row>
    <row r="154">
      <c r="A154" s="3" t="str">
        <f>IFERROR(__xludf.DUMMYFUNCTION("""COMPUTED_VALUE"""),"Sidney Hopper-Kelly")</f>
        <v>Sidney Hopper-Kelly</v>
      </c>
      <c r="B154" s="3">
        <f t="array" ref="B154">IF(IFERROR(lookup(1,1/SEARCH(A154,'OTPI Scores'!C:C),'OTPI Scores'!E:E),0)="Vets",7,IFERROR(lookup(1,1/SEARCH(A154,'OTPI Scores'!C:C),'OTPI Scores'!E:E),0))</f>
        <v>4</v>
      </c>
    </row>
    <row r="155">
      <c r="A155" s="3" t="str">
        <f>IFERROR(__xludf.DUMMYFUNCTION("""COMPUTED_VALUE"""),"Chris Claeys")</f>
        <v>Chris Claeys</v>
      </c>
      <c r="B155" s="3">
        <f t="array" ref="B155">IF(IFERROR(lookup(1,1/SEARCH(A155,'OTPI Scores'!C:C),'OTPI Scores'!E:E),0)="Vets",7,IFERROR(lookup(1,1/SEARCH(A155,'OTPI Scores'!C:C),'OTPI Scores'!E:E),0))</f>
        <v>4</v>
      </c>
    </row>
    <row r="156">
      <c r="A156" s="3" t="str">
        <f>IFERROR(__xludf.DUMMYFUNCTION("""COMPUTED_VALUE"""),"Matt Powell")</f>
        <v>Matt Powell</v>
      </c>
      <c r="B156" s="3">
        <f t="array" ref="B156">IF(IFERROR(lookup(1,1/SEARCH(A156,'OTPI Scores'!C:C),'OTPI Scores'!E:E),0)="Vets",7,IFERROR(lookup(1,1/SEARCH(A156,'OTPI Scores'!C:C),'OTPI Scores'!E:E),0))</f>
        <v>6</v>
      </c>
    </row>
    <row r="157">
      <c r="A157" s="3" t="str">
        <f>IFERROR(__xludf.DUMMYFUNCTION("""COMPUTED_VALUE"""),"Victor Lemmer")</f>
        <v>Victor Lemmer</v>
      </c>
      <c r="B157" s="3">
        <f t="array" ref="B157">IF(IFERROR(lookup(1,1/SEARCH(A157,'OTPI Scores'!C:C),'OTPI Scores'!E:E),0)="Vets",7,IFERROR(lookup(1,1/SEARCH(A157,'OTPI Scores'!C:C),'OTPI Scores'!E:E),0))</f>
        <v>6</v>
      </c>
    </row>
    <row r="158">
      <c r="A158" s="3" t="str">
        <f>IFERROR(__xludf.DUMMYFUNCTION("""COMPUTED_VALUE"""),"Sonny Kombo")</f>
        <v>Sonny Kombo</v>
      </c>
      <c r="B158" s="3">
        <f t="array" ref="B158">IF(IFERROR(lookup(1,1/SEARCH(A158,'OTPI Scores'!C:C),'OTPI Scores'!E:E),0)="Vets",7,IFERROR(lookup(1,1/SEARCH(A158,'OTPI Scores'!C:C),'OTPI Scores'!E:E),0))</f>
        <v>7</v>
      </c>
    </row>
    <row r="159">
      <c r="A159" s="3" t="str">
        <f>IFERROR(__xludf.DUMMYFUNCTION("""COMPUTED_VALUE"""),"Nick Daley")</f>
        <v>Nick Daley</v>
      </c>
      <c r="B159" s="3">
        <f t="array" ref="B159">IF(IFERROR(lookup(1,1/SEARCH(A159,'OTPI Scores'!C:C),'OTPI Scores'!E:E),0)="Vets",7,IFERROR(lookup(1,1/SEARCH(A159,'OTPI Scores'!C:C),'OTPI Scores'!E:E),0))</f>
        <v>7</v>
      </c>
    </row>
    <row r="160">
      <c r="A160" s="3" t="str">
        <f>IFERROR(__xludf.DUMMYFUNCTION("""COMPUTED_VALUE"""),"Ste Calder")</f>
        <v>Ste Calder</v>
      </c>
      <c r="B160" s="3">
        <f t="array" ref="B160">IF(IFERROR(lookup(1,1/SEARCH(A160,'OTPI Scores'!C:C),'OTPI Scores'!E:E),0)="Vets",7,IFERROR(lookup(1,1/SEARCH(A160,'OTPI Scores'!C:C),'OTPI Scores'!E:E),0))</f>
        <v>7</v>
      </c>
    </row>
    <row r="161">
      <c r="A161" s="3" t="str">
        <f>IFERROR(__xludf.DUMMYFUNCTION("""COMPUTED_VALUE"""),"Jason Raife")</f>
        <v>Jason Raife</v>
      </c>
      <c r="B161" s="3">
        <f t="array" ref="B161">IF(IFERROR(lookup(1,1/SEARCH(A161,'OTPI Scores'!C:C),'OTPI Scores'!E:E),0)="Vets",7,IFERROR(lookup(1,1/SEARCH(A161,'OTPI Scores'!C:C),'OTPI Scores'!E:E),0))</f>
        <v>7</v>
      </c>
    </row>
    <row r="162">
      <c r="A162" s="3" t="str">
        <f>IFERROR(__xludf.DUMMYFUNCTION("""COMPUTED_VALUE"""),"Stu Jordan")</f>
        <v>Stu Jordan</v>
      </c>
      <c r="B162" s="3">
        <f t="array" ref="B162">IF(IFERROR(lookup(1,1/SEARCH(A162,'OTPI Scores'!C:C),'OTPI Scores'!E:E),0)="Vets",7,IFERROR(lookup(1,1/SEARCH(A162,'OTPI Scores'!C:C),'OTPI Scores'!E:E),0))</f>
        <v>5</v>
      </c>
    </row>
    <row r="163">
      <c r="A163" s="3" t="str">
        <f>IFERROR(__xludf.DUMMYFUNCTION("""COMPUTED_VALUE"""),"Ali Koc")</f>
        <v>Ali Koc</v>
      </c>
      <c r="B163" s="3">
        <f t="array" ref="B163">IF(IFERROR(lookup(1,1/SEARCH(A163,'OTPI Scores'!C:C),'OTPI Scores'!E:E),0)="Vets",7,IFERROR(lookup(1,1/SEARCH(A163,'OTPI Scores'!C:C),'OTPI Scores'!E:E),0))</f>
        <v>4</v>
      </c>
    </row>
    <row r="164">
      <c r="A164" s="3" t="str">
        <f>IFERROR(__xludf.DUMMYFUNCTION("""COMPUTED_VALUE"""),"David Holmes-White")</f>
        <v>David Holmes-White</v>
      </c>
      <c r="B164" s="3">
        <f t="array" ref="B164">IF(IFERROR(lookup(1,1/SEARCH(A164,'OTPI Scores'!C:C),'OTPI Scores'!E:E),0)="Vets",7,IFERROR(lookup(1,1/SEARCH(A164,'OTPI Scores'!C:C),'OTPI Scores'!E:E),0))</f>
        <v>6</v>
      </c>
    </row>
    <row r="165">
      <c r="A165" s="3" t="str">
        <f>IFERROR(__xludf.DUMMYFUNCTION("""COMPUTED_VALUE"""),"James Black")</f>
        <v>James Black</v>
      </c>
      <c r="B165" s="3">
        <f t="array" ref="B165">IF(IFERROR(lookup(1,1/SEARCH(A165,'OTPI Scores'!C:C),'OTPI Scores'!E:E),0)="Vets",7,IFERROR(lookup(1,1/SEARCH(A165,'OTPI Scores'!C:C),'OTPI Scores'!E:E),0))</f>
        <v>2</v>
      </c>
    </row>
    <row r="166">
      <c r="A166" s="3" t="str">
        <f>IFERROR(__xludf.DUMMYFUNCTION("""COMPUTED_VALUE"""),"Ewan Harris")</f>
        <v>Ewan Harris</v>
      </c>
      <c r="B166" s="3">
        <f t="array" ref="B166">IF(IFERROR(lookup(1,1/SEARCH(A166,'OTPI Scores'!C:C),'OTPI Scores'!E:E),0)="Vets",7,IFERROR(lookup(1,1/SEARCH(A166,'OTPI Scores'!C:C),'OTPI Scores'!E:E),0))</f>
        <v>2</v>
      </c>
    </row>
    <row r="167">
      <c r="A167" s="3" t="str">
        <f>IFERROR(__xludf.DUMMYFUNCTION("""COMPUTED_VALUE"""),"Michael Dill")</f>
        <v>Michael Dill</v>
      </c>
      <c r="B167" s="3">
        <f t="array" ref="B167">IF(IFERROR(lookup(1,1/SEARCH(A167,'OTPI Scores'!C:C),'OTPI Scores'!E:E),0)="Vets",7,IFERROR(lookup(1,1/SEARCH(A167,'OTPI Scores'!C:C),'OTPI Scores'!E:E),0))</f>
        <v>3</v>
      </c>
    </row>
    <row r="168">
      <c r="A168" s="3" t="str">
        <f>IFERROR(__xludf.DUMMYFUNCTION("""COMPUTED_VALUE"""),"Nathan Nzau")</f>
        <v>Nathan Nzau</v>
      </c>
      <c r="B168" s="3">
        <f t="array" ref="B168">IF(IFERROR(lookup(1,1/SEARCH(A168,'OTPI Scores'!C:C),'OTPI Scores'!E:E),0)="Vets",7,IFERROR(lookup(1,1/SEARCH(A168,'OTPI Scores'!C:C),'OTPI Scores'!E:E),0))</f>
        <v>3</v>
      </c>
    </row>
    <row r="169">
      <c r="A169" s="3" t="str">
        <f>IFERROR(__xludf.DUMMYFUNCTION("""COMPUTED_VALUE"""),"Shavon Muir")</f>
        <v>Shavon Muir</v>
      </c>
      <c r="B169" s="3">
        <f t="array" ref="B169">IF(IFERROR(lookup(1,1/SEARCH(A169,'OTPI Scores'!C:C),'OTPI Scores'!E:E),0)="Vets",7,IFERROR(lookup(1,1/SEARCH(A169,'OTPI Scores'!C:C),'OTPI Scores'!E:E),0))</f>
        <v>4</v>
      </c>
    </row>
    <row r="170">
      <c r="A170" s="3" t="str">
        <f>IFERROR(__xludf.DUMMYFUNCTION("""COMPUTED_VALUE"""),"Liam Gunn")</f>
        <v>Liam Gunn</v>
      </c>
      <c r="B170" s="3">
        <f t="array" ref="B170">IF(IFERROR(lookup(1,1/SEARCH(A170,'OTPI Scores'!C:C),'OTPI Scores'!E:E),0)="Vets",7,IFERROR(lookup(1,1/SEARCH(A170,'OTPI Scores'!C:C),'OTPI Scores'!E:E),0))</f>
        <v>4</v>
      </c>
    </row>
    <row r="171">
      <c r="A171" s="3" t="str">
        <f>IFERROR(__xludf.DUMMYFUNCTION("""COMPUTED_VALUE"""),"Afnan Khan")</f>
        <v>Afnan Khan</v>
      </c>
      <c r="B171" s="3">
        <f t="array" ref="B171">IF(IFERROR(lookup(1,1/SEARCH(A171,'OTPI Scores'!C:C),'OTPI Scores'!E:E),0)="Vets",7,IFERROR(lookup(1,1/SEARCH(A171,'OTPI Scores'!C:C),'OTPI Scores'!E:E),0))</f>
        <v>6</v>
      </c>
    </row>
    <row r="172">
      <c r="A172" s="3" t="str">
        <f>IFERROR(__xludf.DUMMYFUNCTION("""COMPUTED_VALUE"""),"Tom Davidson")</f>
        <v>Tom Davidson</v>
      </c>
      <c r="B172" s="3">
        <f t="array" ref="B172">IF(IFERROR(lookup(1,1/SEARCH(A172,'OTPI Scores'!C:C),'OTPI Scores'!E:E),0)="Vets",7,IFERROR(lookup(1,1/SEARCH(A172,'OTPI Scores'!C:C),'OTPI Scores'!E:E),0))</f>
        <v>6</v>
      </c>
    </row>
    <row r="173">
      <c r="A173" s="3" t="str">
        <f>IFERROR(__xludf.DUMMYFUNCTION("""COMPUTED_VALUE"""),"Abz Marfa")</f>
        <v>Abz Marfa</v>
      </c>
      <c r="B173" s="3">
        <f t="array" ref="B173">IF(IFERROR(lookup(1,1/SEARCH(A173,'OTPI Scores'!C:C),'OTPI Scores'!E:E),0)="Vets",7,IFERROR(lookup(1,1/SEARCH(A173,'OTPI Scores'!C:C),'OTPI Scores'!E:E),0))</f>
        <v>6</v>
      </c>
    </row>
    <row r="174">
      <c r="A174" s="3" t="str">
        <f>IFERROR(__xludf.DUMMYFUNCTION("""COMPUTED_VALUE"""),"Mark Roberts")</f>
        <v>Mark Roberts</v>
      </c>
      <c r="B174" s="3">
        <f t="array" ref="B174">IF(IFERROR(lookup(1,1/SEARCH(A174,'OTPI Scores'!C:C),'OTPI Scores'!E:E),0)="Vets",7,IFERROR(lookup(1,1/SEARCH(A174,'OTPI Scores'!C:C),'OTPI Scores'!E:E),0))</f>
        <v>6</v>
      </c>
    </row>
    <row r="175">
      <c r="A175" s="3" t="str">
        <f>IFERROR(__xludf.DUMMYFUNCTION("""COMPUTED_VALUE"""),"Al Humphrey")</f>
        <v>Al Humphrey</v>
      </c>
      <c r="B175" s="3">
        <f t="array" ref="B175">IF(IFERROR(lookup(1,1/SEARCH(A175,'OTPI Scores'!C:C),'OTPI Scores'!E:E),0)="Vets",7,IFERROR(lookup(1,1/SEARCH(A175,'OTPI Scores'!C:C),'OTPI Scores'!E:E),0))</f>
        <v>7</v>
      </c>
    </row>
    <row r="176">
      <c r="A176" s="3" t="str">
        <f>IFERROR(__xludf.DUMMYFUNCTION("""COMPUTED_VALUE"""),"Ryan Sketchley")</f>
        <v>Ryan Sketchley</v>
      </c>
      <c r="B176" s="3">
        <f t="array" ref="B176">IF(IFERROR(lookup(1,1/SEARCH(A176,'OTPI Scores'!C:C),'OTPI Scores'!E:E),0)="Vets",7,IFERROR(lookup(1,1/SEARCH(A176,'OTPI Scores'!C:C),'OTPI Scores'!E:E),0))</f>
        <v>7</v>
      </c>
    </row>
    <row r="177">
      <c r="A177" s="3" t="str">
        <f>IFERROR(__xludf.DUMMYFUNCTION("""COMPUTED_VALUE"""),"Ash Mayers")</f>
        <v>Ash Mayers</v>
      </c>
      <c r="B177" s="3">
        <f t="array" ref="B177">IF(IFERROR(lookup(1,1/SEARCH(A177,'OTPI Scores'!C:C),'OTPI Scores'!E:E),0)="Vets",7,IFERROR(lookup(1,1/SEARCH(A177,'OTPI Scores'!C:C),'OTPI Scores'!E:E),0))</f>
        <v>7</v>
      </c>
    </row>
    <row r="178">
      <c r="A178" s="3" t="str">
        <f>IFERROR(__xludf.DUMMYFUNCTION("""COMPUTED_VALUE"""),"Phil Boden")</f>
        <v>Phil Boden</v>
      </c>
      <c r="B178" s="3">
        <f t="array" ref="B178">IF(IFERROR(lookup(1,1/SEARCH(A178,'OTPI Scores'!C:C),'OTPI Scores'!E:E),0)="Vets",7,IFERROR(lookup(1,1/SEARCH(A178,'OTPI Scores'!C:C),'OTPI Scores'!E:E),0))</f>
        <v>7</v>
      </c>
    </row>
    <row r="179">
      <c r="A179" s="3" t="str">
        <f>IFERROR(__xludf.DUMMYFUNCTION("""COMPUTED_VALUE"""),"Matt Price")</f>
        <v>Matt Price</v>
      </c>
      <c r="B179" s="3">
        <f t="array" ref="B179">IF(IFERROR(lookup(1,1/SEARCH(A179,'OTPI Scores'!C:C),'OTPI Scores'!E:E),0)="Vets",7,IFERROR(lookup(1,1/SEARCH(A179,'OTPI Scores'!C:C),'OTPI Scores'!E:E),0))</f>
        <v>2</v>
      </c>
    </row>
    <row r="180">
      <c r="A180" s="3" t="str">
        <f>IFERROR(__xludf.DUMMYFUNCTION("""COMPUTED_VALUE"""),"Joe Vincent")</f>
        <v>Joe Vincent</v>
      </c>
      <c r="B180" s="3">
        <f t="array" ref="B180">IF(IFERROR(lookup(1,1/SEARCH(A180,'OTPI Scores'!C:C),'OTPI Scores'!E:E),0)="Vets",7,IFERROR(lookup(1,1/SEARCH(A180,'OTPI Scores'!C:C),'OTPI Scores'!E:E),0))</f>
        <v>3</v>
      </c>
    </row>
    <row r="181">
      <c r="A181" s="3" t="str">
        <f>IFERROR(__xludf.DUMMYFUNCTION("""COMPUTED_VALUE"""),"George Connolly")</f>
        <v>George Connolly</v>
      </c>
      <c r="B181" s="3">
        <f t="array" ref="B181">IF(IFERROR(lookup(1,1/SEARCH(A181,'OTPI Scores'!C:C),'OTPI Scores'!E:E),0)="Vets",7,IFERROR(lookup(1,1/SEARCH(A181,'OTPI Scores'!C:C),'OTPI Scores'!E:E),0))</f>
        <v>3</v>
      </c>
    </row>
    <row r="182">
      <c r="A182" s="3" t="str">
        <f>IFERROR(__xludf.DUMMYFUNCTION("""COMPUTED_VALUE"""),"Jayden Wong")</f>
        <v>Jayden Wong</v>
      </c>
      <c r="B182" s="3">
        <f t="array" ref="B182">IF(IFERROR(lookup(1,1/SEARCH(A182,'OTPI Scores'!C:C),'OTPI Scores'!E:E),0)="Vets",7,IFERROR(lookup(1,1/SEARCH(A182,'OTPI Scores'!C:C),'OTPI Scores'!E:E),0))</f>
        <v>6</v>
      </c>
    </row>
    <row r="183">
      <c r="A183" s="3" t="str">
        <f>IFERROR(__xludf.DUMMYFUNCTION("""COMPUTED_VALUE"""),"Luke Dyges")</f>
        <v>Luke Dyges</v>
      </c>
      <c r="B183" s="3">
        <f t="array" ref="B183">IF(IFERROR(lookup(1,1/SEARCH(A183,'OTPI Scores'!C:C),'OTPI Scores'!E:E),0)="Vets",7,IFERROR(lookup(1,1/SEARCH(A183,'OTPI Scores'!C:C),'OTPI Scores'!E:E),0))</f>
        <v>1</v>
      </c>
    </row>
    <row r="184">
      <c r="A184" s="3" t="str">
        <f>IFERROR(__xludf.DUMMYFUNCTION("""COMPUTED_VALUE"""),"Cameron Pashley")</f>
        <v>Cameron Pashley</v>
      </c>
      <c r="B184" s="3">
        <f t="array" ref="B184">IF(IFERROR(lookup(1,1/SEARCH(A184,'OTPI Scores'!C:C),'OTPI Scores'!E:E),0)="Vets",7,IFERROR(lookup(1,1/SEARCH(A184,'OTPI Scores'!C:C),'OTPI Scores'!E:E),0))</f>
        <v>3</v>
      </c>
    </row>
    <row r="185">
      <c r="A185" s="3" t="str">
        <f>IFERROR(__xludf.DUMMYFUNCTION("""COMPUTED_VALUE"""),"Ed Wightman")</f>
        <v>Ed Wightman</v>
      </c>
      <c r="B185" s="3">
        <f t="array" ref="B185">IF(IFERROR(lookup(1,1/SEARCH(A185,'OTPI Scores'!C:C),'OTPI Scores'!E:E),0)="Vets",7,IFERROR(lookup(1,1/SEARCH(A185,'OTPI Scores'!C:C),'OTPI Scores'!E:E),0))</f>
        <v>4</v>
      </c>
    </row>
    <row r="186">
      <c r="A186" s="3" t="str">
        <f>IFERROR(__xludf.DUMMYFUNCTION("""COMPUTED_VALUE"""),"Alex Stevens")</f>
        <v>Alex Stevens</v>
      </c>
      <c r="B186" s="3">
        <f t="array" ref="B186">IF(IFERROR(lookup(1,1/SEARCH(A186,'OTPI Scores'!C:C),'OTPI Scores'!E:E),0)="Vets",7,IFERROR(lookup(1,1/SEARCH(A186,'OTPI Scores'!C:C),'OTPI Scores'!E:E),0))</f>
        <v>3</v>
      </c>
    </row>
    <row r="187">
      <c r="A187" s="3" t="str">
        <f>IFERROR(__xludf.DUMMYFUNCTION("""COMPUTED_VALUE"""),"Isaac Adepegba")</f>
        <v>Isaac Adepegba</v>
      </c>
      <c r="B187" s="3">
        <f t="array" ref="B187">IF(IFERROR(lookup(1,1/SEARCH(A187,'OTPI Scores'!C:C),'OTPI Scores'!E:E),0)="Vets",7,IFERROR(lookup(1,1/SEARCH(A187,'OTPI Scores'!C:C),'OTPI Scores'!E:E),0))</f>
        <v>5</v>
      </c>
    </row>
    <row r="188">
      <c r="A188" s="3" t="str">
        <f>IFERROR(__xludf.DUMMYFUNCTION("""COMPUTED_VALUE"""),"Charlie Heptinstall")</f>
        <v>Charlie Heptinstall</v>
      </c>
      <c r="B188" s="3">
        <f t="array" ref="B188">IF(IFERROR(lookup(1,1/SEARCH(A188,'OTPI Scores'!C:C),'OTPI Scores'!E:E),0)="Vets",7,IFERROR(lookup(1,1/SEARCH(A188,'OTPI Scores'!C:C),'OTPI Scores'!E:E),0))</f>
        <v>3</v>
      </c>
    </row>
    <row r="189">
      <c r="A189" s="3" t="str">
        <f>IFERROR(__xludf.DUMMYFUNCTION("""COMPUTED_VALUE"""),"Max Miles")</f>
        <v>Max Miles</v>
      </c>
      <c r="B189" s="3">
        <f t="array" ref="B189">IF(IFERROR(lookup(1,1/SEARCH(A189,'OTPI Scores'!C:C),'OTPI Scores'!E:E),0)="Vets",7,IFERROR(lookup(1,1/SEARCH(A189,'OTPI Scores'!C:C),'OTPI Scores'!E:E),0))</f>
        <v>4</v>
      </c>
    </row>
    <row r="190">
      <c r="A190" s="3" t="str">
        <f>IFERROR(__xludf.DUMMYFUNCTION("""COMPUTED_VALUE"""),"Lewis Anderson")</f>
        <v>Lewis Anderson</v>
      </c>
      <c r="B190" s="3">
        <f t="array" ref="B190">IF(IFERROR(lookup(1,1/SEARCH(A190,'OTPI Scores'!C:C),'OTPI Scores'!E:E),0)="Vets",7,IFERROR(lookup(1,1/SEARCH(A190,'OTPI Scores'!C:C),'OTPI Scores'!E:E),0))</f>
        <v>3</v>
      </c>
    </row>
    <row r="191">
      <c r="A191" s="3" t="str">
        <f>IFERROR(__xludf.DUMMYFUNCTION("""COMPUTED_VALUE"""),"Rich Robinson")</f>
        <v>Rich Robinson</v>
      </c>
      <c r="B191" s="3">
        <f t="array" ref="B191">IF(IFERROR(lookup(1,1/SEARCH(A191,'OTPI Scores'!C:C),'OTPI Scores'!E:E),0)="Vets",7,IFERROR(lookup(1,1/SEARCH(A191,'OTPI Scores'!C:C),'OTPI Scores'!E:E),0))</f>
        <v>3</v>
      </c>
    </row>
    <row r="192">
      <c r="A192" s="3" t="str">
        <f>IFERROR(__xludf.DUMMYFUNCTION("""COMPUTED_VALUE"""),"Olly Mason")</f>
        <v>Olly Mason</v>
      </c>
      <c r="B192" s="3">
        <f t="array" ref="B192">IF(IFERROR(lookup(1,1/SEARCH(A192,'OTPI Scores'!C:C),'OTPI Scores'!E:E),0)="Vets",7,IFERROR(lookup(1,1/SEARCH(A192,'OTPI Scores'!C:C),'OTPI Scores'!E:E),0))</f>
        <v>3</v>
      </c>
    </row>
    <row r="193">
      <c r="A193" s="3" t="str">
        <f>IFERROR(__xludf.DUMMYFUNCTION("""COMPUTED_VALUE"""),"Tam de Lacey")</f>
        <v>Tam de Lacey</v>
      </c>
      <c r="B193" s="3">
        <f t="array" ref="B193">IF(IFERROR(lookup(1,1/SEARCH(A193,'OTPI Scores'!C:C),'OTPI Scores'!E:E),0)="Vets",7,IFERROR(lookup(1,1/SEARCH(A193,'OTPI Scores'!C:C),'OTPI Scores'!E:E),0))</f>
        <v>2</v>
      </c>
    </row>
    <row r="194">
      <c r="A194" s="3" t="str">
        <f>IFERROR(__xludf.DUMMYFUNCTION("""COMPUTED_VALUE"""),"Henry Pepperell")</f>
        <v>Henry Pepperell</v>
      </c>
      <c r="B194" s="3">
        <f t="array" ref="B194">IF(IFERROR(lookup(1,1/SEARCH(A194,'OTPI Scores'!C:C),'OTPI Scores'!E:E),0)="Vets",7,IFERROR(lookup(1,1/SEARCH(A194,'OTPI Scores'!C:C),'OTPI Scores'!E:E),0))</f>
        <v>2</v>
      </c>
    </row>
    <row r="195">
      <c r="A195" s="3" t="str">
        <f>IFERROR(__xludf.DUMMYFUNCTION("""COMPUTED_VALUE"""),"Chris Weir")</f>
        <v>Chris Weir</v>
      </c>
      <c r="B195" s="3">
        <f t="array" ref="B195">IF(IFERROR(lookup(1,1/SEARCH(A195,'OTPI Scores'!C:C),'OTPI Scores'!E:E),0)="Vets",7,IFERROR(lookup(1,1/SEARCH(A195,'OTPI Scores'!C:C),'OTPI Scores'!E:E),0))</f>
        <v>3</v>
      </c>
    </row>
    <row r="196">
      <c r="A196" s="3" t="str">
        <f>IFERROR(__xludf.DUMMYFUNCTION("""COMPUTED_VALUE"""),"Mark Rowntree")</f>
        <v>Mark Rowntree</v>
      </c>
      <c r="B196" s="3">
        <f t="array" ref="B196">IF(IFERROR(lookup(1,1/SEARCH(A196,'OTPI Scores'!C:C),'OTPI Scores'!E:E),0)="Vets",7,IFERROR(lookup(1,1/SEARCH(A196,'OTPI Scores'!C:C),'OTPI Scores'!E:E),0))</f>
        <v>7</v>
      </c>
    </row>
    <row r="197">
      <c r="A197" s="3" t="str">
        <f>IFERROR(__xludf.DUMMYFUNCTION("""COMPUTED_VALUE"""),"Samuel Osewa")</f>
        <v>Samuel Osewa</v>
      </c>
      <c r="B197" s="3">
        <f t="array" ref="B197">IF(IFERROR(lookup(1,1/SEARCH(A197,'OTPI Scores'!C:C),'OTPI Scores'!E:E),0)="Vets",7,IFERROR(lookup(1,1/SEARCH(A197,'OTPI Scores'!C:C),'OTPI Scores'!E:E),0))</f>
        <v>4</v>
      </c>
    </row>
    <row r="198">
      <c r="A198" s="3" t="str">
        <f>IFERROR(__xludf.DUMMYFUNCTION("""COMPUTED_VALUE"""),"Kai Clack")</f>
        <v>Kai Clack</v>
      </c>
      <c r="B198" s="3">
        <f t="array" ref="B198">IF(IFERROR(lookup(1,1/SEARCH(A198,'OTPI Scores'!C:C),'OTPI Scores'!E:E),0)="Vets",7,IFERROR(lookup(1,1/SEARCH(A198,'OTPI Scores'!C:C),'OTPI Scores'!E:E),0))</f>
        <v>6</v>
      </c>
    </row>
    <row r="199">
      <c r="A199" s="3" t="str">
        <f>IFERROR(__xludf.DUMMYFUNCTION("""COMPUTED_VALUE"""),"Stevie Wood")</f>
        <v>Stevie Wood</v>
      </c>
      <c r="B199" s="3">
        <f t="array" ref="B199">IF(IFERROR(lookup(1,1/SEARCH(A199,'OTPI Scores'!C:C),'OTPI Scores'!E:E),0)="Vets",7,IFERROR(lookup(1,1/SEARCH(A199,'OTPI Scores'!C:C),'OTPI Scores'!E:E),0))</f>
        <v>7</v>
      </c>
    </row>
    <row r="200">
      <c r="A200" s="3" t="str">
        <f>IFERROR(__xludf.DUMMYFUNCTION("""COMPUTED_VALUE"""),"Sid Nayaar")</f>
        <v>Sid Nayaar</v>
      </c>
      <c r="B200" s="3">
        <f t="array" ref="B200">IF(IFERROR(lookup(1,1/SEARCH(A200,'OTPI Scores'!C:C),'OTPI Scores'!E:E),0)="Vets",7,IFERROR(lookup(1,1/SEARCH(A200,'OTPI Scores'!C:C),'OTPI Scores'!E:E),0))</f>
        <v>4</v>
      </c>
    </row>
    <row r="201">
      <c r="A201" s="3" t="str">
        <f>IFERROR(__xludf.DUMMYFUNCTION("""COMPUTED_VALUE"""),"Claudien Mwalimu")</f>
        <v>Claudien Mwalimu</v>
      </c>
      <c r="B201" s="3">
        <f t="array" ref="B201">IF(IFERROR(lookup(1,1/SEARCH(A201,'OTPI Scores'!C:C),'OTPI Scores'!E:E),0)="Vets",7,IFERROR(lookup(1,1/SEARCH(A201,'OTPI Scores'!C:C),'OTPI Scores'!E:E),0))</f>
        <v>2</v>
      </c>
    </row>
    <row r="202">
      <c r="A202" s="3" t="str">
        <f>IFERROR(__xludf.DUMMYFUNCTION("""COMPUTED_VALUE"""),"Dom Robbins")</f>
        <v>Dom Robbins</v>
      </c>
      <c r="B202" s="3">
        <f t="array" ref="B202">IF(IFERROR(lookup(1,1/SEARCH(A202,'OTPI Scores'!C:C),'OTPI Scores'!E:E),0)="Vets",7,IFERROR(lookup(1,1/SEARCH(A202,'OTPI Scores'!C:C),'OTPI Scores'!E:E),0))</f>
        <v>3</v>
      </c>
    </row>
    <row r="203">
      <c r="A203" s="3" t="str">
        <f>IFERROR(__xludf.DUMMYFUNCTION("""COMPUTED_VALUE"""),"Miles Shirtcliffe")</f>
        <v>Miles Shirtcliffe</v>
      </c>
      <c r="B203" s="3">
        <f t="array" ref="B203">IF(IFERROR(lookup(1,1/SEARCH(A203,'OTPI Scores'!C:C),'OTPI Scores'!E:E),0)="Vets",7,IFERROR(lookup(1,1/SEARCH(A203,'OTPI Scores'!C:C),'OTPI Scores'!E:E),0))</f>
        <v>3</v>
      </c>
    </row>
    <row r="204">
      <c r="A204" s="3" t="str">
        <f>IFERROR(__xludf.DUMMYFUNCTION("""COMPUTED_VALUE"""),"Cameron Divine")</f>
        <v>Cameron Divine</v>
      </c>
      <c r="B204" s="3">
        <f t="array" ref="B204">IF(IFERROR(lookup(1,1/SEARCH(A204,'OTPI Scores'!C:C),'OTPI Scores'!E:E),0)="Vets",7,IFERROR(lookup(1,1/SEARCH(A204,'OTPI Scores'!C:C),'OTPI Scores'!E:E),0))</f>
        <v>5</v>
      </c>
    </row>
    <row r="205">
      <c r="A205" s="3" t="str">
        <f>IFERROR(__xludf.DUMMYFUNCTION("""COMPUTED_VALUE"""),"Billy King")</f>
        <v>Billy King</v>
      </c>
      <c r="B205" s="3">
        <f t="array" ref="B205">IF(IFERROR(lookup(1,1/SEARCH(A205,'OTPI Scores'!C:C),'OTPI Scores'!E:E),0)="Vets",7,IFERROR(lookup(1,1/SEARCH(A205,'OTPI Scores'!C:C),'OTPI Scores'!E:E),0))</f>
        <v>4</v>
      </c>
    </row>
    <row r="206">
      <c r="A206" s="3" t="str">
        <f>IFERROR(__xludf.DUMMYFUNCTION("""COMPUTED_VALUE"""),"Daniel Sheehan")</f>
        <v>Daniel Sheehan</v>
      </c>
      <c r="B206" s="3">
        <f t="array" ref="B206">IF(IFERROR(lookup(1,1/SEARCH(A206,'OTPI Scores'!C:C),'OTPI Scores'!E:E),0)="Vets",7,IFERROR(lookup(1,1/SEARCH(A206,'OTPI Scores'!C:C),'OTPI Scores'!E:E),0))</f>
        <v>6</v>
      </c>
    </row>
    <row r="207">
      <c r="A207" s="3" t="str">
        <f>IFERROR(__xludf.DUMMYFUNCTION("""COMPUTED_VALUE"""),"Jamie Dedman")</f>
        <v>Jamie Dedman</v>
      </c>
      <c r="B207" s="3">
        <f t="array" ref="B207">IF(IFERROR(lookup(1,1/SEARCH(A207,'OTPI Scores'!C:C),'OTPI Scores'!E:E),0)="Vets",7,IFERROR(lookup(1,1/SEARCH(A207,'OTPI Scores'!C:C),'OTPI Scores'!E:E),0))</f>
        <v>5</v>
      </c>
    </row>
    <row r="208">
      <c r="A208" s="3" t="str">
        <f>IFERROR(__xludf.DUMMYFUNCTION("""COMPUTED_VALUE"""),"Tom Taylor")</f>
        <v>Tom Taylor</v>
      </c>
      <c r="B208" s="3">
        <f t="array" ref="B208">IF(IFERROR(lookup(1,1/SEARCH(A208,'OTPI Scores'!C:C),'OTPI Scores'!E:E),0)="Vets",7,IFERROR(lookup(1,1/SEARCH(A208,'OTPI Scores'!C:C),'OTPI Scores'!E:E),0))</f>
        <v>4</v>
      </c>
    </row>
    <row r="209">
      <c r="A209" s="3" t="str">
        <f>IFERROR(__xludf.DUMMYFUNCTION("""COMPUTED_VALUE"""),"Remi Sellers")</f>
        <v>Remi Sellers</v>
      </c>
      <c r="B209" s="3">
        <f t="array" ref="B209">IF(IFERROR(lookup(1,1/SEARCH(A209,'OTPI Scores'!C:C),'OTPI Scores'!E:E),0)="Vets",7,IFERROR(lookup(1,1/SEARCH(A209,'OTPI Scores'!C:C),'OTPI Scores'!E:E),0))</f>
        <v>7</v>
      </c>
    </row>
    <row r="210">
      <c r="A210" s="3" t="str">
        <f>IFERROR(__xludf.DUMMYFUNCTION("""COMPUTED_VALUE"""),"Wayne Ebanks")</f>
        <v>Wayne Ebanks</v>
      </c>
      <c r="B210" s="3">
        <f t="array" ref="B210">IF(IFERROR(lookup(1,1/SEARCH(A210,'OTPI Scores'!C:C),'OTPI Scores'!E:E),0)="Vets",7,IFERROR(lookup(1,1/SEARCH(A210,'OTPI Scores'!C:C),'OTPI Scores'!E:E),0))</f>
        <v>7</v>
      </c>
    </row>
    <row r="211">
      <c r="A211" s="3" t="str">
        <f>IFERROR(__xludf.DUMMYFUNCTION("""COMPUTED_VALUE"""),"Harrison Woolley")</f>
        <v>Harrison Woolley</v>
      </c>
      <c r="B211" s="3">
        <f t="array" ref="B211">IF(IFERROR(lookup(1,1/SEARCH(A211,'OTPI Scores'!C:C),'OTPI Scores'!E:E),0)="Vets",7,IFERROR(lookup(1,1/SEARCH(A211,'OTPI Scores'!C:C),'OTPI Scores'!E:E),0))</f>
        <v>5</v>
      </c>
    </row>
    <row r="212">
      <c r="A212" s="3" t="str">
        <f>IFERROR(__xludf.DUMMYFUNCTION("""COMPUTED_VALUE"""),"Kim Jaeyoon")</f>
        <v>Kim Jaeyoon</v>
      </c>
      <c r="B212" s="3">
        <f t="array" ref="B212">IF(IFERROR(lookup(1,1/SEARCH(A212,'OTPI Scores'!C:C),'OTPI Scores'!E:E),0)="Vets",7,IFERROR(lookup(1,1/SEARCH(A212,'OTPI Scores'!C:C),'OTPI Scores'!E:E),0))</f>
        <v>2</v>
      </c>
    </row>
    <row r="213">
      <c r="A213" s="3" t="str">
        <f>IFERROR(__xludf.DUMMYFUNCTION("""COMPUTED_VALUE"""),"Fabio Teixeira")</f>
        <v>Fabio Teixeira</v>
      </c>
      <c r="B213" s="3">
        <f t="array" ref="B213">IF(IFERROR(lookup(1,1/SEARCH(A213,'OTPI Scores'!C:C),'OTPI Scores'!E:E),0)="Vets",7,IFERROR(lookup(1,1/SEARCH(A213,'OTPI Scores'!C:C),'OTPI Scores'!E:E),0))</f>
        <v>4</v>
      </c>
    </row>
    <row r="214">
      <c r="A214" s="3" t="str">
        <f>IFERROR(__xludf.DUMMYFUNCTION("""COMPUTED_VALUE"""),"Paddy Troy")</f>
        <v>Paddy Troy</v>
      </c>
      <c r="B214" s="3">
        <f t="array" ref="B214">IF(IFERROR(lookup(1,1/SEARCH(A214,'OTPI Scores'!C:C),'OTPI Scores'!E:E),0)="Vets",7,IFERROR(lookup(1,1/SEARCH(A214,'OTPI Scores'!C:C),'OTPI Scores'!E:E),0))</f>
        <v>6</v>
      </c>
    </row>
    <row r="215">
      <c r="A215" s="3"/>
      <c r="B215" s="3">
        <f t="array" ref="B215">IF(IFERROR(lookup(1,1/SEARCH(A215,'OTPI Scores'!C:C),'OTPI Scores'!E:E),0)="Vets",7,IFERROR(lookup(1,1/SEARCH(A215,'OTPI Scores'!C:C),'OTPI Scores'!E:E),0))</f>
        <v>6</v>
      </c>
    </row>
    <row r="216">
      <c r="B216" s="3">
        <f t="array" ref="B216">IF(IFERROR(lookup(1,1/SEARCH(A216,'OTPI Scores'!C:C),'OTPI Scores'!E:E),0)="Vets",7,IFERROR(lookup(1,1/SEARCH(A216,'OTPI Scores'!C:C),'OTPI Scores'!E:E),0))</f>
        <v>6</v>
      </c>
    </row>
    <row r="217">
      <c r="B217" s="3">
        <f t="array" ref="B217">IF(IFERROR(lookup(1,1/SEARCH(A217,'OTPI Scores'!C:C),'OTPI Scores'!E:E),0)="Vets",7,IFERROR(lookup(1,1/SEARCH(A217,'OTPI Scores'!C:C),'OTPI Scores'!E:E),0))</f>
        <v>6</v>
      </c>
    </row>
    <row r="218">
      <c r="B218" s="3">
        <f t="array" ref="B218">IF(IFERROR(lookup(1,1/SEARCH(A218,'OTPI Scores'!C:C),'OTPI Scores'!E:E),0)="Vets",7,IFERROR(lookup(1,1/SEARCH(A218,'OTPI Scores'!C:C),'OTPI Scores'!E:E),0))</f>
        <v>6</v>
      </c>
    </row>
    <row r="219">
      <c r="B219" s="3">
        <f t="array" ref="B219">IF(IFERROR(lookup(1,1/SEARCH(A219,'OTPI Scores'!C:C),'OTPI Scores'!E:E),0)="Vets",7,IFERROR(lookup(1,1/SEARCH(A219,'OTPI Scores'!C:C),'OTPI Scores'!E:E),0))</f>
        <v>6</v>
      </c>
    </row>
    <row r="220">
      <c r="B220" s="3">
        <f t="array" ref="B220">IF(IFERROR(lookup(1,1/SEARCH(A220,'OTPI Scores'!C:C),'OTPI Scores'!E:E),0)="Vets",7,IFERROR(lookup(1,1/SEARCH(A220,'OTPI Scores'!C:C),'OTPI Scores'!E:E),0))</f>
        <v>6</v>
      </c>
    </row>
    <row r="221">
      <c r="B221" s="3">
        <f t="array" ref="B221">IF(IFERROR(lookup(1,1/SEARCH(A221,'OTPI Scores'!C:C),'OTPI Scores'!E:E),0)="Vets",7,IFERROR(lookup(1,1/SEARCH(A221,'OTPI Scores'!C:C),'OTPI Scores'!E:E),0))</f>
        <v>6</v>
      </c>
    </row>
    <row r="222">
      <c r="B222" s="3">
        <f t="array" ref="B222">IF(IFERROR(lookup(1,1/SEARCH(A222,'OTPI Scores'!C:C),'OTPI Scores'!E:E),0)="Vets",7,IFERROR(lookup(1,1/SEARCH(A222,'OTPI Scores'!C:C),'OTPI Scores'!E:E),0))</f>
        <v>6</v>
      </c>
    </row>
    <row r="223">
      <c r="B223" s="3">
        <f t="array" ref="B223">IF(IFERROR(lookup(1,1/SEARCH(A223,'OTPI Scores'!C:C),'OTPI Scores'!E:E),0)="Vets",7,IFERROR(lookup(1,1/SEARCH(A223,'OTPI Scores'!C:C),'OTPI Scores'!E:E),0))</f>
        <v>6</v>
      </c>
    </row>
    <row r="224">
      <c r="B224" s="3">
        <f t="array" ref="B224">IF(IFERROR(lookup(1,1/SEARCH(A224,'OTPI Scores'!C:C),'OTPI Scores'!E:E),0)="Vets",7,IFERROR(lookup(1,1/SEARCH(A224,'OTPI Scores'!C:C),'OTPI Scores'!E:E),0))</f>
        <v>6</v>
      </c>
    </row>
    <row r="225">
      <c r="B225" s="3">
        <f t="array" ref="B225">IF(IFERROR(lookup(1,1/SEARCH(A225,'OTPI Scores'!C:C),'OTPI Scores'!E:E),0)="Vets",7,IFERROR(lookup(1,1/SEARCH(A225,'OTPI Scores'!C:C),'OTPI Scores'!E:E),0))</f>
        <v>6</v>
      </c>
    </row>
    <row r="226">
      <c r="B226" s="3">
        <f t="array" ref="B226">IF(IFERROR(lookup(1,1/SEARCH(A226,'OTPI Scores'!C:C),'OTPI Scores'!E:E),0)="Vets",7,IFERROR(lookup(1,1/SEARCH(A226,'OTPI Scores'!C:C),'OTPI Scores'!E:E),0))</f>
        <v>6</v>
      </c>
    </row>
    <row r="227">
      <c r="B227" s="3">
        <f t="array" ref="B227">IF(IFERROR(lookup(1,1/SEARCH(A227,'OTPI Scores'!C:C),'OTPI Scores'!E:E),0)="Vets",7,IFERROR(lookup(1,1/SEARCH(A227,'OTPI Scores'!C:C),'OTPI Scores'!E:E),0))</f>
        <v>6</v>
      </c>
    </row>
    <row r="228">
      <c r="B228" s="3">
        <f t="array" ref="B228">IF(IFERROR(lookup(1,1/SEARCH(A228,'OTPI Scores'!C:C),'OTPI Scores'!E:E),0)="Vets",7,IFERROR(lookup(1,1/SEARCH(A228,'OTPI Scores'!C:C),'OTPI Scores'!E:E),0))</f>
        <v>6</v>
      </c>
    </row>
    <row r="229">
      <c r="B229" s="3">
        <f t="array" ref="B229">IF(IFERROR(lookup(1,1/SEARCH(A229,'OTPI Scores'!C:C),'OTPI Scores'!E:E),0)="Vets",7,IFERROR(lookup(1,1/SEARCH(A229,'OTPI Scores'!C:C),'OTPI Scores'!E:E),0))</f>
        <v>6</v>
      </c>
    </row>
    <row r="230">
      <c r="B230" s="3">
        <f t="array" ref="B230">IF(IFERROR(lookup(1,1/SEARCH(A230,'OTPI Scores'!C:C),'OTPI Scores'!E:E),0)="Vets",7,IFERROR(lookup(1,1/SEARCH(A230,'OTPI Scores'!C:C),'OTPI Scores'!E:E),0))</f>
        <v>6</v>
      </c>
    </row>
    <row r="231">
      <c r="B231" s="3">
        <f t="array" ref="B231">IF(IFERROR(lookup(1,1/SEARCH(A231,'OTPI Scores'!C:C),'OTPI Scores'!E:E),0)="Vets",7,IFERROR(lookup(1,1/SEARCH(A231,'OTPI Scores'!C:C),'OTPI Scores'!E:E),0))</f>
        <v>6</v>
      </c>
    </row>
    <row r="232">
      <c r="B232" s="3">
        <f t="array" ref="B232">IF(IFERROR(lookup(1,1/SEARCH(A232,'OTPI Scores'!C:C),'OTPI Scores'!E:E),0)="Vets",7,IFERROR(lookup(1,1/SEARCH(A232,'OTPI Scores'!C:C),'OTPI Scores'!E:E),0))</f>
        <v>6</v>
      </c>
    </row>
    <row r="233">
      <c r="B233" s="3">
        <f t="array" ref="B233">IF(IFERROR(lookup(1,1/SEARCH(A233,'OTPI Scores'!C:C),'OTPI Scores'!E:E),0)="Vets",7,IFERROR(lookup(1,1/SEARCH(A233,'OTPI Scores'!C:C),'OTPI Scores'!E:E),0))</f>
        <v>6</v>
      </c>
    </row>
    <row r="234">
      <c r="B234" s="3">
        <f t="array" ref="B234">IF(IFERROR(lookup(1,1/SEARCH(A234,'OTPI Scores'!C:C),'OTPI Scores'!E:E),0)="Vets",7,IFERROR(lookup(1,1/SEARCH(A234,'OTPI Scores'!C:C),'OTPI Scores'!E:E),0))</f>
        <v>6</v>
      </c>
    </row>
    <row r="235">
      <c r="B235" s="3">
        <f t="array" ref="B235">IF(IFERROR(lookup(1,1/SEARCH(A235,'OTPI Scores'!C:C),'OTPI Scores'!E:E),0)="Vets",7,IFERROR(lookup(1,1/SEARCH(A235,'OTPI Scores'!C:C),'OTPI Scores'!E:E),0))</f>
        <v>6</v>
      </c>
    </row>
    <row r="236">
      <c r="B236" s="3">
        <f t="array" ref="B236">IF(IFERROR(lookup(1,1/SEARCH(A236,'OTPI Scores'!C:C),'OTPI Scores'!E:E),0)="Vets",7,IFERROR(lookup(1,1/SEARCH(A236,'OTPI Scores'!C:C),'OTPI Scores'!E:E),0))</f>
        <v>6</v>
      </c>
    </row>
    <row r="237">
      <c r="B237" s="3">
        <f t="array" ref="B237">IF(IFERROR(lookup(1,1/SEARCH(A237,'OTPI Scores'!C:C),'OTPI Scores'!E:E),0)="Vets",7,IFERROR(lookup(1,1/SEARCH(A237,'OTPI Scores'!C:C),'OTPI Scores'!E:E),0))</f>
        <v>6</v>
      </c>
    </row>
    <row r="238">
      <c r="B238" s="3">
        <f t="array" ref="B238">IF(IFERROR(lookup(1,1/SEARCH(A238,'OTPI Scores'!C:C),'OTPI Scores'!E:E),0)="Vets",7,IFERROR(lookup(1,1/SEARCH(A238,'OTPI Scores'!C:C),'OTPI Scores'!E:E),0))</f>
        <v>6</v>
      </c>
    </row>
    <row r="239">
      <c r="B239" s="3">
        <f t="array" ref="B239">IF(IFERROR(lookup(1,1/SEARCH(A239,'OTPI Scores'!C:C),'OTPI Scores'!E:E),0)="Vets",7,IFERROR(lookup(1,1/SEARCH(A239,'OTPI Scores'!C:C),'OTPI Scores'!E:E),0))</f>
        <v>6</v>
      </c>
    </row>
    <row r="240">
      <c r="B240" s="3">
        <f t="array" ref="B240">IF(IFERROR(lookup(1,1/SEARCH(A240,'OTPI Scores'!C:C),'OTPI Scores'!E:E),0)="Vets",7,IFERROR(lookup(1,1/SEARCH(A240,'OTPI Scores'!C:C),'OTPI Scores'!E:E),0))</f>
        <v>6</v>
      </c>
    </row>
    <row r="241">
      <c r="B241" s="3">
        <f t="array" ref="B241">IF(IFERROR(lookup(1,1/SEARCH(A241,'OTPI Scores'!C:C),'OTPI Scores'!E:E),0)="Vets",7,IFERROR(lookup(1,1/SEARCH(A241,'OTPI Scores'!C:C),'OTPI Scores'!E:E),0))</f>
        <v>6</v>
      </c>
    </row>
    <row r="242">
      <c r="B242" s="3">
        <f t="array" ref="B242">IF(IFERROR(lookup(1,1/SEARCH(A242,'OTPI Scores'!C:C),'OTPI Scores'!E:E),0)="Vets",7,IFERROR(lookup(1,1/SEARCH(A242,'OTPI Scores'!C:C),'OTPI Scores'!E:E),0))</f>
        <v>6</v>
      </c>
    </row>
    <row r="243">
      <c r="B243" s="3">
        <f t="array" ref="B243">IF(IFERROR(lookup(1,1/SEARCH(A243,'OTPI Scores'!C:C),'OTPI Scores'!E:E),0)="Vets",7,IFERROR(lookup(1,1/SEARCH(A243,'OTPI Scores'!C:C),'OTPI Scores'!E:E),0))</f>
        <v>6</v>
      </c>
    </row>
    <row r="244">
      <c r="B244" s="3">
        <f t="array" ref="B244">IF(IFERROR(lookup(1,1/SEARCH(A244,'OTPI Scores'!C:C),'OTPI Scores'!E:E),0)="Vets",7,IFERROR(lookup(1,1/SEARCH(A244,'OTPI Scores'!C:C),'OTPI Scores'!E:E),0))</f>
        <v>6</v>
      </c>
    </row>
    <row r="245">
      <c r="B245" s="3">
        <f t="array" ref="B245">IF(IFERROR(lookup(1,1/SEARCH(A245,'OTPI Scores'!C:C),'OTPI Scores'!E:E),0)="Vets",7,IFERROR(lookup(1,1/SEARCH(A245,'OTPI Scores'!C:C),'OTPI Scores'!E:E),0))</f>
        <v>6</v>
      </c>
    </row>
    <row r="246">
      <c r="B246" s="3">
        <f t="array" ref="B246">IF(IFERROR(lookup(1,1/SEARCH(A246,'OTPI Scores'!C:C),'OTPI Scores'!E:E),0)="Vets",7,IFERROR(lookup(1,1/SEARCH(A246,'OTPI Scores'!C:C),'OTPI Scores'!E:E),0))</f>
        <v>6</v>
      </c>
    </row>
    <row r="247">
      <c r="B247" s="3">
        <f t="array" ref="B247">IF(IFERROR(lookup(1,1/SEARCH(A247,'OTPI Scores'!C:C),'OTPI Scores'!E:E),0)="Vets",7,IFERROR(lookup(1,1/SEARCH(A247,'OTPI Scores'!C:C),'OTPI Scores'!E:E),0))</f>
        <v>6</v>
      </c>
    </row>
    <row r="248">
      <c r="B248" s="3">
        <f t="array" ref="B248">IF(IFERROR(lookup(1,1/SEARCH(A248,'OTPI Scores'!C:C),'OTPI Scores'!E:E),0)="Vets",7,IFERROR(lookup(1,1/SEARCH(A248,'OTPI Scores'!C:C),'OTPI Scores'!E:E),0))</f>
        <v>6</v>
      </c>
    </row>
    <row r="249">
      <c r="B249" s="3">
        <f t="array" ref="B249">IF(IFERROR(lookup(1,1/SEARCH(A249,'OTPI Scores'!C:C),'OTPI Scores'!E:E),0)="Vets",7,IFERROR(lookup(1,1/SEARCH(A249,'OTPI Scores'!C:C),'OTPI Scores'!E:E),0))</f>
        <v>6</v>
      </c>
    </row>
    <row r="250">
      <c r="B250" s="3">
        <f t="array" ref="B250">IF(IFERROR(lookup(1,1/SEARCH(A250,'OTPI Scores'!C:C),'OTPI Scores'!E:E),0)="Vets",7,IFERROR(lookup(1,1/SEARCH(A250,'OTPI Scores'!C:C),'OTPI Scores'!E:E),0))</f>
        <v>6</v>
      </c>
    </row>
    <row r="251">
      <c r="B251" s="3">
        <f t="array" ref="B251">IF(IFERROR(lookup(1,1/SEARCH(A251,'OTPI Scores'!C:C),'OTPI Scores'!E:E),0)="Vets",7,IFERROR(lookup(1,1/SEARCH(A251,'OTPI Scores'!C:C),'OTPI Scores'!E:E),0))</f>
        <v>6</v>
      </c>
    </row>
    <row r="252">
      <c r="B252" s="3">
        <f t="array" ref="B252">IF(IFERROR(lookup(1,1/SEARCH(A252,'OTPI Scores'!C:C),'OTPI Scores'!E:E),0)="Vets",7,IFERROR(lookup(1,1/SEARCH(A252,'OTPI Scores'!C:C),'OTPI Scores'!E:E),0))</f>
        <v>6</v>
      </c>
    </row>
    <row r="253">
      <c r="B253" s="3">
        <f t="array" ref="B253">IF(IFERROR(lookup(1,1/SEARCH(A253,'OTPI Scores'!C:C),'OTPI Scores'!E:E),0)="Vets",7,IFERROR(lookup(1,1/SEARCH(A253,'OTPI Scores'!C:C),'OTPI Scores'!E:E),0))</f>
        <v>6</v>
      </c>
    </row>
    <row r="254">
      <c r="B254" s="3">
        <f t="array" ref="B254">IF(IFERROR(lookup(1,1/SEARCH(A254,'OTPI Scores'!C:C),'OTPI Scores'!E:E),0)="Vets",7,IFERROR(lookup(1,1/SEARCH(A254,'OTPI Scores'!C:C),'OTPI Scores'!E:E),0))</f>
        <v>6</v>
      </c>
    </row>
    <row r="255">
      <c r="B255" s="3">
        <f t="array" ref="B255">IF(IFERROR(lookup(1,1/SEARCH(A255,'OTPI Scores'!C:C),'OTPI Scores'!E:E),0)="Vets",7,IFERROR(lookup(1,1/SEARCH(A255,'OTPI Scores'!C:C),'OTPI Scores'!E:E),0))</f>
        <v>6</v>
      </c>
    </row>
    <row r="256">
      <c r="B256" s="3">
        <f t="array" ref="B256">IF(IFERROR(lookup(1,1/SEARCH(A256,'OTPI Scores'!C:C),'OTPI Scores'!E:E),0)="Vets",7,IFERROR(lookup(1,1/SEARCH(A256,'OTPI Scores'!C:C),'OTPI Scores'!E:E),0))</f>
        <v>6</v>
      </c>
    </row>
    <row r="257">
      <c r="B257" s="3">
        <f t="array" ref="B257">IF(IFERROR(lookup(1,1/SEARCH(A257,'OTPI Scores'!C:C),'OTPI Scores'!E:E),0)="Vets",7,IFERROR(lookup(1,1/SEARCH(A257,'OTPI Scores'!C:C),'OTPI Scores'!E:E),0))</f>
        <v>6</v>
      </c>
    </row>
    <row r="258">
      <c r="B258" s="3">
        <f t="array" ref="B258">IF(IFERROR(lookup(1,1/SEARCH(A258,'OTPI Scores'!C:C),'OTPI Scores'!E:E),0)="Vets",7,IFERROR(lookup(1,1/SEARCH(A258,'OTPI Scores'!C:C),'OTPI Scores'!E:E),0))</f>
        <v>6</v>
      </c>
    </row>
    <row r="259">
      <c r="B259" s="3">
        <f t="array" ref="B259">IF(IFERROR(lookup(1,1/SEARCH(A259,'OTPI Scores'!C:C),'OTPI Scores'!E:E),0)="Vets",7,IFERROR(lookup(1,1/SEARCH(A259,'OTPI Scores'!C:C),'OTPI Scores'!E:E),0))</f>
        <v>6</v>
      </c>
    </row>
    <row r="260">
      <c r="B260" s="3">
        <f t="array" ref="B260">IF(IFERROR(lookup(1,1/SEARCH(A260,'OTPI Scores'!C:C),'OTPI Scores'!E:E),0)="Vets",7,IFERROR(lookup(1,1/SEARCH(A260,'OTPI Scores'!C:C),'OTPI Scores'!E:E),0))</f>
        <v>6</v>
      </c>
    </row>
    <row r="261">
      <c r="B261" s="3">
        <f t="array" ref="B261">IF(IFERROR(lookup(1,1/SEARCH(A261,'OTPI Scores'!C:C),'OTPI Scores'!E:E),0)="Vets",7,IFERROR(lookup(1,1/SEARCH(A261,'OTPI Scores'!C:C),'OTPI Scores'!E:E),0))</f>
        <v>6</v>
      </c>
    </row>
    <row r="262">
      <c r="B262" s="3">
        <f t="array" ref="B262">IF(IFERROR(lookup(1,1/SEARCH(A262,'OTPI Scores'!C:C),'OTPI Scores'!E:E),0)="Vets",7,IFERROR(lookup(1,1/SEARCH(A262,'OTPI Scores'!C:C),'OTPI Scores'!E:E),0))</f>
        <v>6</v>
      </c>
    </row>
    <row r="263">
      <c r="B263" s="3">
        <f t="array" ref="B263">IF(IFERROR(lookup(1,1/SEARCH(A263,'OTPI Scores'!C:C),'OTPI Scores'!E:E),0)="Vets",7,IFERROR(lookup(1,1/SEARCH(A263,'OTPI Scores'!C:C),'OTPI Scores'!E:E),0))</f>
        <v>6</v>
      </c>
    </row>
    <row r="264">
      <c r="B264" s="3">
        <f t="array" ref="B264">IF(IFERROR(lookup(1,1/SEARCH(A264,'OTPI Scores'!C:C),'OTPI Scores'!E:E),0)="Vets",7,IFERROR(lookup(1,1/SEARCH(A264,'OTPI Scores'!C:C),'OTPI Scores'!E:E),0))</f>
        <v>6</v>
      </c>
    </row>
    <row r="265">
      <c r="B265" s="3">
        <f t="array" ref="B265">IF(IFERROR(lookup(1,1/SEARCH(A265,'OTPI Scores'!C:C),'OTPI Scores'!E:E),0)="Vets",7,IFERROR(lookup(1,1/SEARCH(A265,'OTPI Scores'!C:C),'OTPI Scores'!E:E),0))</f>
        <v>6</v>
      </c>
    </row>
    <row r="266">
      <c r="B266" s="3">
        <f t="array" ref="B266">IF(IFERROR(lookup(1,1/SEARCH(A266,'OTPI Scores'!C:C),'OTPI Scores'!E:E),0)="Vets",7,IFERROR(lookup(1,1/SEARCH(A266,'OTPI Scores'!C:C),'OTPI Scores'!E:E),0))</f>
        <v>6</v>
      </c>
    </row>
    <row r="267">
      <c r="B267" s="3">
        <f t="array" ref="B267">IF(IFERROR(lookup(1,1/SEARCH(A267,'OTPI Scores'!C:C),'OTPI Scores'!E:E),0)="Vets",7,IFERROR(lookup(1,1/SEARCH(A267,'OTPI Scores'!C:C),'OTPI Scores'!E:E),0))</f>
        <v>6</v>
      </c>
    </row>
    <row r="268">
      <c r="B268" s="3">
        <f t="array" ref="B268">IF(IFERROR(lookup(1,1/SEARCH(A268,'OTPI Scores'!C:C),'OTPI Scores'!E:E),0)="Vets",7,IFERROR(lookup(1,1/SEARCH(A268,'OTPI Scores'!C:C),'OTPI Scores'!E:E),0))</f>
        <v>6</v>
      </c>
    </row>
    <row r="269">
      <c r="B269" s="3">
        <f t="array" ref="B269">IF(IFERROR(lookup(1,1/SEARCH(A269,'OTPI Scores'!C:C),'OTPI Scores'!E:E),0)="Vets",7,IFERROR(lookup(1,1/SEARCH(A269,'OTPI Scores'!C:C),'OTPI Scores'!E:E),0))</f>
        <v>6</v>
      </c>
    </row>
    <row r="270">
      <c r="B270" s="3">
        <f t="array" ref="B270">IF(IFERROR(lookup(1,1/SEARCH(A270,'OTPI Scores'!C:C),'OTPI Scores'!E:E),0)="Vets",7,IFERROR(lookup(1,1/SEARCH(A270,'OTPI Scores'!C:C),'OTPI Scores'!E:E),0))</f>
        <v>6</v>
      </c>
    </row>
    <row r="271">
      <c r="B271" s="3">
        <f t="array" ref="B271">IF(IFERROR(lookup(1,1/SEARCH(A271,'OTPI Scores'!C:C),'OTPI Scores'!E:E),0)="Vets",7,IFERROR(lookup(1,1/SEARCH(A271,'OTPI Scores'!C:C),'OTPI Scores'!E:E),0))</f>
        <v>6</v>
      </c>
    </row>
    <row r="272">
      <c r="B272" s="3">
        <f t="array" ref="B272">IF(IFERROR(lookup(1,1/SEARCH(A272,'OTPI Scores'!C:C),'OTPI Scores'!E:E),0)="Vets",7,IFERROR(lookup(1,1/SEARCH(A272,'OTPI Scores'!C:C),'OTPI Scores'!E:E),0))</f>
        <v>6</v>
      </c>
    </row>
    <row r="273">
      <c r="B273" s="3">
        <f t="array" ref="B273">IF(IFERROR(lookup(1,1/SEARCH(A273,'OTPI Scores'!C:C),'OTPI Scores'!E:E),0)="Vets",7,IFERROR(lookup(1,1/SEARCH(A273,'OTPI Scores'!C:C),'OTPI Scores'!E:E),0))</f>
        <v>6</v>
      </c>
    </row>
    <row r="274">
      <c r="B274" s="3">
        <f t="array" ref="B274">IF(IFERROR(lookup(1,1/SEARCH(A274,'OTPI Scores'!C:C),'OTPI Scores'!E:E),0)="Vets",7,IFERROR(lookup(1,1/SEARCH(A274,'OTPI Scores'!C:C),'OTPI Scores'!E:E),0))</f>
        <v>6</v>
      </c>
    </row>
    <row r="275">
      <c r="B275" s="3">
        <f t="array" ref="B275">IF(IFERROR(lookup(1,1/SEARCH(A275,'OTPI Scores'!C:C),'OTPI Scores'!E:E),0)="Vets",7,IFERROR(lookup(1,1/SEARCH(A275,'OTPI Scores'!C:C),'OTPI Scores'!E:E),0))</f>
        <v>6</v>
      </c>
    </row>
    <row r="276">
      <c r="B276" s="3">
        <f t="array" ref="B276">IF(IFERROR(lookup(1,1/SEARCH(A276,'OTPI Scores'!C:C),'OTPI Scores'!E:E),0)="Vets",7,IFERROR(lookup(1,1/SEARCH(A276,'OTPI Scores'!C:C),'OTPI Scores'!E:E),0))</f>
        <v>6</v>
      </c>
    </row>
    <row r="277">
      <c r="B277" s="3">
        <f t="array" ref="B277">IF(IFERROR(lookup(1,1/SEARCH(A277,'OTPI Scores'!C:C),'OTPI Scores'!E:E),0)="Vets",7,IFERROR(lookup(1,1/SEARCH(A277,'OTPI Scores'!C:C),'OTPI Scores'!E:E),0))</f>
        <v>6</v>
      </c>
    </row>
    <row r="278">
      <c r="B278" s="3">
        <f t="array" ref="B278">IF(IFERROR(lookup(1,1/SEARCH(A278,'OTPI Scores'!C:C),'OTPI Scores'!E:E),0)="Vets",7,IFERROR(lookup(1,1/SEARCH(A278,'OTPI Scores'!C:C),'OTPI Scores'!E:E),0))</f>
        <v>6</v>
      </c>
    </row>
    <row r="279">
      <c r="B279" s="3">
        <f t="array" ref="B279">IF(IFERROR(lookup(1,1/SEARCH(A279,'OTPI Scores'!C:C),'OTPI Scores'!E:E),0)="Vets",7,IFERROR(lookup(1,1/SEARCH(A279,'OTPI Scores'!C:C),'OTPI Scores'!E:E),0))</f>
        <v>6</v>
      </c>
    </row>
    <row r="280">
      <c r="B280" s="3">
        <f t="array" ref="B280">IF(IFERROR(lookup(1,1/SEARCH(A280,'OTPI Scores'!C:C),'OTPI Scores'!E:E),0)="Vets",7,IFERROR(lookup(1,1/SEARCH(A280,'OTPI Scores'!C:C),'OTPI Scores'!E:E),0))</f>
        <v>6</v>
      </c>
    </row>
    <row r="281">
      <c r="B281" s="3">
        <f t="array" ref="B281">IF(IFERROR(lookup(1,1/SEARCH(A281,'OTPI Scores'!C:C),'OTPI Scores'!E:E),0)="Vets",7,IFERROR(lookup(1,1/SEARCH(A281,'OTPI Scores'!C:C),'OTPI Scores'!E:E),0))</f>
        <v>6</v>
      </c>
    </row>
    <row r="282">
      <c r="B282" s="3">
        <f t="array" ref="B282">IF(IFERROR(lookup(1,1/SEARCH(A282,'OTPI Scores'!C:C),'OTPI Scores'!E:E),0)="Vets",7,IFERROR(lookup(1,1/SEARCH(A282,'OTPI Scores'!C:C),'OTPI Scores'!E:E),0))</f>
        <v>6</v>
      </c>
    </row>
    <row r="283">
      <c r="B283" s="3">
        <f t="array" ref="B283">IF(IFERROR(lookup(1,1/SEARCH(A283,'OTPI Scores'!C:C),'OTPI Scores'!E:E),0)="Vets",7,IFERROR(lookup(1,1/SEARCH(A283,'OTPI Scores'!C:C),'OTPI Scores'!E:E),0))</f>
        <v>6</v>
      </c>
    </row>
    <row r="284">
      <c r="B284" s="3">
        <f t="array" ref="B284">IF(IFERROR(lookup(1,1/SEARCH(A284,'OTPI Scores'!C:C),'OTPI Scores'!E:E),0)="Vets",7,IFERROR(lookup(1,1/SEARCH(A284,'OTPI Scores'!C:C),'OTPI Scores'!E:E),0))</f>
        <v>6</v>
      </c>
    </row>
    <row r="285">
      <c r="B285" s="3">
        <f t="array" ref="B285">IF(IFERROR(lookup(1,1/SEARCH(A285,'OTPI Scores'!C:C),'OTPI Scores'!E:E),0)="Vets",7,IFERROR(lookup(1,1/SEARCH(A285,'OTPI Scores'!C:C),'OTPI Scores'!E:E),0))</f>
        <v>6</v>
      </c>
    </row>
    <row r="286">
      <c r="B286" s="3">
        <f t="array" ref="B286">IF(IFERROR(lookup(1,1/SEARCH(A286,'OTPI Scores'!C:C),'OTPI Scores'!E:E),0)="Vets",7,IFERROR(lookup(1,1/SEARCH(A286,'OTPI Scores'!C:C),'OTPI Scores'!E:E),0))</f>
        <v>6</v>
      </c>
    </row>
    <row r="287">
      <c r="B287" s="3">
        <f t="array" ref="B287">IF(IFERROR(lookup(1,1/SEARCH(A287,'OTPI Scores'!C:C),'OTPI Scores'!E:E),0)="Vets",7,IFERROR(lookup(1,1/SEARCH(A287,'OTPI Scores'!C:C),'OTPI Scores'!E:E),0))</f>
        <v>6</v>
      </c>
    </row>
    <row r="288">
      <c r="B288" s="3">
        <f t="array" ref="B288">IF(IFERROR(lookup(1,1/SEARCH(A288,'OTPI Scores'!C:C),'OTPI Scores'!E:E),0)="Vets",7,IFERROR(lookup(1,1/SEARCH(A288,'OTPI Scores'!C:C),'OTPI Scores'!E:E),0))</f>
        <v>6</v>
      </c>
    </row>
    <row r="289">
      <c r="B289" s="3">
        <f t="array" ref="B289">IF(IFERROR(lookup(1,1/SEARCH(A289,'OTPI Scores'!C:C),'OTPI Scores'!E:E),0)="Vets",7,IFERROR(lookup(1,1/SEARCH(A289,'OTPI Scores'!C:C),'OTPI Scores'!E:E),0))</f>
        <v>6</v>
      </c>
    </row>
    <row r="290">
      <c r="B290" s="3">
        <f t="array" ref="B290">IF(IFERROR(lookup(1,1/SEARCH(A290,'OTPI Scores'!C:C),'OTPI Scores'!E:E),0)="Vets",7,IFERROR(lookup(1,1/SEARCH(A290,'OTPI Scores'!C:C),'OTPI Scores'!E:E),0))</f>
        <v>6</v>
      </c>
    </row>
    <row r="291">
      <c r="B291" s="3">
        <f t="array" ref="B291">IF(IFERROR(lookup(1,1/SEARCH(A291,'OTPI Scores'!C:C),'OTPI Scores'!E:E),0)="Vets",7,IFERROR(lookup(1,1/SEARCH(A291,'OTPI Scores'!C:C),'OTPI Scores'!E:E),0))</f>
        <v>6</v>
      </c>
    </row>
    <row r="292">
      <c r="B292" s="3">
        <f t="array" ref="B292">IF(IFERROR(lookup(1,1/SEARCH(A292,'OTPI Scores'!C:C),'OTPI Scores'!E:E),0)="Vets",7,IFERROR(lookup(1,1/SEARCH(A292,'OTPI Scores'!C:C),'OTPI Scores'!E:E),0))</f>
        <v>6</v>
      </c>
    </row>
    <row r="293">
      <c r="B293" s="3">
        <f t="array" ref="B293">IF(IFERROR(lookup(1,1/SEARCH(A293,'OTPI Scores'!C:C),'OTPI Scores'!E:E),0)="Vets",7,IFERROR(lookup(1,1/SEARCH(A293,'OTPI Scores'!C:C),'OTPI Scores'!E:E),0))</f>
        <v>6</v>
      </c>
    </row>
    <row r="294">
      <c r="B294" s="3">
        <f t="array" ref="B294">IF(IFERROR(lookup(1,1/SEARCH(A294,'OTPI Scores'!C:C),'OTPI Scores'!E:E),0)="Vets",7,IFERROR(lookup(1,1/SEARCH(A294,'OTPI Scores'!C:C),'OTPI Scores'!E:E),0))</f>
        <v>6</v>
      </c>
    </row>
    <row r="295">
      <c r="B295" s="3">
        <f t="array" ref="B295">IF(IFERROR(lookup(1,1/SEARCH(A295,'OTPI Scores'!C:C),'OTPI Scores'!E:E),0)="Vets",7,IFERROR(lookup(1,1/SEARCH(A295,'OTPI Scores'!C:C),'OTPI Scores'!E:E),0))</f>
        <v>6</v>
      </c>
    </row>
    <row r="296">
      <c r="B296" s="3">
        <f t="array" ref="B296">IF(IFERROR(lookup(1,1/SEARCH(A296,'OTPI Scores'!C:C),'OTPI Scores'!E:E),0)="Vets",7,IFERROR(lookup(1,1/SEARCH(A296,'OTPI Scores'!C:C),'OTPI Scores'!E:E),0))</f>
        <v>6</v>
      </c>
    </row>
    <row r="297">
      <c r="B297" s="3">
        <f t="array" ref="B297">IF(IFERROR(lookup(1,1/SEARCH(A297,'OTPI Scores'!C:C),'OTPI Scores'!E:E),0)="Vets",7,IFERROR(lookup(1,1/SEARCH(A297,'OTPI Scores'!C:C),'OTPI Scores'!E:E),0))</f>
        <v>6</v>
      </c>
    </row>
    <row r="298">
      <c r="B298" s="3">
        <f t="array" ref="B298">IF(IFERROR(lookup(1,1/SEARCH(A298,'OTPI Scores'!C:C),'OTPI Scores'!E:E),0)="Vets",7,IFERROR(lookup(1,1/SEARCH(A298,'OTPI Scores'!C:C),'OTPI Scores'!E:E),0))</f>
        <v>6</v>
      </c>
    </row>
    <row r="299">
      <c r="B299" s="3">
        <f t="array" ref="B299">IF(IFERROR(lookup(1,1/SEARCH(A299,'OTPI Scores'!C:C),'OTPI Scores'!E:E),0)="Vets",7,IFERROR(lookup(1,1/SEARCH(A299,'OTPI Scores'!C:C),'OTPI Scores'!E:E),0))</f>
        <v>6</v>
      </c>
    </row>
    <row r="300">
      <c r="B300" s="3">
        <f t="array" ref="B300">IF(IFERROR(lookup(1,1/SEARCH(A300,'OTPI Scores'!C:C),'OTPI Scores'!E:E),0)="Vets",7,IFERROR(lookup(1,1/SEARCH(A300,'OTPI Scores'!C:C),'OTPI Scores'!E:E),0))</f>
        <v>6</v>
      </c>
    </row>
    <row r="301">
      <c r="B301" s="3">
        <f t="array" ref="B301">IF(IFERROR(lookup(1,1/SEARCH(A301,'OTPI Scores'!C:C),'OTPI Scores'!E:E),0)="Vets",7,IFERROR(lookup(1,1/SEARCH(A301,'OTPI Scores'!C:C),'OTPI Scores'!E:E),0))</f>
        <v>6</v>
      </c>
    </row>
    <row r="302">
      <c r="B302" s="3">
        <f t="array" ref="B302">IF(IFERROR(lookup(1,1/SEARCH(A302,'OTPI Scores'!C:C),'OTPI Scores'!E:E),0)="Vets",7,IFERROR(lookup(1,1/SEARCH(A302,'OTPI Scores'!C:C),'OTPI Scores'!E:E),0))</f>
        <v>6</v>
      </c>
    </row>
    <row r="303">
      <c r="B303" s="3">
        <f t="array" ref="B303">IF(IFERROR(lookup(1,1/SEARCH(A303,'OTPI Scores'!C:C),'OTPI Scores'!E:E),0)="Vets",7,IFERROR(lookup(1,1/SEARCH(A303,'OTPI Scores'!C:C),'OTPI Scores'!E:E),0))</f>
        <v>6</v>
      </c>
    </row>
    <row r="304">
      <c r="B304" s="3">
        <f t="array" ref="B304">IF(IFERROR(lookup(1,1/SEARCH(A304,'OTPI Scores'!C:C),'OTPI Scores'!E:E),0)="Vets",7,IFERROR(lookup(1,1/SEARCH(A304,'OTPI Scores'!C:C),'OTPI Scores'!E:E),0))</f>
        <v>6</v>
      </c>
    </row>
    <row r="305">
      <c r="B305" s="3">
        <f t="array" ref="B305">IF(IFERROR(lookup(1,1/SEARCH(A305,'OTPI Scores'!C:C),'OTPI Scores'!E:E),0)="Vets",7,IFERROR(lookup(1,1/SEARCH(A305,'OTPI Scores'!C:C),'OTPI Scores'!E:E),0))</f>
        <v>6</v>
      </c>
    </row>
    <row r="306">
      <c r="B306" s="3">
        <f t="array" ref="B306">IF(IFERROR(lookup(1,1/SEARCH(A306,'OTPI Scores'!C:C),'OTPI Scores'!E:E),0)="Vets",7,IFERROR(lookup(1,1/SEARCH(A306,'OTPI Scores'!C:C),'OTPI Scores'!E:E),0))</f>
        <v>6</v>
      </c>
    </row>
    <row r="307">
      <c r="B307" s="3">
        <f t="array" ref="B307">IF(IFERROR(lookup(1,1/SEARCH(A307,'OTPI Scores'!C:C),'OTPI Scores'!E:E),0)="Vets",7,IFERROR(lookup(1,1/SEARCH(A307,'OTPI Scores'!C:C),'OTPI Scores'!E:E),0))</f>
        <v>6</v>
      </c>
    </row>
    <row r="308">
      <c r="B308" s="3">
        <f t="array" ref="B308">IF(IFERROR(lookup(1,1/SEARCH(A308,'OTPI Scores'!C:C),'OTPI Scores'!E:E),0)="Vets",7,IFERROR(lookup(1,1/SEARCH(A308,'OTPI Scores'!C:C),'OTPI Scores'!E:E),0))</f>
        <v>6</v>
      </c>
    </row>
    <row r="309">
      <c r="B309" s="3">
        <f t="array" ref="B309">IF(IFERROR(lookup(1,1/SEARCH(A309,'OTPI Scores'!C:C),'OTPI Scores'!E:E),0)="Vets",7,IFERROR(lookup(1,1/SEARCH(A309,'OTPI Scores'!C:C),'OTPI Scores'!E:E),0))</f>
        <v>6</v>
      </c>
    </row>
    <row r="310">
      <c r="B310" s="3">
        <f t="array" ref="B310">IF(IFERROR(lookup(1,1/SEARCH(A310,'OTPI Scores'!C:C),'OTPI Scores'!E:E),0)="Vets",7,IFERROR(lookup(1,1/SEARCH(A310,'OTPI Scores'!C:C),'OTPI Scores'!E:E),0))</f>
        <v>6</v>
      </c>
    </row>
    <row r="311">
      <c r="B311" s="3">
        <f t="array" ref="B311">IF(IFERROR(lookup(1,1/SEARCH(A311,'OTPI Scores'!C:C),'OTPI Scores'!E:E),0)="Vets",7,IFERROR(lookup(1,1/SEARCH(A311,'OTPI Scores'!C:C),'OTPI Scores'!E:E),0))</f>
        <v>6</v>
      </c>
    </row>
    <row r="312">
      <c r="B312" s="3">
        <f t="array" ref="B312">IF(IFERROR(lookup(1,1/SEARCH(A312,'OTPI Scores'!C:C),'OTPI Scores'!E:E),0)="Vets",7,IFERROR(lookup(1,1/SEARCH(A312,'OTPI Scores'!C:C),'OTPI Scores'!E:E),0))</f>
        <v>6</v>
      </c>
    </row>
    <row r="313">
      <c r="B313" s="3">
        <f t="array" ref="B313">IF(IFERROR(lookup(1,1/SEARCH(A313,'OTPI Scores'!C:C),'OTPI Scores'!E:E),0)="Vets",7,IFERROR(lookup(1,1/SEARCH(A313,'OTPI Scores'!C:C),'OTPI Scores'!E:E),0))</f>
        <v>6</v>
      </c>
    </row>
    <row r="314">
      <c r="B314" s="3">
        <f t="array" ref="B314">IF(IFERROR(lookup(1,1/SEARCH(A314,'OTPI Scores'!C:C),'OTPI Scores'!E:E),0)="Vets",7,IFERROR(lookup(1,1/SEARCH(A314,'OTPI Scores'!C:C),'OTPI Scores'!E:E),0))</f>
        <v>6</v>
      </c>
    </row>
    <row r="315">
      <c r="B315" s="3">
        <f t="array" ref="B315">IF(IFERROR(lookup(1,1/SEARCH(A315,'OTPI Scores'!C:C),'OTPI Scores'!E:E),0)="Vets",7,IFERROR(lookup(1,1/SEARCH(A315,'OTPI Scores'!C:C),'OTPI Scores'!E:E),0))</f>
        <v>6</v>
      </c>
    </row>
    <row r="316">
      <c r="B316" s="3">
        <f t="array" ref="B316">IF(IFERROR(lookup(1,1/SEARCH(A316,'OTPI Scores'!C:C),'OTPI Scores'!E:E),0)="Vets",7,IFERROR(lookup(1,1/SEARCH(A316,'OTPI Scores'!C:C),'OTPI Scores'!E:E),0))</f>
        <v>6</v>
      </c>
    </row>
    <row r="317">
      <c r="B317" s="3">
        <f t="array" ref="B317">IF(IFERROR(lookup(1,1/SEARCH(A317,'OTPI Scores'!C:C),'OTPI Scores'!E:E),0)="Vets",7,IFERROR(lookup(1,1/SEARCH(A317,'OTPI Scores'!C:C),'OTPI Scores'!E:E),0))</f>
        <v>6</v>
      </c>
    </row>
    <row r="318">
      <c r="B318" s="3">
        <f t="array" ref="B318">IF(IFERROR(lookup(1,1/SEARCH(A318,'OTPI Scores'!C:C),'OTPI Scores'!E:E),0)="Vets",7,IFERROR(lookup(1,1/SEARCH(A318,'OTPI Scores'!C:C),'OTPI Scores'!E:E),0))</f>
        <v>6</v>
      </c>
    </row>
    <row r="319">
      <c r="B319" s="3">
        <f t="array" ref="B319">IF(IFERROR(lookup(1,1/SEARCH(A319,'OTPI Scores'!C:C),'OTPI Scores'!E:E),0)="Vets",7,IFERROR(lookup(1,1/SEARCH(A319,'OTPI Scores'!C:C),'OTPI Scores'!E:E),0))</f>
        <v>6</v>
      </c>
    </row>
    <row r="320">
      <c r="B320" s="3">
        <f t="array" ref="B320">IF(IFERROR(lookup(1,1/SEARCH(A320,'OTPI Scores'!C:C),'OTPI Scores'!E:E),0)="Vets",7,IFERROR(lookup(1,1/SEARCH(A320,'OTPI Scores'!C:C),'OTPI Scores'!E:E),0))</f>
        <v>6</v>
      </c>
    </row>
    <row r="321">
      <c r="B321" s="3">
        <f t="array" ref="B321">IF(IFERROR(lookup(1,1/SEARCH(A321,'OTPI Scores'!C:C),'OTPI Scores'!E:E),0)="Vets",7,IFERROR(lookup(1,1/SEARCH(A321,'OTPI Scores'!C:C),'OTPI Scores'!E:E),0))</f>
        <v>6</v>
      </c>
    </row>
    <row r="322">
      <c r="B322" s="3">
        <f t="array" ref="B322">IF(IFERROR(lookup(1,1/SEARCH(A322,'OTPI Scores'!C:C),'OTPI Scores'!E:E),0)="Vets",7,IFERROR(lookup(1,1/SEARCH(A322,'OTPI Scores'!C:C),'OTPI Scores'!E:E),0))</f>
        <v>6</v>
      </c>
    </row>
    <row r="323">
      <c r="B323" s="3">
        <f t="array" ref="B323">IF(IFERROR(lookup(1,1/SEARCH(A323,'OTPI Scores'!C:C),'OTPI Scores'!E:E),0)="Vets",7,IFERROR(lookup(1,1/SEARCH(A323,'OTPI Scores'!C:C),'OTPI Scores'!E:E),0))</f>
        <v>6</v>
      </c>
    </row>
    <row r="324">
      <c r="B324" s="3">
        <f t="array" ref="B324">IF(IFERROR(lookup(1,1/SEARCH(A324,'OTPI Scores'!C:C),'OTPI Scores'!E:E),0)="Vets",7,IFERROR(lookup(1,1/SEARCH(A324,'OTPI Scores'!C:C),'OTPI Scores'!E:E),0))</f>
        <v>6</v>
      </c>
    </row>
    <row r="325">
      <c r="B325" s="3">
        <f t="array" ref="B325">IF(IFERROR(lookup(1,1/SEARCH(A325,'OTPI Scores'!C:C),'OTPI Scores'!E:E),0)="Vets",7,IFERROR(lookup(1,1/SEARCH(A325,'OTPI Scores'!C:C),'OTPI Scores'!E:E),0))</f>
        <v>6</v>
      </c>
    </row>
    <row r="326">
      <c r="B326" s="3">
        <f t="array" ref="B326">IF(IFERROR(lookup(1,1/SEARCH(A326,'OTPI Scores'!C:C),'OTPI Scores'!E:E),0)="Vets",7,IFERROR(lookup(1,1/SEARCH(A326,'OTPI Scores'!C:C),'OTPI Scores'!E:E),0))</f>
        <v>6</v>
      </c>
    </row>
    <row r="327">
      <c r="B327" s="3">
        <f t="array" ref="B327">IF(IFERROR(lookup(1,1/SEARCH(A327,'OTPI Scores'!C:C),'OTPI Scores'!E:E),0)="Vets",7,IFERROR(lookup(1,1/SEARCH(A327,'OTPI Scores'!C:C),'OTPI Scores'!E:E),0))</f>
        <v>6</v>
      </c>
    </row>
    <row r="328">
      <c r="B328" s="3">
        <f t="array" ref="B328">IF(IFERROR(lookup(1,1/SEARCH(A328,'OTPI Scores'!C:C),'OTPI Scores'!E:E),0)="Vets",7,IFERROR(lookup(1,1/SEARCH(A328,'OTPI Scores'!C:C),'OTPI Scores'!E:E),0))</f>
        <v>6</v>
      </c>
    </row>
    <row r="329">
      <c r="B329" s="3">
        <f t="array" ref="B329">IF(IFERROR(lookup(1,1/SEARCH(A329,'OTPI Scores'!C:C),'OTPI Scores'!E:E),0)="Vets",7,IFERROR(lookup(1,1/SEARCH(A329,'OTPI Scores'!C:C),'OTPI Scores'!E:E),0))</f>
        <v>6</v>
      </c>
    </row>
    <row r="330">
      <c r="B330" s="3">
        <f t="array" ref="B330">IF(IFERROR(lookup(1,1/SEARCH(A330,'OTPI Scores'!C:C),'OTPI Scores'!E:E),0)="Vets",7,IFERROR(lookup(1,1/SEARCH(A330,'OTPI Scores'!C:C),'OTPI Scores'!E:E),0))</f>
        <v>6</v>
      </c>
    </row>
    <row r="331">
      <c r="B331" s="3">
        <f t="array" ref="B331">IF(IFERROR(lookup(1,1/SEARCH(A331,'OTPI Scores'!C:C),'OTPI Scores'!E:E),0)="Vets",7,IFERROR(lookup(1,1/SEARCH(A331,'OTPI Scores'!C:C),'OTPI Scores'!E:E),0))</f>
        <v>6</v>
      </c>
    </row>
    <row r="332">
      <c r="B332" s="3">
        <f t="array" ref="B332">IF(IFERROR(lookup(1,1/SEARCH(A332,'OTPI Scores'!C:C),'OTPI Scores'!E:E),0)="Vets",7,IFERROR(lookup(1,1/SEARCH(A332,'OTPI Scores'!C:C),'OTPI Scores'!E:E),0))</f>
        <v>6</v>
      </c>
    </row>
    <row r="333">
      <c r="B333" s="3">
        <f t="array" ref="B333">IF(IFERROR(lookup(1,1/SEARCH(A333,'OTPI Scores'!C:C),'OTPI Scores'!E:E),0)="Vets",7,IFERROR(lookup(1,1/SEARCH(A333,'OTPI Scores'!C:C),'OTPI Scores'!E:E),0))</f>
        <v>6</v>
      </c>
    </row>
    <row r="334">
      <c r="B334" s="3">
        <f t="array" ref="B334">IF(IFERROR(lookup(1,1/SEARCH(A334,'OTPI Scores'!C:C),'OTPI Scores'!E:E),0)="Vets",7,IFERROR(lookup(1,1/SEARCH(A334,'OTPI Scores'!C:C),'OTPI Scores'!E:E),0))</f>
        <v>6</v>
      </c>
    </row>
    <row r="335">
      <c r="B335" s="3">
        <f t="array" ref="B335">IF(IFERROR(lookup(1,1/SEARCH(A335,'OTPI Scores'!C:C),'OTPI Scores'!E:E),0)="Vets",7,IFERROR(lookup(1,1/SEARCH(A335,'OTPI Scores'!C:C),'OTPI Scores'!E:E),0))</f>
        <v>6</v>
      </c>
    </row>
    <row r="336">
      <c r="B336" s="3">
        <f t="array" ref="B336">IF(IFERROR(lookup(1,1/SEARCH(A336,'OTPI Scores'!C:C),'OTPI Scores'!E:E),0)="Vets",7,IFERROR(lookup(1,1/SEARCH(A336,'OTPI Scores'!C:C),'OTPI Scores'!E:E),0))</f>
        <v>6</v>
      </c>
    </row>
    <row r="337">
      <c r="B337" s="3">
        <f t="array" ref="B337">IF(IFERROR(lookup(1,1/SEARCH(A337,'OTPI Scores'!C:C),'OTPI Scores'!E:E),0)="Vets",7,IFERROR(lookup(1,1/SEARCH(A337,'OTPI Scores'!C:C),'OTPI Scores'!E:E),0))</f>
        <v>6</v>
      </c>
    </row>
    <row r="338">
      <c r="B338" s="3">
        <f t="array" ref="B338">IF(IFERROR(lookup(1,1/SEARCH(A338,'OTPI Scores'!C:C),'OTPI Scores'!E:E),0)="Vets",7,IFERROR(lookup(1,1/SEARCH(A338,'OTPI Scores'!C:C),'OTPI Scores'!E:E),0))</f>
        <v>6</v>
      </c>
    </row>
    <row r="339">
      <c r="B339" s="3">
        <f t="array" ref="B339">IF(IFERROR(lookup(1,1/SEARCH(A339,'OTPI Scores'!C:C),'OTPI Scores'!E:E),0)="Vets",7,IFERROR(lookup(1,1/SEARCH(A339,'OTPI Scores'!C:C),'OTPI Scores'!E:E),0))</f>
        <v>6</v>
      </c>
    </row>
    <row r="340">
      <c r="B340" s="3">
        <f t="array" ref="B340">IF(IFERROR(lookup(1,1/SEARCH(A340,'OTPI Scores'!C:C),'OTPI Scores'!E:E),0)="Vets",7,IFERROR(lookup(1,1/SEARCH(A340,'OTPI Scores'!C:C),'OTPI Scores'!E:E),0))</f>
        <v>6</v>
      </c>
    </row>
    <row r="341">
      <c r="B341" s="3">
        <f t="array" ref="B341">IF(IFERROR(lookup(1,1/SEARCH(A341,'OTPI Scores'!C:C),'OTPI Scores'!E:E),0)="Vets",7,IFERROR(lookup(1,1/SEARCH(A341,'OTPI Scores'!C:C),'OTPI Scores'!E:E),0))</f>
        <v>6</v>
      </c>
    </row>
    <row r="342">
      <c r="B342" s="3">
        <f t="array" ref="B342">IF(IFERROR(lookup(1,1/SEARCH(A342,'OTPI Scores'!C:C),'OTPI Scores'!E:E),0)="Vets",7,IFERROR(lookup(1,1/SEARCH(A342,'OTPI Scores'!C:C),'OTPI Scores'!E:E),0))</f>
        <v>6</v>
      </c>
    </row>
    <row r="343">
      <c r="B343" s="3">
        <f t="array" ref="B343">IF(IFERROR(lookup(1,1/SEARCH(A343,'OTPI Scores'!C:C),'OTPI Scores'!E:E),0)="Vets",7,IFERROR(lookup(1,1/SEARCH(A343,'OTPI Scores'!C:C),'OTPI Scores'!E:E),0))</f>
        <v>6</v>
      </c>
    </row>
    <row r="344">
      <c r="B344" s="3">
        <f t="array" ref="B344">IF(IFERROR(lookup(1,1/SEARCH(A344,'OTPI Scores'!C:C),'OTPI Scores'!E:E),0)="Vets",7,IFERROR(lookup(1,1/SEARCH(A344,'OTPI Scores'!C:C),'OTPI Scores'!E:E),0))</f>
        <v>6</v>
      </c>
    </row>
    <row r="345">
      <c r="B345" s="3">
        <f t="array" ref="B345">IF(IFERROR(lookup(1,1/SEARCH(A345,'OTPI Scores'!C:C),'OTPI Scores'!E:E),0)="Vets",7,IFERROR(lookup(1,1/SEARCH(A345,'OTPI Scores'!C:C),'OTPI Scores'!E:E),0))</f>
        <v>6</v>
      </c>
    </row>
    <row r="346">
      <c r="B346" s="3">
        <f t="array" ref="B346">IF(IFERROR(lookup(1,1/SEARCH(A346,'OTPI Scores'!C:C),'OTPI Scores'!E:E),0)="Vets",7,IFERROR(lookup(1,1/SEARCH(A346,'OTPI Scores'!C:C),'OTPI Scores'!E:E),0))</f>
        <v>6</v>
      </c>
    </row>
    <row r="347">
      <c r="B347" s="3">
        <f t="array" ref="B347">IF(IFERROR(lookup(1,1/SEARCH(A347,'OTPI Scores'!C:C),'OTPI Scores'!E:E),0)="Vets",7,IFERROR(lookup(1,1/SEARCH(A347,'OTPI Scores'!C:C),'OTPI Scores'!E:E),0))</f>
        <v>6</v>
      </c>
    </row>
    <row r="348">
      <c r="B348" s="3">
        <f t="array" ref="B348">IF(IFERROR(lookup(1,1/SEARCH(A348,'OTPI Scores'!C:C),'OTPI Scores'!E:E),0)="Vets",7,IFERROR(lookup(1,1/SEARCH(A348,'OTPI Scores'!C:C),'OTPI Scores'!E:E),0))</f>
        <v>6</v>
      </c>
    </row>
    <row r="349">
      <c r="B349" s="3">
        <f t="array" ref="B349">IF(IFERROR(lookup(1,1/SEARCH(A349,'OTPI Scores'!C:C),'OTPI Scores'!E:E),0)="Vets",7,IFERROR(lookup(1,1/SEARCH(A349,'OTPI Scores'!C:C),'OTPI Scores'!E:E),0))</f>
        <v>6</v>
      </c>
    </row>
    <row r="350">
      <c r="B350" s="3">
        <f t="array" ref="B350">IF(IFERROR(lookup(1,1/SEARCH(A350,'OTPI Scores'!C:C),'OTPI Scores'!E:E),0)="Vets",7,IFERROR(lookup(1,1/SEARCH(A350,'OTPI Scores'!C:C),'OTPI Scores'!E:E),0))</f>
        <v>6</v>
      </c>
    </row>
    <row r="351">
      <c r="B351" s="3">
        <f t="array" ref="B351">IF(IFERROR(lookup(1,1/SEARCH(A351,'OTPI Scores'!C:C),'OTPI Scores'!E:E),0)="Vets",7,IFERROR(lookup(1,1/SEARCH(A351,'OTPI Scores'!C:C),'OTPI Scores'!E:E),0))</f>
        <v>6</v>
      </c>
    </row>
    <row r="352">
      <c r="B352" s="3">
        <f t="array" ref="B352">IF(IFERROR(lookup(1,1/SEARCH(A352,'OTPI Scores'!C:C),'OTPI Scores'!E:E),0)="Vets",7,IFERROR(lookup(1,1/SEARCH(A352,'OTPI Scores'!C:C),'OTPI Scores'!E:E),0))</f>
        <v>6</v>
      </c>
    </row>
    <row r="353">
      <c r="B353" s="3">
        <f t="array" ref="B353">IF(IFERROR(lookup(1,1/SEARCH(A353,'OTPI Scores'!C:C),'OTPI Scores'!E:E),0)="Vets",7,IFERROR(lookup(1,1/SEARCH(A353,'OTPI Scores'!C:C),'OTPI Scores'!E:E),0))</f>
        <v>6</v>
      </c>
    </row>
    <row r="354">
      <c r="B354" s="3">
        <f t="array" ref="B354">IF(IFERROR(lookup(1,1/SEARCH(A354,'OTPI Scores'!C:C),'OTPI Scores'!E:E),0)="Vets",7,IFERROR(lookup(1,1/SEARCH(A354,'OTPI Scores'!C:C),'OTPI Scores'!E:E),0))</f>
        <v>6</v>
      </c>
    </row>
    <row r="355">
      <c r="B355" s="3">
        <f t="array" ref="B355">IF(IFERROR(lookup(1,1/SEARCH(A355,'OTPI Scores'!C:C),'OTPI Scores'!E:E),0)="Vets",7,IFERROR(lookup(1,1/SEARCH(A355,'OTPI Scores'!C:C),'OTPI Scores'!E:E),0))</f>
        <v>6</v>
      </c>
    </row>
    <row r="356">
      <c r="B356" s="3">
        <f t="array" ref="B356">IF(IFERROR(lookup(1,1/SEARCH(A356,'OTPI Scores'!C:C),'OTPI Scores'!E:E),0)="Vets",7,IFERROR(lookup(1,1/SEARCH(A356,'OTPI Scores'!C:C),'OTPI Scores'!E:E),0))</f>
        <v>6</v>
      </c>
    </row>
    <row r="357">
      <c r="B357" s="3">
        <f t="array" ref="B357">IF(IFERROR(lookup(1,1/SEARCH(A357,'OTPI Scores'!C:C),'OTPI Scores'!E:E),0)="Vets",7,IFERROR(lookup(1,1/SEARCH(A357,'OTPI Scores'!C:C),'OTPI Scores'!E:E),0))</f>
        <v>6</v>
      </c>
    </row>
    <row r="358">
      <c r="B358" s="3">
        <f t="array" ref="B358">IF(IFERROR(lookup(1,1/SEARCH(A358,'OTPI Scores'!C:C),'OTPI Scores'!E:E),0)="Vets",7,IFERROR(lookup(1,1/SEARCH(A358,'OTPI Scores'!C:C),'OTPI Scores'!E:E),0))</f>
        <v>6</v>
      </c>
    </row>
    <row r="359">
      <c r="B359" s="3">
        <f t="array" ref="B359">IF(IFERROR(lookup(1,1/SEARCH(A359,'OTPI Scores'!C:C),'OTPI Scores'!E:E),0)="Vets",7,IFERROR(lookup(1,1/SEARCH(A359,'OTPI Scores'!C:C),'OTPI Scores'!E:E),0))</f>
        <v>6</v>
      </c>
    </row>
    <row r="360">
      <c r="B360" s="3">
        <f t="array" ref="B360">IF(IFERROR(lookup(1,1/SEARCH(A360,'OTPI Scores'!C:C),'OTPI Scores'!E:E),0)="Vets",7,IFERROR(lookup(1,1/SEARCH(A360,'OTPI Scores'!C:C),'OTPI Scores'!E:E),0))</f>
        <v>6</v>
      </c>
    </row>
    <row r="361">
      <c r="B361" s="3">
        <f t="array" ref="B361">IF(IFERROR(lookup(1,1/SEARCH(A361,'OTPI Scores'!C:C),'OTPI Scores'!E:E),0)="Vets",7,IFERROR(lookup(1,1/SEARCH(A361,'OTPI Scores'!C:C),'OTPI Scores'!E:E),0))</f>
        <v>6</v>
      </c>
    </row>
    <row r="362">
      <c r="B362" s="3">
        <f t="array" ref="B362">IF(IFERROR(lookup(1,1/SEARCH(A362,'OTPI Scores'!C:C),'OTPI Scores'!E:E),0)="Vets",7,IFERROR(lookup(1,1/SEARCH(A362,'OTPI Scores'!C:C),'OTPI Scores'!E:E),0))</f>
        <v>6</v>
      </c>
    </row>
    <row r="363">
      <c r="B363" s="3">
        <f t="array" ref="B363">IF(IFERROR(lookup(1,1/SEARCH(A363,'OTPI Scores'!C:C),'OTPI Scores'!E:E),0)="Vets",7,IFERROR(lookup(1,1/SEARCH(A363,'OTPI Scores'!C:C),'OTPI Scores'!E:E),0))</f>
        <v>6</v>
      </c>
    </row>
    <row r="364">
      <c r="B364" s="3">
        <f t="array" ref="B364">IF(IFERROR(lookup(1,1/SEARCH(A364,'OTPI Scores'!C:C),'OTPI Scores'!E:E),0)="Vets",7,IFERROR(lookup(1,1/SEARCH(A364,'OTPI Scores'!C:C),'OTPI Scores'!E:E),0))</f>
        <v>6</v>
      </c>
    </row>
    <row r="365">
      <c r="B365" s="3">
        <f t="array" ref="B365">IF(IFERROR(lookup(1,1/SEARCH(A365,'OTPI Scores'!C:C),'OTPI Scores'!E:E),0)="Vets",7,IFERROR(lookup(1,1/SEARCH(A365,'OTPI Scores'!C:C),'OTPI Scores'!E:E),0))</f>
        <v>6</v>
      </c>
    </row>
    <row r="366">
      <c r="B366" s="3">
        <f t="array" ref="B366">IF(IFERROR(lookup(1,1/SEARCH(A366,'OTPI Scores'!C:C),'OTPI Scores'!E:E),0)="Vets",7,IFERROR(lookup(1,1/SEARCH(A366,'OTPI Scores'!C:C),'OTPI Scores'!E:E),0))</f>
        <v>6</v>
      </c>
    </row>
    <row r="367">
      <c r="B367" s="3">
        <f t="array" ref="B367">IF(IFERROR(lookup(1,1/SEARCH(A367,'OTPI Scores'!C:C),'OTPI Scores'!E:E),0)="Vets",7,IFERROR(lookup(1,1/SEARCH(A367,'OTPI Scores'!C:C),'OTPI Scores'!E:E),0))</f>
        <v>6</v>
      </c>
    </row>
    <row r="368">
      <c r="B368" s="3">
        <f t="array" ref="B368">IF(IFERROR(lookup(1,1/SEARCH(A368,'OTPI Scores'!C:C),'OTPI Scores'!E:E),0)="Vets",7,IFERROR(lookup(1,1/SEARCH(A368,'OTPI Scores'!C:C),'OTPI Scores'!E:E),0))</f>
        <v>6</v>
      </c>
    </row>
    <row r="369">
      <c r="B369" s="3">
        <f t="array" ref="B369">IF(IFERROR(lookup(1,1/SEARCH(A369,'OTPI Scores'!C:C),'OTPI Scores'!E:E),0)="Vets",7,IFERROR(lookup(1,1/SEARCH(A369,'OTPI Scores'!C:C),'OTPI Scores'!E:E),0))</f>
        <v>6</v>
      </c>
    </row>
    <row r="370">
      <c r="B370" s="3">
        <f t="array" ref="B370">IF(IFERROR(lookup(1,1/SEARCH(A370,'OTPI Scores'!C:C),'OTPI Scores'!E:E),0)="Vets",7,IFERROR(lookup(1,1/SEARCH(A370,'OTPI Scores'!C:C),'OTPI Scores'!E:E),0))</f>
        <v>6</v>
      </c>
    </row>
    <row r="371">
      <c r="B371" s="3">
        <f t="array" ref="B371">IF(IFERROR(lookup(1,1/SEARCH(A371,'OTPI Scores'!C:C),'OTPI Scores'!E:E),0)="Vets",7,IFERROR(lookup(1,1/SEARCH(A371,'OTPI Scores'!C:C),'OTPI Scores'!E:E),0))</f>
        <v>6</v>
      </c>
    </row>
    <row r="372">
      <c r="B372" s="3">
        <f t="array" ref="B372">IF(IFERROR(lookup(1,1/SEARCH(A372,'OTPI Scores'!C:C),'OTPI Scores'!E:E),0)="Vets",7,IFERROR(lookup(1,1/SEARCH(A372,'OTPI Scores'!C:C),'OTPI Scores'!E:E),0))</f>
        <v>6</v>
      </c>
    </row>
    <row r="373">
      <c r="B373" s="3">
        <f t="array" ref="B373">IF(IFERROR(lookup(1,1/SEARCH(A373,'OTPI Scores'!C:C),'OTPI Scores'!E:E),0)="Vets",7,IFERROR(lookup(1,1/SEARCH(A373,'OTPI Scores'!C:C),'OTPI Scores'!E:E),0))</f>
        <v>6</v>
      </c>
    </row>
    <row r="374">
      <c r="B374" s="3">
        <f t="array" ref="B374">IF(IFERROR(lookup(1,1/SEARCH(A374,'OTPI Scores'!C:C),'OTPI Scores'!E:E),0)="Vets",7,IFERROR(lookup(1,1/SEARCH(A374,'OTPI Scores'!C:C),'OTPI Scores'!E:E),0))</f>
        <v>6</v>
      </c>
    </row>
    <row r="375">
      <c r="B375" s="3">
        <f t="array" ref="B375">IF(IFERROR(lookup(1,1/SEARCH(A375,'OTPI Scores'!C:C),'OTPI Scores'!E:E),0)="Vets",7,IFERROR(lookup(1,1/SEARCH(A375,'OTPI Scores'!C:C),'OTPI Scores'!E:E),0))</f>
        <v>6</v>
      </c>
    </row>
    <row r="376">
      <c r="B376" s="3">
        <f t="array" ref="B376">IF(IFERROR(lookup(1,1/SEARCH(A376,'OTPI Scores'!C:C),'OTPI Scores'!E:E),0)="Vets",7,IFERROR(lookup(1,1/SEARCH(A376,'OTPI Scores'!C:C),'OTPI Scores'!E:E),0))</f>
        <v>6</v>
      </c>
    </row>
    <row r="377">
      <c r="B377" s="3">
        <f t="array" ref="B377">IF(IFERROR(lookup(1,1/SEARCH(A377,'OTPI Scores'!C:C),'OTPI Scores'!E:E),0)="Vets",7,IFERROR(lookup(1,1/SEARCH(A377,'OTPI Scores'!C:C),'OTPI Scores'!E:E),0))</f>
        <v>6</v>
      </c>
    </row>
    <row r="378">
      <c r="B378" s="3">
        <f t="array" ref="B378">IF(IFERROR(lookup(1,1/SEARCH(A378,'OTPI Scores'!C:C),'OTPI Scores'!E:E),0)="Vets",7,IFERROR(lookup(1,1/SEARCH(A378,'OTPI Scores'!C:C),'OTPI Scores'!E:E),0))</f>
        <v>6</v>
      </c>
    </row>
    <row r="379">
      <c r="B379" s="3">
        <f t="array" ref="B379">IF(IFERROR(lookup(1,1/SEARCH(A379,'OTPI Scores'!C:C),'OTPI Scores'!E:E),0)="Vets",7,IFERROR(lookup(1,1/SEARCH(A379,'OTPI Scores'!C:C),'OTPI Scores'!E:E),0))</f>
        <v>6</v>
      </c>
    </row>
    <row r="380">
      <c r="B380" s="3">
        <f t="array" ref="B380">IF(IFERROR(lookup(1,1/SEARCH(A380,'OTPI Scores'!C:C),'OTPI Scores'!E:E),0)="Vets",7,IFERROR(lookup(1,1/SEARCH(A380,'OTPI Scores'!C:C),'OTPI Scores'!E:E),0))</f>
        <v>6</v>
      </c>
    </row>
    <row r="381">
      <c r="B381" s="3">
        <f t="array" ref="B381">IF(IFERROR(lookup(1,1/SEARCH(A381,'OTPI Scores'!C:C),'OTPI Scores'!E:E),0)="Vets",7,IFERROR(lookup(1,1/SEARCH(A381,'OTPI Scores'!C:C),'OTPI Scores'!E:E),0))</f>
        <v>6</v>
      </c>
    </row>
    <row r="382">
      <c r="B382" s="3">
        <f t="array" ref="B382">IF(IFERROR(lookup(1,1/SEARCH(A382,'OTPI Scores'!C:C),'OTPI Scores'!E:E),0)="Vets",7,IFERROR(lookup(1,1/SEARCH(A382,'OTPI Scores'!C:C),'OTPI Scores'!E:E),0))</f>
        <v>6</v>
      </c>
    </row>
    <row r="383">
      <c r="B383" s="3">
        <f t="array" ref="B383">IF(IFERROR(lookup(1,1/SEARCH(A383,'OTPI Scores'!C:C),'OTPI Scores'!E:E),0)="Vets",7,IFERROR(lookup(1,1/SEARCH(A383,'OTPI Scores'!C:C),'OTPI Scores'!E:E),0))</f>
        <v>6</v>
      </c>
    </row>
    <row r="384">
      <c r="B384" s="3">
        <f t="array" ref="B384">IF(IFERROR(lookup(1,1/SEARCH(A384,'OTPI Scores'!C:C),'OTPI Scores'!E:E),0)="Vets",7,IFERROR(lookup(1,1/SEARCH(A384,'OTPI Scores'!C:C),'OTPI Scores'!E:E),0))</f>
        <v>6</v>
      </c>
    </row>
    <row r="385">
      <c r="B385" s="3">
        <f t="array" ref="B385">IF(IFERROR(lookup(1,1/SEARCH(A385,'OTPI Scores'!C:C),'OTPI Scores'!E:E),0)="Vets",7,IFERROR(lookup(1,1/SEARCH(A385,'OTPI Scores'!C:C),'OTPI Scores'!E:E),0))</f>
        <v>6</v>
      </c>
    </row>
    <row r="386">
      <c r="B386" s="3">
        <f t="array" ref="B386">IF(IFERROR(lookup(1,1/SEARCH(A386,'OTPI Scores'!C:C),'OTPI Scores'!E:E),0)="Vets",7,IFERROR(lookup(1,1/SEARCH(A386,'OTPI Scores'!C:C),'OTPI Scores'!E:E),0))</f>
        <v>6</v>
      </c>
    </row>
    <row r="387">
      <c r="B387" s="3">
        <f t="array" ref="B387">IF(IFERROR(lookup(1,1/SEARCH(A387,'OTPI Scores'!C:C),'OTPI Scores'!E:E),0)="Vets",7,IFERROR(lookup(1,1/SEARCH(A387,'OTPI Scores'!C:C),'OTPI Scores'!E:E),0))</f>
        <v>6</v>
      </c>
    </row>
    <row r="388">
      <c r="B388" s="3">
        <f t="array" ref="B388">IF(IFERROR(lookup(1,1/SEARCH(A388,'OTPI Scores'!C:C),'OTPI Scores'!E:E),0)="Vets",7,IFERROR(lookup(1,1/SEARCH(A388,'OTPI Scores'!C:C),'OTPI Scores'!E:E),0))</f>
        <v>6</v>
      </c>
    </row>
    <row r="389">
      <c r="B389" s="3">
        <f t="array" ref="B389">IF(IFERROR(lookup(1,1/SEARCH(A389,'OTPI Scores'!C:C),'OTPI Scores'!E:E),0)="Vets",7,IFERROR(lookup(1,1/SEARCH(A389,'OTPI Scores'!C:C),'OTPI Scores'!E:E),0))</f>
        <v>6</v>
      </c>
    </row>
    <row r="390">
      <c r="B390" s="3">
        <f t="array" ref="B390">IF(IFERROR(lookup(1,1/SEARCH(A390,'OTPI Scores'!C:C),'OTPI Scores'!E:E),0)="Vets",7,IFERROR(lookup(1,1/SEARCH(A390,'OTPI Scores'!C:C),'OTPI Scores'!E:E),0))</f>
        <v>6</v>
      </c>
    </row>
    <row r="391">
      <c r="B391" s="3">
        <f t="array" ref="B391">IF(IFERROR(lookup(1,1/SEARCH(A391,'OTPI Scores'!C:C),'OTPI Scores'!E:E),0)="Vets",7,IFERROR(lookup(1,1/SEARCH(A391,'OTPI Scores'!C:C),'OTPI Scores'!E:E),0))</f>
        <v>6</v>
      </c>
    </row>
    <row r="392">
      <c r="B392" s="3">
        <f t="array" ref="B392">IF(IFERROR(lookup(1,1/SEARCH(A392,'OTPI Scores'!C:C),'OTPI Scores'!E:E),0)="Vets",7,IFERROR(lookup(1,1/SEARCH(A392,'OTPI Scores'!C:C),'OTPI Scores'!E:E),0))</f>
        <v>6</v>
      </c>
    </row>
    <row r="393">
      <c r="B393" s="3">
        <f t="array" ref="B393">IF(IFERROR(lookup(1,1/SEARCH(A393,'OTPI Scores'!C:C),'OTPI Scores'!E:E),0)="Vets",7,IFERROR(lookup(1,1/SEARCH(A393,'OTPI Scores'!C:C),'OTPI Scores'!E:E),0))</f>
        <v>6</v>
      </c>
    </row>
    <row r="394">
      <c r="B394" s="3">
        <f t="array" ref="B394">IF(IFERROR(lookup(1,1/SEARCH(A394,'OTPI Scores'!C:C),'OTPI Scores'!E:E),0)="Vets",7,IFERROR(lookup(1,1/SEARCH(A394,'OTPI Scores'!C:C),'OTPI Scores'!E:E),0))</f>
        <v>6</v>
      </c>
    </row>
    <row r="395">
      <c r="B395" s="3">
        <f t="array" ref="B395">IF(IFERROR(lookup(1,1/SEARCH(A395,'OTPI Scores'!C:C),'OTPI Scores'!E:E),0)="Vets",7,IFERROR(lookup(1,1/SEARCH(A395,'OTPI Scores'!C:C),'OTPI Scores'!E:E),0))</f>
        <v>6</v>
      </c>
    </row>
    <row r="396">
      <c r="B396" s="3">
        <f t="array" ref="B396">IF(IFERROR(lookup(1,1/SEARCH(A396,'OTPI Scores'!C:C),'OTPI Scores'!E:E),0)="Vets",7,IFERROR(lookup(1,1/SEARCH(A396,'OTPI Scores'!C:C),'OTPI Scores'!E:E),0))</f>
        <v>6</v>
      </c>
    </row>
    <row r="397">
      <c r="B397" s="3">
        <f t="array" ref="B397">IF(IFERROR(lookup(1,1/SEARCH(A397,'OTPI Scores'!C:C),'OTPI Scores'!E:E),0)="Vets",7,IFERROR(lookup(1,1/SEARCH(A397,'OTPI Scores'!C:C),'OTPI Scores'!E:E),0))</f>
        <v>6</v>
      </c>
    </row>
    <row r="398">
      <c r="B398" s="3">
        <f t="array" ref="B398">IF(IFERROR(lookup(1,1/SEARCH(A398,'OTPI Scores'!C:C),'OTPI Scores'!E:E),0)="Vets",7,IFERROR(lookup(1,1/SEARCH(A398,'OTPI Scores'!C:C),'OTPI Scores'!E:E),0))</f>
        <v>6</v>
      </c>
    </row>
    <row r="399">
      <c r="B399" s="3">
        <f t="array" ref="B399">IF(IFERROR(lookup(1,1/SEARCH(A399,'OTPI Scores'!C:C),'OTPI Scores'!E:E),0)="Vets",7,IFERROR(lookup(1,1/SEARCH(A399,'OTPI Scores'!C:C),'OTPI Scores'!E:E),0))</f>
        <v>6</v>
      </c>
    </row>
    <row r="400">
      <c r="B400" s="3">
        <f t="array" ref="B400">IF(IFERROR(lookup(1,1/SEARCH(A400,'OTPI Scores'!C:C),'OTPI Scores'!E:E),0)="Vets",7,IFERROR(lookup(1,1/SEARCH(A400,'OTPI Scores'!C:C),'OTPI Scores'!E:E),0))</f>
        <v>6</v>
      </c>
    </row>
    <row r="401">
      <c r="B401" s="3">
        <f t="array" ref="B401">IF(IFERROR(lookup(1,1/SEARCH(A401,'OTPI Scores'!C:C),'OTPI Scores'!E:E),0)="Vets",7,IFERROR(lookup(1,1/SEARCH(A401,'OTPI Scores'!C:C),'OTPI Scores'!E:E),0))</f>
        <v>6</v>
      </c>
    </row>
    <row r="402">
      <c r="B402" s="3">
        <f t="array" ref="B402">IF(IFERROR(lookup(1,1/SEARCH(A402,'OTPI Scores'!C:C),'OTPI Scores'!E:E),0)="Vets",7,IFERROR(lookup(1,1/SEARCH(A402,'OTPI Scores'!C:C),'OTPI Scores'!E:E),0))</f>
        <v>6</v>
      </c>
    </row>
    <row r="403">
      <c r="B403" s="3">
        <f t="array" ref="B403">IF(IFERROR(lookup(1,1/SEARCH(A403,'OTPI Scores'!C:C),'OTPI Scores'!E:E),0)="Vets",7,IFERROR(lookup(1,1/SEARCH(A403,'OTPI Scores'!C:C),'OTPI Scores'!E:E),0))</f>
        <v>6</v>
      </c>
    </row>
    <row r="404">
      <c r="B404" s="3">
        <f t="array" ref="B404">IF(IFERROR(lookup(1,1/SEARCH(A404,'OTPI Scores'!C:C),'OTPI Scores'!E:E),0)="Vets",7,IFERROR(lookup(1,1/SEARCH(A404,'OTPI Scores'!C:C),'OTPI Scores'!E:E),0))</f>
        <v>6</v>
      </c>
    </row>
    <row r="405">
      <c r="B405" s="3">
        <f t="array" ref="B405">IF(IFERROR(lookup(1,1/SEARCH(A405,'OTPI Scores'!C:C),'OTPI Scores'!E:E),0)="Vets",7,IFERROR(lookup(1,1/SEARCH(A405,'OTPI Scores'!C:C),'OTPI Scores'!E:E),0))</f>
        <v>6</v>
      </c>
    </row>
    <row r="406">
      <c r="B406" s="3">
        <f t="array" ref="B406">IF(IFERROR(lookup(1,1/SEARCH(A406,'OTPI Scores'!C:C),'OTPI Scores'!E:E),0)="Vets",7,IFERROR(lookup(1,1/SEARCH(A406,'OTPI Scores'!C:C),'OTPI Scores'!E:E),0))</f>
        <v>6</v>
      </c>
    </row>
    <row r="407">
      <c r="B407" s="3">
        <f t="array" ref="B407">IF(IFERROR(lookup(1,1/SEARCH(A407,'OTPI Scores'!C:C),'OTPI Scores'!E:E),0)="Vets",7,IFERROR(lookup(1,1/SEARCH(A407,'OTPI Scores'!C:C),'OTPI Scores'!E:E),0))</f>
        <v>6</v>
      </c>
    </row>
    <row r="408">
      <c r="B408" s="3">
        <f t="array" ref="B408">IF(IFERROR(lookup(1,1/SEARCH(A408,'OTPI Scores'!C:C),'OTPI Scores'!E:E),0)="Vets",7,IFERROR(lookup(1,1/SEARCH(A408,'OTPI Scores'!C:C),'OTPI Scores'!E:E),0))</f>
        <v>6</v>
      </c>
    </row>
    <row r="409">
      <c r="B409" s="3">
        <f t="array" ref="B409">IF(IFERROR(lookup(1,1/SEARCH(A409,'OTPI Scores'!C:C),'OTPI Scores'!E:E),0)="Vets",7,IFERROR(lookup(1,1/SEARCH(A409,'OTPI Scores'!C:C),'OTPI Scores'!E:E),0))</f>
        <v>6</v>
      </c>
    </row>
    <row r="410">
      <c r="B410" s="3">
        <f t="array" ref="B410">IF(IFERROR(lookup(1,1/SEARCH(A410,'OTPI Scores'!C:C),'OTPI Scores'!E:E),0)="Vets",7,IFERROR(lookup(1,1/SEARCH(A410,'OTPI Scores'!C:C),'OTPI Scores'!E:E),0))</f>
        <v>6</v>
      </c>
    </row>
    <row r="411">
      <c r="B411" s="3">
        <f t="array" ref="B411">IF(IFERROR(lookup(1,1/SEARCH(A411,'OTPI Scores'!C:C),'OTPI Scores'!E:E),0)="Vets",7,IFERROR(lookup(1,1/SEARCH(A411,'OTPI Scores'!C:C),'OTPI Scores'!E:E),0))</f>
        <v>6</v>
      </c>
    </row>
    <row r="412">
      <c r="B412" s="3">
        <f t="array" ref="B412">IF(IFERROR(lookup(1,1/SEARCH(A412,'OTPI Scores'!C:C),'OTPI Scores'!E:E),0)="Vets",7,IFERROR(lookup(1,1/SEARCH(A412,'OTPI Scores'!C:C),'OTPI Scores'!E:E),0))</f>
        <v>6</v>
      </c>
    </row>
    <row r="413">
      <c r="B413" s="3">
        <f t="array" ref="B413">IF(IFERROR(lookup(1,1/SEARCH(A413,'OTPI Scores'!C:C),'OTPI Scores'!E:E),0)="Vets",7,IFERROR(lookup(1,1/SEARCH(A413,'OTPI Scores'!C:C),'OTPI Scores'!E:E),0))</f>
        <v>6</v>
      </c>
    </row>
    <row r="414">
      <c r="B414" s="3">
        <f t="array" ref="B414">IF(IFERROR(lookup(1,1/SEARCH(A414,'OTPI Scores'!C:C),'OTPI Scores'!E:E),0)="Vets",7,IFERROR(lookup(1,1/SEARCH(A414,'OTPI Scores'!C:C),'OTPI Scores'!E:E),0))</f>
        <v>6</v>
      </c>
    </row>
    <row r="415">
      <c r="B415" s="3">
        <f t="array" ref="B415">IF(IFERROR(lookup(1,1/SEARCH(A415,'OTPI Scores'!C:C),'OTPI Scores'!E:E),0)="Vets",7,IFERROR(lookup(1,1/SEARCH(A415,'OTPI Scores'!C:C),'OTPI Scores'!E:E),0))</f>
        <v>6</v>
      </c>
    </row>
    <row r="416">
      <c r="B416" s="3">
        <f t="array" ref="B416">IF(IFERROR(lookup(1,1/SEARCH(A416,'OTPI Scores'!C:C),'OTPI Scores'!E:E),0)="Vets",7,IFERROR(lookup(1,1/SEARCH(A416,'OTPI Scores'!C:C),'OTPI Scores'!E:E),0))</f>
        <v>6</v>
      </c>
    </row>
    <row r="417">
      <c r="B417" s="3">
        <f t="array" ref="B417">IF(IFERROR(lookup(1,1/SEARCH(A417,'OTPI Scores'!C:C),'OTPI Scores'!E:E),0)="Vets",7,IFERROR(lookup(1,1/SEARCH(A417,'OTPI Scores'!C:C),'OTPI Scores'!E:E),0))</f>
        <v>6</v>
      </c>
    </row>
    <row r="418">
      <c r="B418" s="3">
        <f t="array" ref="B418">IF(IFERROR(lookup(1,1/SEARCH(A418,'OTPI Scores'!C:C),'OTPI Scores'!E:E),0)="Vets",7,IFERROR(lookup(1,1/SEARCH(A418,'OTPI Scores'!C:C),'OTPI Scores'!E:E),0))</f>
        <v>6</v>
      </c>
    </row>
    <row r="419">
      <c r="B419" s="3">
        <f t="array" ref="B419">IF(IFERROR(lookup(1,1/SEARCH(A419,'OTPI Scores'!C:C),'OTPI Scores'!E:E),0)="Vets",7,IFERROR(lookup(1,1/SEARCH(A419,'OTPI Scores'!C:C),'OTPI Scores'!E:E),0))</f>
        <v>6</v>
      </c>
    </row>
    <row r="420">
      <c r="B420" s="3">
        <f t="array" ref="B420">IF(IFERROR(lookup(1,1/SEARCH(A420,'OTPI Scores'!C:C),'OTPI Scores'!E:E),0)="Vets",7,IFERROR(lookup(1,1/SEARCH(A420,'OTPI Scores'!C:C),'OTPI Scores'!E:E),0))</f>
        <v>6</v>
      </c>
    </row>
    <row r="421">
      <c r="B421" s="3">
        <f t="array" ref="B421">IF(IFERROR(lookup(1,1/SEARCH(A421,'OTPI Scores'!C:C),'OTPI Scores'!E:E),0)="Vets",7,IFERROR(lookup(1,1/SEARCH(A421,'OTPI Scores'!C:C),'OTPI Scores'!E:E),0))</f>
        <v>6</v>
      </c>
    </row>
    <row r="422">
      <c r="B422" s="3">
        <f t="array" ref="B422">IF(IFERROR(lookup(1,1/SEARCH(A422,'OTPI Scores'!C:C),'OTPI Scores'!E:E),0)="Vets",7,IFERROR(lookup(1,1/SEARCH(A422,'OTPI Scores'!C:C),'OTPI Scores'!E:E),0))</f>
        <v>6</v>
      </c>
    </row>
    <row r="423">
      <c r="B423" s="3">
        <f t="array" ref="B423">IF(IFERROR(lookup(1,1/SEARCH(A423,'OTPI Scores'!C:C),'OTPI Scores'!E:E),0)="Vets",7,IFERROR(lookup(1,1/SEARCH(A423,'OTPI Scores'!C:C),'OTPI Scores'!E:E),0))</f>
        <v>6</v>
      </c>
    </row>
    <row r="424">
      <c r="B424" s="3">
        <f t="array" ref="B424">IF(IFERROR(lookup(1,1/SEARCH(A424,'OTPI Scores'!C:C),'OTPI Scores'!E:E),0)="Vets",7,IFERROR(lookup(1,1/SEARCH(A424,'OTPI Scores'!C:C),'OTPI Scores'!E:E),0))</f>
        <v>6</v>
      </c>
    </row>
    <row r="425">
      <c r="B425" s="3">
        <f t="array" ref="B425">IF(IFERROR(lookup(1,1/SEARCH(A425,'OTPI Scores'!C:C),'OTPI Scores'!E:E),0)="Vets",7,IFERROR(lookup(1,1/SEARCH(A425,'OTPI Scores'!C:C),'OTPI Scores'!E:E),0))</f>
        <v>6</v>
      </c>
    </row>
    <row r="426">
      <c r="B426" s="3">
        <f t="array" ref="B426">IF(IFERROR(lookup(1,1/SEARCH(A426,'OTPI Scores'!C:C),'OTPI Scores'!E:E),0)="Vets",7,IFERROR(lookup(1,1/SEARCH(A426,'OTPI Scores'!C:C),'OTPI Scores'!E:E),0))</f>
        <v>6</v>
      </c>
    </row>
    <row r="427">
      <c r="B427" s="3">
        <f t="array" ref="B427">IF(IFERROR(lookup(1,1/SEARCH(A427,'OTPI Scores'!C:C),'OTPI Scores'!E:E),0)="Vets",7,IFERROR(lookup(1,1/SEARCH(A427,'OTPI Scores'!C:C),'OTPI Scores'!E:E),0))</f>
        <v>6</v>
      </c>
    </row>
    <row r="428">
      <c r="B428" s="3">
        <f t="array" ref="B428">IF(IFERROR(lookup(1,1/SEARCH(A428,'OTPI Scores'!C:C),'OTPI Scores'!E:E),0)="Vets",7,IFERROR(lookup(1,1/SEARCH(A428,'OTPI Scores'!C:C),'OTPI Scores'!E:E),0))</f>
        <v>6</v>
      </c>
    </row>
    <row r="429">
      <c r="B429" s="3">
        <f t="array" ref="B429">IF(IFERROR(lookup(1,1/SEARCH(A429,'OTPI Scores'!C:C),'OTPI Scores'!E:E),0)="Vets",7,IFERROR(lookup(1,1/SEARCH(A429,'OTPI Scores'!C:C),'OTPI Scores'!E:E),0))</f>
        <v>6</v>
      </c>
    </row>
    <row r="430">
      <c r="B430" s="3">
        <f t="array" ref="B430">IF(IFERROR(lookup(1,1/SEARCH(A430,'OTPI Scores'!C:C),'OTPI Scores'!E:E),0)="Vets",7,IFERROR(lookup(1,1/SEARCH(A430,'OTPI Scores'!C:C),'OTPI Scores'!E:E),0))</f>
        <v>6</v>
      </c>
    </row>
    <row r="431">
      <c r="B431" s="3">
        <f t="array" ref="B431">IF(IFERROR(lookup(1,1/SEARCH(A431,'OTPI Scores'!C:C),'OTPI Scores'!E:E),0)="Vets",7,IFERROR(lookup(1,1/SEARCH(A431,'OTPI Scores'!C:C),'OTPI Scores'!E:E),0))</f>
        <v>6</v>
      </c>
    </row>
    <row r="432">
      <c r="B432" s="3">
        <f t="array" ref="B432">IF(IFERROR(lookup(1,1/SEARCH(A432,'OTPI Scores'!C:C),'OTPI Scores'!E:E),0)="Vets",7,IFERROR(lookup(1,1/SEARCH(A432,'OTPI Scores'!C:C),'OTPI Scores'!E:E),0))</f>
        <v>6</v>
      </c>
    </row>
    <row r="433">
      <c r="B433" s="3">
        <f t="array" ref="B433">IF(IFERROR(lookup(1,1/SEARCH(A433,'OTPI Scores'!C:C),'OTPI Scores'!E:E),0)="Vets",7,IFERROR(lookup(1,1/SEARCH(A433,'OTPI Scores'!C:C),'OTPI Scores'!E:E),0))</f>
        <v>6</v>
      </c>
    </row>
    <row r="434">
      <c r="B434" s="3">
        <f t="array" ref="B434">IF(IFERROR(lookup(1,1/SEARCH(A434,'OTPI Scores'!C:C),'OTPI Scores'!E:E),0)="Vets",7,IFERROR(lookup(1,1/SEARCH(A434,'OTPI Scores'!C:C),'OTPI Scores'!E:E),0))</f>
        <v>6</v>
      </c>
    </row>
    <row r="435">
      <c r="B435" s="3">
        <f t="array" ref="B435">IF(IFERROR(lookup(1,1/SEARCH(A435,'OTPI Scores'!C:C),'OTPI Scores'!E:E),0)="Vets",7,IFERROR(lookup(1,1/SEARCH(A435,'OTPI Scores'!C:C),'OTPI Scores'!E:E),0))</f>
        <v>6</v>
      </c>
    </row>
    <row r="436">
      <c r="B436" s="3">
        <f t="array" ref="B436">IF(IFERROR(lookup(1,1/SEARCH(A436,'OTPI Scores'!C:C),'OTPI Scores'!E:E),0)="Vets",7,IFERROR(lookup(1,1/SEARCH(A436,'OTPI Scores'!C:C),'OTPI Scores'!E:E),0))</f>
        <v>6</v>
      </c>
    </row>
    <row r="437">
      <c r="B437" s="3">
        <f t="array" ref="B437">IF(IFERROR(lookup(1,1/SEARCH(A437,'OTPI Scores'!C:C),'OTPI Scores'!E:E),0)="Vets",7,IFERROR(lookup(1,1/SEARCH(A437,'OTPI Scores'!C:C),'OTPI Scores'!E:E),0))</f>
        <v>6</v>
      </c>
    </row>
    <row r="438">
      <c r="B438" s="3">
        <f t="array" ref="B438">IF(IFERROR(lookup(1,1/SEARCH(A438,'OTPI Scores'!C:C),'OTPI Scores'!E:E),0)="Vets",7,IFERROR(lookup(1,1/SEARCH(A438,'OTPI Scores'!C:C),'OTPI Scores'!E:E),0))</f>
        <v>6</v>
      </c>
    </row>
    <row r="439">
      <c r="B439" s="3">
        <f t="array" ref="B439">IF(IFERROR(lookup(1,1/SEARCH(A439,'OTPI Scores'!C:C),'OTPI Scores'!E:E),0)="Vets",7,IFERROR(lookup(1,1/SEARCH(A439,'OTPI Scores'!C:C),'OTPI Scores'!E:E),0))</f>
        <v>6</v>
      </c>
    </row>
    <row r="440">
      <c r="B440" s="3">
        <f t="array" ref="B440">IF(IFERROR(lookup(1,1/SEARCH(A440,'OTPI Scores'!C:C),'OTPI Scores'!E:E),0)="Vets",7,IFERROR(lookup(1,1/SEARCH(A440,'OTPI Scores'!C:C),'OTPI Scores'!E:E),0))</f>
        <v>6</v>
      </c>
    </row>
    <row r="441">
      <c r="B441" s="3">
        <f t="array" ref="B441">IF(IFERROR(lookup(1,1/SEARCH(A441,'OTPI Scores'!C:C),'OTPI Scores'!E:E),0)="Vets",7,IFERROR(lookup(1,1/SEARCH(A441,'OTPI Scores'!C:C),'OTPI Scores'!E:E),0))</f>
        <v>6</v>
      </c>
    </row>
    <row r="442">
      <c r="B442" s="3">
        <f t="array" ref="B442">IF(IFERROR(lookup(1,1/SEARCH(A442,'OTPI Scores'!C:C),'OTPI Scores'!E:E),0)="Vets",7,IFERROR(lookup(1,1/SEARCH(A442,'OTPI Scores'!C:C),'OTPI Scores'!E:E),0))</f>
        <v>6</v>
      </c>
    </row>
    <row r="443">
      <c r="B443" s="3">
        <f t="array" ref="B443">IF(IFERROR(lookup(1,1/SEARCH(A443,'OTPI Scores'!C:C),'OTPI Scores'!E:E),0)="Vets",7,IFERROR(lookup(1,1/SEARCH(A443,'OTPI Scores'!C:C),'OTPI Scores'!E:E),0))</f>
        <v>6</v>
      </c>
    </row>
    <row r="444">
      <c r="B444" s="3">
        <f t="array" ref="B444">IF(IFERROR(lookup(1,1/SEARCH(A444,'OTPI Scores'!C:C),'OTPI Scores'!E:E),0)="Vets",7,IFERROR(lookup(1,1/SEARCH(A444,'OTPI Scores'!C:C),'OTPI Scores'!E:E),0))</f>
        <v>6</v>
      </c>
    </row>
    <row r="445">
      <c r="B445" s="3">
        <f t="array" ref="B445">IF(IFERROR(lookup(1,1/SEARCH(A445,'OTPI Scores'!C:C),'OTPI Scores'!E:E),0)="Vets",7,IFERROR(lookup(1,1/SEARCH(A445,'OTPI Scores'!C:C),'OTPI Scores'!E:E),0))</f>
        <v>6</v>
      </c>
    </row>
    <row r="446">
      <c r="B446" s="3">
        <f t="array" ref="B446">IF(IFERROR(lookup(1,1/SEARCH(A446,'OTPI Scores'!C:C),'OTPI Scores'!E:E),0)="Vets",7,IFERROR(lookup(1,1/SEARCH(A446,'OTPI Scores'!C:C),'OTPI Scores'!E:E),0))</f>
        <v>6</v>
      </c>
    </row>
    <row r="447">
      <c r="B447" s="3">
        <f t="array" ref="B447">IF(IFERROR(lookup(1,1/SEARCH(A447,'OTPI Scores'!C:C),'OTPI Scores'!E:E),0)="Vets",7,IFERROR(lookup(1,1/SEARCH(A447,'OTPI Scores'!C:C),'OTPI Scores'!E:E),0))</f>
        <v>6</v>
      </c>
    </row>
    <row r="448">
      <c r="B448" s="3">
        <f t="array" ref="B448">IF(IFERROR(lookup(1,1/SEARCH(A448,'OTPI Scores'!C:C),'OTPI Scores'!E:E),0)="Vets",7,IFERROR(lookup(1,1/SEARCH(A448,'OTPI Scores'!C:C),'OTPI Scores'!E:E),0))</f>
        <v>6</v>
      </c>
    </row>
    <row r="449">
      <c r="B449" s="3">
        <f t="array" ref="B449">IF(IFERROR(lookup(1,1/SEARCH(A449,'OTPI Scores'!C:C),'OTPI Scores'!E:E),0)="Vets",7,IFERROR(lookup(1,1/SEARCH(A449,'OTPI Scores'!C:C),'OTPI Scores'!E:E),0))</f>
        <v>6</v>
      </c>
    </row>
    <row r="450">
      <c r="B450" s="3">
        <f t="array" ref="B450">IF(IFERROR(lookup(1,1/SEARCH(A450,'OTPI Scores'!C:C),'OTPI Scores'!E:E),0)="Vets",7,IFERROR(lookup(1,1/SEARCH(A450,'OTPI Scores'!C:C),'OTPI Scores'!E:E),0))</f>
        <v>6</v>
      </c>
    </row>
    <row r="451">
      <c r="B451" s="3">
        <f t="array" ref="B451">IF(IFERROR(lookup(1,1/SEARCH(A451,'OTPI Scores'!C:C),'OTPI Scores'!E:E),0)="Vets",7,IFERROR(lookup(1,1/SEARCH(A451,'OTPI Scores'!C:C),'OTPI Scores'!E:E),0))</f>
        <v>6</v>
      </c>
    </row>
    <row r="452">
      <c r="B452" s="3">
        <f t="array" ref="B452">IF(IFERROR(lookup(1,1/SEARCH(A452,'OTPI Scores'!C:C),'OTPI Scores'!E:E),0)="Vets",7,IFERROR(lookup(1,1/SEARCH(A452,'OTPI Scores'!C:C),'OTPI Scores'!E:E),0))</f>
        <v>6</v>
      </c>
    </row>
    <row r="453">
      <c r="B453" s="3">
        <f t="array" ref="B453">IF(IFERROR(lookup(1,1/SEARCH(A453,'OTPI Scores'!C:C),'OTPI Scores'!E:E),0)="Vets",7,IFERROR(lookup(1,1/SEARCH(A453,'OTPI Scores'!C:C),'OTPI Scores'!E:E),0))</f>
        <v>6</v>
      </c>
    </row>
    <row r="454">
      <c r="B454" s="3">
        <f t="array" ref="B454">IF(IFERROR(lookup(1,1/SEARCH(A454,'OTPI Scores'!C:C),'OTPI Scores'!E:E),0)="Vets",7,IFERROR(lookup(1,1/SEARCH(A454,'OTPI Scores'!C:C),'OTPI Scores'!E:E),0))</f>
        <v>6</v>
      </c>
    </row>
    <row r="455">
      <c r="B455" s="3">
        <f t="array" ref="B455">IF(IFERROR(lookup(1,1/SEARCH(A455,'OTPI Scores'!C:C),'OTPI Scores'!E:E),0)="Vets",7,IFERROR(lookup(1,1/SEARCH(A455,'OTPI Scores'!C:C),'OTPI Scores'!E:E),0))</f>
        <v>6</v>
      </c>
    </row>
    <row r="456">
      <c r="B456" s="3">
        <f t="array" ref="B456">IF(IFERROR(lookup(1,1/SEARCH(A456,'OTPI Scores'!C:C),'OTPI Scores'!E:E),0)="Vets",7,IFERROR(lookup(1,1/SEARCH(A456,'OTPI Scores'!C:C),'OTPI Scores'!E:E),0))</f>
        <v>6</v>
      </c>
    </row>
    <row r="457">
      <c r="B457" s="3">
        <f t="array" ref="B457">IF(IFERROR(lookup(1,1/SEARCH(A457,'OTPI Scores'!C:C),'OTPI Scores'!E:E),0)="Vets",7,IFERROR(lookup(1,1/SEARCH(A457,'OTPI Scores'!C:C),'OTPI Scores'!E:E),0))</f>
        <v>6</v>
      </c>
    </row>
    <row r="458">
      <c r="B458" s="3">
        <f t="array" ref="B458">IF(IFERROR(lookup(1,1/SEARCH(A458,'OTPI Scores'!C:C),'OTPI Scores'!E:E),0)="Vets",7,IFERROR(lookup(1,1/SEARCH(A458,'OTPI Scores'!C:C),'OTPI Scores'!E:E),0))</f>
        <v>6</v>
      </c>
    </row>
    <row r="459">
      <c r="B459" s="3">
        <f t="array" ref="B459">IF(IFERROR(lookup(1,1/SEARCH(A459,'OTPI Scores'!C:C),'OTPI Scores'!E:E),0)="Vets",7,IFERROR(lookup(1,1/SEARCH(A459,'OTPI Scores'!C:C),'OTPI Scores'!E:E),0))</f>
        <v>6</v>
      </c>
    </row>
    <row r="460">
      <c r="B460" s="3">
        <f t="array" ref="B460">IF(IFERROR(lookup(1,1/SEARCH(A460,'OTPI Scores'!C:C),'OTPI Scores'!E:E),0)="Vets",7,IFERROR(lookup(1,1/SEARCH(A460,'OTPI Scores'!C:C),'OTPI Scores'!E:E),0))</f>
        <v>6</v>
      </c>
    </row>
    <row r="461">
      <c r="B461" s="3">
        <f t="array" ref="B461">IF(IFERROR(lookup(1,1/SEARCH(A461,'OTPI Scores'!C:C),'OTPI Scores'!E:E),0)="Vets",7,IFERROR(lookup(1,1/SEARCH(A461,'OTPI Scores'!C:C),'OTPI Scores'!E:E),0))</f>
        <v>6</v>
      </c>
    </row>
    <row r="462">
      <c r="B462" s="3">
        <f t="array" ref="B462">IF(IFERROR(lookup(1,1/SEARCH(A462,'OTPI Scores'!C:C),'OTPI Scores'!E:E),0)="Vets",7,IFERROR(lookup(1,1/SEARCH(A462,'OTPI Scores'!C:C),'OTPI Scores'!E:E),0))</f>
        <v>6</v>
      </c>
    </row>
    <row r="463">
      <c r="B463" s="3">
        <f t="array" ref="B463">IF(IFERROR(lookup(1,1/SEARCH(A463,'OTPI Scores'!C:C),'OTPI Scores'!E:E),0)="Vets",7,IFERROR(lookup(1,1/SEARCH(A463,'OTPI Scores'!C:C),'OTPI Scores'!E:E),0))</f>
        <v>6</v>
      </c>
    </row>
    <row r="464">
      <c r="B464" s="3">
        <f t="array" ref="B464">IF(IFERROR(lookup(1,1/SEARCH(A464,'OTPI Scores'!C:C),'OTPI Scores'!E:E),0)="Vets",7,IFERROR(lookup(1,1/SEARCH(A464,'OTPI Scores'!C:C),'OTPI Scores'!E:E),0))</f>
        <v>6</v>
      </c>
    </row>
    <row r="465">
      <c r="B465" s="3">
        <f t="array" ref="B465">IF(IFERROR(lookup(1,1/SEARCH(A465,'OTPI Scores'!C:C),'OTPI Scores'!E:E),0)="Vets",7,IFERROR(lookup(1,1/SEARCH(A465,'OTPI Scores'!C:C),'OTPI Scores'!E:E),0))</f>
        <v>6</v>
      </c>
    </row>
    <row r="466">
      <c r="B466" s="3">
        <f t="array" ref="B466">IF(IFERROR(lookup(1,1/SEARCH(A466,'OTPI Scores'!C:C),'OTPI Scores'!E:E),0)="Vets",7,IFERROR(lookup(1,1/SEARCH(A466,'OTPI Scores'!C:C),'OTPI Scores'!E:E),0))</f>
        <v>6</v>
      </c>
    </row>
    <row r="467">
      <c r="B467" s="3">
        <f t="array" ref="B467">IF(IFERROR(lookup(1,1/SEARCH(A467,'OTPI Scores'!C:C),'OTPI Scores'!E:E),0)="Vets",7,IFERROR(lookup(1,1/SEARCH(A467,'OTPI Scores'!C:C),'OTPI Scores'!E:E),0))</f>
        <v>6</v>
      </c>
    </row>
    <row r="468">
      <c r="B468" s="3">
        <f t="array" ref="B468">IF(IFERROR(lookup(1,1/SEARCH(A468,'OTPI Scores'!C:C),'OTPI Scores'!E:E),0)="Vets",7,IFERROR(lookup(1,1/SEARCH(A468,'OTPI Scores'!C:C),'OTPI Scores'!E:E),0))</f>
        <v>6</v>
      </c>
    </row>
    <row r="469">
      <c r="B469" s="3">
        <f t="array" ref="B469">IF(IFERROR(lookup(1,1/SEARCH(A469,'OTPI Scores'!C:C),'OTPI Scores'!E:E),0)="Vets",7,IFERROR(lookup(1,1/SEARCH(A469,'OTPI Scores'!C:C),'OTPI Scores'!E:E),0))</f>
        <v>6</v>
      </c>
    </row>
    <row r="470">
      <c r="B470" s="3">
        <f t="array" ref="B470">IF(IFERROR(lookup(1,1/SEARCH(A470,'OTPI Scores'!C:C),'OTPI Scores'!E:E),0)="Vets",7,IFERROR(lookup(1,1/SEARCH(A470,'OTPI Scores'!C:C),'OTPI Scores'!E:E),0))</f>
        <v>6</v>
      </c>
    </row>
    <row r="471">
      <c r="B471" s="3">
        <f t="array" ref="B471">IF(IFERROR(lookup(1,1/SEARCH(A471,'OTPI Scores'!C:C),'OTPI Scores'!E:E),0)="Vets",7,IFERROR(lookup(1,1/SEARCH(A471,'OTPI Scores'!C:C),'OTPI Scores'!E:E),0))</f>
        <v>6</v>
      </c>
    </row>
    <row r="472">
      <c r="B472" s="3">
        <f t="array" ref="B472">IF(IFERROR(lookup(1,1/SEARCH(A472,'OTPI Scores'!C:C),'OTPI Scores'!E:E),0)="Vets",7,IFERROR(lookup(1,1/SEARCH(A472,'OTPI Scores'!C:C),'OTPI Scores'!E:E),0))</f>
        <v>6</v>
      </c>
    </row>
    <row r="473">
      <c r="B473" s="3">
        <f t="array" ref="B473">IF(IFERROR(lookup(1,1/SEARCH(A473,'OTPI Scores'!C:C),'OTPI Scores'!E:E),0)="Vets",7,IFERROR(lookup(1,1/SEARCH(A473,'OTPI Scores'!C:C),'OTPI Scores'!E:E),0))</f>
        <v>6</v>
      </c>
    </row>
    <row r="474">
      <c r="B474" s="3">
        <f t="array" ref="B474">IF(IFERROR(lookup(1,1/SEARCH(A474,'OTPI Scores'!C:C),'OTPI Scores'!E:E),0)="Vets",7,IFERROR(lookup(1,1/SEARCH(A474,'OTPI Scores'!C:C),'OTPI Scores'!E:E),0))</f>
        <v>6</v>
      </c>
    </row>
    <row r="475">
      <c r="B475" s="3">
        <f t="array" ref="B475">IF(IFERROR(lookup(1,1/SEARCH(A475,'OTPI Scores'!C:C),'OTPI Scores'!E:E),0)="Vets",7,IFERROR(lookup(1,1/SEARCH(A475,'OTPI Scores'!C:C),'OTPI Scores'!E:E),0))</f>
        <v>6</v>
      </c>
    </row>
    <row r="476">
      <c r="B476" s="3">
        <f t="array" ref="B476">IF(IFERROR(lookup(1,1/SEARCH(A476,'OTPI Scores'!C:C),'OTPI Scores'!E:E),0)="Vets",7,IFERROR(lookup(1,1/SEARCH(A476,'OTPI Scores'!C:C),'OTPI Scores'!E:E),0))</f>
        <v>6</v>
      </c>
    </row>
    <row r="477">
      <c r="B477" s="3">
        <f t="array" ref="B477">IF(IFERROR(lookup(1,1/SEARCH(A477,'OTPI Scores'!C:C),'OTPI Scores'!E:E),0)="Vets",7,IFERROR(lookup(1,1/SEARCH(A477,'OTPI Scores'!C:C),'OTPI Scores'!E:E),0))</f>
        <v>6</v>
      </c>
    </row>
    <row r="478">
      <c r="B478" s="3">
        <f t="array" ref="B478">IF(IFERROR(lookup(1,1/SEARCH(A478,'OTPI Scores'!C:C),'OTPI Scores'!E:E),0)="Vets",7,IFERROR(lookup(1,1/SEARCH(A478,'OTPI Scores'!C:C),'OTPI Scores'!E:E),0))</f>
        <v>6</v>
      </c>
    </row>
    <row r="479">
      <c r="B479" s="3">
        <f t="array" ref="B479">IF(IFERROR(lookup(1,1/SEARCH(A479,'OTPI Scores'!C:C),'OTPI Scores'!E:E),0)="Vets",7,IFERROR(lookup(1,1/SEARCH(A479,'OTPI Scores'!C:C),'OTPI Scores'!E:E),0))</f>
        <v>6</v>
      </c>
    </row>
    <row r="480">
      <c r="B480" s="3">
        <f t="array" ref="B480">IF(IFERROR(lookup(1,1/SEARCH(A480,'OTPI Scores'!C:C),'OTPI Scores'!E:E),0)="Vets",7,IFERROR(lookup(1,1/SEARCH(A480,'OTPI Scores'!C:C),'OTPI Scores'!E:E),0))</f>
        <v>6</v>
      </c>
    </row>
    <row r="481">
      <c r="B481" s="3">
        <f t="array" ref="B481">IF(IFERROR(lookup(1,1/SEARCH(A481,'OTPI Scores'!C:C),'OTPI Scores'!E:E),0)="Vets",7,IFERROR(lookup(1,1/SEARCH(A481,'OTPI Scores'!C:C),'OTPI Scores'!E:E),0))</f>
        <v>6</v>
      </c>
    </row>
    <row r="482">
      <c r="B482" s="3">
        <f t="array" ref="B482">IF(IFERROR(lookup(1,1/SEARCH(A482,'OTPI Scores'!C:C),'OTPI Scores'!E:E),0)="Vets",7,IFERROR(lookup(1,1/SEARCH(A482,'OTPI Scores'!C:C),'OTPI Scores'!E:E),0))</f>
        <v>6</v>
      </c>
    </row>
    <row r="483">
      <c r="B483" s="3">
        <f t="array" ref="B483">IF(IFERROR(lookup(1,1/SEARCH(A483,'OTPI Scores'!C:C),'OTPI Scores'!E:E),0)="Vets",7,IFERROR(lookup(1,1/SEARCH(A483,'OTPI Scores'!C:C),'OTPI Scores'!E:E),0))</f>
        <v>6</v>
      </c>
    </row>
    <row r="484">
      <c r="B484" s="3">
        <f t="array" ref="B484">IF(IFERROR(lookup(1,1/SEARCH(A484,'OTPI Scores'!C:C),'OTPI Scores'!E:E),0)="Vets",7,IFERROR(lookup(1,1/SEARCH(A484,'OTPI Scores'!C:C),'OTPI Scores'!E:E),0))</f>
        <v>6</v>
      </c>
    </row>
    <row r="485">
      <c r="B485" s="3">
        <f t="array" ref="B485">IF(IFERROR(lookup(1,1/SEARCH(A485,'OTPI Scores'!C:C),'OTPI Scores'!E:E),0)="Vets",7,IFERROR(lookup(1,1/SEARCH(A485,'OTPI Scores'!C:C),'OTPI Scores'!E:E),0))</f>
        <v>6</v>
      </c>
    </row>
    <row r="486">
      <c r="B486" s="3">
        <f t="array" ref="B486">IF(IFERROR(lookup(1,1/SEARCH(A486,'OTPI Scores'!C:C),'OTPI Scores'!E:E),0)="Vets",7,IFERROR(lookup(1,1/SEARCH(A486,'OTPI Scores'!C:C),'OTPI Scores'!E:E),0))</f>
        <v>6</v>
      </c>
    </row>
    <row r="487">
      <c r="B487" s="3">
        <f t="array" ref="B487">IF(IFERROR(lookup(1,1/SEARCH(A487,'OTPI Scores'!C:C),'OTPI Scores'!E:E),0)="Vets",7,IFERROR(lookup(1,1/SEARCH(A487,'OTPI Scores'!C:C),'OTPI Scores'!E:E),0))</f>
        <v>6</v>
      </c>
    </row>
    <row r="488">
      <c r="B488" s="3">
        <f t="array" ref="B488">IF(IFERROR(lookup(1,1/SEARCH(A488,'OTPI Scores'!C:C),'OTPI Scores'!E:E),0)="Vets",7,IFERROR(lookup(1,1/SEARCH(A488,'OTPI Scores'!C:C),'OTPI Scores'!E:E),0))</f>
        <v>6</v>
      </c>
    </row>
    <row r="489">
      <c r="B489" s="3">
        <f t="array" ref="B489">IF(IFERROR(lookup(1,1/SEARCH(A489,'OTPI Scores'!C:C),'OTPI Scores'!E:E),0)="Vets",7,IFERROR(lookup(1,1/SEARCH(A489,'OTPI Scores'!C:C),'OTPI Scores'!E:E),0))</f>
        <v>6</v>
      </c>
    </row>
    <row r="490">
      <c r="B490" s="3">
        <f t="array" ref="B490">IF(IFERROR(lookup(1,1/SEARCH(A490,'OTPI Scores'!C:C),'OTPI Scores'!E:E),0)="Vets",7,IFERROR(lookup(1,1/SEARCH(A490,'OTPI Scores'!C:C),'OTPI Scores'!E:E),0))</f>
        <v>6</v>
      </c>
    </row>
    <row r="491">
      <c r="B491" s="3">
        <f t="array" ref="B491">IF(IFERROR(lookup(1,1/SEARCH(A491,'OTPI Scores'!C:C),'OTPI Scores'!E:E),0)="Vets",7,IFERROR(lookup(1,1/SEARCH(A491,'OTPI Scores'!C:C),'OTPI Scores'!E:E),0))</f>
        <v>6</v>
      </c>
    </row>
    <row r="492">
      <c r="B492" s="3">
        <f t="array" ref="B492">IF(IFERROR(lookup(1,1/SEARCH(A492,'OTPI Scores'!C:C),'OTPI Scores'!E:E),0)="Vets",7,IFERROR(lookup(1,1/SEARCH(A492,'OTPI Scores'!C:C),'OTPI Scores'!E:E),0))</f>
        <v>6</v>
      </c>
    </row>
    <row r="493">
      <c r="B493" s="3">
        <f t="array" ref="B493">IF(IFERROR(lookup(1,1/SEARCH(A493,'OTPI Scores'!C:C),'OTPI Scores'!E:E),0)="Vets",7,IFERROR(lookup(1,1/SEARCH(A493,'OTPI Scores'!C:C),'OTPI Scores'!E:E),0))</f>
        <v>6</v>
      </c>
    </row>
    <row r="494">
      <c r="B494" s="3">
        <f t="array" ref="B494">IF(IFERROR(lookup(1,1/SEARCH(A494,'OTPI Scores'!C:C),'OTPI Scores'!E:E),0)="Vets",7,IFERROR(lookup(1,1/SEARCH(A494,'OTPI Scores'!C:C),'OTPI Scores'!E:E),0))</f>
        <v>6</v>
      </c>
    </row>
    <row r="495">
      <c r="B495" s="3">
        <f t="array" ref="B495">IF(IFERROR(lookup(1,1/SEARCH(A495,'OTPI Scores'!C:C),'OTPI Scores'!E:E),0)="Vets",7,IFERROR(lookup(1,1/SEARCH(A495,'OTPI Scores'!C:C),'OTPI Scores'!E:E),0))</f>
        <v>6</v>
      </c>
    </row>
    <row r="496">
      <c r="B496" s="3">
        <f t="array" ref="B496">IF(IFERROR(lookup(1,1/SEARCH(A496,'OTPI Scores'!C:C),'OTPI Scores'!E:E),0)="Vets",7,IFERROR(lookup(1,1/SEARCH(A496,'OTPI Scores'!C:C),'OTPI Scores'!E:E),0))</f>
        <v>6</v>
      </c>
    </row>
    <row r="497">
      <c r="B497" s="3">
        <f t="array" ref="B497">IF(IFERROR(lookup(1,1/SEARCH(A497,'OTPI Scores'!C:C),'OTPI Scores'!E:E),0)="Vets",7,IFERROR(lookup(1,1/SEARCH(A497,'OTPI Scores'!C:C),'OTPI Scores'!E:E),0))</f>
        <v>6</v>
      </c>
    </row>
    <row r="498">
      <c r="B498" s="3">
        <f t="array" ref="B498">IF(IFERROR(lookup(1,1/SEARCH(A498,'OTPI Scores'!C:C),'OTPI Scores'!E:E),0)="Vets",7,IFERROR(lookup(1,1/SEARCH(A498,'OTPI Scores'!C:C),'OTPI Scores'!E:E),0))</f>
        <v>6</v>
      </c>
    </row>
    <row r="499">
      <c r="B499" s="3">
        <f t="array" ref="B499">IF(IFERROR(lookup(1,1/SEARCH(A499,'OTPI Scores'!C:C),'OTPI Scores'!E:E),0)="Vets",7,IFERROR(lookup(1,1/SEARCH(A499,'OTPI Scores'!C:C),'OTPI Scores'!E:E),0))</f>
        <v>6</v>
      </c>
    </row>
    <row r="500">
      <c r="B500" s="3">
        <f t="array" ref="B500">IF(IFERROR(lookup(1,1/SEARCH(A500,'OTPI Scores'!C:C),'OTPI Scores'!E:E),0)="Vets",7,IFERROR(lookup(1,1/SEARCH(A500,'OTPI Scores'!C:C),'OTPI Scores'!E:E),0))</f>
        <v>6</v>
      </c>
    </row>
    <row r="501">
      <c r="B501" s="3">
        <f t="array" ref="B501">IF(IFERROR(lookup(1,1/SEARCH(A501,'OTPI Scores'!C:C),'OTPI Scores'!E:E),0)="Vets",7,IFERROR(lookup(1,1/SEARCH(A501,'OTPI Scores'!C:C),'OTPI Scores'!E:E),0))</f>
        <v>6</v>
      </c>
    </row>
    <row r="502">
      <c r="B502" s="3">
        <f t="array" ref="B502">IF(IFERROR(lookup(1,1/SEARCH(A502,'OTPI Scores'!C:C),'OTPI Scores'!E:E),0)="Vets",7,IFERROR(lookup(1,1/SEARCH(A502,'OTPI Scores'!C:C),'OTPI Scores'!E:E),0))</f>
        <v>6</v>
      </c>
    </row>
    <row r="503">
      <c r="B503" s="3">
        <f t="array" ref="B503">IF(IFERROR(lookup(1,1/SEARCH(A503,'OTPI Scores'!C:C),'OTPI Scores'!E:E),0)="Vets",7,IFERROR(lookup(1,1/SEARCH(A503,'OTPI Scores'!C:C),'OTPI Scores'!E:E),0))</f>
        <v>6</v>
      </c>
    </row>
    <row r="504">
      <c r="B504" s="3">
        <f t="array" ref="B504">IF(IFERROR(lookup(1,1/SEARCH(A504,'OTPI Scores'!C:C),'OTPI Scores'!E:E),0)="Vets",7,IFERROR(lookup(1,1/SEARCH(A504,'OTPI Scores'!C:C),'OTPI Scores'!E:E),0))</f>
        <v>6</v>
      </c>
    </row>
    <row r="505">
      <c r="B505" s="3">
        <f t="array" ref="B505">IF(IFERROR(lookup(1,1/SEARCH(A505,'OTPI Scores'!C:C),'OTPI Scores'!E:E),0)="Vets",7,IFERROR(lookup(1,1/SEARCH(A505,'OTPI Scores'!C:C),'OTPI Scores'!E:E),0))</f>
        <v>6</v>
      </c>
    </row>
    <row r="506">
      <c r="B506" s="3">
        <f t="array" ref="B506">IF(IFERROR(lookup(1,1/SEARCH(A506,'OTPI Scores'!C:C),'OTPI Scores'!E:E),0)="Vets",7,IFERROR(lookup(1,1/SEARCH(A506,'OTPI Scores'!C:C),'OTPI Scores'!E:E),0))</f>
        <v>6</v>
      </c>
    </row>
    <row r="507">
      <c r="B507" s="3">
        <f t="array" ref="B507">IF(IFERROR(lookup(1,1/SEARCH(A507,'OTPI Scores'!C:C),'OTPI Scores'!E:E),0)="Vets",7,IFERROR(lookup(1,1/SEARCH(A507,'OTPI Scores'!C:C),'OTPI Scores'!E:E),0))</f>
        <v>6</v>
      </c>
    </row>
    <row r="508">
      <c r="B508" s="3">
        <f t="array" ref="B508">IF(IFERROR(lookup(1,1/SEARCH(A508,'OTPI Scores'!C:C),'OTPI Scores'!E:E),0)="Vets",7,IFERROR(lookup(1,1/SEARCH(A508,'OTPI Scores'!C:C),'OTPI Scores'!E:E),0))</f>
        <v>6</v>
      </c>
    </row>
    <row r="509">
      <c r="B509" s="3">
        <f t="array" ref="B509">IF(IFERROR(lookup(1,1/SEARCH(A509,'OTPI Scores'!C:C),'OTPI Scores'!E:E),0)="Vets",7,IFERROR(lookup(1,1/SEARCH(A509,'OTPI Scores'!C:C),'OTPI Scores'!E:E),0))</f>
        <v>6</v>
      </c>
    </row>
    <row r="510">
      <c r="B510" s="3">
        <f t="array" ref="B510">IF(IFERROR(lookup(1,1/SEARCH(A510,'OTPI Scores'!C:C),'OTPI Scores'!E:E),0)="Vets",7,IFERROR(lookup(1,1/SEARCH(A510,'OTPI Scores'!C:C),'OTPI Scores'!E:E),0))</f>
        <v>6</v>
      </c>
    </row>
    <row r="511">
      <c r="B511" s="3">
        <f t="array" ref="B511">IF(IFERROR(lookup(1,1/SEARCH(A511,'OTPI Scores'!C:C),'OTPI Scores'!E:E),0)="Vets",7,IFERROR(lookup(1,1/SEARCH(A511,'OTPI Scores'!C:C),'OTPI Scores'!E:E),0))</f>
        <v>6</v>
      </c>
    </row>
    <row r="512">
      <c r="B512" s="3">
        <f t="array" ref="B512">IF(IFERROR(lookup(1,1/SEARCH(A512,'OTPI Scores'!C:C),'OTPI Scores'!E:E),0)="Vets",7,IFERROR(lookup(1,1/SEARCH(A512,'OTPI Scores'!C:C),'OTPI Scores'!E:E),0))</f>
        <v>6</v>
      </c>
    </row>
    <row r="513">
      <c r="B513" s="3">
        <f t="array" ref="B513">IF(IFERROR(lookup(1,1/SEARCH(A513,'OTPI Scores'!C:C),'OTPI Scores'!E:E),0)="Vets",7,IFERROR(lookup(1,1/SEARCH(A513,'OTPI Scores'!C:C),'OTPI Scores'!E:E),0))</f>
        <v>6</v>
      </c>
    </row>
    <row r="514">
      <c r="B514" s="3">
        <f t="array" ref="B514">IF(IFERROR(lookup(1,1/SEARCH(A514,'OTPI Scores'!C:C),'OTPI Scores'!E:E),0)="Vets",7,IFERROR(lookup(1,1/SEARCH(A514,'OTPI Scores'!C:C),'OTPI Scores'!E:E),0))</f>
        <v>6</v>
      </c>
    </row>
    <row r="515">
      <c r="B515" s="3">
        <f t="array" ref="B515">IF(IFERROR(lookup(1,1/SEARCH(A515,'OTPI Scores'!C:C),'OTPI Scores'!E:E),0)="Vets",7,IFERROR(lookup(1,1/SEARCH(A515,'OTPI Scores'!C:C),'OTPI Scores'!E:E),0))</f>
        <v>6</v>
      </c>
    </row>
    <row r="516">
      <c r="B516" s="3">
        <f t="array" ref="B516">IF(IFERROR(lookup(1,1/SEARCH(A516,'OTPI Scores'!C:C),'OTPI Scores'!E:E),0)="Vets",7,IFERROR(lookup(1,1/SEARCH(A516,'OTPI Scores'!C:C),'OTPI Scores'!E:E),0))</f>
        <v>6</v>
      </c>
    </row>
    <row r="517">
      <c r="B517" s="3">
        <f t="array" ref="B517">IF(IFERROR(lookup(1,1/SEARCH(A517,'OTPI Scores'!C:C),'OTPI Scores'!E:E),0)="Vets",7,IFERROR(lookup(1,1/SEARCH(A517,'OTPI Scores'!C:C),'OTPI Scores'!E:E),0))</f>
        <v>6</v>
      </c>
    </row>
    <row r="518">
      <c r="B518" s="3">
        <f t="array" ref="B518">IF(IFERROR(lookup(1,1/SEARCH(A518,'OTPI Scores'!C:C),'OTPI Scores'!E:E),0)="Vets",7,IFERROR(lookup(1,1/SEARCH(A518,'OTPI Scores'!C:C),'OTPI Scores'!E:E),0))</f>
        <v>6</v>
      </c>
    </row>
    <row r="519">
      <c r="B519" s="3">
        <f t="array" ref="B519">IF(IFERROR(lookup(1,1/SEARCH(A519,'OTPI Scores'!C:C),'OTPI Scores'!E:E),0)="Vets",7,IFERROR(lookup(1,1/SEARCH(A519,'OTPI Scores'!C:C),'OTPI Scores'!E:E),0))</f>
        <v>6</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s>
  <sheetData>
    <row r="1">
      <c r="A1" s="56" t="s">
        <v>172</v>
      </c>
      <c r="B1" s="56" t="s">
        <v>173</v>
      </c>
      <c r="C1" s="57"/>
      <c r="D1" s="57"/>
    </row>
    <row r="2">
      <c r="A2" s="57" t="s">
        <v>174</v>
      </c>
      <c r="B2" s="58">
        <v>2.0</v>
      </c>
      <c r="C2" s="57"/>
      <c r="D2" s="57"/>
    </row>
    <row r="3">
      <c r="A3" s="57" t="s">
        <v>175</v>
      </c>
      <c r="B3" s="58">
        <v>5.0</v>
      </c>
      <c r="C3" s="57"/>
      <c r="D3" s="57"/>
    </row>
    <row r="4">
      <c r="A4" s="57" t="s">
        <v>176</v>
      </c>
      <c r="B4" s="58">
        <v>6.0</v>
      </c>
      <c r="C4" s="57"/>
      <c r="D4" s="57"/>
    </row>
    <row r="5">
      <c r="A5" s="57" t="s">
        <v>177</v>
      </c>
      <c r="B5" s="58">
        <v>2.0</v>
      </c>
      <c r="C5" s="57"/>
      <c r="D5" s="57"/>
    </row>
    <row r="6">
      <c r="A6" s="57" t="s">
        <v>178</v>
      </c>
      <c r="B6" s="58">
        <v>6.0</v>
      </c>
      <c r="C6" s="57"/>
      <c r="D6" s="57"/>
    </row>
    <row r="7">
      <c r="A7" s="57" t="s">
        <v>179</v>
      </c>
      <c r="B7" s="58">
        <v>5.0</v>
      </c>
      <c r="C7" s="57"/>
      <c r="D7" s="57"/>
    </row>
    <row r="8">
      <c r="A8" s="57" t="s">
        <v>180</v>
      </c>
      <c r="B8" s="58">
        <v>4.0</v>
      </c>
      <c r="C8" s="57"/>
      <c r="D8" s="57"/>
    </row>
    <row r="9">
      <c r="A9" s="57" t="s">
        <v>181</v>
      </c>
      <c r="B9" s="58">
        <v>-1.0</v>
      </c>
      <c r="C9" s="57"/>
      <c r="D9" s="57"/>
    </row>
    <row r="10">
      <c r="A10" s="57" t="s">
        <v>182</v>
      </c>
      <c r="B10" s="58">
        <v>3.0</v>
      </c>
      <c r="C10" s="57"/>
      <c r="D10" s="57"/>
    </row>
    <row r="11">
      <c r="A11" s="57" t="s">
        <v>183</v>
      </c>
      <c r="B11" s="58">
        <v>-1.0</v>
      </c>
      <c r="C11" s="57"/>
      <c r="D11" s="57"/>
    </row>
    <row r="12">
      <c r="A12" s="57" t="s">
        <v>184</v>
      </c>
      <c r="B12" s="58">
        <v>-3.0</v>
      </c>
      <c r="C12" s="57"/>
      <c r="D12" s="57"/>
    </row>
    <row r="13">
      <c r="A13" s="57" t="s">
        <v>185</v>
      </c>
      <c r="B13" s="58">
        <v>-2.0</v>
      </c>
      <c r="C13" s="57"/>
      <c r="D13" s="57"/>
    </row>
    <row r="14">
      <c r="A14" s="57" t="s">
        <v>186</v>
      </c>
      <c r="B14" s="58">
        <v>-2.0</v>
      </c>
      <c r="C14" s="57"/>
      <c r="D14" s="57"/>
    </row>
    <row r="15">
      <c r="A15" s="57" t="s">
        <v>187</v>
      </c>
      <c r="B15" s="58">
        <v>-2.0</v>
      </c>
      <c r="C15" s="57"/>
      <c r="D15" s="57"/>
    </row>
    <row r="16">
      <c r="A16" s="57" t="s">
        <v>188</v>
      </c>
      <c r="B16" s="58">
        <v>5.0</v>
      </c>
      <c r="C16" s="57"/>
      <c r="D16" s="57"/>
    </row>
    <row r="17">
      <c r="A17" s="57"/>
      <c r="B17" s="57"/>
      <c r="C17" s="57"/>
      <c r="D17" s="57"/>
    </row>
    <row r="18">
      <c r="A18" s="57" t="s">
        <v>189</v>
      </c>
      <c r="B18" s="59" t="s">
        <v>190</v>
      </c>
      <c r="C18" s="57"/>
      <c r="D18" s="57"/>
    </row>
    <row r="19">
      <c r="A19" s="57" t="s">
        <v>191</v>
      </c>
      <c r="B19" s="59" t="s">
        <v>190</v>
      </c>
      <c r="C19" s="57"/>
      <c r="D19" s="57"/>
    </row>
    <row r="20">
      <c r="A20" s="57" t="s">
        <v>192</v>
      </c>
      <c r="B20" s="59" t="s">
        <v>193</v>
      </c>
      <c r="C20" s="57"/>
      <c r="D20" s="57"/>
    </row>
    <row r="21">
      <c r="A21" s="57" t="s">
        <v>194</v>
      </c>
      <c r="B21" s="59" t="s">
        <v>193</v>
      </c>
      <c r="C21" s="57"/>
      <c r="D21" s="57"/>
    </row>
    <row r="22">
      <c r="A22" s="57"/>
      <c r="B22" s="57"/>
      <c r="C22" s="57"/>
      <c r="D22" s="57"/>
    </row>
    <row r="23">
      <c r="A23" s="57"/>
      <c r="B23" s="57"/>
      <c r="C23" s="57"/>
      <c r="D23" s="57"/>
    </row>
    <row r="24">
      <c r="A24" s="57"/>
      <c r="B24" s="57"/>
      <c r="C24" s="57"/>
      <c r="D24" s="57"/>
    </row>
    <row r="25">
      <c r="A25" s="57"/>
      <c r="B25" s="57"/>
      <c r="C25" s="57"/>
      <c r="D25" s="57"/>
    </row>
    <row r="26">
      <c r="A26" s="57"/>
      <c r="B26" s="57"/>
      <c r="C26" s="57"/>
      <c r="D26" s="57"/>
    </row>
    <row r="27">
      <c r="A27" s="60"/>
      <c r="B27" s="57"/>
      <c r="C27" s="60"/>
      <c r="D27" s="5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3" max="3" width="29.13"/>
    <col customWidth="1" min="6" max="6" width="23.38"/>
    <col customWidth="1" min="10" max="10" width="14.13"/>
    <col customWidth="1" min="15" max="15" width="14.38"/>
  </cols>
  <sheetData>
    <row r="1" ht="17.25" customHeight="1">
      <c r="A1" s="61" t="s">
        <v>195</v>
      </c>
      <c r="B1" s="62" t="s">
        <v>196</v>
      </c>
      <c r="C1" s="63" t="s">
        <v>197</v>
      </c>
      <c r="D1" s="64" t="s">
        <v>198</v>
      </c>
      <c r="E1" s="65" t="s">
        <v>199</v>
      </c>
      <c r="F1" s="61" t="s">
        <v>200</v>
      </c>
      <c r="G1" s="61" t="s">
        <v>201</v>
      </c>
      <c r="H1" s="63" t="s">
        <v>158</v>
      </c>
      <c r="I1" s="63" t="s">
        <v>159</v>
      </c>
      <c r="J1" s="63" t="s">
        <v>202</v>
      </c>
      <c r="K1" s="63" t="s">
        <v>203</v>
      </c>
      <c r="L1" s="63" t="s">
        <v>185</v>
      </c>
      <c r="M1" s="63" t="s">
        <v>204</v>
      </c>
      <c r="N1" s="63" t="s">
        <v>205</v>
      </c>
      <c r="O1" s="63" t="s">
        <v>206</v>
      </c>
      <c r="P1" s="63" t="s">
        <v>207</v>
      </c>
      <c r="Q1" s="63" t="s">
        <v>208</v>
      </c>
      <c r="R1" s="63" t="s">
        <v>209</v>
      </c>
      <c r="S1" s="61" t="s">
        <v>210</v>
      </c>
      <c r="T1" s="61" t="s">
        <v>211</v>
      </c>
      <c r="U1" s="61" t="s">
        <v>212</v>
      </c>
      <c r="V1" s="61" t="s">
        <v>213</v>
      </c>
      <c r="W1" s="66" t="s">
        <v>214</v>
      </c>
      <c r="X1" s="67" t="s">
        <v>215</v>
      </c>
      <c r="Y1" s="5" t="s">
        <v>216</v>
      </c>
      <c r="Z1" s="5" t="s">
        <v>217</v>
      </c>
      <c r="AA1" s="61" t="s">
        <v>218</v>
      </c>
      <c r="AB1" s="68" t="s">
        <v>219</v>
      </c>
      <c r="AC1" s="61" t="s">
        <v>220</v>
      </c>
      <c r="AD1" s="65" t="s">
        <v>221</v>
      </c>
      <c r="AE1" s="61"/>
      <c r="AF1" s="63"/>
      <c r="AG1" s="63"/>
      <c r="AH1" s="63"/>
      <c r="AI1" s="63"/>
    </row>
    <row r="2" ht="17.25" customHeight="1">
      <c r="A2" s="69">
        <v>45143.0</v>
      </c>
      <c r="B2" s="1" t="s">
        <v>222</v>
      </c>
      <c r="C2" s="2" t="s">
        <v>136</v>
      </c>
      <c r="D2" s="2" t="s">
        <v>10</v>
      </c>
      <c r="E2" s="1">
        <v>4.0</v>
      </c>
      <c r="F2" s="70" t="s">
        <v>223</v>
      </c>
      <c r="G2" s="2" t="s">
        <v>224</v>
      </c>
      <c r="H2" s="2"/>
      <c r="I2" s="2"/>
      <c r="J2" s="1">
        <v>0.0</v>
      </c>
      <c r="K2" s="2"/>
      <c r="L2" s="2"/>
      <c r="M2" s="2"/>
      <c r="N2" s="2" t="b">
        <v>1</v>
      </c>
      <c r="O2" s="2"/>
      <c r="P2" s="2"/>
      <c r="Q2" s="2"/>
      <c r="R2" s="2">
        <v>1.0</v>
      </c>
      <c r="S2" s="2" t="b">
        <v>1</v>
      </c>
      <c r="T2" s="2">
        <v>0.0</v>
      </c>
      <c r="U2" s="2"/>
      <c r="V2" s="2"/>
      <c r="W2" s="70"/>
      <c r="X2" s="71"/>
      <c r="AA2" s="2">
        <f>2+ (P2*'Scoring System'!$B$3)+ (IF(OR(D2="DEF",D2="GK"),N2*'Scoring System'!$B$4,IF(D2="MID",N2*'Scoring System'!$B$5,0)))+ (IF(OR(D2="DEF",D2="GK"),H2*'Scoring System'!$B$6,IF(D2="MID",H2*'Scoring System'!$B$7,IF(D2="ATT",H2*'Scoring System'!$B$8,0))))+ IF(AND(OR(D2="GK",D2="DEF"),J2&gt;=3),1*'Scoring System'!$B$9,0)+ (I2*'Scoring System'!$B$10)+ (K2*'Scoring System'!$B$11)+ (M2*'Scoring System'!$B$12)+ (L2*'Scoring System'!$B$13)+ (O2*'Scoring System'!$B$14)+ (Q2*'Scoring System'!$B$15)+ (R2*'Scoring System'!$B$16)</f>
        <v>9</v>
      </c>
      <c r="AB2" s="72" t="b">
        <f>IFERROR(match(C2,'Match Day Fees'!$B$2:$B$999,0),0)=0</f>
        <v>0</v>
      </c>
      <c r="AC2" s="73">
        <f t="shared" ref="AC2:AC679" si="1">IF(max(A:A)=A2,1,0)</f>
        <v>0</v>
      </c>
      <c r="AD2" s="3" t="str">
        <f>VLOOKUP(D2,'Position Lookup'!A:B,1,FALSE)</f>
        <v>MID</v>
      </c>
    </row>
    <row r="3" ht="17.25" customHeight="1">
      <c r="A3" s="69">
        <v>45143.0</v>
      </c>
      <c r="B3" s="1" t="s">
        <v>222</v>
      </c>
      <c r="C3" s="2" t="s">
        <v>225</v>
      </c>
      <c r="D3" s="2" t="s">
        <v>11</v>
      </c>
      <c r="E3" s="1">
        <v>4.0</v>
      </c>
      <c r="F3" s="70" t="s">
        <v>223</v>
      </c>
      <c r="G3" s="2" t="s">
        <v>224</v>
      </c>
      <c r="H3" s="2"/>
      <c r="I3" s="2"/>
      <c r="J3" s="1">
        <v>0.0</v>
      </c>
      <c r="K3" s="2"/>
      <c r="L3" s="2"/>
      <c r="M3" s="2"/>
      <c r="N3" s="2" t="b">
        <v>1</v>
      </c>
      <c r="O3" s="2"/>
      <c r="P3" s="2"/>
      <c r="Q3" s="2"/>
      <c r="R3" s="2">
        <v>0.0</v>
      </c>
      <c r="S3" s="2"/>
      <c r="T3" s="1">
        <v>5.0</v>
      </c>
      <c r="U3" s="2"/>
      <c r="V3" s="2"/>
      <c r="W3" s="70"/>
      <c r="X3" s="71"/>
      <c r="AA3" s="2">
        <f>2+ (P3*'Scoring System'!$B$3)+ (IF(OR(D3="DEF",D3="GK"),N3*'Scoring System'!$B$4,IF(D3="MID",N3*'Scoring System'!$B$5,0)))+ (IF(OR(D3="DEF",D3="GK"),H3*'Scoring System'!$B$6,IF(D3="MID",H3*'Scoring System'!$B$7,IF(D3="ATT",H3*'Scoring System'!$B$8,0))))+ IF(AND(OR(D3="GK",D3="DEF"),J3&gt;=3),1*'Scoring System'!$B$9,0)+ (I3*'Scoring System'!$B$10)+ (K3*'Scoring System'!$B$11)+ (M3*'Scoring System'!$B$12)+ (L3*'Scoring System'!$B$13)+ (O3*'Scoring System'!$B$14)+ (Q3*'Scoring System'!$B$15)+ (R3*'Scoring System'!$B$16)</f>
        <v>8</v>
      </c>
      <c r="AB3" s="72" t="b">
        <f>IFERROR(match(C3,'Match Day Fees'!$B$2:$B$999,0),0)=0</f>
        <v>0</v>
      </c>
      <c r="AC3" s="73">
        <f t="shared" si="1"/>
        <v>0</v>
      </c>
      <c r="AD3" s="3" t="str">
        <f>VLOOKUP(D3,'Position Lookup'!A:B,1,FALSE)</f>
        <v>DEF</v>
      </c>
    </row>
    <row r="4" ht="17.25" customHeight="1">
      <c r="A4" s="69">
        <v>45143.0</v>
      </c>
      <c r="B4" s="1" t="s">
        <v>222</v>
      </c>
      <c r="C4" s="2" t="s">
        <v>119</v>
      </c>
      <c r="D4" s="2" t="s">
        <v>11</v>
      </c>
      <c r="E4" s="1">
        <v>4.0</v>
      </c>
      <c r="F4" s="70" t="s">
        <v>223</v>
      </c>
      <c r="G4" s="2" t="s">
        <v>224</v>
      </c>
      <c r="H4" s="2"/>
      <c r="I4" s="2"/>
      <c r="J4" s="1">
        <v>0.0</v>
      </c>
      <c r="K4" s="2"/>
      <c r="L4" s="2"/>
      <c r="M4" s="2"/>
      <c r="N4" s="2" t="b">
        <v>1</v>
      </c>
      <c r="O4" s="2"/>
      <c r="P4" s="2"/>
      <c r="Q4" s="2"/>
      <c r="R4" s="2">
        <v>0.0</v>
      </c>
      <c r="S4" s="2"/>
      <c r="T4" s="2">
        <v>10.0</v>
      </c>
      <c r="U4" s="2"/>
      <c r="V4" s="2"/>
      <c r="W4" s="70"/>
      <c r="X4" s="71"/>
      <c r="AA4" s="2">
        <f>2+ (P4*'Scoring System'!$B$3)+ (IF(OR(D4="DEF",D4="GK"),N4*'Scoring System'!$B$4,IF(D4="MID",N4*'Scoring System'!$B$5,0)))+ (IF(OR(D4="DEF",D4="GK"),H4*'Scoring System'!$B$6,IF(D4="MID",H4*'Scoring System'!$B$7,IF(D4="ATT",H4*'Scoring System'!$B$8,0))))+ IF(AND(OR(D4="GK",D4="DEF"),J4&gt;=3),1*'Scoring System'!$B$9,0)+ (I4*'Scoring System'!$B$10)+ (K4*'Scoring System'!$B$11)+ (M4*'Scoring System'!$B$12)+ (L4*'Scoring System'!$B$13)+ (O4*'Scoring System'!$B$14)+ (Q4*'Scoring System'!$B$15)+ (R4*'Scoring System'!$B$16)</f>
        <v>8</v>
      </c>
      <c r="AB4" s="72" t="b">
        <f>IFERROR(match(C4,'Match Day Fees'!$B$2:$B$999,0),0)=0</f>
        <v>0</v>
      </c>
      <c r="AC4" s="73">
        <f t="shared" si="1"/>
        <v>0</v>
      </c>
      <c r="AD4" s="3" t="str">
        <f>VLOOKUP(D4,'Position Lookup'!A:B,1,FALSE)</f>
        <v>DEF</v>
      </c>
    </row>
    <row r="5" ht="17.25" customHeight="1">
      <c r="A5" s="69">
        <v>45143.0</v>
      </c>
      <c r="B5" s="1" t="s">
        <v>222</v>
      </c>
      <c r="C5" s="2" t="s">
        <v>226</v>
      </c>
      <c r="D5" s="2" t="s">
        <v>11</v>
      </c>
      <c r="E5" s="1">
        <v>4.0</v>
      </c>
      <c r="F5" s="70" t="s">
        <v>223</v>
      </c>
      <c r="G5" s="2" t="s">
        <v>224</v>
      </c>
      <c r="H5" s="2"/>
      <c r="I5" s="2"/>
      <c r="J5" s="1">
        <v>0.0</v>
      </c>
      <c r="K5" s="2"/>
      <c r="L5" s="2"/>
      <c r="M5" s="2"/>
      <c r="N5" s="2" t="b">
        <v>1</v>
      </c>
      <c r="O5" s="2"/>
      <c r="P5" s="2"/>
      <c r="Q5" s="2"/>
      <c r="R5" s="2">
        <v>0.0</v>
      </c>
      <c r="S5" s="2"/>
      <c r="T5" s="2">
        <v>10.0</v>
      </c>
      <c r="U5" s="2"/>
      <c r="V5" s="2"/>
      <c r="W5" s="70"/>
      <c r="X5" s="71"/>
      <c r="AA5" s="2">
        <f>2+ (P5*'Scoring System'!$B$3)+ (IF(OR(D5="DEF",D5="GK"),N5*'Scoring System'!$B$4,IF(D5="MID",N5*'Scoring System'!$B$5,0)))+ (IF(OR(D5="DEF",D5="GK"),H5*'Scoring System'!$B$6,IF(D5="MID",H5*'Scoring System'!$B$7,IF(D5="ATT",H5*'Scoring System'!$B$8,0))))+ IF(AND(OR(D5="GK",D5="DEF"),J5&gt;=3),1*'Scoring System'!$B$9,0)+ (I5*'Scoring System'!$B$10)+ (K5*'Scoring System'!$B$11)+ (M5*'Scoring System'!$B$12)+ (L5*'Scoring System'!$B$13)+ (O5*'Scoring System'!$B$14)+ (Q5*'Scoring System'!$B$15)+ (R5*'Scoring System'!$B$16)</f>
        <v>8</v>
      </c>
      <c r="AB5" s="72" t="b">
        <f>IFERROR(match(C5,'Match Day Fees'!$B$2:$B$999,0),0)=0</f>
        <v>0</v>
      </c>
      <c r="AC5" s="73">
        <f t="shared" si="1"/>
        <v>0</v>
      </c>
      <c r="AD5" s="3" t="str">
        <f>VLOOKUP(D5,'Position Lookup'!A:B,1,FALSE)</f>
        <v>DEF</v>
      </c>
    </row>
    <row r="6" ht="17.25" customHeight="1">
      <c r="A6" s="69">
        <v>45143.0</v>
      </c>
      <c r="B6" s="1" t="s">
        <v>222</v>
      </c>
      <c r="C6" s="2" t="s">
        <v>125</v>
      </c>
      <c r="D6" s="2" t="s">
        <v>11</v>
      </c>
      <c r="E6" s="1">
        <v>4.0</v>
      </c>
      <c r="F6" s="70" t="s">
        <v>223</v>
      </c>
      <c r="G6" s="2" t="s">
        <v>224</v>
      </c>
      <c r="H6" s="2"/>
      <c r="I6" s="2"/>
      <c r="J6" s="1">
        <v>0.0</v>
      </c>
      <c r="K6" s="2"/>
      <c r="L6" s="2"/>
      <c r="M6" s="2"/>
      <c r="N6" s="2" t="b">
        <v>1</v>
      </c>
      <c r="O6" s="2"/>
      <c r="P6" s="2"/>
      <c r="Q6" s="2"/>
      <c r="R6" s="2">
        <v>0.0</v>
      </c>
      <c r="S6" s="2"/>
      <c r="T6" s="2">
        <v>10.0</v>
      </c>
      <c r="U6" s="2"/>
      <c r="V6" s="2"/>
      <c r="W6" s="70"/>
      <c r="X6" s="71"/>
      <c r="AA6" s="2">
        <f>2+ (P6*'Scoring System'!$B$3)+ (IF(OR(D6="DEF",D6="GK"),N6*'Scoring System'!$B$4,IF(D6="MID",N6*'Scoring System'!$B$5,0)))+ (IF(OR(D6="DEF",D6="GK"),H6*'Scoring System'!$B$6,IF(D6="MID",H6*'Scoring System'!$B$7,IF(D6="ATT",H6*'Scoring System'!$B$8,0))))+ IF(AND(OR(D6="GK",D6="DEF"),J6&gt;=3),1*'Scoring System'!$B$9,0)+ (I6*'Scoring System'!$B$10)+ (K6*'Scoring System'!$B$11)+ (M6*'Scoring System'!$B$12)+ (L6*'Scoring System'!$B$13)+ (O6*'Scoring System'!$B$14)+ (Q6*'Scoring System'!$B$15)+ (R6*'Scoring System'!$B$16)</f>
        <v>8</v>
      </c>
      <c r="AB6" s="72" t="b">
        <f>IFERROR(match(C6,'Match Day Fees'!$B$2:$B$999,0),0)=0</f>
        <v>0</v>
      </c>
      <c r="AC6" s="73">
        <f t="shared" si="1"/>
        <v>0</v>
      </c>
      <c r="AD6" s="3" t="str">
        <f>VLOOKUP(D6,'Position Lookup'!A:B,1,FALSE)</f>
        <v>DEF</v>
      </c>
    </row>
    <row r="7" ht="17.25" customHeight="1">
      <c r="A7" s="69">
        <v>45143.0</v>
      </c>
      <c r="B7" s="1" t="s">
        <v>222</v>
      </c>
      <c r="C7" s="2" t="s">
        <v>44</v>
      </c>
      <c r="D7" s="2" t="s">
        <v>10</v>
      </c>
      <c r="E7" s="1">
        <v>4.0</v>
      </c>
      <c r="F7" s="70" t="s">
        <v>223</v>
      </c>
      <c r="G7" s="2" t="s">
        <v>224</v>
      </c>
      <c r="H7" s="2"/>
      <c r="I7" s="2"/>
      <c r="J7" s="1">
        <v>0.0</v>
      </c>
      <c r="K7" s="2"/>
      <c r="L7" s="2"/>
      <c r="M7" s="2"/>
      <c r="N7" s="2" t="b">
        <v>1</v>
      </c>
      <c r="O7" s="2"/>
      <c r="P7" s="2"/>
      <c r="Q7" s="2"/>
      <c r="R7" s="2">
        <v>0.0</v>
      </c>
      <c r="S7" s="2"/>
      <c r="T7" s="1">
        <v>5.0</v>
      </c>
      <c r="U7" s="2"/>
      <c r="V7" s="2"/>
      <c r="W7" s="70"/>
      <c r="X7" s="71"/>
      <c r="AA7" s="2">
        <f>2+ (P7*'Scoring System'!$B$3)+ (IF(OR(D7="DEF",D7="GK"),N7*'Scoring System'!$B$4,IF(D7="MID",N7*'Scoring System'!$B$5,0)))+ (IF(OR(D7="DEF",D7="GK"),H7*'Scoring System'!$B$6,IF(D7="MID",H7*'Scoring System'!$B$7,IF(D7="ATT",H7*'Scoring System'!$B$8,0))))+ IF(AND(OR(D7="GK",D7="DEF"),J7&gt;=3),1*'Scoring System'!$B$9,0)+ (I7*'Scoring System'!$B$10)+ (K7*'Scoring System'!$B$11)+ (M7*'Scoring System'!$B$12)+ (L7*'Scoring System'!$B$13)+ (O7*'Scoring System'!$B$14)+ (Q7*'Scoring System'!$B$15)+ (R7*'Scoring System'!$B$16)</f>
        <v>4</v>
      </c>
      <c r="AB7" s="72" t="b">
        <f>IFERROR(match(C7,'Match Day Fees'!$B$2:$B$999,0),0)=0</f>
        <v>0</v>
      </c>
      <c r="AC7" s="73">
        <f t="shared" si="1"/>
        <v>0</v>
      </c>
      <c r="AD7" s="3" t="str">
        <f>VLOOKUP(D7,'Position Lookup'!A:B,1,FALSE)</f>
        <v>MID</v>
      </c>
    </row>
    <row r="8" ht="17.25" customHeight="1">
      <c r="A8" s="69">
        <v>45143.0</v>
      </c>
      <c r="B8" s="1" t="s">
        <v>222</v>
      </c>
      <c r="C8" s="2" t="s">
        <v>143</v>
      </c>
      <c r="D8" s="2" t="s">
        <v>9</v>
      </c>
      <c r="E8" s="1">
        <v>4.0</v>
      </c>
      <c r="F8" s="70" t="s">
        <v>223</v>
      </c>
      <c r="G8" s="2" t="s">
        <v>224</v>
      </c>
      <c r="H8" s="2"/>
      <c r="I8" s="2"/>
      <c r="J8" s="1">
        <v>0.0</v>
      </c>
      <c r="K8" s="2"/>
      <c r="L8" s="2"/>
      <c r="M8" s="2"/>
      <c r="N8" s="2" t="b">
        <v>1</v>
      </c>
      <c r="O8" s="2"/>
      <c r="P8" s="2"/>
      <c r="Q8" s="2"/>
      <c r="R8" s="2">
        <v>0.0</v>
      </c>
      <c r="S8" s="2"/>
      <c r="T8" s="2">
        <v>10.0</v>
      </c>
      <c r="U8" s="2"/>
      <c r="V8" s="2"/>
      <c r="W8" s="70"/>
      <c r="X8" s="71"/>
      <c r="AA8" s="2">
        <f>2+ (P8*'Scoring System'!$B$3)+ (IF(OR(D8="DEF",D8="GK"),N8*'Scoring System'!$B$4,IF(D8="MID",N8*'Scoring System'!$B$5,0)))+ (IF(OR(D8="DEF",D8="GK"),H8*'Scoring System'!$B$6,IF(D8="MID",H8*'Scoring System'!$B$7,IF(D8="ATT",H8*'Scoring System'!$B$8,0))))+ IF(AND(OR(D8="GK",D8="DEF"),J8&gt;=3),1*'Scoring System'!$B$9,0)+ (I8*'Scoring System'!$B$10)+ (K8*'Scoring System'!$B$11)+ (M8*'Scoring System'!$B$12)+ (L8*'Scoring System'!$B$13)+ (O8*'Scoring System'!$B$14)+ (Q8*'Scoring System'!$B$15)+ (R8*'Scoring System'!$B$16)</f>
        <v>2</v>
      </c>
      <c r="AB8" s="72" t="b">
        <f>IFERROR(match(C8,'Match Day Fees'!$B$2:$B$999,0),0)=0</f>
        <v>0</v>
      </c>
      <c r="AC8" s="73">
        <f t="shared" si="1"/>
        <v>0</v>
      </c>
      <c r="AD8" s="3" t="str">
        <f>VLOOKUP(D8,'Position Lookup'!A:B,1,FALSE)</f>
        <v>ATT</v>
      </c>
    </row>
    <row r="9" ht="17.25" customHeight="1">
      <c r="A9" s="69">
        <v>45143.0</v>
      </c>
      <c r="B9" s="1" t="s">
        <v>222</v>
      </c>
      <c r="C9" s="2" t="s">
        <v>84</v>
      </c>
      <c r="D9" s="2" t="s">
        <v>10</v>
      </c>
      <c r="E9" s="1">
        <v>4.0</v>
      </c>
      <c r="F9" s="70" t="s">
        <v>223</v>
      </c>
      <c r="G9" s="2" t="s">
        <v>224</v>
      </c>
      <c r="H9" s="2"/>
      <c r="I9" s="2"/>
      <c r="J9" s="1">
        <v>0.0</v>
      </c>
      <c r="K9" s="2"/>
      <c r="L9" s="2"/>
      <c r="M9" s="2"/>
      <c r="N9" s="2" t="b">
        <v>1</v>
      </c>
      <c r="O9" s="2"/>
      <c r="P9" s="2"/>
      <c r="Q9" s="2"/>
      <c r="R9" s="2">
        <v>0.0</v>
      </c>
      <c r="S9" s="2"/>
      <c r="T9" s="1">
        <v>5.0</v>
      </c>
      <c r="U9" s="2"/>
      <c r="V9" s="2"/>
      <c r="W9" s="70"/>
      <c r="X9" s="71"/>
      <c r="AA9" s="2">
        <f>2+ (P9*'Scoring System'!$B$3)+ (IF(OR(D9="DEF",D9="GK"),N9*'Scoring System'!$B$4,IF(D9="MID",N9*'Scoring System'!$B$5,0)))+ (IF(OR(D9="DEF",D9="GK"),H9*'Scoring System'!$B$6,IF(D9="MID",H9*'Scoring System'!$B$7,IF(D9="ATT",H9*'Scoring System'!$B$8,0))))+ IF(AND(OR(D9="GK",D9="DEF"),J9&gt;=3),1*'Scoring System'!$B$9,0)+ (I9*'Scoring System'!$B$10)+ (K9*'Scoring System'!$B$11)+ (M9*'Scoring System'!$B$12)+ (L9*'Scoring System'!$B$13)+ (O9*'Scoring System'!$B$14)+ (Q9*'Scoring System'!$B$15)+ (R9*'Scoring System'!$B$16)</f>
        <v>4</v>
      </c>
      <c r="AB9" s="72" t="b">
        <f>IFERROR(match(C9,'Match Day Fees'!$B$2:$B$999,0),0)=0</f>
        <v>0</v>
      </c>
      <c r="AC9" s="73">
        <f t="shared" si="1"/>
        <v>0</v>
      </c>
      <c r="AD9" s="3" t="str">
        <f>VLOOKUP(D9,'Position Lookup'!A:B,1,FALSE)</f>
        <v>MID</v>
      </c>
    </row>
    <row r="10" ht="17.25" customHeight="1">
      <c r="A10" s="69">
        <v>45143.0</v>
      </c>
      <c r="B10" s="1" t="s">
        <v>222</v>
      </c>
      <c r="C10" s="2" t="s">
        <v>227</v>
      </c>
      <c r="D10" s="2" t="s">
        <v>10</v>
      </c>
      <c r="E10" s="1">
        <v>4.0</v>
      </c>
      <c r="F10" s="70" t="s">
        <v>223</v>
      </c>
      <c r="G10" s="2" t="s">
        <v>224</v>
      </c>
      <c r="H10" s="2">
        <v>1.0</v>
      </c>
      <c r="I10" s="2"/>
      <c r="J10" s="1">
        <v>0.0</v>
      </c>
      <c r="K10" s="2"/>
      <c r="L10" s="2"/>
      <c r="M10" s="2"/>
      <c r="N10" s="2" t="b">
        <v>1</v>
      </c>
      <c r="O10" s="2"/>
      <c r="P10" s="2"/>
      <c r="Q10" s="2"/>
      <c r="R10" s="2">
        <v>0.0</v>
      </c>
      <c r="S10" s="2"/>
      <c r="T10" s="2">
        <v>10.0</v>
      </c>
      <c r="U10" s="2"/>
      <c r="V10" s="2"/>
      <c r="W10" s="70"/>
      <c r="X10" s="71"/>
      <c r="AA10" s="2">
        <f>2+ (P10*'Scoring System'!$B$3)+ (IF(OR(D10="DEF",D10="GK"),N10*'Scoring System'!$B$4,IF(D10="MID",N10*'Scoring System'!$B$5,0)))+ (IF(OR(D10="DEF",D10="GK"),H10*'Scoring System'!$B$6,IF(D10="MID",H10*'Scoring System'!$B$7,IF(D10="ATT",H10*'Scoring System'!$B$8,0))))+ IF(AND(OR(D10="GK",D10="DEF"),J10&gt;=3),1*'Scoring System'!$B$9,0)+ (I10*'Scoring System'!$B$10)+ (K10*'Scoring System'!$B$11)+ (M10*'Scoring System'!$B$12)+ (L10*'Scoring System'!$B$13)+ (O10*'Scoring System'!$B$14)+ (Q10*'Scoring System'!$B$15)+ (R10*'Scoring System'!$B$16)</f>
        <v>9</v>
      </c>
      <c r="AB10" s="72" t="b">
        <f>IFERROR(match(C10,'Match Day Fees'!$B$2:$B$999,0),0)=0</f>
        <v>0</v>
      </c>
      <c r="AC10" s="73">
        <f t="shared" si="1"/>
        <v>0</v>
      </c>
      <c r="AD10" s="3" t="str">
        <f>VLOOKUP(D10,'Position Lookup'!A:B,1,FALSE)</f>
        <v>MID</v>
      </c>
    </row>
    <row r="11" ht="17.25" customHeight="1">
      <c r="A11" s="69">
        <v>45143.0</v>
      </c>
      <c r="B11" s="1" t="s">
        <v>222</v>
      </c>
      <c r="C11" s="2" t="s">
        <v>45</v>
      </c>
      <c r="D11" s="2" t="s">
        <v>10</v>
      </c>
      <c r="E11" s="1">
        <v>4.0</v>
      </c>
      <c r="F11" s="70" t="s">
        <v>223</v>
      </c>
      <c r="G11" s="2" t="s">
        <v>224</v>
      </c>
      <c r="H11" s="2">
        <v>1.0</v>
      </c>
      <c r="I11" s="2"/>
      <c r="J11" s="1">
        <v>0.0</v>
      </c>
      <c r="K11" s="2"/>
      <c r="L11" s="2"/>
      <c r="M11" s="2"/>
      <c r="N11" s="2" t="b">
        <v>1</v>
      </c>
      <c r="O11" s="2"/>
      <c r="P11" s="2"/>
      <c r="Q11" s="2"/>
      <c r="R11" s="2">
        <v>0.0</v>
      </c>
      <c r="S11" s="2"/>
      <c r="T11" s="2">
        <v>10.0</v>
      </c>
      <c r="U11" s="2"/>
      <c r="V11" s="2"/>
      <c r="W11" s="70"/>
      <c r="X11" s="71"/>
      <c r="AA11" s="2">
        <f>2+ (P11*'Scoring System'!$B$3)+ (IF(OR(D11="DEF",D11="GK"),N11*'Scoring System'!$B$4,IF(D11="MID",N11*'Scoring System'!$B$5,0)))+ (IF(OR(D11="DEF",D11="GK"),H11*'Scoring System'!$B$6,IF(D11="MID",H11*'Scoring System'!$B$7,IF(D11="ATT",H11*'Scoring System'!$B$8,0))))+ IF(AND(OR(D11="GK",D11="DEF"),J11&gt;=3),1*'Scoring System'!$B$9,0)+ (I11*'Scoring System'!$B$10)+ (K11*'Scoring System'!$B$11)+ (M11*'Scoring System'!$B$12)+ (L11*'Scoring System'!$B$13)+ (O11*'Scoring System'!$B$14)+ (Q11*'Scoring System'!$B$15)+ (R11*'Scoring System'!$B$16)</f>
        <v>9</v>
      </c>
      <c r="AB11" s="72" t="b">
        <f>IFERROR(match(C11,'Match Day Fees'!$B$2:$B$999,0),0)=0</f>
        <v>0</v>
      </c>
      <c r="AC11" s="73">
        <f t="shared" si="1"/>
        <v>0</v>
      </c>
      <c r="AD11" s="3" t="str">
        <f>VLOOKUP(D11,'Position Lookup'!A:B,1,FALSE)</f>
        <v>MID</v>
      </c>
    </row>
    <row r="12" ht="17.25" customHeight="1">
      <c r="A12" s="69">
        <v>45143.0</v>
      </c>
      <c r="B12" s="1" t="s">
        <v>222</v>
      </c>
      <c r="C12" s="2" t="s">
        <v>228</v>
      </c>
      <c r="D12" s="2" t="s">
        <v>8</v>
      </c>
      <c r="E12" s="1">
        <v>6.0</v>
      </c>
      <c r="F12" s="2" t="s">
        <v>229</v>
      </c>
      <c r="G12" s="2" t="s">
        <v>230</v>
      </c>
      <c r="H12" s="2"/>
      <c r="I12" s="2"/>
      <c r="J12" s="1">
        <v>4.0</v>
      </c>
      <c r="K12" s="2"/>
      <c r="L12" s="2"/>
      <c r="M12" s="2"/>
      <c r="N12" s="2" t="b">
        <v>0</v>
      </c>
      <c r="O12" s="2"/>
      <c r="P12" s="2"/>
      <c r="Q12" s="2"/>
      <c r="R12" s="2">
        <v>0.0</v>
      </c>
      <c r="S12" s="2"/>
      <c r="T12" s="2">
        <v>10.0</v>
      </c>
      <c r="U12" s="2"/>
      <c r="V12" s="2"/>
      <c r="W12" s="70"/>
      <c r="X12" s="71"/>
      <c r="AA12" s="2">
        <f>2+ (P12*'Scoring System'!$B$3)+ (IF(OR(D12="DEF",D12="GK"),N12*'Scoring System'!$B$4,IF(D12="MID",N12*'Scoring System'!$B$5,0)))+ (IF(OR(D12="DEF",D12="GK"),H12*'Scoring System'!$B$6,IF(D12="MID",H12*'Scoring System'!$B$7,IF(D12="ATT",H12*'Scoring System'!$B$8,0))))+ IF(AND(OR(D12="GK",D12="DEF"),J12&gt;=3),1*'Scoring System'!$B$9,0)+ (I12*'Scoring System'!$B$10)+ (K12*'Scoring System'!$B$11)+ (M12*'Scoring System'!$B$12)+ (L12*'Scoring System'!$B$13)+ (O12*'Scoring System'!$B$14)+ (Q12*'Scoring System'!$B$15)+ (R12*'Scoring System'!$B$16)</f>
        <v>1</v>
      </c>
      <c r="AB12" s="72" t="b">
        <f>IFERROR(match(C12,'Match Day Fees'!$B$2:$B$999,0),0)=0</f>
        <v>0</v>
      </c>
      <c r="AC12" s="73">
        <f t="shared" si="1"/>
        <v>0</v>
      </c>
      <c r="AD12" s="3" t="str">
        <f>VLOOKUP(D12,'Position Lookup'!A:B,1,FALSE)</f>
        <v>GK</v>
      </c>
    </row>
    <row r="13" ht="17.25" customHeight="1">
      <c r="A13" s="69">
        <v>45143.0</v>
      </c>
      <c r="B13" s="1" t="s">
        <v>222</v>
      </c>
      <c r="C13" s="2" t="s">
        <v>98</v>
      </c>
      <c r="D13" s="2" t="s">
        <v>11</v>
      </c>
      <c r="E13" s="1">
        <v>6.0</v>
      </c>
      <c r="F13" s="2" t="s">
        <v>229</v>
      </c>
      <c r="G13" s="2" t="s">
        <v>230</v>
      </c>
      <c r="H13" s="2"/>
      <c r="I13" s="2"/>
      <c r="J13" s="1">
        <v>4.0</v>
      </c>
      <c r="K13" s="2"/>
      <c r="L13" s="2"/>
      <c r="M13" s="2"/>
      <c r="N13" s="2" t="b">
        <v>0</v>
      </c>
      <c r="O13" s="2"/>
      <c r="P13" s="2"/>
      <c r="Q13" s="2"/>
      <c r="R13" s="2">
        <v>0.0</v>
      </c>
      <c r="S13" s="2"/>
      <c r="T13" s="2">
        <v>10.0</v>
      </c>
      <c r="U13" s="2"/>
      <c r="V13" s="2"/>
      <c r="W13" s="70"/>
      <c r="X13" s="71"/>
      <c r="AA13" s="2">
        <f>2+ (P13*'Scoring System'!$B$3)+ (IF(OR(D13="DEF",D13="GK"),N13*'Scoring System'!$B$4,IF(D13="MID",N13*'Scoring System'!$B$5,0)))+ (IF(OR(D13="DEF",D13="GK"),H13*'Scoring System'!$B$6,IF(D13="MID",H13*'Scoring System'!$B$7,IF(D13="ATT",H13*'Scoring System'!$B$8,0))))+ IF(AND(OR(D13="GK",D13="DEF"),J13&gt;=3),1*'Scoring System'!$B$9,0)+ (I13*'Scoring System'!$B$10)+ (K13*'Scoring System'!$B$11)+ (M13*'Scoring System'!$B$12)+ (L13*'Scoring System'!$B$13)+ (O13*'Scoring System'!$B$14)+ (Q13*'Scoring System'!$B$15)+ (R13*'Scoring System'!$B$16)</f>
        <v>1</v>
      </c>
      <c r="AB13" s="72" t="b">
        <f>IFERROR(match(C13,'Match Day Fees'!$B$2:$B$999,0),0)=0</f>
        <v>0</v>
      </c>
      <c r="AC13" s="73">
        <f t="shared" si="1"/>
        <v>0</v>
      </c>
      <c r="AD13" s="3" t="str">
        <f>VLOOKUP(D13,'Position Lookup'!A:B,1,FALSE)</f>
        <v>DEF</v>
      </c>
    </row>
    <row r="14" ht="17.25" customHeight="1">
      <c r="A14" s="69">
        <v>45143.0</v>
      </c>
      <c r="B14" s="1" t="s">
        <v>222</v>
      </c>
      <c r="C14" s="2" t="s">
        <v>108</v>
      </c>
      <c r="D14" s="2" t="s">
        <v>11</v>
      </c>
      <c r="E14" s="1">
        <v>6.0</v>
      </c>
      <c r="F14" s="2" t="s">
        <v>229</v>
      </c>
      <c r="G14" s="2" t="s">
        <v>230</v>
      </c>
      <c r="H14" s="2"/>
      <c r="I14" s="2"/>
      <c r="J14" s="1">
        <v>4.0</v>
      </c>
      <c r="K14" s="2"/>
      <c r="L14" s="2"/>
      <c r="M14" s="2"/>
      <c r="N14" s="2" t="b">
        <v>0</v>
      </c>
      <c r="O14" s="2"/>
      <c r="P14" s="2"/>
      <c r="Q14" s="2"/>
      <c r="R14" s="2">
        <v>0.0</v>
      </c>
      <c r="S14" s="2"/>
      <c r="T14" s="2">
        <v>10.0</v>
      </c>
      <c r="U14" s="2"/>
      <c r="V14" s="2"/>
      <c r="W14" s="70"/>
      <c r="X14" s="71"/>
      <c r="AA14" s="2">
        <f>2+ (P14*'Scoring System'!$B$3)+ (IF(OR(D14="DEF",D14="GK"),N14*'Scoring System'!$B$4,IF(D14="MID",N14*'Scoring System'!$B$5,0)))+ (IF(OR(D14="DEF",D14="GK"),H14*'Scoring System'!$B$6,IF(D14="MID",H14*'Scoring System'!$B$7,IF(D14="ATT",H14*'Scoring System'!$B$8,0))))+ IF(AND(OR(D14="GK",D14="DEF"),J14&gt;=3),1*'Scoring System'!$B$9,0)+ (I14*'Scoring System'!$B$10)+ (K14*'Scoring System'!$B$11)+ (M14*'Scoring System'!$B$12)+ (L14*'Scoring System'!$B$13)+ (O14*'Scoring System'!$B$14)+ (Q14*'Scoring System'!$B$15)+ (R14*'Scoring System'!$B$16)</f>
        <v>1</v>
      </c>
      <c r="AB14" s="72" t="b">
        <f>IFERROR(match(C14,'Match Day Fees'!$B$2:$B$999,0),0)=0</f>
        <v>0</v>
      </c>
      <c r="AC14" s="73">
        <f t="shared" si="1"/>
        <v>0</v>
      </c>
      <c r="AD14" s="3" t="str">
        <f>VLOOKUP(D14,'Position Lookup'!A:B,1,FALSE)</f>
        <v>DEF</v>
      </c>
    </row>
    <row r="15" ht="17.25" customHeight="1">
      <c r="A15" s="69">
        <v>45143.0</v>
      </c>
      <c r="B15" s="1" t="s">
        <v>222</v>
      </c>
      <c r="C15" s="2" t="s">
        <v>103</v>
      </c>
      <c r="D15" s="2" t="s">
        <v>11</v>
      </c>
      <c r="E15" s="1">
        <v>6.0</v>
      </c>
      <c r="F15" s="2" t="s">
        <v>229</v>
      </c>
      <c r="G15" s="2" t="s">
        <v>230</v>
      </c>
      <c r="H15" s="2">
        <v>1.0</v>
      </c>
      <c r="I15" s="2">
        <v>1.0</v>
      </c>
      <c r="J15" s="1">
        <v>4.0</v>
      </c>
      <c r="K15" s="2"/>
      <c r="L15" s="2"/>
      <c r="M15" s="2"/>
      <c r="N15" s="2" t="b">
        <v>0</v>
      </c>
      <c r="O15" s="2"/>
      <c r="P15" s="2"/>
      <c r="Q15" s="2"/>
      <c r="R15" s="2">
        <v>0.0</v>
      </c>
      <c r="S15" s="2"/>
      <c r="T15" s="2">
        <v>10.0</v>
      </c>
      <c r="U15" s="2"/>
      <c r="V15" s="2"/>
      <c r="W15" s="70"/>
      <c r="X15" s="71"/>
      <c r="AA15" s="2">
        <f>2+ (P15*'Scoring System'!$B$3)+ (IF(OR(D15="DEF",D15="GK"),N15*'Scoring System'!$B$4,IF(D15="MID",N15*'Scoring System'!$B$5,0)))+ (IF(OR(D15="DEF",D15="GK"),H15*'Scoring System'!$B$6,IF(D15="MID",H15*'Scoring System'!$B$7,IF(D15="ATT",H15*'Scoring System'!$B$8,0))))+ IF(AND(OR(D15="GK",D15="DEF"),J15&gt;=3),1*'Scoring System'!$B$9,0)+ (I15*'Scoring System'!$B$10)+ (K15*'Scoring System'!$B$11)+ (M15*'Scoring System'!$B$12)+ (L15*'Scoring System'!$B$13)+ (O15*'Scoring System'!$B$14)+ (Q15*'Scoring System'!$B$15)+ (R15*'Scoring System'!$B$16)</f>
        <v>10</v>
      </c>
      <c r="AB15" s="72" t="b">
        <f>IFERROR(match(C15,'Match Day Fees'!$B$2:$B$999,0),0)=0</f>
        <v>0</v>
      </c>
      <c r="AC15" s="73">
        <f t="shared" si="1"/>
        <v>0</v>
      </c>
      <c r="AD15" s="3" t="str">
        <f>VLOOKUP(D15,'Position Lookup'!A:B,1,FALSE)</f>
        <v>DEF</v>
      </c>
    </row>
    <row r="16" ht="17.25" customHeight="1">
      <c r="A16" s="69">
        <v>45143.0</v>
      </c>
      <c r="B16" s="1" t="s">
        <v>222</v>
      </c>
      <c r="C16" s="2" t="s">
        <v>231</v>
      </c>
      <c r="D16" s="2" t="s">
        <v>10</v>
      </c>
      <c r="E16" s="1">
        <v>6.0</v>
      </c>
      <c r="F16" s="2" t="s">
        <v>229</v>
      </c>
      <c r="G16" s="2" t="s">
        <v>230</v>
      </c>
      <c r="H16" s="2"/>
      <c r="I16" s="2"/>
      <c r="J16" s="1">
        <v>4.0</v>
      </c>
      <c r="K16" s="2"/>
      <c r="L16" s="2"/>
      <c r="M16" s="2"/>
      <c r="N16" s="2" t="b">
        <v>0</v>
      </c>
      <c r="O16" s="2"/>
      <c r="P16" s="2"/>
      <c r="Q16" s="2"/>
      <c r="R16" s="2">
        <v>0.0</v>
      </c>
      <c r="S16" s="2"/>
      <c r="T16" s="2">
        <v>10.0</v>
      </c>
      <c r="U16" s="2"/>
      <c r="V16" s="2"/>
      <c r="W16" s="70"/>
      <c r="X16" s="71"/>
      <c r="AA16" s="2">
        <f>2+ (P16*'Scoring System'!$B$3)+ (IF(OR(D16="DEF",D16="GK"),N16*'Scoring System'!$B$4,IF(D16="MID",N16*'Scoring System'!$B$5,0)))+ (IF(OR(D16="DEF",D16="GK"),H16*'Scoring System'!$B$6,IF(D16="MID",H16*'Scoring System'!$B$7,IF(D16="ATT",H16*'Scoring System'!$B$8,0))))+ IF(AND(OR(D16="GK",D16="DEF"),J16&gt;=3),1*'Scoring System'!$B$9,0)+ (I16*'Scoring System'!$B$10)+ (K16*'Scoring System'!$B$11)+ (M16*'Scoring System'!$B$12)+ (L16*'Scoring System'!$B$13)+ (O16*'Scoring System'!$B$14)+ (Q16*'Scoring System'!$B$15)+ (R16*'Scoring System'!$B$16)</f>
        <v>2</v>
      </c>
      <c r="AB16" s="72" t="b">
        <f>IFERROR(match(C16,'Match Day Fees'!$B$2:$B$999,0),0)=0</f>
        <v>0</v>
      </c>
      <c r="AC16" s="73">
        <f t="shared" si="1"/>
        <v>0</v>
      </c>
      <c r="AD16" s="3" t="str">
        <f>VLOOKUP(D16,'Position Lookup'!A:B,1,FALSE)</f>
        <v>MID</v>
      </c>
    </row>
    <row r="17" ht="17.25" customHeight="1">
      <c r="A17" s="69">
        <v>45143.0</v>
      </c>
      <c r="B17" s="1" t="s">
        <v>222</v>
      </c>
      <c r="C17" s="2" t="s">
        <v>124</v>
      </c>
      <c r="D17" s="2" t="s">
        <v>10</v>
      </c>
      <c r="E17" s="1">
        <v>6.0</v>
      </c>
      <c r="F17" s="2" t="s">
        <v>229</v>
      </c>
      <c r="G17" s="2" t="s">
        <v>230</v>
      </c>
      <c r="H17" s="2">
        <v>2.0</v>
      </c>
      <c r="I17" s="2"/>
      <c r="J17" s="1">
        <v>4.0</v>
      </c>
      <c r="K17" s="2"/>
      <c r="L17" s="2"/>
      <c r="M17" s="2"/>
      <c r="N17" s="2" t="b">
        <v>0</v>
      </c>
      <c r="O17" s="2"/>
      <c r="P17" s="2"/>
      <c r="Q17" s="2"/>
      <c r="R17" s="2">
        <v>1.0</v>
      </c>
      <c r="S17" s="2"/>
      <c r="T17" s="2">
        <v>10.0</v>
      </c>
      <c r="U17" s="2"/>
      <c r="V17" s="2"/>
      <c r="W17" s="70"/>
      <c r="X17" s="71"/>
      <c r="AA17" s="2">
        <f>2+ (P17*'Scoring System'!$B$3)+ (IF(OR(D17="DEF",D17="GK"),N17*'Scoring System'!$B$4,IF(D17="MID",N17*'Scoring System'!$B$5,0)))+ (IF(OR(D17="DEF",D17="GK"),H17*'Scoring System'!$B$6,IF(D17="MID",H17*'Scoring System'!$B$7,IF(D17="ATT",H17*'Scoring System'!$B$8,0))))+ IF(AND(OR(D17="GK",D17="DEF"),J17&gt;=3),1*'Scoring System'!$B$9,0)+ (I17*'Scoring System'!$B$10)+ (K17*'Scoring System'!$B$11)+ (M17*'Scoring System'!$B$12)+ (L17*'Scoring System'!$B$13)+ (O17*'Scoring System'!$B$14)+ (Q17*'Scoring System'!$B$15)+ (R17*'Scoring System'!$B$16)</f>
        <v>17</v>
      </c>
      <c r="AB17" s="72" t="b">
        <f>IFERROR(match(C17,'Match Day Fees'!$B$2:$B$999,0),0)=0</f>
        <v>0</v>
      </c>
      <c r="AC17" s="73">
        <f t="shared" si="1"/>
        <v>0</v>
      </c>
      <c r="AD17" s="3" t="str">
        <f>VLOOKUP(D17,'Position Lookup'!A:B,1,FALSE)</f>
        <v>MID</v>
      </c>
    </row>
    <row r="18" ht="17.25" customHeight="1">
      <c r="A18" s="69">
        <v>45143.0</v>
      </c>
      <c r="B18" s="1" t="s">
        <v>222</v>
      </c>
      <c r="C18" s="2" t="s">
        <v>232</v>
      </c>
      <c r="D18" s="2" t="s">
        <v>10</v>
      </c>
      <c r="E18" s="1">
        <v>6.0</v>
      </c>
      <c r="F18" s="2" t="s">
        <v>229</v>
      </c>
      <c r="G18" s="2" t="s">
        <v>230</v>
      </c>
      <c r="H18" s="2"/>
      <c r="I18" s="2"/>
      <c r="J18" s="1">
        <v>4.0</v>
      </c>
      <c r="K18" s="2"/>
      <c r="L18" s="2"/>
      <c r="M18" s="2"/>
      <c r="N18" s="2" t="b">
        <v>0</v>
      </c>
      <c r="O18" s="2"/>
      <c r="P18" s="2"/>
      <c r="Q18" s="2"/>
      <c r="R18" s="2">
        <v>0.0</v>
      </c>
      <c r="S18" s="2"/>
      <c r="T18" s="2">
        <v>10.0</v>
      </c>
      <c r="U18" s="2"/>
      <c r="V18" s="2"/>
      <c r="W18" s="70"/>
      <c r="X18" s="71"/>
      <c r="AA18" s="2">
        <f>2+ (P18*'Scoring System'!$B$3)+ (IF(OR(D18="DEF",D18="GK"),N18*'Scoring System'!$B$4,IF(D18="MID",N18*'Scoring System'!$B$5,0)))+ (IF(OR(D18="DEF",D18="GK"),H18*'Scoring System'!$B$6,IF(D18="MID",H18*'Scoring System'!$B$7,IF(D18="ATT",H18*'Scoring System'!$B$8,0))))+ IF(AND(OR(D18="GK",D18="DEF"),J18&gt;=3),1*'Scoring System'!$B$9,0)+ (I18*'Scoring System'!$B$10)+ (K18*'Scoring System'!$B$11)+ (M18*'Scoring System'!$B$12)+ (L18*'Scoring System'!$B$13)+ (O18*'Scoring System'!$B$14)+ (Q18*'Scoring System'!$B$15)+ (R18*'Scoring System'!$B$16)</f>
        <v>2</v>
      </c>
      <c r="AB18" s="72" t="b">
        <f>IFERROR(match(C18,'Match Day Fees'!$B$2:$B$999,0),0)=0</f>
        <v>0</v>
      </c>
      <c r="AC18" s="73">
        <f t="shared" si="1"/>
        <v>0</v>
      </c>
      <c r="AD18" s="3" t="str">
        <f>VLOOKUP(D18,'Position Lookup'!A:B,1,FALSE)</f>
        <v>MID</v>
      </c>
    </row>
    <row r="19" ht="17.25" customHeight="1">
      <c r="A19" s="69">
        <v>45143.0</v>
      </c>
      <c r="B19" s="1" t="s">
        <v>222</v>
      </c>
      <c r="C19" s="2" t="s">
        <v>233</v>
      </c>
      <c r="D19" s="2" t="s">
        <v>11</v>
      </c>
      <c r="E19" s="1">
        <v>6.0</v>
      </c>
      <c r="F19" s="2" t="s">
        <v>229</v>
      </c>
      <c r="G19" s="2" t="s">
        <v>230</v>
      </c>
      <c r="H19" s="2"/>
      <c r="I19" s="2"/>
      <c r="J19" s="1">
        <v>4.0</v>
      </c>
      <c r="K19" s="2"/>
      <c r="L19" s="2"/>
      <c r="M19" s="2"/>
      <c r="N19" s="2" t="b">
        <v>0</v>
      </c>
      <c r="O19" s="2"/>
      <c r="P19" s="2"/>
      <c r="Q19" s="2"/>
      <c r="R19" s="2">
        <v>0.0</v>
      </c>
      <c r="S19" s="2"/>
      <c r="T19" s="2">
        <v>10.0</v>
      </c>
      <c r="U19" s="2"/>
      <c r="V19" s="2"/>
      <c r="W19" s="70"/>
      <c r="X19" s="71"/>
      <c r="AA19" s="2">
        <f>2+ (P19*'Scoring System'!$B$3)+ (IF(OR(D19="DEF",D19="GK"),N19*'Scoring System'!$B$4,IF(D19="MID",N19*'Scoring System'!$B$5,0)))+ (IF(OR(D19="DEF",D19="GK"),H19*'Scoring System'!$B$6,IF(D19="MID",H19*'Scoring System'!$B$7,IF(D19="ATT",H19*'Scoring System'!$B$8,0))))+ IF(AND(OR(D19="GK",D19="DEF"),J19&gt;=3),1*'Scoring System'!$B$9,0)+ (I19*'Scoring System'!$B$10)+ (K19*'Scoring System'!$B$11)+ (M19*'Scoring System'!$B$12)+ (L19*'Scoring System'!$B$13)+ (O19*'Scoring System'!$B$14)+ (Q19*'Scoring System'!$B$15)+ (R19*'Scoring System'!$B$16)</f>
        <v>1</v>
      </c>
      <c r="AB19" s="72" t="b">
        <f>IFERROR(match(C19,'Match Day Fees'!$B$2:$B$999,0),0)=0</f>
        <v>0</v>
      </c>
      <c r="AC19" s="73">
        <f t="shared" si="1"/>
        <v>0</v>
      </c>
      <c r="AD19" s="3" t="str">
        <f>VLOOKUP(D19,'Position Lookup'!A:B,1,FALSE)</f>
        <v>DEF</v>
      </c>
    </row>
    <row r="20" ht="17.25" customHeight="1">
      <c r="A20" s="69">
        <v>45143.0</v>
      </c>
      <c r="B20" s="1" t="s">
        <v>222</v>
      </c>
      <c r="C20" s="2" t="s">
        <v>234</v>
      </c>
      <c r="D20" s="2" t="s">
        <v>10</v>
      </c>
      <c r="E20" s="1">
        <v>6.0</v>
      </c>
      <c r="F20" s="2" t="s">
        <v>229</v>
      </c>
      <c r="G20" s="2" t="s">
        <v>230</v>
      </c>
      <c r="H20" s="2"/>
      <c r="I20" s="2">
        <v>2.0</v>
      </c>
      <c r="J20" s="1">
        <v>4.0</v>
      </c>
      <c r="K20" s="2"/>
      <c r="L20" s="2"/>
      <c r="M20" s="2"/>
      <c r="N20" s="2" t="b">
        <v>0</v>
      </c>
      <c r="O20" s="2"/>
      <c r="P20" s="2"/>
      <c r="Q20" s="2"/>
      <c r="R20" s="2">
        <v>0.0</v>
      </c>
      <c r="S20" s="2"/>
      <c r="T20" s="2">
        <v>10.0</v>
      </c>
      <c r="U20" s="2"/>
      <c r="V20" s="2"/>
      <c r="W20" s="70"/>
      <c r="X20" s="71"/>
      <c r="AA20" s="2">
        <f>2+ (P20*'Scoring System'!$B$3)+ (IF(OR(D20="DEF",D20="GK"),N20*'Scoring System'!$B$4,IF(D20="MID",N20*'Scoring System'!$B$5,0)))+ (IF(OR(D20="DEF",D20="GK"),H20*'Scoring System'!$B$6,IF(D20="MID",H20*'Scoring System'!$B$7,IF(D20="ATT",H20*'Scoring System'!$B$8,0))))+ IF(AND(OR(D20="GK",D20="DEF"),J20&gt;=3),1*'Scoring System'!$B$9,0)+ (I20*'Scoring System'!$B$10)+ (K20*'Scoring System'!$B$11)+ (M20*'Scoring System'!$B$12)+ (L20*'Scoring System'!$B$13)+ (O20*'Scoring System'!$B$14)+ (Q20*'Scoring System'!$B$15)+ (R20*'Scoring System'!$B$16)</f>
        <v>8</v>
      </c>
      <c r="AB20" s="72" t="b">
        <f>IFERROR(match(C20,'Match Day Fees'!$B$2:$B$999,0),0)=0</f>
        <v>0</v>
      </c>
      <c r="AC20" s="73">
        <f t="shared" si="1"/>
        <v>0</v>
      </c>
      <c r="AD20" s="3" t="str">
        <f>VLOOKUP(D20,'Position Lookup'!A:B,1,FALSE)</f>
        <v>MID</v>
      </c>
    </row>
    <row r="21" ht="17.25" customHeight="1">
      <c r="A21" s="69">
        <v>45143.0</v>
      </c>
      <c r="B21" s="1" t="s">
        <v>222</v>
      </c>
      <c r="C21" s="3" t="s">
        <v>235</v>
      </c>
      <c r="D21" s="2" t="s">
        <v>10</v>
      </c>
      <c r="E21" s="1">
        <v>6.0</v>
      </c>
      <c r="F21" s="2" t="s">
        <v>229</v>
      </c>
      <c r="G21" s="2" t="s">
        <v>230</v>
      </c>
      <c r="H21" s="2"/>
      <c r="I21" s="2"/>
      <c r="J21" s="1">
        <v>4.0</v>
      </c>
      <c r="K21" s="2"/>
      <c r="L21" s="2"/>
      <c r="M21" s="2"/>
      <c r="N21" s="2" t="b">
        <v>0</v>
      </c>
      <c r="O21" s="2"/>
      <c r="P21" s="2"/>
      <c r="Q21" s="2"/>
      <c r="R21" s="2">
        <v>0.0</v>
      </c>
      <c r="S21" s="2"/>
      <c r="T21" s="2">
        <v>10.0</v>
      </c>
      <c r="U21" s="2"/>
      <c r="V21" s="2"/>
      <c r="W21" s="70"/>
      <c r="X21" s="71"/>
      <c r="AA21" s="2">
        <f>2+ (P21*'Scoring System'!$B$3)+ (IF(OR(D21="DEF",D21="GK"),N21*'Scoring System'!$B$4,IF(D21="MID",N21*'Scoring System'!$B$5,0)))+ (IF(OR(D21="DEF",D21="GK"),H21*'Scoring System'!$B$6,IF(D21="MID",H21*'Scoring System'!$B$7,IF(D21="ATT",H21*'Scoring System'!$B$8,0))))+ IF(AND(OR(D21="GK",D21="DEF"),J21&gt;=3),1*'Scoring System'!$B$9,0)+ (I21*'Scoring System'!$B$10)+ (K21*'Scoring System'!$B$11)+ (M21*'Scoring System'!$B$12)+ (L21*'Scoring System'!$B$13)+ (O21*'Scoring System'!$B$14)+ (Q21*'Scoring System'!$B$15)+ (R21*'Scoring System'!$B$16)</f>
        <v>2</v>
      </c>
      <c r="AB21" s="72" t="b">
        <f>IFERROR(match(C21,'Match Day Fees'!$B$2:$B$999,0),0)=0</f>
        <v>0</v>
      </c>
      <c r="AC21" s="73">
        <f t="shared" si="1"/>
        <v>0</v>
      </c>
      <c r="AD21" s="3" t="str">
        <f>VLOOKUP(D21,'Position Lookup'!A:B,1,FALSE)</f>
        <v>MID</v>
      </c>
    </row>
    <row r="22" ht="17.25" customHeight="1">
      <c r="A22" s="69">
        <v>45143.0</v>
      </c>
      <c r="B22" s="1" t="s">
        <v>222</v>
      </c>
      <c r="C22" s="2" t="s">
        <v>236</v>
      </c>
      <c r="D22" s="2" t="s">
        <v>10</v>
      </c>
      <c r="E22" s="1">
        <v>6.0</v>
      </c>
      <c r="F22" s="2" t="s">
        <v>229</v>
      </c>
      <c r="G22" s="2" t="s">
        <v>230</v>
      </c>
      <c r="H22" s="2"/>
      <c r="I22" s="2"/>
      <c r="J22" s="1">
        <v>4.0</v>
      </c>
      <c r="K22" s="2"/>
      <c r="L22" s="2"/>
      <c r="M22" s="2"/>
      <c r="N22" s="2" t="b">
        <v>0</v>
      </c>
      <c r="O22" s="2"/>
      <c r="P22" s="2"/>
      <c r="Q22" s="2"/>
      <c r="R22" s="2">
        <v>0.0</v>
      </c>
      <c r="S22" s="2" t="b">
        <v>1</v>
      </c>
      <c r="T22" s="2">
        <v>0.0</v>
      </c>
      <c r="U22" s="2"/>
      <c r="V22" s="2"/>
      <c r="W22" s="70"/>
      <c r="X22" s="71"/>
      <c r="AA22" s="2">
        <f>2+ (P22*'Scoring System'!$B$3)+ (IF(OR(D22="DEF",D22="GK"),N22*'Scoring System'!$B$4,IF(D22="MID",N22*'Scoring System'!$B$5,0)))+ (IF(OR(D22="DEF",D22="GK"),H22*'Scoring System'!$B$6,IF(D22="MID",H22*'Scoring System'!$B$7,IF(D22="ATT",H22*'Scoring System'!$B$8,0))))+ IF(AND(OR(D22="GK",D22="DEF"),J22&gt;=3),1*'Scoring System'!$B$9,0)+ (I22*'Scoring System'!$B$10)+ (K22*'Scoring System'!$B$11)+ (M22*'Scoring System'!$B$12)+ (L22*'Scoring System'!$B$13)+ (O22*'Scoring System'!$B$14)+ (Q22*'Scoring System'!$B$15)+ (R22*'Scoring System'!$B$16)</f>
        <v>2</v>
      </c>
      <c r="AB22" s="72" t="b">
        <f>IFERROR(match(C22,'Match Day Fees'!$B$2:$B$999,0),0)=0</f>
        <v>0</v>
      </c>
      <c r="AC22" s="73">
        <f t="shared" si="1"/>
        <v>0</v>
      </c>
      <c r="AD22" s="3" t="str">
        <f>VLOOKUP(D22,'Position Lookup'!A:B,1,FALSE)</f>
        <v>MID</v>
      </c>
    </row>
    <row r="23" ht="17.25" customHeight="1">
      <c r="A23" s="69">
        <v>45143.0</v>
      </c>
      <c r="B23" s="1" t="s">
        <v>222</v>
      </c>
      <c r="C23" s="2" t="s">
        <v>149</v>
      </c>
      <c r="D23" s="2" t="s">
        <v>11</v>
      </c>
      <c r="E23" s="1">
        <v>6.0</v>
      </c>
      <c r="F23" s="2" t="s">
        <v>229</v>
      </c>
      <c r="G23" s="2" t="s">
        <v>230</v>
      </c>
      <c r="H23" s="2"/>
      <c r="I23" s="2"/>
      <c r="J23" s="1">
        <v>4.0</v>
      </c>
      <c r="K23" s="2"/>
      <c r="L23" s="2"/>
      <c r="M23" s="2"/>
      <c r="N23" s="2" t="b">
        <v>0</v>
      </c>
      <c r="O23" s="2"/>
      <c r="P23" s="2"/>
      <c r="Q23" s="2"/>
      <c r="R23" s="2">
        <v>0.0</v>
      </c>
      <c r="S23" s="2"/>
      <c r="T23" s="2">
        <v>5.0</v>
      </c>
      <c r="U23" s="2"/>
      <c r="V23" s="2"/>
      <c r="W23" s="70"/>
      <c r="X23" s="71"/>
      <c r="AA23" s="2">
        <f>2+ (P23*'Scoring System'!$B$3)+ (IF(OR(D23="DEF",D23="GK"),N23*'Scoring System'!$B$4,IF(D23="MID",N23*'Scoring System'!$B$5,0)))+ (IF(OR(D23="DEF",D23="GK"),H23*'Scoring System'!$B$6,IF(D23="MID",H23*'Scoring System'!$B$7,IF(D23="ATT",H23*'Scoring System'!$B$8,0))))+ IF(AND(OR(D23="GK",D23="DEF"),J23&gt;=3),1*'Scoring System'!$B$9,0)+ (I23*'Scoring System'!$B$10)+ (K23*'Scoring System'!$B$11)+ (M23*'Scoring System'!$B$12)+ (L23*'Scoring System'!$B$13)+ (O23*'Scoring System'!$B$14)+ (Q23*'Scoring System'!$B$15)+ (R23*'Scoring System'!$B$16)</f>
        <v>1</v>
      </c>
      <c r="AB23" s="72" t="b">
        <f>IFERROR(match(C23,'Match Day Fees'!$B$2:$B$999,0),0)=0</f>
        <v>0</v>
      </c>
      <c r="AC23" s="73">
        <f t="shared" si="1"/>
        <v>0</v>
      </c>
      <c r="AD23" s="3" t="str">
        <f>VLOOKUP(D23,'Position Lookup'!A:B,1,FALSE)</f>
        <v>DEF</v>
      </c>
    </row>
    <row r="24" ht="17.25" customHeight="1">
      <c r="A24" s="69">
        <v>45143.0</v>
      </c>
      <c r="B24" s="1" t="s">
        <v>222</v>
      </c>
      <c r="C24" s="2" t="s">
        <v>237</v>
      </c>
      <c r="D24" s="2" t="s">
        <v>9</v>
      </c>
      <c r="E24" s="1">
        <v>6.0</v>
      </c>
      <c r="F24" s="2" t="s">
        <v>229</v>
      </c>
      <c r="G24" s="2" t="s">
        <v>230</v>
      </c>
      <c r="H24" s="2"/>
      <c r="I24" s="2"/>
      <c r="J24" s="1">
        <v>4.0</v>
      </c>
      <c r="K24" s="2"/>
      <c r="L24" s="2"/>
      <c r="M24" s="2"/>
      <c r="N24" s="2" t="b">
        <v>0</v>
      </c>
      <c r="O24" s="2"/>
      <c r="P24" s="2"/>
      <c r="Q24" s="2"/>
      <c r="R24" s="2">
        <v>0.0</v>
      </c>
      <c r="S24" s="2"/>
      <c r="T24" s="2">
        <v>5.0</v>
      </c>
      <c r="U24" s="2"/>
      <c r="V24" s="2"/>
      <c r="W24" s="70"/>
      <c r="X24" s="71"/>
      <c r="AA24" s="2">
        <f>2+ (P24*'Scoring System'!$B$3)+ (IF(OR(D24="DEF",D24="GK"),N24*'Scoring System'!$B$4,IF(D24="MID",N24*'Scoring System'!$B$5,0)))+ (IF(OR(D24="DEF",D24="GK"),H24*'Scoring System'!$B$6,IF(D24="MID",H24*'Scoring System'!$B$7,IF(D24="ATT",H24*'Scoring System'!$B$8,0))))+ IF(AND(OR(D24="GK",D24="DEF"),J24&gt;=3),1*'Scoring System'!$B$9,0)+ (I24*'Scoring System'!$B$10)+ (K24*'Scoring System'!$B$11)+ (M24*'Scoring System'!$B$12)+ (L24*'Scoring System'!$B$13)+ (O24*'Scoring System'!$B$14)+ (Q24*'Scoring System'!$B$15)+ (R24*'Scoring System'!$B$16)</f>
        <v>2</v>
      </c>
      <c r="AB24" s="72" t="b">
        <f>IFERROR(match(C24,'Match Day Fees'!$B$2:$B$999,0),0)=0</f>
        <v>0</v>
      </c>
      <c r="AC24" s="73">
        <f t="shared" si="1"/>
        <v>0</v>
      </c>
      <c r="AD24" s="3" t="str">
        <f>VLOOKUP(D24,'Position Lookup'!A:B,1,FALSE)</f>
        <v>ATT</v>
      </c>
    </row>
    <row r="25" ht="17.25" customHeight="1">
      <c r="A25" s="69">
        <v>45143.0</v>
      </c>
      <c r="B25" s="1" t="s">
        <v>222</v>
      </c>
      <c r="C25" s="2" t="s">
        <v>105</v>
      </c>
      <c r="D25" s="2" t="s">
        <v>10</v>
      </c>
      <c r="E25" s="1">
        <v>6.0</v>
      </c>
      <c r="F25" s="2" t="s">
        <v>229</v>
      </c>
      <c r="G25" s="2" t="s">
        <v>230</v>
      </c>
      <c r="H25" s="2"/>
      <c r="I25" s="2"/>
      <c r="J25" s="1">
        <v>4.0</v>
      </c>
      <c r="K25" s="2"/>
      <c r="L25" s="2"/>
      <c r="M25" s="2"/>
      <c r="N25" s="2" t="b">
        <v>0</v>
      </c>
      <c r="O25" s="2"/>
      <c r="P25" s="2"/>
      <c r="Q25" s="2"/>
      <c r="R25" s="2">
        <v>0.0</v>
      </c>
      <c r="S25" s="2"/>
      <c r="T25" s="2">
        <v>5.0</v>
      </c>
      <c r="U25" s="2"/>
      <c r="V25" s="2"/>
      <c r="W25" s="70"/>
      <c r="X25" s="71"/>
      <c r="AA25" s="2">
        <f>2+ (P25*'Scoring System'!$B$3)+ (IF(OR(D25="DEF",D25="GK"),N25*'Scoring System'!$B$4,IF(D25="MID",N25*'Scoring System'!$B$5,0)))+ (IF(OR(D25="DEF",D25="GK"),H25*'Scoring System'!$B$6,IF(D25="MID",H25*'Scoring System'!$B$7,IF(D25="ATT",H25*'Scoring System'!$B$8,0))))+ IF(AND(OR(D25="GK",D25="DEF"),J25&gt;=3),1*'Scoring System'!$B$9,0)+ (I25*'Scoring System'!$B$10)+ (K25*'Scoring System'!$B$11)+ (M25*'Scoring System'!$B$12)+ (L25*'Scoring System'!$B$13)+ (O25*'Scoring System'!$B$14)+ (Q25*'Scoring System'!$B$15)+ (R25*'Scoring System'!$B$16)</f>
        <v>2</v>
      </c>
      <c r="AB25" s="72" t="b">
        <f>IFERROR(match(C25,'Match Day Fees'!$B$2:$B$999,0),0)=0</f>
        <v>0</v>
      </c>
      <c r="AC25" s="73">
        <f t="shared" si="1"/>
        <v>0</v>
      </c>
      <c r="AD25" s="3" t="str">
        <f>VLOOKUP(D25,'Position Lookup'!A:B,1,FALSE)</f>
        <v>MID</v>
      </c>
    </row>
    <row r="26" ht="17.25" customHeight="1">
      <c r="A26" s="69">
        <v>45143.0</v>
      </c>
      <c r="B26" s="1" t="s">
        <v>222</v>
      </c>
      <c r="C26" s="2" t="s">
        <v>38</v>
      </c>
      <c r="D26" s="2" t="s">
        <v>8</v>
      </c>
      <c r="E26" s="1">
        <v>1.0</v>
      </c>
      <c r="F26" s="70" t="s">
        <v>238</v>
      </c>
      <c r="G26" s="2" t="s">
        <v>224</v>
      </c>
      <c r="H26" s="2"/>
      <c r="I26" s="2"/>
      <c r="J26" s="1">
        <v>0.0</v>
      </c>
      <c r="K26" s="2"/>
      <c r="L26" s="2"/>
      <c r="M26" s="2"/>
      <c r="N26" s="2" t="b">
        <v>1</v>
      </c>
      <c r="O26" s="2"/>
      <c r="P26" s="2"/>
      <c r="Q26" s="2"/>
      <c r="R26" s="2">
        <v>0.0</v>
      </c>
      <c r="S26" s="2"/>
      <c r="T26" s="2">
        <v>10.0</v>
      </c>
      <c r="U26" s="2"/>
      <c r="V26" s="2"/>
      <c r="W26" s="70"/>
      <c r="X26" s="71"/>
      <c r="AA26" s="2">
        <f>2+ (P26*'Scoring System'!$B$3)+ (IF(OR(D26="DEF",D26="GK"),N26*'Scoring System'!$B$4,IF(D26="MID",N26*'Scoring System'!$B$5,0)))+ (IF(OR(D26="DEF",D26="GK"),H26*'Scoring System'!$B$6,IF(D26="MID",H26*'Scoring System'!$B$7,IF(D26="ATT",H26*'Scoring System'!$B$8,0))))+ IF(AND(OR(D26="GK",D26="DEF"),J26&gt;=3),1*'Scoring System'!$B$9,0)+ (I26*'Scoring System'!$B$10)+ (K26*'Scoring System'!$B$11)+ (M26*'Scoring System'!$B$12)+ (L26*'Scoring System'!$B$13)+ (O26*'Scoring System'!$B$14)+ (Q26*'Scoring System'!$B$15)+ (R26*'Scoring System'!$B$16)</f>
        <v>8</v>
      </c>
      <c r="AB26" s="72" t="b">
        <f>IFERROR(match(C26,'Match Day Fees'!$B$2:$B$999,0),0)=0</f>
        <v>0</v>
      </c>
      <c r="AC26" s="73">
        <f t="shared" si="1"/>
        <v>0</v>
      </c>
      <c r="AD26" s="3" t="str">
        <f>VLOOKUP(D26,'Position Lookup'!A:B,1,FALSE)</f>
        <v>GK</v>
      </c>
    </row>
    <row r="27" ht="17.25" customHeight="1">
      <c r="A27" s="69">
        <v>45143.0</v>
      </c>
      <c r="B27" s="1" t="s">
        <v>222</v>
      </c>
      <c r="C27" s="2" t="s">
        <v>77</v>
      </c>
      <c r="D27" s="2" t="s">
        <v>11</v>
      </c>
      <c r="E27" s="1">
        <v>1.0</v>
      </c>
      <c r="F27" s="70" t="s">
        <v>238</v>
      </c>
      <c r="G27" s="2" t="s">
        <v>224</v>
      </c>
      <c r="H27" s="2"/>
      <c r="I27" s="2"/>
      <c r="J27" s="1">
        <v>0.0</v>
      </c>
      <c r="K27" s="2"/>
      <c r="L27" s="2"/>
      <c r="M27" s="2"/>
      <c r="N27" s="2" t="b">
        <v>1</v>
      </c>
      <c r="O27" s="2"/>
      <c r="P27" s="2"/>
      <c r="Q27" s="2"/>
      <c r="R27" s="2">
        <v>0.0</v>
      </c>
      <c r="S27" s="2"/>
      <c r="T27" s="2">
        <v>10.0</v>
      </c>
      <c r="U27" s="2"/>
      <c r="V27" s="2"/>
      <c r="W27" s="70"/>
      <c r="X27" s="71"/>
      <c r="AA27" s="2">
        <f>2+ (P27*'Scoring System'!$B$3)+ (IF(OR(D27="DEF",D27="GK"),N27*'Scoring System'!$B$4,IF(D27="MID",N27*'Scoring System'!$B$5,0)))+ (IF(OR(D27="DEF",D27="GK"),H27*'Scoring System'!$B$6,IF(D27="MID",H27*'Scoring System'!$B$7,IF(D27="ATT",H27*'Scoring System'!$B$8,0))))+ IF(AND(OR(D27="GK",D27="DEF"),J27&gt;=3),1*'Scoring System'!$B$9,0)+ (I27*'Scoring System'!$B$10)+ (K27*'Scoring System'!$B$11)+ (M27*'Scoring System'!$B$12)+ (L27*'Scoring System'!$B$13)+ (O27*'Scoring System'!$B$14)+ (Q27*'Scoring System'!$B$15)+ (R27*'Scoring System'!$B$16)</f>
        <v>8</v>
      </c>
      <c r="AB27" s="72" t="b">
        <f>IFERROR(match(C27,'Match Day Fees'!$B$2:$B$999,0),0)=0</f>
        <v>0</v>
      </c>
      <c r="AC27" s="73">
        <f t="shared" si="1"/>
        <v>0</v>
      </c>
      <c r="AD27" s="3" t="str">
        <f>VLOOKUP(D27,'Position Lookup'!A:B,1,FALSE)</f>
        <v>DEF</v>
      </c>
    </row>
    <row r="28" ht="17.25" customHeight="1">
      <c r="A28" s="69">
        <v>45143.0</v>
      </c>
      <c r="B28" s="1" t="s">
        <v>222</v>
      </c>
      <c r="C28" s="2" t="s">
        <v>68</v>
      </c>
      <c r="D28" s="2" t="s">
        <v>11</v>
      </c>
      <c r="E28" s="1">
        <v>1.0</v>
      </c>
      <c r="F28" s="70" t="s">
        <v>238</v>
      </c>
      <c r="G28" s="2" t="s">
        <v>224</v>
      </c>
      <c r="H28" s="2"/>
      <c r="I28" s="2"/>
      <c r="J28" s="1">
        <v>0.0</v>
      </c>
      <c r="K28" s="2"/>
      <c r="L28" s="2"/>
      <c r="M28" s="2"/>
      <c r="N28" s="2" t="b">
        <v>1</v>
      </c>
      <c r="O28" s="2"/>
      <c r="P28" s="2"/>
      <c r="Q28" s="2"/>
      <c r="R28" s="2">
        <v>0.0</v>
      </c>
      <c r="S28" s="2"/>
      <c r="T28" s="2">
        <v>10.0</v>
      </c>
      <c r="U28" s="2"/>
      <c r="V28" s="2"/>
      <c r="W28" s="70"/>
      <c r="X28" s="71"/>
      <c r="AA28" s="2">
        <f>2+ (P28*'Scoring System'!$B$3)+ (IF(OR(D28="DEF",D28="GK"),N28*'Scoring System'!$B$4,IF(D28="MID",N28*'Scoring System'!$B$5,0)))+ (IF(OR(D28="DEF",D28="GK"),H28*'Scoring System'!$B$6,IF(D28="MID",H28*'Scoring System'!$B$7,IF(D28="ATT",H28*'Scoring System'!$B$8,0))))+ IF(AND(OR(D28="GK",D28="DEF"),J28&gt;=3),1*'Scoring System'!$B$9,0)+ (I28*'Scoring System'!$B$10)+ (K28*'Scoring System'!$B$11)+ (M28*'Scoring System'!$B$12)+ (L28*'Scoring System'!$B$13)+ (O28*'Scoring System'!$B$14)+ (Q28*'Scoring System'!$B$15)+ (R28*'Scoring System'!$B$16)</f>
        <v>8</v>
      </c>
      <c r="AB28" s="72" t="b">
        <f>IFERROR(match(C28,'Match Day Fees'!$B$2:$B$999,0),0)=0</f>
        <v>0</v>
      </c>
      <c r="AC28" s="73">
        <f t="shared" si="1"/>
        <v>0</v>
      </c>
      <c r="AD28" s="3" t="str">
        <f>VLOOKUP(D28,'Position Lookup'!A:B,1,FALSE)</f>
        <v>DEF</v>
      </c>
    </row>
    <row r="29" ht="17.25" customHeight="1">
      <c r="A29" s="69">
        <v>45143.0</v>
      </c>
      <c r="B29" s="1" t="s">
        <v>222</v>
      </c>
      <c r="C29" s="2" t="s">
        <v>76</v>
      </c>
      <c r="D29" s="2" t="s">
        <v>11</v>
      </c>
      <c r="E29" s="1">
        <v>1.0</v>
      </c>
      <c r="F29" s="70" t="s">
        <v>238</v>
      </c>
      <c r="G29" s="2" t="s">
        <v>224</v>
      </c>
      <c r="H29" s="2"/>
      <c r="I29" s="2">
        <v>1.0</v>
      </c>
      <c r="J29" s="1">
        <v>0.0</v>
      </c>
      <c r="K29" s="2"/>
      <c r="L29" s="2"/>
      <c r="M29" s="2"/>
      <c r="N29" s="2" t="b">
        <v>1</v>
      </c>
      <c r="O29" s="2"/>
      <c r="P29" s="2"/>
      <c r="Q29" s="2"/>
      <c r="R29" s="2">
        <v>0.0</v>
      </c>
      <c r="S29" s="2"/>
      <c r="T29" s="2">
        <v>10.0</v>
      </c>
      <c r="U29" s="2"/>
      <c r="V29" s="2"/>
      <c r="W29" s="70"/>
      <c r="X29" s="71"/>
      <c r="AA29" s="2">
        <f>2+ (P29*'Scoring System'!$B$3)+ (IF(OR(D29="DEF",D29="GK"),N29*'Scoring System'!$B$4,IF(D29="MID",N29*'Scoring System'!$B$5,0)))+ (IF(OR(D29="DEF",D29="GK"),H29*'Scoring System'!$B$6,IF(D29="MID",H29*'Scoring System'!$B$7,IF(D29="ATT",H29*'Scoring System'!$B$8,0))))+ IF(AND(OR(D29="GK",D29="DEF"),J29&gt;=3),1*'Scoring System'!$B$9,0)+ (I29*'Scoring System'!$B$10)+ (K29*'Scoring System'!$B$11)+ (M29*'Scoring System'!$B$12)+ (L29*'Scoring System'!$B$13)+ (O29*'Scoring System'!$B$14)+ (Q29*'Scoring System'!$B$15)+ (R29*'Scoring System'!$B$16)</f>
        <v>11</v>
      </c>
      <c r="AB29" s="72" t="b">
        <f>IFERROR(match(C29,'Match Day Fees'!$B$2:$B$999,0),0)=0</f>
        <v>0</v>
      </c>
      <c r="AC29" s="73">
        <f t="shared" si="1"/>
        <v>0</v>
      </c>
      <c r="AD29" s="3" t="str">
        <f>VLOOKUP(D29,'Position Lookup'!A:B,1,FALSE)</f>
        <v>DEF</v>
      </c>
    </row>
    <row r="30" ht="17.25" customHeight="1">
      <c r="A30" s="69">
        <v>45143.0</v>
      </c>
      <c r="B30" s="1" t="s">
        <v>222</v>
      </c>
      <c r="C30" s="2" t="s">
        <v>107</v>
      </c>
      <c r="D30" s="2" t="s">
        <v>11</v>
      </c>
      <c r="E30" s="1">
        <v>1.0</v>
      </c>
      <c r="F30" s="70" t="s">
        <v>238</v>
      </c>
      <c r="G30" s="2" t="s">
        <v>224</v>
      </c>
      <c r="H30" s="2"/>
      <c r="I30" s="2"/>
      <c r="J30" s="1">
        <v>0.0</v>
      </c>
      <c r="K30" s="2"/>
      <c r="L30" s="2"/>
      <c r="M30" s="2"/>
      <c r="N30" s="2" t="b">
        <v>1</v>
      </c>
      <c r="O30" s="2"/>
      <c r="P30" s="2"/>
      <c r="Q30" s="2"/>
      <c r="R30" s="2">
        <v>0.0</v>
      </c>
      <c r="S30" s="2"/>
      <c r="T30" s="2">
        <v>10.0</v>
      </c>
      <c r="U30" s="2"/>
      <c r="V30" s="2"/>
      <c r="W30" s="70"/>
      <c r="X30" s="71"/>
      <c r="AA30" s="2">
        <f>2+ (P30*'Scoring System'!$B$3)+ (IF(OR(D30="DEF",D30="GK"),N30*'Scoring System'!$B$4,IF(D30="MID",N30*'Scoring System'!$B$5,0)))+ (IF(OR(D30="DEF",D30="GK"),H30*'Scoring System'!$B$6,IF(D30="MID",H30*'Scoring System'!$B$7,IF(D30="ATT",H30*'Scoring System'!$B$8,0))))+ IF(AND(OR(D30="GK",D30="DEF"),J30&gt;=3),1*'Scoring System'!$B$9,0)+ (I30*'Scoring System'!$B$10)+ (K30*'Scoring System'!$B$11)+ (M30*'Scoring System'!$B$12)+ (L30*'Scoring System'!$B$13)+ (O30*'Scoring System'!$B$14)+ (Q30*'Scoring System'!$B$15)+ (R30*'Scoring System'!$B$16)</f>
        <v>8</v>
      </c>
      <c r="AB30" s="72" t="b">
        <f>IFERROR(match(C30,'Match Day Fees'!$B$2:$B$999,0),0)=0</f>
        <v>0</v>
      </c>
      <c r="AC30" s="73">
        <f t="shared" si="1"/>
        <v>0</v>
      </c>
      <c r="AD30" s="3" t="str">
        <f>VLOOKUP(D30,'Position Lookup'!A:B,1,FALSE)</f>
        <v>DEF</v>
      </c>
    </row>
    <row r="31" ht="17.25" customHeight="1">
      <c r="A31" s="69">
        <v>45143.0</v>
      </c>
      <c r="B31" s="1" t="s">
        <v>222</v>
      </c>
      <c r="C31" s="2" t="s">
        <v>83</v>
      </c>
      <c r="D31" s="2" t="s">
        <v>10</v>
      </c>
      <c r="E31" s="1">
        <v>1.0</v>
      </c>
      <c r="F31" s="70" t="s">
        <v>238</v>
      </c>
      <c r="G31" s="2" t="s">
        <v>224</v>
      </c>
      <c r="H31" s="2"/>
      <c r="I31" s="2"/>
      <c r="J31" s="1">
        <v>0.0</v>
      </c>
      <c r="K31" s="2"/>
      <c r="L31" s="2"/>
      <c r="M31" s="2"/>
      <c r="N31" s="2" t="b">
        <v>1</v>
      </c>
      <c r="O31" s="2"/>
      <c r="P31" s="2"/>
      <c r="Q31" s="2"/>
      <c r="R31" s="2">
        <v>0.0</v>
      </c>
      <c r="S31" s="2"/>
      <c r="T31" s="2">
        <v>10.0</v>
      </c>
      <c r="U31" s="2"/>
      <c r="V31" s="2"/>
      <c r="W31" s="70"/>
      <c r="X31" s="71"/>
      <c r="AA31" s="2">
        <f>2+ (P31*'Scoring System'!$B$3)+ (IF(OR(D31="DEF",D31="GK"),N31*'Scoring System'!$B$4,IF(D31="MID",N31*'Scoring System'!$B$5,0)))+ (IF(OR(D31="DEF",D31="GK"),H31*'Scoring System'!$B$6,IF(D31="MID",H31*'Scoring System'!$B$7,IF(D31="ATT",H31*'Scoring System'!$B$8,0))))+ IF(AND(OR(D31="GK",D31="DEF"),J31&gt;=3),1*'Scoring System'!$B$9,0)+ (I31*'Scoring System'!$B$10)+ (K31*'Scoring System'!$B$11)+ (M31*'Scoring System'!$B$12)+ (L31*'Scoring System'!$B$13)+ (O31*'Scoring System'!$B$14)+ (Q31*'Scoring System'!$B$15)+ (R31*'Scoring System'!$B$16)</f>
        <v>4</v>
      </c>
      <c r="AB31" s="72" t="b">
        <f>IFERROR(match(C31,'Match Day Fees'!$B$2:$B$999,0),0)=0</f>
        <v>0</v>
      </c>
      <c r="AC31" s="73">
        <f t="shared" si="1"/>
        <v>0</v>
      </c>
      <c r="AD31" s="3" t="str">
        <f>VLOOKUP(D31,'Position Lookup'!A:B,1,FALSE)</f>
        <v>MID</v>
      </c>
    </row>
    <row r="32" ht="17.25" customHeight="1">
      <c r="A32" s="69">
        <v>45143.0</v>
      </c>
      <c r="B32" s="1" t="s">
        <v>222</v>
      </c>
      <c r="C32" s="2" t="s">
        <v>85</v>
      </c>
      <c r="D32" s="2" t="s">
        <v>10</v>
      </c>
      <c r="E32" s="1">
        <v>1.0</v>
      </c>
      <c r="F32" s="70" t="s">
        <v>238</v>
      </c>
      <c r="G32" s="2" t="s">
        <v>224</v>
      </c>
      <c r="H32" s="2"/>
      <c r="I32" s="2"/>
      <c r="J32" s="1">
        <v>0.0</v>
      </c>
      <c r="K32" s="2"/>
      <c r="L32" s="2"/>
      <c r="M32" s="2"/>
      <c r="N32" s="2" t="b">
        <v>1</v>
      </c>
      <c r="O32" s="2"/>
      <c r="P32" s="2"/>
      <c r="Q32" s="2"/>
      <c r="R32" s="2">
        <v>0.0</v>
      </c>
      <c r="S32" s="2"/>
      <c r="T32" s="2">
        <v>10.0</v>
      </c>
      <c r="U32" s="2"/>
      <c r="V32" s="2"/>
      <c r="W32" s="70"/>
      <c r="X32" s="71"/>
      <c r="AA32" s="2">
        <f>2+ (P32*'Scoring System'!$B$3)+ (IF(OR(D32="DEF",D32="GK"),N32*'Scoring System'!$B$4,IF(D32="MID",N32*'Scoring System'!$B$5,0)))+ (IF(OR(D32="DEF",D32="GK"),H32*'Scoring System'!$B$6,IF(D32="MID",H32*'Scoring System'!$B$7,IF(D32="ATT",H32*'Scoring System'!$B$8,0))))+ IF(AND(OR(D32="GK",D32="DEF"),J32&gt;=3),1*'Scoring System'!$B$9,0)+ (I32*'Scoring System'!$B$10)+ (K32*'Scoring System'!$B$11)+ (M32*'Scoring System'!$B$12)+ (L32*'Scoring System'!$B$13)+ (O32*'Scoring System'!$B$14)+ (Q32*'Scoring System'!$B$15)+ (R32*'Scoring System'!$B$16)</f>
        <v>4</v>
      </c>
      <c r="AB32" s="72" t="b">
        <f>IFERROR(match(C32,'Match Day Fees'!$B$2:$B$999,0),0)=0</f>
        <v>0</v>
      </c>
      <c r="AC32" s="73">
        <f t="shared" si="1"/>
        <v>0</v>
      </c>
      <c r="AD32" s="3" t="str">
        <f>VLOOKUP(D32,'Position Lookup'!A:B,1,FALSE)</f>
        <v>MID</v>
      </c>
    </row>
    <row r="33" ht="17.25" customHeight="1">
      <c r="A33" s="69">
        <v>45143.0</v>
      </c>
      <c r="B33" s="1" t="s">
        <v>222</v>
      </c>
      <c r="C33" s="2" t="s">
        <v>104</v>
      </c>
      <c r="D33" s="2" t="s">
        <v>10</v>
      </c>
      <c r="E33" s="1">
        <v>1.0</v>
      </c>
      <c r="F33" s="70" t="s">
        <v>238</v>
      </c>
      <c r="G33" s="2" t="s">
        <v>224</v>
      </c>
      <c r="H33" s="2"/>
      <c r="I33" s="2"/>
      <c r="J33" s="1">
        <v>0.0</v>
      </c>
      <c r="K33" s="2"/>
      <c r="L33" s="2"/>
      <c r="M33" s="2"/>
      <c r="N33" s="2" t="b">
        <v>1</v>
      </c>
      <c r="O33" s="2"/>
      <c r="P33" s="2"/>
      <c r="Q33" s="2"/>
      <c r="R33" s="2">
        <v>0.0</v>
      </c>
      <c r="S33" s="2"/>
      <c r="T33" s="2">
        <v>5.0</v>
      </c>
      <c r="U33" s="2"/>
      <c r="V33" s="2"/>
      <c r="W33" s="70"/>
      <c r="X33" s="71"/>
      <c r="AA33" s="2">
        <f>2+ (P33*'Scoring System'!$B$3)+ (IF(OR(D33="DEF",D33="GK"),N33*'Scoring System'!$B$4,IF(D33="MID",N33*'Scoring System'!$B$5,0)))+ (IF(OR(D33="DEF",D33="GK"),H33*'Scoring System'!$B$6,IF(D33="MID",H33*'Scoring System'!$B$7,IF(D33="ATT",H33*'Scoring System'!$B$8,0))))+ IF(AND(OR(D33="GK",D33="DEF"),J33&gt;=3),1*'Scoring System'!$B$9,0)+ (I33*'Scoring System'!$B$10)+ (K33*'Scoring System'!$B$11)+ (M33*'Scoring System'!$B$12)+ (L33*'Scoring System'!$B$13)+ (O33*'Scoring System'!$B$14)+ (Q33*'Scoring System'!$B$15)+ (R33*'Scoring System'!$B$16)</f>
        <v>4</v>
      </c>
      <c r="AB33" s="72" t="b">
        <f>IFERROR(match(C33,'Match Day Fees'!$B$2:$B$999,0),0)=0</f>
        <v>0</v>
      </c>
      <c r="AC33" s="73">
        <f t="shared" si="1"/>
        <v>0</v>
      </c>
      <c r="AD33" s="3" t="str">
        <f>VLOOKUP(D33,'Position Lookup'!A:B,1,FALSE)</f>
        <v>MID</v>
      </c>
    </row>
    <row r="34" ht="17.25" customHeight="1">
      <c r="A34" s="69">
        <v>45143.0</v>
      </c>
      <c r="B34" s="1" t="s">
        <v>222</v>
      </c>
      <c r="C34" s="2" t="s">
        <v>137</v>
      </c>
      <c r="D34" s="2" t="s">
        <v>10</v>
      </c>
      <c r="E34" s="1">
        <v>1.0</v>
      </c>
      <c r="F34" s="70" t="s">
        <v>238</v>
      </c>
      <c r="G34" s="2" t="s">
        <v>224</v>
      </c>
      <c r="H34" s="2"/>
      <c r="I34" s="2">
        <v>1.0</v>
      </c>
      <c r="J34" s="1">
        <v>0.0</v>
      </c>
      <c r="K34" s="2"/>
      <c r="L34" s="2"/>
      <c r="M34" s="2"/>
      <c r="N34" s="2" t="b">
        <v>1</v>
      </c>
      <c r="O34" s="2"/>
      <c r="P34" s="2"/>
      <c r="Q34" s="2"/>
      <c r="R34" s="2">
        <v>0.0</v>
      </c>
      <c r="S34" s="2"/>
      <c r="T34" s="2">
        <v>10.0</v>
      </c>
      <c r="U34" s="2"/>
      <c r="V34" s="2"/>
      <c r="W34" s="70"/>
      <c r="X34" s="71"/>
      <c r="AA34" s="2">
        <f>2+ (P34*'Scoring System'!$B$3)+ (IF(OR(D34="DEF",D34="GK"),N34*'Scoring System'!$B$4,IF(D34="MID",N34*'Scoring System'!$B$5,0)))+ (IF(OR(D34="DEF",D34="GK"),H34*'Scoring System'!$B$6,IF(D34="MID",H34*'Scoring System'!$B$7,IF(D34="ATT",H34*'Scoring System'!$B$8,0))))+ IF(AND(OR(D34="GK",D34="DEF"),J34&gt;=3),1*'Scoring System'!$B$9,0)+ (I34*'Scoring System'!$B$10)+ (K34*'Scoring System'!$B$11)+ (M34*'Scoring System'!$B$12)+ (L34*'Scoring System'!$B$13)+ (O34*'Scoring System'!$B$14)+ (Q34*'Scoring System'!$B$15)+ (R34*'Scoring System'!$B$16)</f>
        <v>7</v>
      </c>
      <c r="AB34" s="72" t="b">
        <f>IFERROR(match(C34,'Match Day Fees'!$B$2:$B$999,0),0)=0</f>
        <v>0</v>
      </c>
      <c r="AC34" s="73">
        <f t="shared" si="1"/>
        <v>0</v>
      </c>
      <c r="AD34" s="3" t="str">
        <f>VLOOKUP(D34,'Position Lookup'!A:B,1,FALSE)</f>
        <v>MID</v>
      </c>
    </row>
    <row r="35" ht="17.25" customHeight="1">
      <c r="A35" s="69">
        <v>45143.0</v>
      </c>
      <c r="B35" s="1" t="s">
        <v>222</v>
      </c>
      <c r="C35" s="2" t="s">
        <v>96</v>
      </c>
      <c r="D35" s="2" t="s">
        <v>10</v>
      </c>
      <c r="E35" s="1">
        <v>1.0</v>
      </c>
      <c r="F35" s="70" t="s">
        <v>238</v>
      </c>
      <c r="G35" s="2" t="s">
        <v>224</v>
      </c>
      <c r="H35" s="2">
        <v>1.0</v>
      </c>
      <c r="I35" s="2"/>
      <c r="J35" s="1">
        <v>0.0</v>
      </c>
      <c r="K35" s="2"/>
      <c r="L35" s="2"/>
      <c r="M35" s="2"/>
      <c r="N35" s="2" t="b">
        <v>1</v>
      </c>
      <c r="O35" s="2"/>
      <c r="P35" s="2"/>
      <c r="Q35" s="2"/>
      <c r="R35" s="2">
        <v>0.0</v>
      </c>
      <c r="S35" s="2"/>
      <c r="T35" s="2">
        <v>5.0</v>
      </c>
      <c r="U35" s="2"/>
      <c r="V35" s="2"/>
      <c r="W35" s="70"/>
      <c r="X35" s="71"/>
      <c r="AA35" s="2">
        <f>2+ (P35*'Scoring System'!$B$3)+ (IF(OR(D35="DEF",D35="GK"),N35*'Scoring System'!$B$4,IF(D35="MID",N35*'Scoring System'!$B$5,0)))+ (IF(OR(D35="DEF",D35="GK"),H35*'Scoring System'!$B$6,IF(D35="MID",H35*'Scoring System'!$B$7,IF(D35="ATT",H35*'Scoring System'!$B$8,0))))+ IF(AND(OR(D35="GK",D35="DEF"),J35&gt;=3),1*'Scoring System'!$B$9,0)+ (I35*'Scoring System'!$B$10)+ (K35*'Scoring System'!$B$11)+ (M35*'Scoring System'!$B$12)+ (L35*'Scoring System'!$B$13)+ (O35*'Scoring System'!$B$14)+ (Q35*'Scoring System'!$B$15)+ (R35*'Scoring System'!$B$16)</f>
        <v>9</v>
      </c>
      <c r="AB35" s="72" t="b">
        <f>IFERROR(match(C35,'Match Day Fees'!$B$2:$B$999,0),0)=0</f>
        <v>0</v>
      </c>
      <c r="AC35" s="73">
        <f t="shared" si="1"/>
        <v>0</v>
      </c>
      <c r="AD35" s="3" t="str">
        <f>VLOOKUP(D35,'Position Lookup'!A:B,1,FALSE)</f>
        <v>MID</v>
      </c>
    </row>
    <row r="36" ht="17.25" customHeight="1">
      <c r="A36" s="69">
        <v>45143.0</v>
      </c>
      <c r="B36" s="1" t="s">
        <v>222</v>
      </c>
      <c r="C36" s="2" t="s">
        <v>239</v>
      </c>
      <c r="D36" s="2" t="s">
        <v>9</v>
      </c>
      <c r="E36" s="1">
        <v>1.0</v>
      </c>
      <c r="F36" s="70" t="s">
        <v>238</v>
      </c>
      <c r="G36" s="2" t="s">
        <v>224</v>
      </c>
      <c r="H36" s="2">
        <v>1.0</v>
      </c>
      <c r="I36" s="2"/>
      <c r="J36" s="1">
        <v>0.0</v>
      </c>
      <c r="K36" s="2"/>
      <c r="L36" s="2"/>
      <c r="M36" s="2"/>
      <c r="N36" s="2" t="b">
        <v>1</v>
      </c>
      <c r="O36" s="2"/>
      <c r="P36" s="2"/>
      <c r="Q36" s="2"/>
      <c r="R36" s="2">
        <v>1.0</v>
      </c>
      <c r="S36" s="2"/>
      <c r="T36" s="2">
        <v>5.0</v>
      </c>
      <c r="U36" s="2"/>
      <c r="V36" s="2"/>
      <c r="W36" s="70"/>
      <c r="X36" s="71"/>
      <c r="AA36" s="2">
        <f>2+ (P36*'Scoring System'!$B$3)+ (IF(OR(D36="DEF",D36="GK"),N36*'Scoring System'!$B$4,IF(D36="MID",N36*'Scoring System'!$B$5,0)))+ (IF(OR(D36="DEF",D36="GK"),H36*'Scoring System'!$B$6,IF(D36="MID",H36*'Scoring System'!$B$7,IF(D36="ATT",H36*'Scoring System'!$B$8,0))))+ IF(AND(OR(D36="GK",D36="DEF"),J36&gt;=3),1*'Scoring System'!$B$9,0)+ (I36*'Scoring System'!$B$10)+ (K36*'Scoring System'!$B$11)+ (M36*'Scoring System'!$B$12)+ (L36*'Scoring System'!$B$13)+ (O36*'Scoring System'!$B$14)+ (Q36*'Scoring System'!$B$15)+ (R36*'Scoring System'!$B$16)</f>
        <v>11</v>
      </c>
      <c r="AB36" s="72" t="b">
        <f>IFERROR(match(C36,'Match Day Fees'!$B$2:$B$999,0),0)=0</f>
        <v>0</v>
      </c>
      <c r="AC36" s="73">
        <f t="shared" si="1"/>
        <v>0</v>
      </c>
      <c r="AD36" s="3" t="str">
        <f>VLOOKUP(D36,'Position Lookup'!A:B,1,FALSE)</f>
        <v>ATT</v>
      </c>
    </row>
    <row r="37" ht="17.25" customHeight="1">
      <c r="A37" s="69">
        <v>45143.0</v>
      </c>
      <c r="B37" s="1" t="s">
        <v>222</v>
      </c>
      <c r="C37" s="2" t="s">
        <v>81</v>
      </c>
      <c r="D37" s="2" t="s">
        <v>11</v>
      </c>
      <c r="E37" s="1">
        <v>1.0</v>
      </c>
      <c r="F37" s="70" t="s">
        <v>238</v>
      </c>
      <c r="G37" s="2" t="s">
        <v>224</v>
      </c>
      <c r="H37" s="2"/>
      <c r="I37" s="2"/>
      <c r="J37" s="1">
        <v>0.0</v>
      </c>
      <c r="K37" s="2"/>
      <c r="L37" s="2"/>
      <c r="M37" s="2"/>
      <c r="N37" s="2" t="b">
        <v>1</v>
      </c>
      <c r="O37" s="2"/>
      <c r="P37" s="2"/>
      <c r="Q37" s="2"/>
      <c r="R37" s="2">
        <v>0.0</v>
      </c>
      <c r="S37" s="2"/>
      <c r="T37" s="2">
        <v>10.0</v>
      </c>
      <c r="U37" s="2"/>
      <c r="V37" s="2"/>
      <c r="W37" s="70"/>
      <c r="X37" s="71"/>
      <c r="AA37" s="2">
        <f>2+ (P37*'Scoring System'!$B$3)+ (IF(OR(D37="DEF",D37="GK"),N37*'Scoring System'!$B$4,IF(D37="MID",N37*'Scoring System'!$B$5,0)))+ (IF(OR(D37="DEF",D37="GK"),H37*'Scoring System'!$B$6,IF(D37="MID",H37*'Scoring System'!$B$7,IF(D37="ATT",H37*'Scoring System'!$B$8,0))))+ IF(AND(OR(D37="GK",D37="DEF"),J37&gt;=3),1*'Scoring System'!$B$9,0)+ (I37*'Scoring System'!$B$10)+ (K37*'Scoring System'!$B$11)+ (M37*'Scoring System'!$B$12)+ (L37*'Scoring System'!$B$13)+ (O37*'Scoring System'!$B$14)+ (Q37*'Scoring System'!$B$15)+ (R37*'Scoring System'!$B$16)</f>
        <v>8</v>
      </c>
      <c r="AB37" s="72" t="b">
        <f>IFERROR(match(C37,'Match Day Fees'!$B$2:$B$999,0),0)=0</f>
        <v>0</v>
      </c>
      <c r="AC37" s="73">
        <f t="shared" si="1"/>
        <v>0</v>
      </c>
      <c r="AD37" s="3" t="str">
        <f>VLOOKUP(D37,'Position Lookup'!A:B,1,FALSE)</f>
        <v>DEF</v>
      </c>
    </row>
    <row r="38" ht="17.25" customHeight="1">
      <c r="A38" s="69">
        <v>45143.0</v>
      </c>
      <c r="B38" s="1" t="s">
        <v>222</v>
      </c>
      <c r="C38" s="2" t="s">
        <v>123</v>
      </c>
      <c r="D38" s="2" t="s">
        <v>9</v>
      </c>
      <c r="E38" s="1">
        <v>1.0</v>
      </c>
      <c r="F38" s="70" t="s">
        <v>238</v>
      </c>
      <c r="G38" s="2" t="s">
        <v>224</v>
      </c>
      <c r="H38" s="2">
        <v>1.0</v>
      </c>
      <c r="I38" s="2"/>
      <c r="J38" s="1">
        <v>0.0</v>
      </c>
      <c r="K38" s="2"/>
      <c r="L38" s="2"/>
      <c r="M38" s="2"/>
      <c r="N38" s="2" t="b">
        <v>1</v>
      </c>
      <c r="O38" s="2"/>
      <c r="P38" s="2"/>
      <c r="Q38" s="2"/>
      <c r="R38" s="2">
        <v>0.0</v>
      </c>
      <c r="S38" s="2"/>
      <c r="T38" s="2">
        <v>5.0</v>
      </c>
      <c r="U38" s="2"/>
      <c r="V38" s="2"/>
      <c r="W38" s="70"/>
      <c r="X38" s="71"/>
      <c r="AA38" s="2">
        <f>2+ (P38*'Scoring System'!$B$3)+ (IF(OR(D38="DEF",D38="GK"),N38*'Scoring System'!$B$4,IF(D38="MID",N38*'Scoring System'!$B$5,0)))+ (IF(OR(D38="DEF",D38="GK"),H38*'Scoring System'!$B$6,IF(D38="MID",H38*'Scoring System'!$B$7,IF(D38="ATT",H38*'Scoring System'!$B$8,0))))+ IF(AND(OR(D38="GK",D38="DEF"),J38&gt;=3),1*'Scoring System'!$B$9,0)+ (I38*'Scoring System'!$B$10)+ (K38*'Scoring System'!$B$11)+ (M38*'Scoring System'!$B$12)+ (L38*'Scoring System'!$B$13)+ (O38*'Scoring System'!$B$14)+ (Q38*'Scoring System'!$B$15)+ (R38*'Scoring System'!$B$16)</f>
        <v>6</v>
      </c>
      <c r="AB38" s="72" t="b">
        <f>IFERROR(match(C38,'Match Day Fees'!$B$2:$B$999,0),0)=0</f>
        <v>0</v>
      </c>
      <c r="AC38" s="73">
        <f t="shared" si="1"/>
        <v>0</v>
      </c>
      <c r="AD38" s="3" t="str">
        <f>VLOOKUP(D38,'Position Lookup'!A:B,1,FALSE)</f>
        <v>ATT</v>
      </c>
    </row>
    <row r="39" ht="17.25" customHeight="1">
      <c r="A39" s="69">
        <v>45143.0</v>
      </c>
      <c r="B39" s="1" t="s">
        <v>222</v>
      </c>
      <c r="C39" s="2" t="s">
        <v>240</v>
      </c>
      <c r="D39" s="2" t="s">
        <v>10</v>
      </c>
      <c r="E39" s="1">
        <v>1.0</v>
      </c>
      <c r="F39" s="70" t="s">
        <v>238</v>
      </c>
      <c r="G39" s="2" t="s">
        <v>224</v>
      </c>
      <c r="H39" s="2"/>
      <c r="I39" s="2"/>
      <c r="J39" s="1">
        <v>0.0</v>
      </c>
      <c r="K39" s="2"/>
      <c r="L39" s="2"/>
      <c r="M39" s="2"/>
      <c r="N39" s="2" t="b">
        <v>1</v>
      </c>
      <c r="O39" s="2"/>
      <c r="P39" s="2"/>
      <c r="Q39" s="2"/>
      <c r="R39" s="2">
        <v>0.0</v>
      </c>
      <c r="S39" s="2"/>
      <c r="T39" s="2">
        <v>10.0</v>
      </c>
      <c r="U39" s="2"/>
      <c r="V39" s="2"/>
      <c r="W39" s="70"/>
      <c r="X39" s="71"/>
      <c r="AA39" s="2">
        <f>2+ (P39*'Scoring System'!$B$3)+ (IF(OR(D39="DEF",D39="GK"),N39*'Scoring System'!$B$4,IF(D39="MID",N39*'Scoring System'!$B$5,0)))+ (IF(OR(D39="DEF",D39="GK"),H39*'Scoring System'!$B$6,IF(D39="MID",H39*'Scoring System'!$B$7,IF(D39="ATT",H39*'Scoring System'!$B$8,0))))+ IF(AND(OR(D39="GK",D39="DEF"),J39&gt;=3),1*'Scoring System'!$B$9,0)+ (I39*'Scoring System'!$B$10)+ (K39*'Scoring System'!$B$11)+ (M39*'Scoring System'!$B$12)+ (L39*'Scoring System'!$B$13)+ (O39*'Scoring System'!$B$14)+ (Q39*'Scoring System'!$B$15)+ (R39*'Scoring System'!$B$16)</f>
        <v>4</v>
      </c>
      <c r="AB39" s="72" t="b">
        <f>IFERROR(match(C39,'Match Day Fees'!$B$2:$B$999,0),0)=0</f>
        <v>0</v>
      </c>
      <c r="AC39" s="73">
        <f t="shared" si="1"/>
        <v>0</v>
      </c>
      <c r="AD39" s="3" t="str">
        <f>VLOOKUP(D39,'Position Lookup'!A:B,1,FALSE)</f>
        <v>MID</v>
      </c>
    </row>
    <row r="40" ht="17.25" customHeight="1">
      <c r="A40" s="69">
        <v>45143.0</v>
      </c>
      <c r="B40" s="1" t="s">
        <v>222</v>
      </c>
      <c r="C40" s="2" t="s">
        <v>61</v>
      </c>
      <c r="D40" s="2" t="s">
        <v>10</v>
      </c>
      <c r="E40" s="1">
        <v>2.0</v>
      </c>
      <c r="F40" s="70" t="s">
        <v>241</v>
      </c>
      <c r="G40" s="2" t="s">
        <v>242</v>
      </c>
      <c r="H40" s="2"/>
      <c r="I40" s="2"/>
      <c r="J40" s="1"/>
      <c r="K40" s="2"/>
      <c r="L40" s="2"/>
      <c r="M40" s="2"/>
      <c r="N40" s="2" t="b">
        <v>1</v>
      </c>
      <c r="O40" s="2"/>
      <c r="P40" s="2"/>
      <c r="Q40" s="2"/>
      <c r="R40" s="2">
        <v>1.0</v>
      </c>
      <c r="S40" s="2"/>
      <c r="T40" s="2">
        <v>10.0</v>
      </c>
      <c r="U40" s="2"/>
      <c r="V40" s="2"/>
      <c r="W40" s="70"/>
      <c r="X40" s="71"/>
      <c r="AA40" s="2">
        <f>2+ (P40*'Scoring System'!$B$3)+ (IF(OR(D40="DEF",D40="GK"),N40*'Scoring System'!$B$4,IF(D40="MID",N40*'Scoring System'!$B$5,0)))+ (IF(OR(D40="DEF",D40="GK"),H40*'Scoring System'!$B$6,IF(D40="MID",H40*'Scoring System'!$B$7,IF(D40="ATT",H40*'Scoring System'!$B$8,0))))+ IF(AND(OR(D40="GK",D40="DEF"),J40&gt;=3),1*'Scoring System'!$B$9,0)+ (I40*'Scoring System'!$B$10)+ (K40*'Scoring System'!$B$11)+ (M40*'Scoring System'!$B$12)+ (L40*'Scoring System'!$B$13)+ (O40*'Scoring System'!$B$14)+ (Q40*'Scoring System'!$B$15)+ (R40*'Scoring System'!$B$16)</f>
        <v>9</v>
      </c>
      <c r="AB40" s="72" t="b">
        <f>IFERROR(match(C40,'Match Day Fees'!$B$2:$B$999,0),0)=0</f>
        <v>0</v>
      </c>
      <c r="AC40" s="73">
        <f t="shared" si="1"/>
        <v>0</v>
      </c>
      <c r="AD40" s="3" t="str">
        <f>VLOOKUP(D40,'Position Lookup'!A:B,1,FALSE)</f>
        <v>MID</v>
      </c>
      <c r="AE40" s="2"/>
      <c r="AF40" s="2"/>
    </row>
    <row r="41" ht="17.25" customHeight="1">
      <c r="A41" s="69">
        <v>45143.0</v>
      </c>
      <c r="B41" s="1" t="s">
        <v>222</v>
      </c>
      <c r="C41" s="2" t="s">
        <v>79</v>
      </c>
      <c r="D41" s="1" t="s">
        <v>9</v>
      </c>
      <c r="E41" s="1">
        <v>2.0</v>
      </c>
      <c r="F41" s="70" t="s">
        <v>241</v>
      </c>
      <c r="G41" s="2" t="s">
        <v>242</v>
      </c>
      <c r="H41" s="2"/>
      <c r="I41" s="2"/>
      <c r="J41" s="1"/>
      <c r="K41" s="2"/>
      <c r="L41" s="2"/>
      <c r="M41" s="2"/>
      <c r="N41" s="2" t="b">
        <v>1</v>
      </c>
      <c r="O41" s="2"/>
      <c r="P41" s="2"/>
      <c r="Q41" s="2"/>
      <c r="R41" s="2">
        <v>0.0</v>
      </c>
      <c r="S41" s="2"/>
      <c r="T41" s="2">
        <v>10.0</v>
      </c>
      <c r="U41" s="2"/>
      <c r="V41" s="2"/>
      <c r="W41" s="70"/>
      <c r="X41" s="71"/>
      <c r="AA41" s="2">
        <f>2+ (P41*'Scoring System'!$B$3)+ (IF(OR(D41="DEF",D41="GK"),N41*'Scoring System'!$B$4,IF(D41="MID",N41*'Scoring System'!$B$5,0)))+ (IF(OR(D41="DEF",D41="GK"),H41*'Scoring System'!$B$6,IF(D41="MID",H41*'Scoring System'!$B$7,IF(D41="ATT",H41*'Scoring System'!$B$8,0))))+ IF(AND(OR(D41="GK",D41="DEF"),J41&gt;=3),1*'Scoring System'!$B$9,0)+ (I41*'Scoring System'!$B$10)+ (K41*'Scoring System'!$B$11)+ (M41*'Scoring System'!$B$12)+ (L41*'Scoring System'!$B$13)+ (O41*'Scoring System'!$B$14)+ (Q41*'Scoring System'!$B$15)+ (R41*'Scoring System'!$B$16)</f>
        <v>2</v>
      </c>
      <c r="AB41" s="72" t="b">
        <f>IFERROR(match(C41,'Match Day Fees'!$B$2:$B$999,0),0)=0</f>
        <v>0</v>
      </c>
      <c r="AC41" s="73">
        <f t="shared" si="1"/>
        <v>0</v>
      </c>
      <c r="AD41" s="3" t="str">
        <f>VLOOKUP(D41,'Position Lookup'!A:B,1,FALSE)</f>
        <v>ATT</v>
      </c>
      <c r="AE41" s="2"/>
      <c r="AF41" s="2"/>
    </row>
    <row r="42" ht="17.25" customHeight="1">
      <c r="A42" s="69">
        <v>45143.0</v>
      </c>
      <c r="B42" s="1" t="s">
        <v>222</v>
      </c>
      <c r="C42" s="2" t="s">
        <v>243</v>
      </c>
      <c r="D42" s="2" t="s">
        <v>10</v>
      </c>
      <c r="E42" s="1">
        <v>2.0</v>
      </c>
      <c r="F42" s="70" t="s">
        <v>241</v>
      </c>
      <c r="G42" s="2" t="s">
        <v>242</v>
      </c>
      <c r="H42" s="2"/>
      <c r="I42" s="2"/>
      <c r="J42" s="1"/>
      <c r="K42" s="2"/>
      <c r="L42" s="2"/>
      <c r="M42" s="2"/>
      <c r="N42" s="2" t="b">
        <v>1</v>
      </c>
      <c r="O42" s="2"/>
      <c r="P42" s="2"/>
      <c r="Q42" s="2"/>
      <c r="R42" s="2">
        <v>0.0</v>
      </c>
      <c r="S42" s="2"/>
      <c r="T42" s="2">
        <v>10.0</v>
      </c>
      <c r="U42" s="2"/>
      <c r="V42" s="2"/>
      <c r="W42" s="70"/>
      <c r="X42" s="71"/>
      <c r="AA42" s="2">
        <f>2+ (P42*'Scoring System'!$B$3)+ (IF(OR(D42="DEF",D42="GK"),N42*'Scoring System'!$B$4,IF(D42="MID",N42*'Scoring System'!$B$5,0)))+ (IF(OR(D42="DEF",D42="GK"),H42*'Scoring System'!$B$6,IF(D42="MID",H42*'Scoring System'!$B$7,IF(D42="ATT",H42*'Scoring System'!$B$8,0))))+ IF(AND(OR(D42="GK",D42="DEF"),J42&gt;=3),1*'Scoring System'!$B$9,0)+ (I42*'Scoring System'!$B$10)+ (K42*'Scoring System'!$B$11)+ (M42*'Scoring System'!$B$12)+ (L42*'Scoring System'!$B$13)+ (O42*'Scoring System'!$B$14)+ (Q42*'Scoring System'!$B$15)+ (R42*'Scoring System'!$B$16)</f>
        <v>4</v>
      </c>
      <c r="AB42" s="72" t="b">
        <f>IFERROR(match(C42,'Match Day Fees'!$B$2:$B$999,0),0)=0</f>
        <v>0</v>
      </c>
      <c r="AC42" s="73">
        <f t="shared" si="1"/>
        <v>0</v>
      </c>
      <c r="AD42" s="3" t="str">
        <f>VLOOKUP(D42,'Position Lookup'!A:B,1,FALSE)</f>
        <v>MID</v>
      </c>
      <c r="AE42" s="2"/>
      <c r="AF42" s="2"/>
    </row>
    <row r="43" ht="17.25" customHeight="1">
      <c r="A43" s="69">
        <v>45143.0</v>
      </c>
      <c r="B43" s="1" t="s">
        <v>222</v>
      </c>
      <c r="C43" s="2" t="s">
        <v>92</v>
      </c>
      <c r="D43" s="2"/>
      <c r="E43" s="1">
        <v>2.0</v>
      </c>
      <c r="F43" s="70" t="s">
        <v>241</v>
      </c>
      <c r="G43" s="2" t="s">
        <v>242</v>
      </c>
      <c r="H43" s="2"/>
      <c r="I43" s="2"/>
      <c r="J43" s="1"/>
      <c r="K43" s="2"/>
      <c r="L43" s="2"/>
      <c r="M43" s="2"/>
      <c r="N43" s="2" t="b">
        <v>1</v>
      </c>
      <c r="O43" s="2"/>
      <c r="P43" s="2"/>
      <c r="Q43" s="2"/>
      <c r="R43" s="2">
        <v>0.0</v>
      </c>
      <c r="S43" s="2"/>
      <c r="T43" s="2">
        <v>10.0</v>
      </c>
      <c r="U43" s="2"/>
      <c r="V43" s="2"/>
      <c r="W43" s="70"/>
      <c r="X43" s="71"/>
      <c r="AA43" s="2">
        <f>2+ (P43*'Scoring System'!$B$3)+ (IF(OR(D43="DEF",D43="GK"),N43*'Scoring System'!$B$4,IF(D43="MID",N43*'Scoring System'!$B$5,0)))+ (IF(OR(D43="DEF",D43="GK"),H43*'Scoring System'!$B$6,IF(D43="MID",H43*'Scoring System'!$B$7,IF(D43="ATT",H43*'Scoring System'!$B$8,0))))+ IF(AND(OR(D43="GK",D43="DEF"),J43&gt;=3),1*'Scoring System'!$B$9,0)+ (I43*'Scoring System'!$B$10)+ (K43*'Scoring System'!$B$11)+ (M43*'Scoring System'!$B$12)+ (L43*'Scoring System'!$B$13)+ (O43*'Scoring System'!$B$14)+ (Q43*'Scoring System'!$B$15)+ (R43*'Scoring System'!$B$16)</f>
        <v>2</v>
      </c>
      <c r="AB43" s="72" t="b">
        <f>IFERROR(match(C43,'Match Day Fees'!$B$2:$B$999,0),0)=0</f>
        <v>0</v>
      </c>
      <c r="AC43" s="73">
        <f t="shared" si="1"/>
        <v>0</v>
      </c>
      <c r="AD43" s="3" t="str">
        <f>VLOOKUP(D43,'Position Lookup'!A:B,1,FALSE)</f>
        <v>#N/A</v>
      </c>
      <c r="AE43" s="2"/>
      <c r="AF43" s="2"/>
    </row>
    <row r="44" ht="17.25" customHeight="1">
      <c r="A44" s="69">
        <v>45143.0</v>
      </c>
      <c r="B44" s="1" t="s">
        <v>222</v>
      </c>
      <c r="C44" s="2" t="s">
        <v>91</v>
      </c>
      <c r="D44" s="2" t="s">
        <v>11</v>
      </c>
      <c r="E44" s="1">
        <v>2.0</v>
      </c>
      <c r="F44" s="70" t="s">
        <v>241</v>
      </c>
      <c r="G44" s="2" t="s">
        <v>242</v>
      </c>
      <c r="H44" s="2"/>
      <c r="I44" s="2"/>
      <c r="J44" s="1"/>
      <c r="K44" s="2"/>
      <c r="L44" s="2"/>
      <c r="M44" s="2"/>
      <c r="N44" s="2" t="b">
        <v>1</v>
      </c>
      <c r="O44" s="2"/>
      <c r="P44" s="2"/>
      <c r="Q44" s="2"/>
      <c r="R44" s="2">
        <v>0.0</v>
      </c>
      <c r="S44" s="2"/>
      <c r="T44" s="1">
        <v>5.0</v>
      </c>
      <c r="U44" s="2"/>
      <c r="V44" s="2"/>
      <c r="W44" s="70"/>
      <c r="X44" s="71"/>
      <c r="AA44" s="2">
        <f>2+ (P44*'Scoring System'!$B$3)+ (IF(OR(D44="DEF",D44="GK"),N44*'Scoring System'!$B$4,IF(D44="MID",N44*'Scoring System'!$B$5,0)))+ (IF(OR(D44="DEF",D44="GK"),H44*'Scoring System'!$B$6,IF(D44="MID",H44*'Scoring System'!$B$7,IF(D44="ATT",H44*'Scoring System'!$B$8,0))))+ IF(AND(OR(D44="GK",D44="DEF"),J44&gt;=3),1*'Scoring System'!$B$9,0)+ (I44*'Scoring System'!$B$10)+ (K44*'Scoring System'!$B$11)+ (M44*'Scoring System'!$B$12)+ (L44*'Scoring System'!$B$13)+ (O44*'Scoring System'!$B$14)+ (Q44*'Scoring System'!$B$15)+ (R44*'Scoring System'!$B$16)</f>
        <v>8</v>
      </c>
      <c r="AB44" s="72" t="b">
        <f>IFERROR(match(C44,'Match Day Fees'!$B$2:$B$999,0),0)=0</f>
        <v>0</v>
      </c>
      <c r="AC44" s="73">
        <f t="shared" si="1"/>
        <v>0</v>
      </c>
      <c r="AD44" s="3" t="str">
        <f>VLOOKUP(D44,'Position Lookup'!A:B,1,FALSE)</f>
        <v>DEF</v>
      </c>
      <c r="AE44" s="2"/>
      <c r="AF44" s="2"/>
    </row>
    <row r="45" ht="17.25" customHeight="1">
      <c r="A45" s="69">
        <v>45143.0</v>
      </c>
      <c r="B45" s="1" t="s">
        <v>222</v>
      </c>
      <c r="C45" s="2" t="s">
        <v>126</v>
      </c>
      <c r="D45" s="2"/>
      <c r="E45" s="1">
        <v>2.0</v>
      </c>
      <c r="F45" s="70" t="s">
        <v>241</v>
      </c>
      <c r="G45" s="2" t="s">
        <v>242</v>
      </c>
      <c r="H45" s="2"/>
      <c r="I45" s="2"/>
      <c r="J45" s="1"/>
      <c r="K45" s="2"/>
      <c r="L45" s="2"/>
      <c r="M45" s="2"/>
      <c r="N45" s="2" t="b">
        <v>1</v>
      </c>
      <c r="O45" s="2"/>
      <c r="P45" s="2"/>
      <c r="Q45" s="2"/>
      <c r="R45" s="2">
        <v>0.0</v>
      </c>
      <c r="S45" s="2"/>
      <c r="T45" s="1">
        <v>2.5</v>
      </c>
      <c r="U45" s="2"/>
      <c r="V45" s="2"/>
      <c r="W45" s="70"/>
      <c r="X45" s="71"/>
      <c r="AA45" s="2">
        <f>2+ (P45*'Scoring System'!$B$3)+ (IF(OR(D45="DEF",D45="GK"),N45*'Scoring System'!$B$4,IF(D45="MID",N45*'Scoring System'!$B$5,0)))+ (IF(OR(D45="DEF",D45="GK"),H45*'Scoring System'!$B$6,IF(D45="MID",H45*'Scoring System'!$B$7,IF(D45="ATT",H45*'Scoring System'!$B$8,0))))+ IF(AND(OR(D45="GK",D45="DEF"),J45&gt;=3),1*'Scoring System'!$B$9,0)+ (I45*'Scoring System'!$B$10)+ (K45*'Scoring System'!$B$11)+ (M45*'Scoring System'!$B$12)+ (L45*'Scoring System'!$B$13)+ (O45*'Scoring System'!$B$14)+ (Q45*'Scoring System'!$B$15)+ (R45*'Scoring System'!$B$16)</f>
        <v>2</v>
      </c>
      <c r="AB45" s="72" t="b">
        <f>IFERROR(match(C45,'Match Day Fees'!$B$2:$B$999,0),0)=0</f>
        <v>0</v>
      </c>
      <c r="AC45" s="73">
        <f t="shared" si="1"/>
        <v>0</v>
      </c>
      <c r="AD45" s="3" t="str">
        <f>VLOOKUP(D45,'Position Lookup'!A:B,1,FALSE)</f>
        <v>#N/A</v>
      </c>
      <c r="AE45" s="2"/>
      <c r="AF45" s="2"/>
    </row>
    <row r="46" ht="17.25" customHeight="1">
      <c r="A46" s="69">
        <v>45143.0</v>
      </c>
      <c r="B46" s="1" t="s">
        <v>222</v>
      </c>
      <c r="C46" s="2" t="s">
        <v>244</v>
      </c>
      <c r="D46" s="2"/>
      <c r="E46" s="1">
        <v>2.0</v>
      </c>
      <c r="F46" s="70" t="s">
        <v>241</v>
      </c>
      <c r="G46" s="2" t="s">
        <v>242</v>
      </c>
      <c r="H46" s="2"/>
      <c r="I46" s="2"/>
      <c r="J46" s="1"/>
      <c r="K46" s="2"/>
      <c r="L46" s="2"/>
      <c r="M46" s="2"/>
      <c r="N46" s="2" t="b">
        <v>1</v>
      </c>
      <c r="O46" s="2"/>
      <c r="P46" s="2"/>
      <c r="Q46" s="2"/>
      <c r="R46" s="2">
        <v>0.0</v>
      </c>
      <c r="S46" s="2"/>
      <c r="T46" s="2">
        <v>10.0</v>
      </c>
      <c r="U46" s="2"/>
      <c r="V46" s="2"/>
      <c r="W46" s="70"/>
      <c r="X46" s="71"/>
      <c r="AA46" s="2">
        <f>2+ (P46*'Scoring System'!$B$3)+ (IF(OR(D46="DEF",D46="GK"),N46*'Scoring System'!$B$4,IF(D46="MID",N46*'Scoring System'!$B$5,0)))+ (IF(OR(D46="DEF",D46="GK"),H46*'Scoring System'!$B$6,IF(D46="MID",H46*'Scoring System'!$B$7,IF(D46="ATT",H46*'Scoring System'!$B$8,0))))+ IF(AND(OR(D46="GK",D46="DEF"),J46&gt;=3),1*'Scoring System'!$B$9,0)+ (I46*'Scoring System'!$B$10)+ (K46*'Scoring System'!$B$11)+ (M46*'Scoring System'!$B$12)+ (L46*'Scoring System'!$B$13)+ (O46*'Scoring System'!$B$14)+ (Q46*'Scoring System'!$B$15)+ (R46*'Scoring System'!$B$16)</f>
        <v>2</v>
      </c>
      <c r="AB46" s="72" t="b">
        <f>IFERROR(match(C46,'Match Day Fees'!$B$2:$B$999,0),0)=0</f>
        <v>0</v>
      </c>
      <c r="AC46" s="73">
        <f t="shared" si="1"/>
        <v>0</v>
      </c>
      <c r="AD46" s="3" t="str">
        <f>VLOOKUP(D46,'Position Lookup'!A:B,1,FALSE)</f>
        <v>#N/A</v>
      </c>
      <c r="AE46" s="2"/>
      <c r="AF46" s="2"/>
    </row>
    <row r="47" ht="17.25" customHeight="1">
      <c r="A47" s="69">
        <v>45143.0</v>
      </c>
      <c r="B47" s="1" t="s">
        <v>222</v>
      </c>
      <c r="C47" s="2" t="s">
        <v>82</v>
      </c>
      <c r="D47" s="2"/>
      <c r="E47" s="1">
        <v>2.0</v>
      </c>
      <c r="F47" s="70" t="s">
        <v>241</v>
      </c>
      <c r="G47" s="2" t="s">
        <v>242</v>
      </c>
      <c r="H47" s="2"/>
      <c r="I47" s="2"/>
      <c r="J47" s="1"/>
      <c r="K47" s="2"/>
      <c r="L47" s="2"/>
      <c r="M47" s="2"/>
      <c r="N47" s="2" t="b">
        <v>1</v>
      </c>
      <c r="O47" s="2"/>
      <c r="P47" s="2"/>
      <c r="Q47" s="2"/>
      <c r="R47" s="2">
        <v>0.0</v>
      </c>
      <c r="S47" s="2"/>
      <c r="T47" s="2">
        <v>10.0</v>
      </c>
      <c r="U47" s="2"/>
      <c r="V47" s="2"/>
      <c r="W47" s="70"/>
      <c r="X47" s="71"/>
      <c r="AA47" s="2">
        <f>2+ (P47*'Scoring System'!$B$3)+ (IF(OR(D47="DEF",D47="GK"),N47*'Scoring System'!$B$4,IF(D47="MID",N47*'Scoring System'!$B$5,0)))+ (IF(OR(D47="DEF",D47="GK"),H47*'Scoring System'!$B$6,IF(D47="MID",H47*'Scoring System'!$B$7,IF(D47="ATT",H47*'Scoring System'!$B$8,0))))+ IF(AND(OR(D47="GK",D47="DEF"),J47&gt;=3),1*'Scoring System'!$B$9,0)+ (I47*'Scoring System'!$B$10)+ (K47*'Scoring System'!$B$11)+ (M47*'Scoring System'!$B$12)+ (L47*'Scoring System'!$B$13)+ (O47*'Scoring System'!$B$14)+ (Q47*'Scoring System'!$B$15)+ (R47*'Scoring System'!$B$16)</f>
        <v>2</v>
      </c>
      <c r="AB47" s="72" t="b">
        <f>IFERROR(match(C47,'Match Day Fees'!$B$2:$B$999,0),0)=0</f>
        <v>0</v>
      </c>
      <c r="AC47" s="73">
        <f t="shared" si="1"/>
        <v>0</v>
      </c>
      <c r="AD47" s="3" t="str">
        <f>VLOOKUP(D47,'Position Lookup'!A:B,1,FALSE)</f>
        <v>#N/A</v>
      </c>
      <c r="AE47" s="2"/>
      <c r="AF47" s="2"/>
    </row>
    <row r="48" ht="17.25" customHeight="1">
      <c r="A48" s="69">
        <v>45143.0</v>
      </c>
      <c r="B48" s="1" t="s">
        <v>222</v>
      </c>
      <c r="C48" s="2" t="s">
        <v>112</v>
      </c>
      <c r="D48" s="2"/>
      <c r="E48" s="1">
        <v>2.0</v>
      </c>
      <c r="F48" s="70" t="s">
        <v>241</v>
      </c>
      <c r="G48" s="2" t="s">
        <v>242</v>
      </c>
      <c r="H48" s="2"/>
      <c r="I48" s="2"/>
      <c r="J48" s="1"/>
      <c r="K48" s="2"/>
      <c r="L48" s="2"/>
      <c r="M48" s="2"/>
      <c r="N48" s="2" t="b">
        <v>1</v>
      </c>
      <c r="O48" s="2"/>
      <c r="P48" s="2"/>
      <c r="Q48" s="2"/>
      <c r="R48" s="2">
        <v>0.0</v>
      </c>
      <c r="S48" s="2"/>
      <c r="T48" s="2">
        <v>10.0</v>
      </c>
      <c r="U48" s="2"/>
      <c r="V48" s="2"/>
      <c r="W48" s="70"/>
      <c r="X48" s="71"/>
      <c r="AA48" s="2">
        <f>2+ (P48*'Scoring System'!$B$3)+ (IF(OR(D48="DEF",D48="GK"),N48*'Scoring System'!$B$4,IF(D48="MID",N48*'Scoring System'!$B$5,0)))+ (IF(OR(D48="DEF",D48="GK"),H48*'Scoring System'!$B$6,IF(D48="MID",H48*'Scoring System'!$B$7,IF(D48="ATT",H48*'Scoring System'!$B$8,0))))+ IF(AND(OR(D48="GK",D48="DEF"),J48&gt;=3),1*'Scoring System'!$B$9,0)+ (I48*'Scoring System'!$B$10)+ (K48*'Scoring System'!$B$11)+ (M48*'Scoring System'!$B$12)+ (L48*'Scoring System'!$B$13)+ (O48*'Scoring System'!$B$14)+ (Q48*'Scoring System'!$B$15)+ (R48*'Scoring System'!$B$16)</f>
        <v>2</v>
      </c>
      <c r="AB48" s="72" t="b">
        <f>IFERROR(match(C48,'Match Day Fees'!$B$2:$B$999,0),0)=0</f>
        <v>0</v>
      </c>
      <c r="AC48" s="73">
        <f t="shared" si="1"/>
        <v>0</v>
      </c>
      <c r="AD48" s="3" t="str">
        <f>VLOOKUP(D48,'Position Lookup'!A:B,1,FALSE)</f>
        <v>#N/A</v>
      </c>
      <c r="AE48" s="2"/>
      <c r="AF48" s="2"/>
    </row>
    <row r="49" ht="17.25" customHeight="1">
      <c r="A49" s="69">
        <v>45143.0</v>
      </c>
      <c r="B49" s="1" t="s">
        <v>222</v>
      </c>
      <c r="C49" s="2" t="s">
        <v>41</v>
      </c>
      <c r="D49" s="2"/>
      <c r="E49" s="1">
        <v>2.0</v>
      </c>
      <c r="F49" s="70" t="s">
        <v>241</v>
      </c>
      <c r="G49" s="2" t="s">
        <v>242</v>
      </c>
      <c r="H49" s="2"/>
      <c r="I49" s="2"/>
      <c r="J49" s="1"/>
      <c r="K49" s="2"/>
      <c r="L49" s="2"/>
      <c r="M49" s="2"/>
      <c r="N49" s="2" t="b">
        <v>1</v>
      </c>
      <c r="O49" s="2"/>
      <c r="P49" s="2"/>
      <c r="Q49" s="2"/>
      <c r="R49" s="2">
        <v>0.0</v>
      </c>
      <c r="S49" s="2"/>
      <c r="T49" s="1">
        <v>5.0</v>
      </c>
      <c r="U49" s="2"/>
      <c r="V49" s="2"/>
      <c r="W49" s="70"/>
      <c r="X49" s="71"/>
      <c r="AA49" s="2">
        <f>2+ (P49*'Scoring System'!$B$3)+ (IF(OR(D49="DEF",D49="GK"),N49*'Scoring System'!$B$4,IF(D49="MID",N49*'Scoring System'!$B$5,0)))+ (IF(OR(D49="DEF",D49="GK"),H49*'Scoring System'!$B$6,IF(D49="MID",H49*'Scoring System'!$B$7,IF(D49="ATT",H49*'Scoring System'!$B$8,0))))+ IF(AND(OR(D49="GK",D49="DEF"),J49&gt;=3),1*'Scoring System'!$B$9,0)+ (I49*'Scoring System'!$B$10)+ (K49*'Scoring System'!$B$11)+ (M49*'Scoring System'!$B$12)+ (L49*'Scoring System'!$B$13)+ (O49*'Scoring System'!$B$14)+ (Q49*'Scoring System'!$B$15)+ (R49*'Scoring System'!$B$16)</f>
        <v>2</v>
      </c>
      <c r="AB49" s="72" t="b">
        <f>IFERROR(match(C49,'Match Day Fees'!$B$2:$B$999,0),0)=0</f>
        <v>0</v>
      </c>
      <c r="AC49" s="73">
        <f t="shared" si="1"/>
        <v>0</v>
      </c>
      <c r="AD49" s="3" t="str">
        <f>VLOOKUP(D49,'Position Lookup'!A:B,1,FALSE)</f>
        <v>#N/A</v>
      </c>
      <c r="AE49" s="2"/>
      <c r="AF49" s="2"/>
    </row>
    <row r="50" ht="17.25" customHeight="1">
      <c r="A50" s="69">
        <v>45143.0</v>
      </c>
      <c r="B50" s="1" t="s">
        <v>222</v>
      </c>
      <c r="C50" s="2" t="s">
        <v>130</v>
      </c>
      <c r="D50" s="2"/>
      <c r="E50" s="1">
        <v>2.0</v>
      </c>
      <c r="F50" s="70" t="s">
        <v>241</v>
      </c>
      <c r="G50" s="2" t="s">
        <v>242</v>
      </c>
      <c r="H50" s="2"/>
      <c r="I50" s="2"/>
      <c r="J50" s="1"/>
      <c r="K50" s="2"/>
      <c r="L50" s="2"/>
      <c r="M50" s="2"/>
      <c r="N50" s="2" t="b">
        <v>1</v>
      </c>
      <c r="O50" s="2"/>
      <c r="P50" s="2"/>
      <c r="Q50" s="2"/>
      <c r="R50" s="2">
        <v>0.0</v>
      </c>
      <c r="S50" s="2"/>
      <c r="T50" s="2">
        <v>10.0</v>
      </c>
      <c r="U50" s="2"/>
      <c r="V50" s="2"/>
      <c r="W50" s="70"/>
      <c r="X50" s="71"/>
      <c r="AA50" s="2">
        <f>2+ (P50*'Scoring System'!$B$3)+ (IF(OR(D50="DEF",D50="GK"),N50*'Scoring System'!$B$4,IF(D50="MID",N50*'Scoring System'!$B$5,0)))+ (IF(OR(D50="DEF",D50="GK"),H50*'Scoring System'!$B$6,IF(D50="MID",H50*'Scoring System'!$B$7,IF(D50="ATT",H50*'Scoring System'!$B$8,0))))+ IF(AND(OR(D50="GK",D50="DEF"),J50&gt;=3),1*'Scoring System'!$B$9,0)+ (I50*'Scoring System'!$B$10)+ (K50*'Scoring System'!$B$11)+ (M50*'Scoring System'!$B$12)+ (L50*'Scoring System'!$B$13)+ (O50*'Scoring System'!$B$14)+ (Q50*'Scoring System'!$B$15)+ (R50*'Scoring System'!$B$16)</f>
        <v>2</v>
      </c>
      <c r="AB50" s="72" t="b">
        <f>IFERROR(match(C50,'Match Day Fees'!$B$2:$B$999,0),0)=0</f>
        <v>0</v>
      </c>
      <c r="AC50" s="73">
        <f t="shared" si="1"/>
        <v>0</v>
      </c>
      <c r="AD50" s="3" t="str">
        <f>VLOOKUP(D50,'Position Lookup'!A:B,1,FALSE)</f>
        <v>#N/A</v>
      </c>
      <c r="AE50" s="2"/>
      <c r="AF50" s="2"/>
    </row>
    <row r="51" ht="17.25" customHeight="1">
      <c r="A51" s="69">
        <v>45143.0</v>
      </c>
      <c r="B51" s="1" t="s">
        <v>222</v>
      </c>
      <c r="C51" s="1" t="s">
        <v>70</v>
      </c>
      <c r="D51" s="2"/>
      <c r="E51" s="1">
        <v>2.0</v>
      </c>
      <c r="F51" s="70" t="s">
        <v>241</v>
      </c>
      <c r="G51" s="2" t="s">
        <v>242</v>
      </c>
      <c r="H51" s="2"/>
      <c r="I51" s="2"/>
      <c r="J51" s="1"/>
      <c r="K51" s="2"/>
      <c r="L51" s="2"/>
      <c r="M51" s="2"/>
      <c r="N51" s="2" t="b">
        <v>1</v>
      </c>
      <c r="O51" s="2"/>
      <c r="P51" s="2"/>
      <c r="Q51" s="2"/>
      <c r="R51" s="2">
        <v>0.0</v>
      </c>
      <c r="S51" s="2"/>
      <c r="T51" s="2">
        <v>10.0</v>
      </c>
      <c r="U51" s="2"/>
      <c r="V51" s="2"/>
      <c r="W51" s="70"/>
      <c r="X51" s="71"/>
      <c r="AA51" s="2">
        <f>2+ (P51*'Scoring System'!$B$3)+ (IF(OR(D51="DEF",D51="GK"),N51*'Scoring System'!$B$4,IF(D51="MID",N51*'Scoring System'!$B$5,0)))+ (IF(OR(D51="DEF",D51="GK"),H51*'Scoring System'!$B$6,IF(D51="MID",H51*'Scoring System'!$B$7,IF(D51="ATT",H51*'Scoring System'!$B$8,0))))+ IF(AND(OR(D51="GK",D51="DEF"),J51&gt;=3),1*'Scoring System'!$B$9,0)+ (I51*'Scoring System'!$B$10)+ (K51*'Scoring System'!$B$11)+ (M51*'Scoring System'!$B$12)+ (L51*'Scoring System'!$B$13)+ (O51*'Scoring System'!$B$14)+ (Q51*'Scoring System'!$B$15)+ (R51*'Scoring System'!$B$16)</f>
        <v>2</v>
      </c>
      <c r="AB51" s="72" t="b">
        <f>IFERROR(match(C51,'Match Day Fees'!$B$2:$B$999,0),0)=0</f>
        <v>0</v>
      </c>
      <c r="AC51" s="73">
        <f t="shared" si="1"/>
        <v>0</v>
      </c>
      <c r="AD51" s="3" t="str">
        <f>VLOOKUP(D51,'Position Lookup'!A:B,1,FALSE)</f>
        <v>#N/A</v>
      </c>
      <c r="AE51" s="2"/>
      <c r="AF51" s="2"/>
    </row>
    <row r="52" ht="17.25" customHeight="1">
      <c r="A52" s="69">
        <v>45143.0</v>
      </c>
      <c r="B52" s="1" t="s">
        <v>222</v>
      </c>
      <c r="C52" s="2" t="s">
        <v>245</v>
      </c>
      <c r="D52" s="2"/>
      <c r="E52" s="1">
        <v>2.0</v>
      </c>
      <c r="F52" s="70" t="s">
        <v>241</v>
      </c>
      <c r="G52" s="2" t="s">
        <v>242</v>
      </c>
      <c r="H52" s="2"/>
      <c r="I52" s="2"/>
      <c r="J52" s="1"/>
      <c r="K52" s="2"/>
      <c r="L52" s="2"/>
      <c r="M52" s="2"/>
      <c r="N52" s="2" t="b">
        <v>1</v>
      </c>
      <c r="O52" s="2"/>
      <c r="P52" s="2"/>
      <c r="Q52" s="2"/>
      <c r="R52" s="2">
        <v>0.0</v>
      </c>
      <c r="S52" s="2"/>
      <c r="T52" s="2">
        <v>10.0</v>
      </c>
      <c r="U52" s="2"/>
      <c r="V52" s="2"/>
      <c r="W52" s="70"/>
      <c r="X52" s="71"/>
      <c r="AA52" s="2">
        <f>2+ (P52*'Scoring System'!$B$3)+ (IF(OR(D52="DEF",D52="GK"),N52*'Scoring System'!$B$4,IF(D52="MID",N52*'Scoring System'!$B$5,0)))+ (IF(OR(D52="DEF",D52="GK"),H52*'Scoring System'!$B$6,IF(D52="MID",H52*'Scoring System'!$B$7,IF(D52="ATT",H52*'Scoring System'!$B$8,0))))+ IF(AND(OR(D52="GK",D52="DEF"),J52&gt;=3),1*'Scoring System'!$B$9,0)+ (I52*'Scoring System'!$B$10)+ (K52*'Scoring System'!$B$11)+ (M52*'Scoring System'!$B$12)+ (L52*'Scoring System'!$B$13)+ (O52*'Scoring System'!$B$14)+ (Q52*'Scoring System'!$B$15)+ (R52*'Scoring System'!$B$16)</f>
        <v>2</v>
      </c>
      <c r="AB52" s="72" t="b">
        <f>IFERROR(match(C52,'Match Day Fees'!$B$2:$B$999,0),0)=0</f>
        <v>0</v>
      </c>
      <c r="AC52" s="73">
        <f t="shared" si="1"/>
        <v>0</v>
      </c>
      <c r="AD52" s="3" t="str">
        <f>VLOOKUP(D52,'Position Lookup'!A:B,1,FALSE)</f>
        <v>#N/A</v>
      </c>
      <c r="AE52" s="2"/>
      <c r="AF52" s="2"/>
    </row>
    <row r="53" ht="17.25" customHeight="1">
      <c r="A53" s="69">
        <v>45143.0</v>
      </c>
      <c r="B53" s="1" t="s">
        <v>222</v>
      </c>
      <c r="C53" s="1" t="s">
        <v>133</v>
      </c>
      <c r="D53" s="3" t="s">
        <v>10</v>
      </c>
      <c r="E53" s="1">
        <v>2.0</v>
      </c>
      <c r="F53" s="70" t="s">
        <v>241</v>
      </c>
      <c r="G53" s="2" t="s">
        <v>242</v>
      </c>
      <c r="H53" s="2"/>
      <c r="I53" s="2"/>
      <c r="J53" s="1"/>
      <c r="K53" s="2"/>
      <c r="L53" s="2"/>
      <c r="M53" s="2"/>
      <c r="N53" s="2" t="b">
        <v>1</v>
      </c>
      <c r="O53" s="2"/>
      <c r="P53" s="2"/>
      <c r="Q53" s="2"/>
      <c r="R53" s="2">
        <v>0.0</v>
      </c>
      <c r="S53" s="2"/>
      <c r="T53" s="2">
        <v>10.0</v>
      </c>
      <c r="U53" s="2"/>
      <c r="V53" s="2"/>
      <c r="W53" s="70"/>
      <c r="X53" s="71"/>
      <c r="AA53" s="2">
        <f>2+ (P53*'Scoring System'!$B$3)+ (IF(OR(D53="DEF",D53="GK"),N53*'Scoring System'!$B$4,IF(D53="MID",N53*'Scoring System'!$B$5,0)))+ (IF(OR(D53="DEF",D53="GK"),H53*'Scoring System'!$B$6,IF(D53="MID",H53*'Scoring System'!$B$7,IF(D53="ATT",H53*'Scoring System'!$B$8,0))))+ IF(AND(OR(D53="GK",D53="DEF"),J53&gt;=3),1*'Scoring System'!$B$9,0)+ (I53*'Scoring System'!$B$10)+ (K53*'Scoring System'!$B$11)+ (M53*'Scoring System'!$B$12)+ (L53*'Scoring System'!$B$13)+ (O53*'Scoring System'!$B$14)+ (Q53*'Scoring System'!$B$15)+ (R53*'Scoring System'!$B$16)</f>
        <v>4</v>
      </c>
      <c r="AB53" s="72" t="b">
        <f>IFERROR(match(C53,'Match Day Fees'!$B$2:$B$999,0),0)=0</f>
        <v>0</v>
      </c>
      <c r="AC53" s="73">
        <f t="shared" si="1"/>
        <v>0</v>
      </c>
      <c r="AD53" s="3" t="str">
        <f>VLOOKUP(D53,'Position Lookup'!A:B,1,FALSE)</f>
        <v>MID</v>
      </c>
    </row>
    <row r="54" ht="17.25" customHeight="1">
      <c r="A54" s="69">
        <v>45143.0</v>
      </c>
      <c r="B54" s="1" t="s">
        <v>222</v>
      </c>
      <c r="C54" s="1" t="s">
        <v>246</v>
      </c>
      <c r="D54" s="2" t="s">
        <v>10</v>
      </c>
      <c r="E54" s="1">
        <v>1.0</v>
      </c>
      <c r="F54" s="70" t="s">
        <v>238</v>
      </c>
      <c r="G54" s="2" t="s">
        <v>224</v>
      </c>
      <c r="H54" s="2"/>
      <c r="I54" s="2"/>
      <c r="J54" s="1">
        <v>0.0</v>
      </c>
      <c r="K54" s="2"/>
      <c r="L54" s="2"/>
      <c r="M54" s="2"/>
      <c r="N54" s="2" t="b">
        <v>1</v>
      </c>
      <c r="O54" s="2"/>
      <c r="P54" s="2"/>
      <c r="Q54" s="2"/>
      <c r="R54" s="2">
        <v>0.0</v>
      </c>
      <c r="S54" s="2"/>
      <c r="T54" s="2">
        <v>10.0</v>
      </c>
      <c r="U54" s="2"/>
      <c r="V54" s="2"/>
      <c r="W54" s="70"/>
      <c r="X54" s="71"/>
      <c r="AA54" s="2">
        <f>2+ (P54*'Scoring System'!$B$3)+ (IF(OR(D54="DEF",D54="GK"),N54*'Scoring System'!$B$4,IF(D54="MID",N54*'Scoring System'!$B$5,0)))+ (IF(OR(D54="DEF",D54="GK"),H54*'Scoring System'!$B$6,IF(D54="MID",H54*'Scoring System'!$B$7,IF(D54="ATT",H54*'Scoring System'!$B$8,0))))+ IF(AND(OR(D54="GK",D54="DEF"),J54&gt;=3),1*'Scoring System'!$B$9,0)+ (I54*'Scoring System'!$B$10)+ (K54*'Scoring System'!$B$11)+ (M54*'Scoring System'!$B$12)+ (L54*'Scoring System'!$B$13)+ (O54*'Scoring System'!$B$14)+ (Q54*'Scoring System'!$B$15)+ (R54*'Scoring System'!$B$16)</f>
        <v>4</v>
      </c>
      <c r="AB54" s="72" t="b">
        <f>IFERROR(match(C54,'Match Day Fees'!$B$2:$B$999,0),0)=0</f>
        <v>0</v>
      </c>
      <c r="AC54" s="73">
        <f t="shared" si="1"/>
        <v>0</v>
      </c>
      <c r="AD54" s="3" t="str">
        <f>VLOOKUP(D54,'Position Lookup'!A:B,1,FALSE)</f>
        <v>MID</v>
      </c>
    </row>
    <row r="55" ht="17.25" customHeight="1">
      <c r="A55" s="69">
        <v>45143.0</v>
      </c>
      <c r="B55" s="1" t="s">
        <v>222</v>
      </c>
      <c r="C55" s="2" t="s">
        <v>106</v>
      </c>
      <c r="D55" s="2" t="s">
        <v>8</v>
      </c>
      <c r="E55" s="1">
        <v>5.0</v>
      </c>
      <c r="F55" s="2" t="s">
        <v>247</v>
      </c>
      <c r="G55" s="2" t="s">
        <v>230</v>
      </c>
      <c r="H55" s="2"/>
      <c r="I55" s="2"/>
      <c r="J55" s="1">
        <v>2.0</v>
      </c>
      <c r="K55" s="2"/>
      <c r="L55" s="2"/>
      <c r="M55" s="2"/>
      <c r="N55" s="2" t="b">
        <v>0</v>
      </c>
      <c r="O55" s="2"/>
      <c r="P55" s="2"/>
      <c r="Q55" s="2"/>
      <c r="R55" s="2">
        <v>1.0</v>
      </c>
      <c r="S55" s="2" t="b">
        <v>1</v>
      </c>
      <c r="T55" s="2">
        <v>0.0</v>
      </c>
      <c r="U55" s="2"/>
      <c r="V55" s="2"/>
      <c r="W55" s="70"/>
      <c r="X55" s="71"/>
      <c r="AA55" s="2">
        <f>2+ (P55*'Scoring System'!$B$3)+ (IF(OR(D55="DEF",D55="GK"),N55*'Scoring System'!$B$4,IF(D55="MID",N55*'Scoring System'!$B$5,0)))+ (IF(OR(D55="DEF",D55="GK"),H55*'Scoring System'!$B$6,IF(D55="MID",H55*'Scoring System'!$B$7,IF(D55="ATT",H55*'Scoring System'!$B$8,0))))+ IF(AND(OR(D55="GK",D55="DEF"),J55&gt;=3),1*'Scoring System'!$B$9,0)+ (I55*'Scoring System'!$B$10)+ (K55*'Scoring System'!$B$11)+ (M55*'Scoring System'!$B$12)+ (L55*'Scoring System'!$B$13)+ (O55*'Scoring System'!$B$14)+ (Q55*'Scoring System'!$B$15)+ (R55*'Scoring System'!$B$16)</f>
        <v>7</v>
      </c>
      <c r="AB55" s="72" t="b">
        <f>IFERROR(match(C55,'Match Day Fees'!$B$2:$B$999,0),0)=0</f>
        <v>0</v>
      </c>
      <c r="AC55" s="73">
        <f t="shared" si="1"/>
        <v>0</v>
      </c>
      <c r="AD55" s="3" t="str">
        <f>VLOOKUP(D55,'Position Lookup'!A:B,1,FALSE)</f>
        <v>GK</v>
      </c>
      <c r="AE55" s="2"/>
      <c r="AF55" s="2"/>
    </row>
    <row r="56" ht="17.25" customHeight="1">
      <c r="A56" s="69">
        <v>45143.0</v>
      </c>
      <c r="B56" s="1" t="s">
        <v>222</v>
      </c>
      <c r="C56" s="2" t="s">
        <v>248</v>
      </c>
      <c r="D56" s="2" t="s">
        <v>11</v>
      </c>
      <c r="E56" s="1">
        <v>5.0</v>
      </c>
      <c r="F56" s="2" t="s">
        <v>247</v>
      </c>
      <c r="G56" s="2" t="s">
        <v>230</v>
      </c>
      <c r="H56" s="2"/>
      <c r="I56" s="2"/>
      <c r="J56" s="1">
        <v>2.0</v>
      </c>
      <c r="K56" s="2"/>
      <c r="L56" s="2"/>
      <c r="M56" s="2"/>
      <c r="N56" s="2" t="b">
        <v>0</v>
      </c>
      <c r="O56" s="2"/>
      <c r="P56" s="2"/>
      <c r="Q56" s="2"/>
      <c r="R56" s="2">
        <v>0.0</v>
      </c>
      <c r="S56" s="2"/>
      <c r="T56" s="2">
        <v>5.0</v>
      </c>
      <c r="U56" s="2"/>
      <c r="V56" s="2"/>
      <c r="W56" s="70"/>
      <c r="X56" s="71"/>
      <c r="AA56" s="2">
        <f>2+ (P56*'Scoring System'!$B$3)+ (IF(OR(D56="DEF",D56="GK"),N56*'Scoring System'!$B$4,IF(D56="MID",N56*'Scoring System'!$B$5,0)))+ (IF(OR(D56="DEF",D56="GK"),H56*'Scoring System'!$B$6,IF(D56="MID",H56*'Scoring System'!$B$7,IF(D56="ATT",H56*'Scoring System'!$B$8,0))))+ IF(AND(OR(D56="GK",D56="DEF"),J56&gt;=3),1*'Scoring System'!$B$9,0)+ (I56*'Scoring System'!$B$10)+ (K56*'Scoring System'!$B$11)+ (M56*'Scoring System'!$B$12)+ (L56*'Scoring System'!$B$13)+ (O56*'Scoring System'!$B$14)+ (Q56*'Scoring System'!$B$15)+ (R56*'Scoring System'!$B$16)</f>
        <v>2</v>
      </c>
      <c r="AB56" s="72" t="b">
        <f>IFERROR(match(C56,'Match Day Fees'!$B$2:$B$999,0),0)=0</f>
        <v>0</v>
      </c>
      <c r="AC56" s="73">
        <f t="shared" si="1"/>
        <v>0</v>
      </c>
      <c r="AD56" s="3" t="str">
        <f>VLOOKUP(D56,'Position Lookup'!A:B,1,FALSE)</f>
        <v>DEF</v>
      </c>
      <c r="AE56" s="2"/>
      <c r="AF56" s="2"/>
    </row>
    <row r="57" ht="17.25" customHeight="1">
      <c r="A57" s="69">
        <v>45143.0</v>
      </c>
      <c r="B57" s="1" t="s">
        <v>222</v>
      </c>
      <c r="C57" s="2" t="s">
        <v>134</v>
      </c>
      <c r="D57" s="2" t="s">
        <v>11</v>
      </c>
      <c r="E57" s="1">
        <v>5.0</v>
      </c>
      <c r="F57" s="2" t="s">
        <v>247</v>
      </c>
      <c r="G57" s="2" t="s">
        <v>230</v>
      </c>
      <c r="H57" s="2"/>
      <c r="I57" s="2"/>
      <c r="J57" s="1">
        <v>2.0</v>
      </c>
      <c r="K57" s="2"/>
      <c r="L57" s="2"/>
      <c r="M57" s="2"/>
      <c r="N57" s="2" t="b">
        <v>0</v>
      </c>
      <c r="O57" s="2"/>
      <c r="P57" s="2"/>
      <c r="Q57" s="2"/>
      <c r="R57" s="2">
        <v>0.0</v>
      </c>
      <c r="S57" s="2"/>
      <c r="T57" s="2">
        <v>5.0</v>
      </c>
      <c r="U57" s="2"/>
      <c r="V57" s="2"/>
      <c r="W57" s="70"/>
      <c r="X57" s="71"/>
      <c r="AA57" s="2">
        <f>2+ (P57*'Scoring System'!$B$3)+ (IF(OR(D57="DEF",D57="GK"),N57*'Scoring System'!$B$4,IF(D57="MID",N57*'Scoring System'!$B$5,0)))+ (IF(OR(D57="DEF",D57="GK"),H57*'Scoring System'!$B$6,IF(D57="MID",H57*'Scoring System'!$B$7,IF(D57="ATT",H57*'Scoring System'!$B$8,0))))+ IF(AND(OR(D57="GK",D57="DEF"),J57&gt;=3),1*'Scoring System'!$B$9,0)+ (I57*'Scoring System'!$B$10)+ (K57*'Scoring System'!$B$11)+ (M57*'Scoring System'!$B$12)+ (L57*'Scoring System'!$B$13)+ (O57*'Scoring System'!$B$14)+ (Q57*'Scoring System'!$B$15)+ (R57*'Scoring System'!$B$16)</f>
        <v>2</v>
      </c>
      <c r="AB57" s="72" t="b">
        <f>IFERROR(match(C57,'Match Day Fees'!$B$2:$B$999,0),0)=0</f>
        <v>0</v>
      </c>
      <c r="AC57" s="73">
        <f t="shared" si="1"/>
        <v>0</v>
      </c>
      <c r="AD57" s="3" t="str">
        <f>VLOOKUP(D57,'Position Lookup'!A:B,1,FALSE)</f>
        <v>DEF</v>
      </c>
      <c r="AE57" s="2"/>
      <c r="AF57" s="2"/>
    </row>
    <row r="58" ht="17.25" customHeight="1">
      <c r="A58" s="69">
        <v>45143.0</v>
      </c>
      <c r="B58" s="1" t="s">
        <v>222</v>
      </c>
      <c r="C58" s="2" t="s">
        <v>249</v>
      </c>
      <c r="D58" s="2" t="s">
        <v>11</v>
      </c>
      <c r="E58" s="1">
        <v>5.0</v>
      </c>
      <c r="F58" s="2" t="s">
        <v>247</v>
      </c>
      <c r="G58" s="2" t="s">
        <v>230</v>
      </c>
      <c r="H58" s="2"/>
      <c r="I58" s="2"/>
      <c r="J58" s="1">
        <v>2.0</v>
      </c>
      <c r="K58" s="2"/>
      <c r="L58" s="2"/>
      <c r="M58" s="2"/>
      <c r="N58" s="2" t="b">
        <v>0</v>
      </c>
      <c r="O58" s="2"/>
      <c r="P58" s="2"/>
      <c r="Q58" s="2"/>
      <c r="R58" s="2">
        <v>0.0</v>
      </c>
      <c r="S58" s="2"/>
      <c r="T58" s="2">
        <v>10.0</v>
      </c>
      <c r="U58" s="2"/>
      <c r="V58" s="2"/>
      <c r="W58" s="70"/>
      <c r="X58" s="71"/>
      <c r="AA58" s="2">
        <f>2+ (P58*'Scoring System'!$B$3)+ (IF(OR(D58="DEF",D58="GK"),N58*'Scoring System'!$B$4,IF(D58="MID",N58*'Scoring System'!$B$5,0)))+ (IF(OR(D58="DEF",D58="GK"),H58*'Scoring System'!$B$6,IF(D58="MID",H58*'Scoring System'!$B$7,IF(D58="ATT",H58*'Scoring System'!$B$8,0))))+ IF(AND(OR(D58="GK",D58="DEF"),J58&gt;=3),1*'Scoring System'!$B$9,0)+ (I58*'Scoring System'!$B$10)+ (K58*'Scoring System'!$B$11)+ (M58*'Scoring System'!$B$12)+ (L58*'Scoring System'!$B$13)+ (O58*'Scoring System'!$B$14)+ (Q58*'Scoring System'!$B$15)+ (R58*'Scoring System'!$B$16)</f>
        <v>2</v>
      </c>
      <c r="AB58" s="72" t="b">
        <f>IFERROR(match(C58,'Match Day Fees'!$B$2:$B$999,0),0)=0</f>
        <v>0</v>
      </c>
      <c r="AC58" s="73">
        <f t="shared" si="1"/>
        <v>0</v>
      </c>
      <c r="AD58" s="3" t="str">
        <f>VLOOKUP(D58,'Position Lookup'!A:B,1,FALSE)</f>
        <v>DEF</v>
      </c>
      <c r="AE58" s="2"/>
      <c r="AF58" s="2"/>
    </row>
    <row r="59" ht="17.25" customHeight="1">
      <c r="A59" s="69">
        <v>45143.0</v>
      </c>
      <c r="B59" s="1" t="s">
        <v>222</v>
      </c>
      <c r="C59" s="1" t="s">
        <v>250</v>
      </c>
      <c r="D59" s="2" t="s">
        <v>11</v>
      </c>
      <c r="E59" s="1">
        <v>5.0</v>
      </c>
      <c r="F59" s="2" t="s">
        <v>247</v>
      </c>
      <c r="G59" s="2" t="s">
        <v>230</v>
      </c>
      <c r="H59" s="2"/>
      <c r="I59" s="2"/>
      <c r="J59" s="1">
        <v>2.0</v>
      </c>
      <c r="K59" s="2"/>
      <c r="L59" s="2"/>
      <c r="M59" s="2"/>
      <c r="N59" s="2" t="b">
        <v>0</v>
      </c>
      <c r="O59" s="2"/>
      <c r="P59" s="2"/>
      <c r="Q59" s="2"/>
      <c r="R59" s="2">
        <v>0.0</v>
      </c>
      <c r="S59" s="2"/>
      <c r="T59" s="2">
        <v>10.0</v>
      </c>
      <c r="U59" s="2"/>
      <c r="V59" s="2"/>
      <c r="W59" s="70"/>
      <c r="X59" s="71"/>
      <c r="AA59" s="2">
        <f>2+ (P59*'Scoring System'!$B$3)+ (IF(OR(D59="DEF",D59="GK"),N59*'Scoring System'!$B$4,IF(D59="MID",N59*'Scoring System'!$B$5,0)))+ (IF(OR(D59="DEF",D59="GK"),H59*'Scoring System'!$B$6,IF(D59="MID",H59*'Scoring System'!$B$7,IF(D59="ATT",H59*'Scoring System'!$B$8,0))))+ IF(AND(OR(D59="GK",D59="DEF"),J59&gt;=3),1*'Scoring System'!$B$9,0)+ (I59*'Scoring System'!$B$10)+ (K59*'Scoring System'!$B$11)+ (M59*'Scoring System'!$B$12)+ (L59*'Scoring System'!$B$13)+ (O59*'Scoring System'!$B$14)+ (Q59*'Scoring System'!$B$15)+ (R59*'Scoring System'!$B$16)</f>
        <v>2</v>
      </c>
      <c r="AB59" s="72" t="b">
        <f>IFERROR(match(C59,'Match Day Fees'!$B$2:$B$999,0),0)=0</f>
        <v>0</v>
      </c>
      <c r="AC59" s="73">
        <f t="shared" si="1"/>
        <v>0</v>
      </c>
      <c r="AD59" s="3" t="str">
        <f>VLOOKUP(D59,'Position Lookup'!A:B,1,FALSE)</f>
        <v>DEF</v>
      </c>
      <c r="AE59" s="2"/>
      <c r="AF59" s="2"/>
    </row>
    <row r="60" ht="17.25" customHeight="1">
      <c r="A60" s="69">
        <v>45143.0</v>
      </c>
      <c r="B60" s="1" t="s">
        <v>222</v>
      </c>
      <c r="C60" s="2" t="s">
        <v>251</v>
      </c>
      <c r="D60" s="2" t="s">
        <v>10</v>
      </c>
      <c r="E60" s="1">
        <v>5.0</v>
      </c>
      <c r="F60" s="2" t="s">
        <v>247</v>
      </c>
      <c r="G60" s="2" t="s">
        <v>230</v>
      </c>
      <c r="H60" s="2"/>
      <c r="I60" s="2"/>
      <c r="J60" s="1">
        <v>2.0</v>
      </c>
      <c r="K60" s="2"/>
      <c r="L60" s="2"/>
      <c r="M60" s="2"/>
      <c r="N60" s="2" t="b">
        <v>0</v>
      </c>
      <c r="O60" s="2"/>
      <c r="P60" s="2"/>
      <c r="Q60" s="2"/>
      <c r="R60" s="2">
        <v>0.0</v>
      </c>
      <c r="S60" s="2"/>
      <c r="T60" s="2">
        <v>10.0</v>
      </c>
      <c r="U60" s="2"/>
      <c r="V60" s="2"/>
      <c r="W60" s="70"/>
      <c r="X60" s="71"/>
      <c r="AA60" s="2">
        <f>2+ (P60*'Scoring System'!$B$3)+ (IF(OR(D60="DEF",D60="GK"),N60*'Scoring System'!$B$4,IF(D60="MID",N60*'Scoring System'!$B$5,0)))+ (IF(OR(D60="DEF",D60="GK"),H60*'Scoring System'!$B$6,IF(D60="MID",H60*'Scoring System'!$B$7,IF(D60="ATT",H60*'Scoring System'!$B$8,0))))+ IF(AND(OR(D60="GK",D60="DEF"),J60&gt;=3),1*'Scoring System'!$B$9,0)+ (I60*'Scoring System'!$B$10)+ (K60*'Scoring System'!$B$11)+ (M60*'Scoring System'!$B$12)+ (L60*'Scoring System'!$B$13)+ (O60*'Scoring System'!$B$14)+ (Q60*'Scoring System'!$B$15)+ (R60*'Scoring System'!$B$16)</f>
        <v>2</v>
      </c>
      <c r="AB60" s="72" t="b">
        <f>IFERROR(match(C60,'Match Day Fees'!$B$2:$B$999,0),0)=0</f>
        <v>0</v>
      </c>
      <c r="AC60" s="73">
        <f t="shared" si="1"/>
        <v>0</v>
      </c>
      <c r="AD60" s="3" t="str">
        <f>VLOOKUP(D60,'Position Lookup'!A:B,1,FALSE)</f>
        <v>MID</v>
      </c>
      <c r="AE60" s="2"/>
      <c r="AF60" s="2"/>
    </row>
    <row r="61" ht="17.25" customHeight="1">
      <c r="A61" s="69">
        <v>45143.0</v>
      </c>
      <c r="B61" s="1" t="s">
        <v>222</v>
      </c>
      <c r="C61" s="2" t="s">
        <v>252</v>
      </c>
      <c r="D61" s="2" t="s">
        <v>10</v>
      </c>
      <c r="E61" s="1">
        <v>5.0</v>
      </c>
      <c r="F61" s="2" t="s">
        <v>247</v>
      </c>
      <c r="G61" s="2" t="s">
        <v>230</v>
      </c>
      <c r="H61" s="2"/>
      <c r="I61" s="2"/>
      <c r="J61" s="1">
        <v>2.0</v>
      </c>
      <c r="K61" s="2"/>
      <c r="L61" s="2"/>
      <c r="M61" s="2"/>
      <c r="N61" s="2" t="b">
        <v>0</v>
      </c>
      <c r="O61" s="2"/>
      <c r="P61" s="2"/>
      <c r="Q61" s="2"/>
      <c r="R61" s="2">
        <v>0.0</v>
      </c>
      <c r="S61" s="2"/>
      <c r="T61" s="2">
        <v>10.0</v>
      </c>
      <c r="U61" s="2"/>
      <c r="V61" s="2"/>
      <c r="W61" s="70"/>
      <c r="X61" s="71"/>
      <c r="AA61" s="2">
        <f>2+ (P61*'Scoring System'!$B$3)+ (IF(OR(D61="DEF",D61="GK"),N61*'Scoring System'!$B$4,IF(D61="MID",N61*'Scoring System'!$B$5,0)))+ (IF(OR(D61="DEF",D61="GK"),H61*'Scoring System'!$B$6,IF(D61="MID",H61*'Scoring System'!$B$7,IF(D61="ATT",H61*'Scoring System'!$B$8,0))))+ IF(AND(OR(D61="GK",D61="DEF"),J61&gt;=3),1*'Scoring System'!$B$9,0)+ (I61*'Scoring System'!$B$10)+ (K61*'Scoring System'!$B$11)+ (M61*'Scoring System'!$B$12)+ (L61*'Scoring System'!$B$13)+ (O61*'Scoring System'!$B$14)+ (Q61*'Scoring System'!$B$15)+ (R61*'Scoring System'!$B$16)</f>
        <v>2</v>
      </c>
      <c r="AB61" s="72" t="b">
        <f>IFERROR(match(C61,'Match Day Fees'!$B$2:$B$999,0),0)=0</f>
        <v>0</v>
      </c>
      <c r="AC61" s="73">
        <f t="shared" si="1"/>
        <v>0</v>
      </c>
      <c r="AD61" s="3" t="str">
        <f>VLOOKUP(D61,'Position Lookup'!A:B,1,FALSE)</f>
        <v>MID</v>
      </c>
      <c r="AE61" s="2"/>
      <c r="AF61" s="2"/>
    </row>
    <row r="62" ht="17.25" customHeight="1">
      <c r="A62" s="69">
        <v>45143.0</v>
      </c>
      <c r="B62" s="1" t="s">
        <v>222</v>
      </c>
      <c r="C62" s="2" t="s">
        <v>150</v>
      </c>
      <c r="D62" s="2" t="s">
        <v>10</v>
      </c>
      <c r="E62" s="1">
        <v>5.0</v>
      </c>
      <c r="F62" s="2" t="s">
        <v>247</v>
      </c>
      <c r="G62" s="2" t="s">
        <v>230</v>
      </c>
      <c r="H62" s="2"/>
      <c r="I62" s="2"/>
      <c r="J62" s="1">
        <v>2.0</v>
      </c>
      <c r="K62" s="2"/>
      <c r="L62" s="2"/>
      <c r="M62" s="2"/>
      <c r="N62" s="2" t="b">
        <v>0</v>
      </c>
      <c r="O62" s="2"/>
      <c r="P62" s="2"/>
      <c r="Q62" s="2"/>
      <c r="R62" s="2">
        <v>0.0</v>
      </c>
      <c r="S62" s="2"/>
      <c r="T62" s="2">
        <v>10.0</v>
      </c>
      <c r="U62" s="2"/>
      <c r="V62" s="2"/>
      <c r="W62" s="70"/>
      <c r="X62" s="71"/>
      <c r="AA62" s="2">
        <f>2+ (P62*'Scoring System'!$B$3)+ (IF(OR(D62="DEF",D62="GK"),N62*'Scoring System'!$B$4,IF(D62="MID",N62*'Scoring System'!$B$5,0)))+ (IF(OR(D62="DEF",D62="GK"),H62*'Scoring System'!$B$6,IF(D62="MID",H62*'Scoring System'!$B$7,IF(D62="ATT",H62*'Scoring System'!$B$8,0))))+ IF(AND(OR(D62="GK",D62="DEF"),J62&gt;=3),1*'Scoring System'!$B$9,0)+ (I62*'Scoring System'!$B$10)+ (K62*'Scoring System'!$B$11)+ (M62*'Scoring System'!$B$12)+ (L62*'Scoring System'!$B$13)+ (O62*'Scoring System'!$B$14)+ (Q62*'Scoring System'!$B$15)+ (R62*'Scoring System'!$B$16)</f>
        <v>2</v>
      </c>
      <c r="AB62" s="72" t="b">
        <f>IFERROR(match(C62,'Match Day Fees'!$B$2:$B$999,0),0)=0</f>
        <v>0</v>
      </c>
      <c r="AC62" s="73">
        <f t="shared" si="1"/>
        <v>0</v>
      </c>
      <c r="AD62" s="3" t="str">
        <f>VLOOKUP(D62,'Position Lookup'!A:B,1,FALSE)</f>
        <v>MID</v>
      </c>
      <c r="AE62" s="2"/>
      <c r="AF62" s="2"/>
    </row>
    <row r="63" ht="17.25" customHeight="1">
      <c r="A63" s="69">
        <v>45143.0</v>
      </c>
      <c r="B63" s="1" t="s">
        <v>222</v>
      </c>
      <c r="C63" s="2" t="s">
        <v>253</v>
      </c>
      <c r="D63" s="2" t="s">
        <v>9</v>
      </c>
      <c r="E63" s="1">
        <v>5.0</v>
      </c>
      <c r="F63" s="2" t="s">
        <v>247</v>
      </c>
      <c r="G63" s="2" t="s">
        <v>230</v>
      </c>
      <c r="H63" s="2"/>
      <c r="I63" s="2"/>
      <c r="J63" s="1">
        <v>2.0</v>
      </c>
      <c r="K63" s="2"/>
      <c r="L63" s="2"/>
      <c r="M63" s="2"/>
      <c r="N63" s="2" t="b">
        <v>0</v>
      </c>
      <c r="O63" s="2"/>
      <c r="P63" s="2"/>
      <c r="Q63" s="2"/>
      <c r="R63" s="2">
        <v>0.0</v>
      </c>
      <c r="S63" s="2"/>
      <c r="T63" s="2">
        <v>10.0</v>
      </c>
      <c r="U63" s="2"/>
      <c r="V63" s="2"/>
      <c r="W63" s="70"/>
      <c r="X63" s="71"/>
      <c r="AA63" s="2">
        <f>2+ (P63*'Scoring System'!$B$3)+ (IF(OR(D63="DEF",D63="GK"),N63*'Scoring System'!$B$4,IF(D63="MID",N63*'Scoring System'!$B$5,0)))+ (IF(OR(D63="DEF",D63="GK"),H63*'Scoring System'!$B$6,IF(D63="MID",H63*'Scoring System'!$B$7,IF(D63="ATT",H63*'Scoring System'!$B$8,0))))+ IF(AND(OR(D63="GK",D63="DEF"),J63&gt;=3),1*'Scoring System'!$B$9,0)+ (I63*'Scoring System'!$B$10)+ (K63*'Scoring System'!$B$11)+ (M63*'Scoring System'!$B$12)+ (L63*'Scoring System'!$B$13)+ (O63*'Scoring System'!$B$14)+ (Q63*'Scoring System'!$B$15)+ (R63*'Scoring System'!$B$16)</f>
        <v>2</v>
      </c>
      <c r="AB63" s="72" t="b">
        <f>IFERROR(match(C63,'Match Day Fees'!$B$2:$B$999,0),0)=0</f>
        <v>0</v>
      </c>
      <c r="AC63" s="73">
        <f t="shared" si="1"/>
        <v>0</v>
      </c>
      <c r="AD63" s="3" t="str">
        <f>VLOOKUP(D63,'Position Lookup'!A:B,1,FALSE)</f>
        <v>ATT</v>
      </c>
      <c r="AE63" s="2"/>
      <c r="AF63" s="2"/>
    </row>
    <row r="64" ht="17.25" customHeight="1">
      <c r="A64" s="69">
        <v>45143.0</v>
      </c>
      <c r="B64" s="1" t="s">
        <v>222</v>
      </c>
      <c r="C64" s="2" t="s">
        <v>131</v>
      </c>
      <c r="D64" s="2" t="s">
        <v>9</v>
      </c>
      <c r="E64" s="1">
        <v>5.0</v>
      </c>
      <c r="F64" s="2" t="s">
        <v>247</v>
      </c>
      <c r="G64" s="2" t="s">
        <v>230</v>
      </c>
      <c r="H64" s="2"/>
      <c r="I64" s="2"/>
      <c r="J64" s="1">
        <v>2.0</v>
      </c>
      <c r="K64" s="2"/>
      <c r="L64" s="2"/>
      <c r="M64" s="2"/>
      <c r="N64" s="2" t="b">
        <v>0</v>
      </c>
      <c r="O64" s="2"/>
      <c r="P64" s="2"/>
      <c r="Q64" s="2"/>
      <c r="R64" s="2">
        <v>0.0</v>
      </c>
      <c r="S64" s="2"/>
      <c r="T64" s="2">
        <v>10.0</v>
      </c>
      <c r="U64" s="2"/>
      <c r="V64" s="2"/>
      <c r="W64" s="70"/>
      <c r="X64" s="71"/>
      <c r="AA64" s="2">
        <f>2+ (P64*'Scoring System'!$B$3)+ (IF(OR(D64="DEF",D64="GK"),N64*'Scoring System'!$B$4,IF(D64="MID",N64*'Scoring System'!$B$5,0)))+ (IF(OR(D64="DEF",D64="GK"),H64*'Scoring System'!$B$6,IF(D64="MID",H64*'Scoring System'!$B$7,IF(D64="ATT",H64*'Scoring System'!$B$8,0))))+ IF(AND(OR(D64="GK",D64="DEF"),J64&gt;=3),1*'Scoring System'!$B$9,0)+ (I64*'Scoring System'!$B$10)+ (K64*'Scoring System'!$B$11)+ (M64*'Scoring System'!$B$12)+ (L64*'Scoring System'!$B$13)+ (O64*'Scoring System'!$B$14)+ (Q64*'Scoring System'!$B$15)+ (R64*'Scoring System'!$B$16)</f>
        <v>2</v>
      </c>
      <c r="AB64" s="72" t="b">
        <f>IFERROR(match(C64,'Match Day Fees'!$B$2:$B$999,0),0)=0</f>
        <v>0</v>
      </c>
      <c r="AC64" s="73">
        <f t="shared" si="1"/>
        <v>0</v>
      </c>
      <c r="AD64" s="3" t="str">
        <f>VLOOKUP(D64,'Position Lookup'!A:B,1,FALSE)</f>
        <v>ATT</v>
      </c>
      <c r="AE64" s="2"/>
      <c r="AF64" s="2"/>
    </row>
    <row r="65" ht="17.25" customHeight="1">
      <c r="A65" s="32">
        <v>45150.0</v>
      </c>
      <c r="B65" s="1" t="s">
        <v>222</v>
      </c>
      <c r="C65" s="3" t="s">
        <v>254</v>
      </c>
      <c r="D65" s="3" t="s">
        <v>8</v>
      </c>
      <c r="E65" s="5">
        <v>3.0</v>
      </c>
      <c r="F65" s="74" t="s">
        <v>255</v>
      </c>
      <c r="G65" s="3" t="s">
        <v>242</v>
      </c>
      <c r="J65" s="5">
        <v>3.0</v>
      </c>
      <c r="N65" s="3" t="b">
        <v>0</v>
      </c>
      <c r="R65" s="3">
        <v>0.0</v>
      </c>
      <c r="S65" s="3" t="b">
        <v>1</v>
      </c>
      <c r="T65" s="3">
        <v>10.0</v>
      </c>
      <c r="U65" s="2"/>
      <c r="V65" s="2"/>
      <c r="W65" s="70"/>
      <c r="X65" s="71"/>
      <c r="AA65" s="2">
        <f>2+ (P65*'Scoring System'!$B$3)+ (IF(OR(D65="DEF",D65="GK"),N65*'Scoring System'!$B$4,IF(D65="MID",N65*'Scoring System'!$B$5,0)))+ (IF(OR(D65="DEF",D65="GK"),H65*'Scoring System'!$B$6,IF(D65="MID",H65*'Scoring System'!$B$7,IF(D65="ATT",H65*'Scoring System'!$B$8,0))))+ IF(AND(OR(D65="GK",D65="DEF"),J65&gt;=3),1*'Scoring System'!$B$9,0)+ (I65*'Scoring System'!$B$10)+ (K65*'Scoring System'!$B$11)+ (M65*'Scoring System'!$B$12)+ (L65*'Scoring System'!$B$13)+ (O65*'Scoring System'!$B$14)+ (Q65*'Scoring System'!$B$15)+ (R65*'Scoring System'!$B$16)</f>
        <v>1</v>
      </c>
      <c r="AB65" s="72" t="b">
        <f>IFERROR(match(C65,'Match Day Fees'!$B$2:$B$999,0),0)=0</f>
        <v>0</v>
      </c>
      <c r="AC65" s="73">
        <f t="shared" si="1"/>
        <v>0</v>
      </c>
      <c r="AD65" s="3" t="str">
        <f>VLOOKUP(D65,'Position Lookup'!A:B,1,FALSE)</f>
        <v>GK</v>
      </c>
    </row>
    <row r="66" ht="17.25" customHeight="1">
      <c r="A66" s="32">
        <v>45150.0</v>
      </c>
      <c r="B66" s="1" t="s">
        <v>222</v>
      </c>
      <c r="C66" s="3" t="s">
        <v>116</v>
      </c>
      <c r="D66" s="3" t="s">
        <v>11</v>
      </c>
      <c r="E66" s="5">
        <v>3.0</v>
      </c>
      <c r="F66" s="74" t="s">
        <v>255</v>
      </c>
      <c r="G66" s="3" t="s">
        <v>242</v>
      </c>
      <c r="J66" s="5">
        <v>3.0</v>
      </c>
      <c r="N66" s="3" t="b">
        <v>0</v>
      </c>
      <c r="R66" s="3">
        <v>0.0</v>
      </c>
      <c r="T66" s="3">
        <v>10.0</v>
      </c>
      <c r="U66" s="2"/>
      <c r="V66" s="2"/>
      <c r="W66" s="70"/>
      <c r="X66" s="71"/>
      <c r="AA66" s="2">
        <f>2+ (P66*'Scoring System'!$B$3)+ (IF(OR(D66="DEF",D66="GK"),N66*'Scoring System'!$B$4,IF(D66="MID",N66*'Scoring System'!$B$5,0)))+ (IF(OR(D66="DEF",D66="GK"),H66*'Scoring System'!$B$6,IF(D66="MID",H66*'Scoring System'!$B$7,IF(D66="ATT",H66*'Scoring System'!$B$8,0))))+ IF(AND(OR(D66="GK",D66="DEF"),J66&gt;=3),1*'Scoring System'!$B$9,0)+ (I66*'Scoring System'!$B$10)+ (K66*'Scoring System'!$B$11)+ (M66*'Scoring System'!$B$12)+ (L66*'Scoring System'!$B$13)+ (O66*'Scoring System'!$B$14)+ (Q66*'Scoring System'!$B$15)+ (R66*'Scoring System'!$B$16)</f>
        <v>1</v>
      </c>
      <c r="AB66" s="72" t="b">
        <f>IFERROR(match(C66,'Match Day Fees'!$B$2:$B$999,0),0)=0</f>
        <v>0</v>
      </c>
      <c r="AC66" s="73">
        <f t="shared" si="1"/>
        <v>0</v>
      </c>
      <c r="AD66" s="3" t="str">
        <f>VLOOKUP(D66,'Position Lookup'!A:B,1,FALSE)</f>
        <v>DEF</v>
      </c>
    </row>
    <row r="67" ht="17.25" customHeight="1">
      <c r="A67" s="32">
        <v>45150.0</v>
      </c>
      <c r="B67" s="1" t="s">
        <v>222</v>
      </c>
      <c r="C67" s="3" t="s">
        <v>134</v>
      </c>
      <c r="D67" s="3" t="s">
        <v>11</v>
      </c>
      <c r="E67" s="5">
        <v>3.0</v>
      </c>
      <c r="F67" s="74" t="s">
        <v>255</v>
      </c>
      <c r="G67" s="3" t="s">
        <v>242</v>
      </c>
      <c r="J67" s="5">
        <v>3.0</v>
      </c>
      <c r="N67" s="3" t="b">
        <v>0</v>
      </c>
      <c r="R67" s="3">
        <v>0.0</v>
      </c>
      <c r="T67" s="3">
        <v>5.0</v>
      </c>
      <c r="U67" s="2"/>
      <c r="V67" s="2"/>
      <c r="W67" s="70"/>
      <c r="X67" s="71"/>
      <c r="AA67" s="2">
        <f>2+ (P67*'Scoring System'!$B$3)+ (IF(OR(D67="DEF",D67="GK"),N67*'Scoring System'!$B$4,IF(D67="MID",N67*'Scoring System'!$B$5,0)))+ (IF(OR(D67="DEF",D67="GK"),H67*'Scoring System'!$B$6,IF(D67="MID",H67*'Scoring System'!$B$7,IF(D67="ATT",H67*'Scoring System'!$B$8,0))))+ IF(AND(OR(D67="GK",D67="DEF"),J67&gt;=3),1*'Scoring System'!$B$9,0)+ (I67*'Scoring System'!$B$10)+ (K67*'Scoring System'!$B$11)+ (M67*'Scoring System'!$B$12)+ (L67*'Scoring System'!$B$13)+ (O67*'Scoring System'!$B$14)+ (Q67*'Scoring System'!$B$15)+ (R67*'Scoring System'!$B$16)</f>
        <v>1</v>
      </c>
      <c r="AB67" s="72" t="b">
        <f>IFERROR(match(C67,'Match Day Fees'!$B$2:$B$999,0),0)=0</f>
        <v>0</v>
      </c>
      <c r="AC67" s="73">
        <f t="shared" si="1"/>
        <v>0</v>
      </c>
      <c r="AD67" s="3" t="str">
        <f>VLOOKUP(D67,'Position Lookup'!A:B,1,FALSE)</f>
        <v>DEF</v>
      </c>
    </row>
    <row r="68" ht="17.25" customHeight="1">
      <c r="A68" s="32">
        <v>45150.0</v>
      </c>
      <c r="B68" s="1" t="s">
        <v>222</v>
      </c>
      <c r="C68" s="3" t="s">
        <v>39</v>
      </c>
      <c r="D68" s="3" t="s">
        <v>10</v>
      </c>
      <c r="E68" s="5">
        <v>3.0</v>
      </c>
      <c r="F68" s="74" t="s">
        <v>255</v>
      </c>
      <c r="G68" s="3" t="s">
        <v>242</v>
      </c>
      <c r="J68" s="5">
        <v>3.0</v>
      </c>
      <c r="N68" s="3" t="b">
        <v>0</v>
      </c>
      <c r="R68" s="3">
        <v>0.0</v>
      </c>
      <c r="T68" s="3">
        <v>10.0</v>
      </c>
      <c r="U68" s="2"/>
      <c r="V68" s="2"/>
      <c r="W68" s="70"/>
      <c r="X68" s="71"/>
      <c r="AA68" s="2">
        <f>2+ (P68*'Scoring System'!$B$3)+ (IF(OR(D68="DEF",D68="GK"),N68*'Scoring System'!$B$4,IF(D68="MID",N68*'Scoring System'!$B$5,0)))+ (IF(OR(D68="DEF",D68="GK"),H68*'Scoring System'!$B$6,IF(D68="MID",H68*'Scoring System'!$B$7,IF(D68="ATT",H68*'Scoring System'!$B$8,0))))+ IF(AND(OR(D68="GK",D68="DEF"),J68&gt;=3),1*'Scoring System'!$B$9,0)+ (I68*'Scoring System'!$B$10)+ (K68*'Scoring System'!$B$11)+ (M68*'Scoring System'!$B$12)+ (L68*'Scoring System'!$B$13)+ (O68*'Scoring System'!$B$14)+ (Q68*'Scoring System'!$B$15)+ (R68*'Scoring System'!$B$16)</f>
        <v>2</v>
      </c>
      <c r="AB68" s="72" t="b">
        <f>IFERROR(match(C68,'Match Day Fees'!$B$2:$B$999,0),0)=0</f>
        <v>0</v>
      </c>
      <c r="AC68" s="73">
        <f t="shared" si="1"/>
        <v>0</v>
      </c>
      <c r="AD68" s="3" t="str">
        <f>VLOOKUP(D68,'Position Lookup'!A:B,1,FALSE)</f>
        <v>MID</v>
      </c>
    </row>
    <row r="69" ht="17.25" customHeight="1">
      <c r="A69" s="32">
        <v>45150.0</v>
      </c>
      <c r="B69" s="1" t="s">
        <v>222</v>
      </c>
      <c r="C69" s="3" t="s">
        <v>151</v>
      </c>
      <c r="D69" s="3" t="s">
        <v>10</v>
      </c>
      <c r="E69" s="5">
        <v>3.0</v>
      </c>
      <c r="F69" s="74" t="s">
        <v>255</v>
      </c>
      <c r="G69" s="3" t="s">
        <v>242</v>
      </c>
      <c r="I69" s="3">
        <v>1.0</v>
      </c>
      <c r="J69" s="5">
        <v>3.0</v>
      </c>
      <c r="N69" s="3" t="b">
        <v>0</v>
      </c>
      <c r="R69" s="3">
        <v>1.0</v>
      </c>
      <c r="T69" s="3">
        <v>5.0</v>
      </c>
      <c r="U69" s="2"/>
      <c r="V69" s="2"/>
      <c r="W69" s="70"/>
      <c r="X69" s="71"/>
      <c r="AA69" s="2">
        <f>2+ (P69*'Scoring System'!$B$3)+ (IF(OR(D69="DEF",D69="GK"),N69*'Scoring System'!$B$4,IF(D69="MID",N69*'Scoring System'!$B$5,0)))+ (IF(OR(D69="DEF",D69="GK"),H69*'Scoring System'!$B$6,IF(D69="MID",H69*'Scoring System'!$B$7,IF(D69="ATT",H69*'Scoring System'!$B$8,0))))+ IF(AND(OR(D69="GK",D69="DEF"),J69&gt;=3),1*'Scoring System'!$B$9,0)+ (I69*'Scoring System'!$B$10)+ (K69*'Scoring System'!$B$11)+ (M69*'Scoring System'!$B$12)+ (L69*'Scoring System'!$B$13)+ (O69*'Scoring System'!$B$14)+ (Q69*'Scoring System'!$B$15)+ (R69*'Scoring System'!$B$16)</f>
        <v>10</v>
      </c>
      <c r="AB69" s="72" t="b">
        <f>IFERROR(match(C69,'Match Day Fees'!$B$2:$B$999,0),0)=0</f>
        <v>0</v>
      </c>
      <c r="AC69" s="73">
        <f t="shared" si="1"/>
        <v>0</v>
      </c>
      <c r="AD69" s="3" t="str">
        <f>VLOOKUP(D69,'Position Lookup'!A:B,1,FALSE)</f>
        <v>MID</v>
      </c>
    </row>
    <row r="70" ht="17.25" customHeight="1">
      <c r="A70" s="32">
        <v>45150.0</v>
      </c>
      <c r="B70" s="1" t="s">
        <v>222</v>
      </c>
      <c r="C70" s="3" t="s">
        <v>256</v>
      </c>
      <c r="D70" s="3" t="s">
        <v>11</v>
      </c>
      <c r="E70" s="5">
        <v>3.0</v>
      </c>
      <c r="F70" s="74" t="s">
        <v>255</v>
      </c>
      <c r="G70" s="3" t="s">
        <v>242</v>
      </c>
      <c r="J70" s="5">
        <v>3.0</v>
      </c>
      <c r="N70" s="3" t="b">
        <v>0</v>
      </c>
      <c r="R70" s="3">
        <v>0.0</v>
      </c>
      <c r="T70" s="5">
        <v>5.0</v>
      </c>
      <c r="U70" s="2"/>
      <c r="V70" s="2"/>
      <c r="W70" s="70"/>
      <c r="X70" s="71"/>
      <c r="AA70" s="2">
        <f>2+ (P70*'Scoring System'!$B$3)+ (IF(OR(D70="DEF",D70="GK"),N70*'Scoring System'!$B$4,IF(D70="MID",N70*'Scoring System'!$B$5,0)))+ (IF(OR(D70="DEF",D70="GK"),H70*'Scoring System'!$B$6,IF(D70="MID",H70*'Scoring System'!$B$7,IF(D70="ATT",H70*'Scoring System'!$B$8,0))))+ IF(AND(OR(D70="GK",D70="DEF"),J70&gt;=3),1*'Scoring System'!$B$9,0)+ (I70*'Scoring System'!$B$10)+ (K70*'Scoring System'!$B$11)+ (M70*'Scoring System'!$B$12)+ (L70*'Scoring System'!$B$13)+ (O70*'Scoring System'!$B$14)+ (Q70*'Scoring System'!$B$15)+ (R70*'Scoring System'!$B$16)</f>
        <v>1</v>
      </c>
      <c r="AB70" s="72" t="b">
        <f>IFERROR(match(C70,'Match Day Fees'!$B$2:$B$999,0),0)=0</f>
        <v>0</v>
      </c>
      <c r="AC70" s="73">
        <f t="shared" si="1"/>
        <v>0</v>
      </c>
      <c r="AD70" s="3" t="str">
        <f>VLOOKUP(D70,'Position Lookup'!A:B,1,FALSE)</f>
        <v>DEF</v>
      </c>
    </row>
    <row r="71" ht="17.25" customHeight="1">
      <c r="A71" s="32">
        <v>45150.0</v>
      </c>
      <c r="B71" s="1" t="s">
        <v>222</v>
      </c>
      <c r="C71" s="3" t="s">
        <v>133</v>
      </c>
      <c r="D71" s="3" t="s">
        <v>11</v>
      </c>
      <c r="E71" s="5">
        <v>3.0</v>
      </c>
      <c r="F71" s="74" t="s">
        <v>255</v>
      </c>
      <c r="G71" s="3" t="s">
        <v>242</v>
      </c>
      <c r="J71" s="5">
        <v>3.0</v>
      </c>
      <c r="N71" s="3" t="b">
        <v>0</v>
      </c>
      <c r="R71" s="3">
        <v>0.0</v>
      </c>
      <c r="T71" s="3">
        <v>10.0</v>
      </c>
      <c r="U71" s="2"/>
      <c r="V71" s="2"/>
      <c r="W71" s="70"/>
      <c r="X71" s="71"/>
      <c r="AA71" s="2">
        <f>2+ (P71*'Scoring System'!$B$3)+ (IF(OR(D71="DEF",D71="GK"),N71*'Scoring System'!$B$4,IF(D71="MID",N71*'Scoring System'!$B$5,0)))+ (IF(OR(D71="DEF",D71="GK"),H71*'Scoring System'!$B$6,IF(D71="MID",H71*'Scoring System'!$B$7,IF(D71="ATT",H71*'Scoring System'!$B$8,0))))+ IF(AND(OR(D71="GK",D71="DEF"),J71&gt;=3),1*'Scoring System'!$B$9,0)+ (I71*'Scoring System'!$B$10)+ (K71*'Scoring System'!$B$11)+ (M71*'Scoring System'!$B$12)+ (L71*'Scoring System'!$B$13)+ (O71*'Scoring System'!$B$14)+ (Q71*'Scoring System'!$B$15)+ (R71*'Scoring System'!$B$16)</f>
        <v>1</v>
      </c>
      <c r="AB71" s="72" t="b">
        <f>IFERROR(match(C71,'Match Day Fees'!$B$2:$B$999,0),0)=0</f>
        <v>0</v>
      </c>
      <c r="AC71" s="73">
        <f t="shared" si="1"/>
        <v>0</v>
      </c>
      <c r="AD71" s="3" t="str">
        <f>VLOOKUP(D71,'Position Lookup'!A:B,1,FALSE)</f>
        <v>DEF</v>
      </c>
    </row>
    <row r="72" ht="17.25" customHeight="1">
      <c r="A72" s="32">
        <v>45150.0</v>
      </c>
      <c r="B72" s="1" t="s">
        <v>222</v>
      </c>
      <c r="C72" s="3" t="s">
        <v>227</v>
      </c>
      <c r="D72" s="3" t="s">
        <v>10</v>
      </c>
      <c r="E72" s="5">
        <v>3.0</v>
      </c>
      <c r="F72" s="74" t="s">
        <v>255</v>
      </c>
      <c r="G72" s="3" t="s">
        <v>242</v>
      </c>
      <c r="J72" s="5">
        <v>3.0</v>
      </c>
      <c r="N72" s="3" t="b">
        <v>0</v>
      </c>
      <c r="R72" s="3">
        <v>0.0</v>
      </c>
      <c r="T72" s="3">
        <v>10.0</v>
      </c>
      <c r="U72" s="2"/>
      <c r="V72" s="2"/>
      <c r="W72" s="70"/>
      <c r="X72" s="71"/>
      <c r="AA72" s="2">
        <f>2+ (P72*'Scoring System'!$B$3)+ (IF(OR(D72="DEF",D72="GK"),N72*'Scoring System'!$B$4,IF(D72="MID",N72*'Scoring System'!$B$5,0)))+ (IF(OR(D72="DEF",D72="GK"),H72*'Scoring System'!$B$6,IF(D72="MID",H72*'Scoring System'!$B$7,IF(D72="ATT",H72*'Scoring System'!$B$8,0))))+ IF(AND(OR(D72="GK",D72="DEF"),J72&gt;=3),1*'Scoring System'!$B$9,0)+ (I72*'Scoring System'!$B$10)+ (K72*'Scoring System'!$B$11)+ (M72*'Scoring System'!$B$12)+ (L72*'Scoring System'!$B$13)+ (O72*'Scoring System'!$B$14)+ (Q72*'Scoring System'!$B$15)+ (R72*'Scoring System'!$B$16)</f>
        <v>2</v>
      </c>
      <c r="AB72" s="72" t="b">
        <f>IFERROR(match(C72,'Match Day Fees'!$B$2:$B$999,0),0)=0</f>
        <v>0</v>
      </c>
      <c r="AC72" s="73">
        <f t="shared" si="1"/>
        <v>0</v>
      </c>
      <c r="AD72" s="3" t="str">
        <f>VLOOKUP(D72,'Position Lookup'!A:B,1,FALSE)</f>
        <v>MID</v>
      </c>
    </row>
    <row r="73" ht="17.25" customHeight="1">
      <c r="A73" s="32">
        <v>45150.0</v>
      </c>
      <c r="B73" s="1" t="s">
        <v>222</v>
      </c>
      <c r="C73" s="3" t="s">
        <v>257</v>
      </c>
      <c r="D73" s="3" t="s">
        <v>10</v>
      </c>
      <c r="E73" s="5">
        <v>3.0</v>
      </c>
      <c r="F73" s="74" t="s">
        <v>255</v>
      </c>
      <c r="G73" s="3" t="s">
        <v>242</v>
      </c>
      <c r="H73" s="3">
        <v>1.0</v>
      </c>
      <c r="J73" s="5">
        <v>3.0</v>
      </c>
      <c r="N73" s="3" t="b">
        <v>0</v>
      </c>
      <c r="R73" s="3">
        <v>0.0</v>
      </c>
      <c r="T73" s="3">
        <v>5.0</v>
      </c>
      <c r="U73" s="2"/>
      <c r="V73" s="2"/>
      <c r="W73" s="70"/>
      <c r="X73" s="71"/>
      <c r="AA73" s="2">
        <f>2+ (P73*'Scoring System'!$B$3)+ (IF(OR(D73="DEF",D73="GK"),N73*'Scoring System'!$B$4,IF(D73="MID",N73*'Scoring System'!$B$5,0)))+ (IF(OR(D73="DEF",D73="GK"),H73*'Scoring System'!$B$6,IF(D73="MID",H73*'Scoring System'!$B$7,IF(D73="ATT",H73*'Scoring System'!$B$8,0))))+ IF(AND(OR(D73="GK",D73="DEF"),J73&gt;=3),1*'Scoring System'!$B$9,0)+ (I73*'Scoring System'!$B$10)+ (K73*'Scoring System'!$B$11)+ (M73*'Scoring System'!$B$12)+ (L73*'Scoring System'!$B$13)+ (O73*'Scoring System'!$B$14)+ (Q73*'Scoring System'!$B$15)+ (R73*'Scoring System'!$B$16)</f>
        <v>7</v>
      </c>
      <c r="AB73" s="72" t="b">
        <f>IFERROR(match(C73,'Match Day Fees'!$B$2:$B$999,0),0)=0</f>
        <v>0</v>
      </c>
      <c r="AC73" s="73">
        <f t="shared" si="1"/>
        <v>0</v>
      </c>
      <c r="AD73" s="3" t="str">
        <f>VLOOKUP(D73,'Position Lookup'!A:B,1,FALSE)</f>
        <v>MID</v>
      </c>
    </row>
    <row r="74" ht="17.25" customHeight="1">
      <c r="A74" s="32">
        <v>45150.0</v>
      </c>
      <c r="B74" s="1" t="s">
        <v>222</v>
      </c>
      <c r="C74" s="3" t="s">
        <v>112</v>
      </c>
      <c r="D74" s="3" t="s">
        <v>10</v>
      </c>
      <c r="E74" s="5">
        <v>3.0</v>
      </c>
      <c r="F74" s="74" t="s">
        <v>255</v>
      </c>
      <c r="G74" s="3" t="s">
        <v>242</v>
      </c>
      <c r="J74" s="5">
        <v>3.0</v>
      </c>
      <c r="N74" s="3" t="b">
        <v>0</v>
      </c>
      <c r="R74" s="3">
        <v>0.0</v>
      </c>
      <c r="T74" s="3">
        <v>10.0</v>
      </c>
      <c r="U74" s="2"/>
      <c r="V74" s="2"/>
      <c r="W74" s="70"/>
      <c r="X74" s="71"/>
      <c r="AA74" s="2">
        <f>2+ (P74*'Scoring System'!$B$3)+ (IF(OR(D74="DEF",D74="GK"),N74*'Scoring System'!$B$4,IF(D74="MID",N74*'Scoring System'!$B$5,0)))+ (IF(OR(D74="DEF",D74="GK"),H74*'Scoring System'!$B$6,IF(D74="MID",H74*'Scoring System'!$B$7,IF(D74="ATT",H74*'Scoring System'!$B$8,0))))+ IF(AND(OR(D74="GK",D74="DEF"),J74&gt;=3),1*'Scoring System'!$B$9,0)+ (I74*'Scoring System'!$B$10)+ (K74*'Scoring System'!$B$11)+ (M74*'Scoring System'!$B$12)+ (L74*'Scoring System'!$B$13)+ (O74*'Scoring System'!$B$14)+ (Q74*'Scoring System'!$B$15)+ (R74*'Scoring System'!$B$16)</f>
        <v>2</v>
      </c>
      <c r="AB74" s="72" t="b">
        <f>IFERROR(match(C74,'Match Day Fees'!$B$2:$B$999,0),0)=0</f>
        <v>0</v>
      </c>
      <c r="AC74" s="73">
        <f t="shared" si="1"/>
        <v>0</v>
      </c>
      <c r="AD74" s="3" t="str">
        <f>VLOOKUP(D74,'Position Lookup'!A:B,1,FALSE)</f>
        <v>MID</v>
      </c>
    </row>
    <row r="75" ht="17.25" customHeight="1">
      <c r="A75" s="32">
        <v>45150.0</v>
      </c>
      <c r="B75" s="1" t="s">
        <v>222</v>
      </c>
      <c r="C75" s="3" t="s">
        <v>55</v>
      </c>
      <c r="D75" s="3" t="s">
        <v>9</v>
      </c>
      <c r="E75" s="5">
        <v>3.0</v>
      </c>
      <c r="F75" s="74" t="s">
        <v>255</v>
      </c>
      <c r="G75" s="3" t="s">
        <v>242</v>
      </c>
      <c r="H75" s="3">
        <v>1.0</v>
      </c>
      <c r="J75" s="5">
        <v>3.0</v>
      </c>
      <c r="N75" s="3" t="b">
        <v>0</v>
      </c>
      <c r="R75" s="3">
        <v>0.0</v>
      </c>
      <c r="T75" s="3">
        <v>10.0</v>
      </c>
      <c r="U75" s="2"/>
      <c r="V75" s="2"/>
      <c r="W75" s="70"/>
      <c r="X75" s="71"/>
      <c r="AA75" s="2">
        <f>2+ (P75*'Scoring System'!$B$3)+ (IF(OR(D75="DEF",D75="GK"),N75*'Scoring System'!$B$4,IF(D75="MID",N75*'Scoring System'!$B$5,0)))+ (IF(OR(D75="DEF",D75="GK"),H75*'Scoring System'!$B$6,IF(D75="MID",H75*'Scoring System'!$B$7,IF(D75="ATT",H75*'Scoring System'!$B$8,0))))+ IF(AND(OR(D75="GK",D75="DEF"),J75&gt;=3),1*'Scoring System'!$B$9,0)+ (I75*'Scoring System'!$B$10)+ (K75*'Scoring System'!$B$11)+ (M75*'Scoring System'!$B$12)+ (L75*'Scoring System'!$B$13)+ (O75*'Scoring System'!$B$14)+ (Q75*'Scoring System'!$B$15)+ (R75*'Scoring System'!$B$16)</f>
        <v>6</v>
      </c>
      <c r="AB75" s="72" t="b">
        <f>IFERROR(match(C75,'Match Day Fees'!$B$2:$B$999,0),0)=0</f>
        <v>0</v>
      </c>
      <c r="AC75" s="73">
        <f t="shared" si="1"/>
        <v>0</v>
      </c>
      <c r="AD75" s="3" t="str">
        <f>VLOOKUP(D75,'Position Lookup'!A:B,1,FALSE)</f>
        <v>ATT</v>
      </c>
    </row>
    <row r="76" ht="17.25" customHeight="1">
      <c r="A76" s="32">
        <v>45150.0</v>
      </c>
      <c r="B76" s="1" t="s">
        <v>222</v>
      </c>
      <c r="C76" s="3" t="s">
        <v>79</v>
      </c>
      <c r="D76" s="3" t="s">
        <v>9</v>
      </c>
      <c r="E76" s="5">
        <v>3.0</v>
      </c>
      <c r="F76" s="74" t="s">
        <v>255</v>
      </c>
      <c r="G76" s="3" t="s">
        <v>242</v>
      </c>
      <c r="I76" s="3">
        <v>1.0</v>
      </c>
      <c r="J76" s="5">
        <v>3.0</v>
      </c>
      <c r="N76" s="3" t="b">
        <v>0</v>
      </c>
      <c r="R76" s="3">
        <v>0.0</v>
      </c>
      <c r="T76" s="3">
        <v>10.0</v>
      </c>
      <c r="U76" s="2"/>
      <c r="V76" s="2"/>
      <c r="W76" s="70"/>
      <c r="X76" s="71"/>
      <c r="AA76" s="2">
        <f>2+ (P76*'Scoring System'!$B$3)+ (IF(OR(D76="DEF",D76="GK"),N76*'Scoring System'!$B$4,IF(D76="MID",N76*'Scoring System'!$B$5,0)))+ (IF(OR(D76="DEF",D76="GK"),H76*'Scoring System'!$B$6,IF(D76="MID",H76*'Scoring System'!$B$7,IF(D76="ATT",H76*'Scoring System'!$B$8,0))))+ IF(AND(OR(D76="GK",D76="DEF"),J76&gt;=3),1*'Scoring System'!$B$9,0)+ (I76*'Scoring System'!$B$10)+ (K76*'Scoring System'!$B$11)+ (M76*'Scoring System'!$B$12)+ (L76*'Scoring System'!$B$13)+ (O76*'Scoring System'!$B$14)+ (Q76*'Scoring System'!$B$15)+ (R76*'Scoring System'!$B$16)</f>
        <v>5</v>
      </c>
      <c r="AB76" s="72" t="b">
        <f>IFERROR(match(C76,'Match Day Fees'!$B$2:$B$999,0),0)=0</f>
        <v>0</v>
      </c>
      <c r="AC76" s="73">
        <f t="shared" si="1"/>
        <v>0</v>
      </c>
      <c r="AD76" s="3" t="str">
        <f>VLOOKUP(D76,'Position Lookup'!A:B,1,FALSE)</f>
        <v>ATT</v>
      </c>
    </row>
    <row r="77" ht="17.25" customHeight="1">
      <c r="A77" s="32">
        <v>45150.0</v>
      </c>
      <c r="B77" s="1" t="s">
        <v>222</v>
      </c>
      <c r="C77" s="3" t="s">
        <v>258</v>
      </c>
      <c r="D77" s="3" t="s">
        <v>10</v>
      </c>
      <c r="E77" s="5">
        <v>3.0</v>
      </c>
      <c r="F77" s="74" t="s">
        <v>255</v>
      </c>
      <c r="G77" s="3" t="s">
        <v>242</v>
      </c>
      <c r="H77" s="3">
        <v>1.0</v>
      </c>
      <c r="J77" s="5">
        <v>3.0</v>
      </c>
      <c r="N77" s="3" t="b">
        <v>0</v>
      </c>
      <c r="R77" s="3">
        <v>0.0</v>
      </c>
      <c r="T77" s="3">
        <v>5.0</v>
      </c>
      <c r="U77" s="2"/>
      <c r="V77" s="2"/>
      <c r="W77" s="70"/>
      <c r="X77" s="71"/>
      <c r="AA77" s="2">
        <f>2+ (P77*'Scoring System'!$B$3)+ (IF(OR(D77="DEF",D77="GK"),N77*'Scoring System'!$B$4,IF(D77="MID",N77*'Scoring System'!$B$5,0)))+ (IF(OR(D77="DEF",D77="GK"),H77*'Scoring System'!$B$6,IF(D77="MID",H77*'Scoring System'!$B$7,IF(D77="ATT",H77*'Scoring System'!$B$8,0))))+ IF(AND(OR(D77="GK",D77="DEF"),J77&gt;=3),1*'Scoring System'!$B$9,0)+ (I77*'Scoring System'!$B$10)+ (K77*'Scoring System'!$B$11)+ (M77*'Scoring System'!$B$12)+ (L77*'Scoring System'!$B$13)+ (O77*'Scoring System'!$B$14)+ (Q77*'Scoring System'!$B$15)+ (R77*'Scoring System'!$B$16)</f>
        <v>7</v>
      </c>
      <c r="AB77" s="72" t="b">
        <f>IFERROR(match(C77,'Match Day Fees'!$B$2:$B$999,0),0)=0</f>
        <v>0</v>
      </c>
      <c r="AC77" s="73">
        <f t="shared" si="1"/>
        <v>0</v>
      </c>
      <c r="AD77" s="3" t="str">
        <f>VLOOKUP(D77,'Position Lookup'!A:B,1,FALSE)</f>
        <v>MID</v>
      </c>
    </row>
    <row r="78" ht="17.25" customHeight="1">
      <c r="A78" s="32">
        <v>45150.0</v>
      </c>
      <c r="B78" s="1" t="s">
        <v>222</v>
      </c>
      <c r="C78" s="3" t="s">
        <v>83</v>
      </c>
      <c r="D78" s="3" t="s">
        <v>11</v>
      </c>
      <c r="E78" s="5">
        <v>3.0</v>
      </c>
      <c r="F78" s="74" t="s">
        <v>255</v>
      </c>
      <c r="G78" s="3" t="s">
        <v>242</v>
      </c>
      <c r="J78" s="5">
        <v>3.0</v>
      </c>
      <c r="N78" s="3" t="b">
        <v>0</v>
      </c>
      <c r="R78" s="3">
        <v>0.0</v>
      </c>
      <c r="T78" s="3">
        <v>10.0</v>
      </c>
      <c r="U78" s="2"/>
      <c r="V78" s="2"/>
      <c r="W78" s="70"/>
      <c r="X78" s="71"/>
      <c r="AA78" s="2">
        <f>2+ (P78*'Scoring System'!$B$3)+ (IF(OR(D78="DEF",D78="GK"),N78*'Scoring System'!$B$4,IF(D78="MID",N78*'Scoring System'!$B$5,0)))+ (IF(OR(D78="DEF",D78="GK"),H78*'Scoring System'!$B$6,IF(D78="MID",H78*'Scoring System'!$B$7,IF(D78="ATT",H78*'Scoring System'!$B$8,0))))+ IF(AND(OR(D78="GK",D78="DEF"),J78&gt;=3),1*'Scoring System'!$B$9,0)+ (I78*'Scoring System'!$B$10)+ (K78*'Scoring System'!$B$11)+ (M78*'Scoring System'!$B$12)+ (L78*'Scoring System'!$B$13)+ (O78*'Scoring System'!$B$14)+ (Q78*'Scoring System'!$B$15)+ (R78*'Scoring System'!$B$16)</f>
        <v>1</v>
      </c>
      <c r="AB78" s="72" t="b">
        <f>IFERROR(match(C78,'Match Day Fees'!$B$2:$B$999,0),0)=0</f>
        <v>0</v>
      </c>
      <c r="AC78" s="73">
        <f t="shared" si="1"/>
        <v>0</v>
      </c>
      <c r="AD78" s="3" t="str">
        <f>VLOOKUP(D78,'Position Lookup'!A:B,1,FALSE)</f>
        <v>DEF</v>
      </c>
    </row>
    <row r="79" ht="17.25" customHeight="1">
      <c r="A79" s="32">
        <v>45150.0</v>
      </c>
      <c r="B79" s="1" t="s">
        <v>222</v>
      </c>
      <c r="C79" s="3" t="s">
        <v>130</v>
      </c>
      <c r="D79" s="3" t="s">
        <v>9</v>
      </c>
      <c r="E79" s="5">
        <v>3.0</v>
      </c>
      <c r="F79" s="74" t="s">
        <v>255</v>
      </c>
      <c r="G79" s="3" t="s">
        <v>242</v>
      </c>
      <c r="I79" s="3">
        <v>1.0</v>
      </c>
      <c r="J79" s="5">
        <v>3.0</v>
      </c>
      <c r="N79" s="3" t="b">
        <v>0</v>
      </c>
      <c r="R79" s="3">
        <v>0.0</v>
      </c>
      <c r="T79" s="3">
        <v>10.0</v>
      </c>
      <c r="U79" s="2"/>
      <c r="V79" s="2"/>
      <c r="W79" s="70"/>
      <c r="X79" s="71"/>
      <c r="AA79" s="2">
        <f>2+ (P79*'Scoring System'!$B$3)+ (IF(OR(D79="DEF",D79="GK"),N79*'Scoring System'!$B$4,IF(D79="MID",N79*'Scoring System'!$B$5,0)))+ (IF(OR(D79="DEF",D79="GK"),H79*'Scoring System'!$B$6,IF(D79="MID",H79*'Scoring System'!$B$7,IF(D79="ATT",H79*'Scoring System'!$B$8,0))))+ IF(AND(OR(D79="GK",D79="DEF"),J79&gt;=3),1*'Scoring System'!$B$9,0)+ (I79*'Scoring System'!$B$10)+ (K79*'Scoring System'!$B$11)+ (M79*'Scoring System'!$B$12)+ (L79*'Scoring System'!$B$13)+ (O79*'Scoring System'!$B$14)+ (Q79*'Scoring System'!$B$15)+ (R79*'Scoring System'!$B$16)</f>
        <v>5</v>
      </c>
      <c r="AB79" s="72" t="b">
        <f>IFERROR(match(C79,'Match Day Fees'!$B$2:$B$999,0),0)=0</f>
        <v>0</v>
      </c>
      <c r="AC79" s="73">
        <f t="shared" si="1"/>
        <v>0</v>
      </c>
      <c r="AD79" s="3" t="str">
        <f>VLOOKUP(D79,'Position Lookup'!A:B,1,FALSE)</f>
        <v>ATT</v>
      </c>
    </row>
    <row r="80" ht="17.25" customHeight="1">
      <c r="A80" s="32">
        <v>45150.0</v>
      </c>
      <c r="B80" s="1" t="s">
        <v>222</v>
      </c>
      <c r="C80" s="3" t="s">
        <v>259</v>
      </c>
      <c r="D80" s="3" t="s">
        <v>8</v>
      </c>
      <c r="E80" s="5">
        <v>4.0</v>
      </c>
      <c r="F80" s="74" t="s">
        <v>260</v>
      </c>
      <c r="G80" s="3" t="s">
        <v>230</v>
      </c>
      <c r="J80" s="5">
        <v>4.0</v>
      </c>
      <c r="N80" s="3" t="b">
        <v>0</v>
      </c>
      <c r="R80" s="3">
        <v>1.0</v>
      </c>
      <c r="T80" s="3">
        <v>10.0</v>
      </c>
      <c r="U80" s="2"/>
      <c r="V80" s="2"/>
      <c r="W80" s="70"/>
      <c r="X80" s="71"/>
      <c r="AA80" s="2">
        <f>2+ (P80*'Scoring System'!$B$3)+ (IF(OR(D80="DEF",D80="GK"),N80*'Scoring System'!$B$4,IF(D80="MID",N80*'Scoring System'!$B$5,0)))+ (IF(OR(D80="DEF",D80="GK"),H80*'Scoring System'!$B$6,IF(D80="MID",H80*'Scoring System'!$B$7,IF(D80="ATT",H80*'Scoring System'!$B$8,0))))+ IF(AND(OR(D80="GK",D80="DEF"),J80&gt;=3),1*'Scoring System'!$B$9,0)+ (I80*'Scoring System'!$B$10)+ (K80*'Scoring System'!$B$11)+ (M80*'Scoring System'!$B$12)+ (L80*'Scoring System'!$B$13)+ (O80*'Scoring System'!$B$14)+ (Q80*'Scoring System'!$B$15)+ (R80*'Scoring System'!$B$16)</f>
        <v>6</v>
      </c>
      <c r="AB80" s="72" t="b">
        <f>IFERROR(match(C80,'Match Day Fees'!$B$2:$B$999,0),0)=0</f>
        <v>0</v>
      </c>
      <c r="AC80" s="73">
        <f t="shared" si="1"/>
        <v>0</v>
      </c>
      <c r="AD80" s="3" t="str">
        <f>VLOOKUP(D80,'Position Lookup'!A:B,1,FALSE)</f>
        <v>GK</v>
      </c>
    </row>
    <row r="81" ht="17.25" customHeight="1">
      <c r="A81" s="32">
        <v>45150.0</v>
      </c>
      <c r="B81" s="1" t="s">
        <v>222</v>
      </c>
      <c r="C81" s="3" t="s">
        <v>261</v>
      </c>
      <c r="D81" s="3" t="s">
        <v>11</v>
      </c>
      <c r="E81" s="5">
        <v>4.0</v>
      </c>
      <c r="F81" s="74" t="s">
        <v>260</v>
      </c>
      <c r="G81" s="3" t="s">
        <v>230</v>
      </c>
      <c r="J81" s="5">
        <v>4.0</v>
      </c>
      <c r="N81" s="3" t="b">
        <v>0</v>
      </c>
      <c r="R81" s="3">
        <v>0.0</v>
      </c>
      <c r="T81" s="3">
        <v>10.0</v>
      </c>
      <c r="U81" s="2"/>
      <c r="V81" s="2"/>
      <c r="W81" s="70"/>
      <c r="X81" s="71"/>
      <c r="AA81" s="2">
        <f>2+ (P81*'Scoring System'!$B$3)+ (IF(OR(D81="DEF",D81="GK"),N81*'Scoring System'!$B$4,IF(D81="MID",N81*'Scoring System'!$B$5,0)))+ (IF(OR(D81="DEF",D81="GK"),H81*'Scoring System'!$B$6,IF(D81="MID",H81*'Scoring System'!$B$7,IF(D81="ATT",H81*'Scoring System'!$B$8,0))))+ IF(AND(OR(D81="GK",D81="DEF"),J81&gt;=3),1*'Scoring System'!$B$9,0)+ (I81*'Scoring System'!$B$10)+ (K81*'Scoring System'!$B$11)+ (M81*'Scoring System'!$B$12)+ (L81*'Scoring System'!$B$13)+ (O81*'Scoring System'!$B$14)+ (Q81*'Scoring System'!$B$15)+ (R81*'Scoring System'!$B$16)</f>
        <v>1</v>
      </c>
      <c r="AB81" s="72" t="b">
        <f>IFERROR(match(C81,'Match Day Fees'!$B$2:$B$999,0),0)=0</f>
        <v>0</v>
      </c>
      <c r="AC81" s="73">
        <f t="shared" si="1"/>
        <v>0</v>
      </c>
      <c r="AD81" s="3" t="str">
        <f>VLOOKUP(D81,'Position Lookup'!A:B,1,FALSE)</f>
        <v>DEF</v>
      </c>
    </row>
    <row r="82" ht="17.25" customHeight="1">
      <c r="A82" s="32">
        <v>45150.0</v>
      </c>
      <c r="B82" s="1" t="s">
        <v>222</v>
      </c>
      <c r="C82" s="3" t="s">
        <v>82</v>
      </c>
      <c r="D82" s="3" t="s">
        <v>10</v>
      </c>
      <c r="E82" s="5">
        <v>4.0</v>
      </c>
      <c r="F82" s="74" t="s">
        <v>260</v>
      </c>
      <c r="G82" s="3" t="s">
        <v>230</v>
      </c>
      <c r="J82" s="5">
        <v>4.0</v>
      </c>
      <c r="N82" s="3" t="b">
        <v>0</v>
      </c>
      <c r="R82" s="3">
        <v>0.0</v>
      </c>
      <c r="T82" s="3">
        <v>10.0</v>
      </c>
      <c r="U82" s="2"/>
      <c r="V82" s="2"/>
      <c r="W82" s="70"/>
      <c r="X82" s="71"/>
      <c r="AA82" s="2">
        <f>2+ (P82*'Scoring System'!$B$3)+ (IF(OR(D82="DEF",D82="GK"),N82*'Scoring System'!$B$4,IF(D82="MID",N82*'Scoring System'!$B$5,0)))+ (IF(OR(D82="DEF",D82="GK"),H82*'Scoring System'!$B$6,IF(D82="MID",H82*'Scoring System'!$B$7,IF(D82="ATT",H82*'Scoring System'!$B$8,0))))+ IF(AND(OR(D82="GK",D82="DEF"),J82&gt;=3),1*'Scoring System'!$B$9,0)+ (I82*'Scoring System'!$B$10)+ (K82*'Scoring System'!$B$11)+ (M82*'Scoring System'!$B$12)+ (L82*'Scoring System'!$B$13)+ (O82*'Scoring System'!$B$14)+ (Q82*'Scoring System'!$B$15)+ (R82*'Scoring System'!$B$16)</f>
        <v>2</v>
      </c>
      <c r="AB82" s="72" t="b">
        <f>IFERROR(match(C82,'Match Day Fees'!$B$2:$B$999,0),0)=0</f>
        <v>0</v>
      </c>
      <c r="AC82" s="73">
        <f t="shared" si="1"/>
        <v>0</v>
      </c>
      <c r="AD82" s="3" t="str">
        <f>VLOOKUP(D82,'Position Lookup'!A:B,1,FALSE)</f>
        <v>MID</v>
      </c>
    </row>
    <row r="83" ht="17.25" customHeight="1">
      <c r="A83" s="32">
        <v>45150.0</v>
      </c>
      <c r="B83" s="1" t="s">
        <v>222</v>
      </c>
      <c r="C83" s="3" t="s">
        <v>136</v>
      </c>
      <c r="D83" s="3" t="s">
        <v>10</v>
      </c>
      <c r="E83" s="5">
        <v>4.0</v>
      </c>
      <c r="F83" s="74" t="s">
        <v>260</v>
      </c>
      <c r="G83" s="3" t="s">
        <v>230</v>
      </c>
      <c r="J83" s="5">
        <v>4.0</v>
      </c>
      <c r="N83" s="3" t="b">
        <v>0</v>
      </c>
      <c r="R83" s="3">
        <v>0.0</v>
      </c>
      <c r="S83" s="3" t="b">
        <v>1</v>
      </c>
      <c r="T83" s="3">
        <v>0.0</v>
      </c>
      <c r="U83" s="2"/>
      <c r="V83" s="2"/>
      <c r="W83" s="70"/>
      <c r="X83" s="71"/>
      <c r="AA83" s="2">
        <f>2+ (P83*'Scoring System'!$B$3)+ (IF(OR(D83="DEF",D83="GK"),N83*'Scoring System'!$B$4,IF(D83="MID",N83*'Scoring System'!$B$5,0)))+ (IF(OR(D83="DEF",D83="GK"),H83*'Scoring System'!$B$6,IF(D83="MID",H83*'Scoring System'!$B$7,IF(D83="ATT",H83*'Scoring System'!$B$8,0))))+ IF(AND(OR(D83="GK",D83="DEF"),J83&gt;=3),1*'Scoring System'!$B$9,0)+ (I83*'Scoring System'!$B$10)+ (K83*'Scoring System'!$B$11)+ (M83*'Scoring System'!$B$12)+ (L83*'Scoring System'!$B$13)+ (O83*'Scoring System'!$B$14)+ (Q83*'Scoring System'!$B$15)+ (R83*'Scoring System'!$B$16)</f>
        <v>2</v>
      </c>
      <c r="AB83" s="72" t="b">
        <f>IFERROR(match(C83,'Match Day Fees'!$B$2:$B$999,0),0)=0</f>
        <v>0</v>
      </c>
      <c r="AC83" s="73">
        <f t="shared" si="1"/>
        <v>0</v>
      </c>
      <c r="AD83" s="3" t="str">
        <f>VLOOKUP(D83,'Position Lookup'!A:B,1,FALSE)</f>
        <v>MID</v>
      </c>
    </row>
    <row r="84" ht="17.25" customHeight="1">
      <c r="A84" s="32">
        <v>45150.0</v>
      </c>
      <c r="B84" s="1" t="s">
        <v>222</v>
      </c>
      <c r="C84" s="3" t="s">
        <v>150</v>
      </c>
      <c r="D84" s="3" t="s">
        <v>10</v>
      </c>
      <c r="E84" s="5">
        <v>4.0</v>
      </c>
      <c r="F84" s="74" t="s">
        <v>260</v>
      </c>
      <c r="G84" s="3" t="s">
        <v>230</v>
      </c>
      <c r="J84" s="5">
        <v>4.0</v>
      </c>
      <c r="N84" s="3" t="b">
        <v>0</v>
      </c>
      <c r="R84" s="3">
        <v>0.0</v>
      </c>
      <c r="T84" s="3">
        <v>10.0</v>
      </c>
      <c r="U84" s="2"/>
      <c r="V84" s="2"/>
      <c r="W84" s="70"/>
      <c r="X84" s="71"/>
      <c r="AA84" s="2">
        <f>2+ (P84*'Scoring System'!$B$3)+ (IF(OR(D84="DEF",D84="GK"),N84*'Scoring System'!$B$4,IF(D84="MID",N84*'Scoring System'!$B$5,0)))+ (IF(OR(D84="DEF",D84="GK"),H84*'Scoring System'!$B$6,IF(D84="MID",H84*'Scoring System'!$B$7,IF(D84="ATT",H84*'Scoring System'!$B$8,0))))+ IF(AND(OR(D84="GK",D84="DEF"),J84&gt;=3),1*'Scoring System'!$B$9,0)+ (I84*'Scoring System'!$B$10)+ (K84*'Scoring System'!$B$11)+ (M84*'Scoring System'!$B$12)+ (L84*'Scoring System'!$B$13)+ (O84*'Scoring System'!$B$14)+ (Q84*'Scoring System'!$B$15)+ (R84*'Scoring System'!$B$16)</f>
        <v>2</v>
      </c>
      <c r="AB84" s="72" t="b">
        <f>IFERROR(match(C84,'Match Day Fees'!$B$2:$B$999,0),0)=0</f>
        <v>0</v>
      </c>
      <c r="AC84" s="73">
        <f t="shared" si="1"/>
        <v>0</v>
      </c>
      <c r="AD84" s="3" t="str">
        <f>VLOOKUP(D84,'Position Lookup'!A:B,1,FALSE)</f>
        <v>MID</v>
      </c>
    </row>
    <row r="85" ht="17.25" customHeight="1">
      <c r="A85" s="32">
        <v>45150.0</v>
      </c>
      <c r="B85" s="1" t="s">
        <v>222</v>
      </c>
      <c r="C85" s="3" t="s">
        <v>105</v>
      </c>
      <c r="D85" s="3" t="s">
        <v>10</v>
      </c>
      <c r="E85" s="5">
        <v>4.0</v>
      </c>
      <c r="F85" s="74" t="s">
        <v>260</v>
      </c>
      <c r="G85" s="3" t="s">
        <v>230</v>
      </c>
      <c r="H85" s="3">
        <v>1.0</v>
      </c>
      <c r="J85" s="5">
        <v>4.0</v>
      </c>
      <c r="N85" s="3" t="b">
        <v>0</v>
      </c>
      <c r="R85" s="3">
        <v>0.0</v>
      </c>
      <c r="T85" s="3">
        <v>10.0</v>
      </c>
      <c r="U85" s="2"/>
      <c r="V85" s="2"/>
      <c r="W85" s="70"/>
      <c r="X85" s="71"/>
      <c r="AA85" s="2">
        <f>2+ (P85*'Scoring System'!$B$3)+ (IF(OR(D85="DEF",D85="GK"),N85*'Scoring System'!$B$4,IF(D85="MID",N85*'Scoring System'!$B$5,0)))+ (IF(OR(D85="DEF",D85="GK"),H85*'Scoring System'!$B$6,IF(D85="MID",H85*'Scoring System'!$B$7,IF(D85="ATT",H85*'Scoring System'!$B$8,0))))+ IF(AND(OR(D85="GK",D85="DEF"),J85&gt;=3),1*'Scoring System'!$B$9,0)+ (I85*'Scoring System'!$B$10)+ (K85*'Scoring System'!$B$11)+ (M85*'Scoring System'!$B$12)+ (L85*'Scoring System'!$B$13)+ (O85*'Scoring System'!$B$14)+ (Q85*'Scoring System'!$B$15)+ (R85*'Scoring System'!$B$16)</f>
        <v>7</v>
      </c>
      <c r="AB85" s="72" t="b">
        <f>IFERROR(match(C85,'Match Day Fees'!$B$2:$B$999,0),0)=0</f>
        <v>0</v>
      </c>
      <c r="AC85" s="73">
        <f t="shared" si="1"/>
        <v>0</v>
      </c>
      <c r="AD85" s="3" t="str">
        <f>VLOOKUP(D85,'Position Lookup'!A:B,1,FALSE)</f>
        <v>MID</v>
      </c>
    </row>
    <row r="86" ht="17.25" customHeight="1">
      <c r="A86" s="32">
        <v>45150.0</v>
      </c>
      <c r="B86" s="1" t="s">
        <v>222</v>
      </c>
      <c r="C86" s="3" t="s">
        <v>103</v>
      </c>
      <c r="D86" s="3" t="s">
        <v>10</v>
      </c>
      <c r="E86" s="5">
        <v>4.0</v>
      </c>
      <c r="F86" s="74" t="s">
        <v>260</v>
      </c>
      <c r="G86" s="3" t="s">
        <v>230</v>
      </c>
      <c r="J86" s="5">
        <v>4.0</v>
      </c>
      <c r="N86" s="3" t="b">
        <v>0</v>
      </c>
      <c r="R86" s="3">
        <v>0.0</v>
      </c>
      <c r="T86" s="3">
        <v>10.0</v>
      </c>
      <c r="U86" s="2"/>
      <c r="V86" s="2"/>
      <c r="W86" s="70"/>
      <c r="X86" s="71"/>
      <c r="AA86" s="2">
        <f>2+ (P86*'Scoring System'!$B$3)+ (IF(OR(D86="DEF",D86="GK"),N86*'Scoring System'!$B$4,IF(D86="MID",N86*'Scoring System'!$B$5,0)))+ (IF(OR(D86="DEF",D86="GK"),H86*'Scoring System'!$B$6,IF(D86="MID",H86*'Scoring System'!$B$7,IF(D86="ATT",H86*'Scoring System'!$B$8,0))))+ IF(AND(OR(D86="GK",D86="DEF"),J86&gt;=3),1*'Scoring System'!$B$9,0)+ (I86*'Scoring System'!$B$10)+ (K86*'Scoring System'!$B$11)+ (M86*'Scoring System'!$B$12)+ (L86*'Scoring System'!$B$13)+ (O86*'Scoring System'!$B$14)+ (Q86*'Scoring System'!$B$15)+ (R86*'Scoring System'!$B$16)</f>
        <v>2</v>
      </c>
      <c r="AB86" s="72" t="b">
        <f>IFERROR(match(C86,'Match Day Fees'!$B$2:$B$999,0),0)=0</f>
        <v>0</v>
      </c>
      <c r="AC86" s="73">
        <f t="shared" si="1"/>
        <v>0</v>
      </c>
      <c r="AD86" s="3" t="str">
        <f>VLOOKUP(D86,'Position Lookup'!A:B,1,FALSE)</f>
        <v>MID</v>
      </c>
    </row>
    <row r="87" ht="17.25" customHeight="1">
      <c r="A87" s="32">
        <v>45150.0</v>
      </c>
      <c r="B87" s="1" t="s">
        <v>222</v>
      </c>
      <c r="C87" s="3" t="s">
        <v>44</v>
      </c>
      <c r="D87" s="3" t="s">
        <v>11</v>
      </c>
      <c r="E87" s="5">
        <v>4.0</v>
      </c>
      <c r="F87" s="74" t="s">
        <v>260</v>
      </c>
      <c r="G87" s="3" t="s">
        <v>230</v>
      </c>
      <c r="J87" s="5">
        <v>4.0</v>
      </c>
      <c r="N87" s="3" t="b">
        <v>0</v>
      </c>
      <c r="R87" s="3">
        <v>0.0</v>
      </c>
      <c r="T87" s="3">
        <v>10.0</v>
      </c>
      <c r="U87" s="2"/>
      <c r="V87" s="2"/>
      <c r="W87" s="70"/>
      <c r="X87" s="71"/>
      <c r="AA87" s="2">
        <f>2+ (P87*'Scoring System'!$B$3)+ (IF(OR(D87="DEF",D87="GK"),N87*'Scoring System'!$B$4,IF(D87="MID",N87*'Scoring System'!$B$5,0)))+ (IF(OR(D87="DEF",D87="GK"),H87*'Scoring System'!$B$6,IF(D87="MID",H87*'Scoring System'!$B$7,IF(D87="ATT",H87*'Scoring System'!$B$8,0))))+ IF(AND(OR(D87="GK",D87="DEF"),J87&gt;=3),1*'Scoring System'!$B$9,0)+ (I87*'Scoring System'!$B$10)+ (K87*'Scoring System'!$B$11)+ (M87*'Scoring System'!$B$12)+ (L87*'Scoring System'!$B$13)+ (O87*'Scoring System'!$B$14)+ (Q87*'Scoring System'!$B$15)+ (R87*'Scoring System'!$B$16)</f>
        <v>1</v>
      </c>
      <c r="AB87" s="72" t="b">
        <f>IFERROR(match(C87,'Match Day Fees'!$B$2:$B$999,0),0)=0</f>
        <v>0</v>
      </c>
      <c r="AC87" s="73">
        <f t="shared" si="1"/>
        <v>0</v>
      </c>
      <c r="AD87" s="3" t="str">
        <f>VLOOKUP(D87,'Position Lookup'!A:B,1,FALSE)</f>
        <v>DEF</v>
      </c>
    </row>
    <row r="88" ht="17.25" customHeight="1">
      <c r="A88" s="32">
        <v>45150.0</v>
      </c>
      <c r="B88" s="1" t="s">
        <v>222</v>
      </c>
      <c r="C88" s="3" t="s">
        <v>262</v>
      </c>
      <c r="D88" s="3" t="s">
        <v>10</v>
      </c>
      <c r="E88" s="5">
        <v>4.0</v>
      </c>
      <c r="F88" s="74" t="s">
        <v>260</v>
      </c>
      <c r="G88" s="3" t="s">
        <v>230</v>
      </c>
      <c r="J88" s="5">
        <v>4.0</v>
      </c>
      <c r="N88" s="3" t="b">
        <v>0</v>
      </c>
      <c r="R88" s="3">
        <v>0.0</v>
      </c>
      <c r="T88" s="5">
        <v>5.0</v>
      </c>
      <c r="U88" s="2"/>
      <c r="V88" s="2"/>
      <c r="W88" s="70"/>
      <c r="X88" s="71"/>
      <c r="AA88" s="2">
        <f>2+ (P88*'Scoring System'!$B$3)+ (IF(OR(D88="DEF",D88="GK"),N88*'Scoring System'!$B$4,IF(D88="MID",N88*'Scoring System'!$B$5,0)))+ (IF(OR(D88="DEF",D88="GK"),H88*'Scoring System'!$B$6,IF(D88="MID",H88*'Scoring System'!$B$7,IF(D88="ATT",H88*'Scoring System'!$B$8,0))))+ IF(AND(OR(D88="GK",D88="DEF"),J88&gt;=3),1*'Scoring System'!$B$9,0)+ (I88*'Scoring System'!$B$10)+ (K88*'Scoring System'!$B$11)+ (M88*'Scoring System'!$B$12)+ (L88*'Scoring System'!$B$13)+ (O88*'Scoring System'!$B$14)+ (Q88*'Scoring System'!$B$15)+ (R88*'Scoring System'!$B$16)</f>
        <v>2</v>
      </c>
      <c r="AB88" s="72" t="b">
        <f>IFERROR(match(C88,'Match Day Fees'!$B$2:$B$999,0),0)=0</f>
        <v>0</v>
      </c>
      <c r="AC88" s="73">
        <f t="shared" si="1"/>
        <v>0</v>
      </c>
      <c r="AD88" s="3" t="str">
        <f>VLOOKUP(D88,'Position Lookup'!A:B,1,FALSE)</f>
        <v>MID</v>
      </c>
    </row>
    <row r="89" ht="17.25" customHeight="1">
      <c r="A89" s="32">
        <v>45150.0</v>
      </c>
      <c r="B89" s="1" t="s">
        <v>222</v>
      </c>
      <c r="C89" s="3" t="s">
        <v>263</v>
      </c>
      <c r="D89" s="3" t="s">
        <v>11</v>
      </c>
      <c r="E89" s="5">
        <v>4.0</v>
      </c>
      <c r="F89" s="74" t="s">
        <v>260</v>
      </c>
      <c r="G89" s="3" t="s">
        <v>230</v>
      </c>
      <c r="J89" s="5">
        <v>4.0</v>
      </c>
      <c r="N89" s="3" t="b">
        <v>0</v>
      </c>
      <c r="R89" s="3">
        <v>0.0</v>
      </c>
      <c r="T89" s="3">
        <v>10.0</v>
      </c>
      <c r="U89" s="2"/>
      <c r="V89" s="2"/>
      <c r="W89" s="70"/>
      <c r="X89" s="71"/>
      <c r="AA89" s="2">
        <f>2+ (P89*'Scoring System'!$B$3)+ (IF(OR(D89="DEF",D89="GK"),N89*'Scoring System'!$B$4,IF(D89="MID",N89*'Scoring System'!$B$5,0)))+ (IF(OR(D89="DEF",D89="GK"),H89*'Scoring System'!$B$6,IF(D89="MID",H89*'Scoring System'!$B$7,IF(D89="ATT",H89*'Scoring System'!$B$8,0))))+ IF(AND(OR(D89="GK",D89="DEF"),J89&gt;=3),1*'Scoring System'!$B$9,0)+ (I89*'Scoring System'!$B$10)+ (K89*'Scoring System'!$B$11)+ (M89*'Scoring System'!$B$12)+ (L89*'Scoring System'!$B$13)+ (O89*'Scoring System'!$B$14)+ (Q89*'Scoring System'!$B$15)+ (R89*'Scoring System'!$B$16)</f>
        <v>1</v>
      </c>
      <c r="AB89" s="72" t="b">
        <f>IFERROR(match(C89,'Match Day Fees'!$B$2:$B$999,0),0)=0</f>
        <v>0</v>
      </c>
      <c r="AC89" s="73">
        <f t="shared" si="1"/>
        <v>0</v>
      </c>
      <c r="AD89" s="3" t="str">
        <f>VLOOKUP(D89,'Position Lookup'!A:B,1,FALSE)</f>
        <v>DEF</v>
      </c>
    </row>
    <row r="90" ht="17.25" customHeight="1">
      <c r="A90" s="32">
        <v>45150.0</v>
      </c>
      <c r="B90" s="1" t="s">
        <v>222</v>
      </c>
      <c r="C90" s="5" t="s">
        <v>70</v>
      </c>
      <c r="D90" s="3" t="s">
        <v>9</v>
      </c>
      <c r="E90" s="5">
        <v>4.0</v>
      </c>
      <c r="F90" s="74" t="s">
        <v>260</v>
      </c>
      <c r="G90" s="3" t="s">
        <v>230</v>
      </c>
      <c r="J90" s="5">
        <v>4.0</v>
      </c>
      <c r="N90" s="3" t="b">
        <v>0</v>
      </c>
      <c r="R90" s="3">
        <v>0.0</v>
      </c>
      <c r="T90" s="3">
        <v>10.0</v>
      </c>
      <c r="U90" s="2"/>
      <c r="V90" s="2"/>
      <c r="W90" s="70"/>
      <c r="X90" s="71"/>
      <c r="AA90" s="2">
        <f>2+ (P90*'Scoring System'!$B$3)+ (IF(OR(D90="DEF",D90="GK"),N90*'Scoring System'!$B$4,IF(D90="MID",N90*'Scoring System'!$B$5,0)))+ (IF(OR(D90="DEF",D90="GK"),H90*'Scoring System'!$B$6,IF(D90="MID",H90*'Scoring System'!$B$7,IF(D90="ATT",H90*'Scoring System'!$B$8,0))))+ IF(AND(OR(D90="GK",D90="DEF"),J90&gt;=3),1*'Scoring System'!$B$9,0)+ (I90*'Scoring System'!$B$10)+ (K90*'Scoring System'!$B$11)+ (M90*'Scoring System'!$B$12)+ (L90*'Scoring System'!$B$13)+ (O90*'Scoring System'!$B$14)+ (Q90*'Scoring System'!$B$15)+ (R90*'Scoring System'!$B$16)</f>
        <v>2</v>
      </c>
      <c r="AB90" s="72" t="b">
        <f>IFERROR(match(C90,'Match Day Fees'!$B$2:$B$999,0),0)=0</f>
        <v>0</v>
      </c>
      <c r="AC90" s="73">
        <f t="shared" si="1"/>
        <v>0</v>
      </c>
      <c r="AD90" s="3" t="str">
        <f>VLOOKUP(D90,'Position Lookup'!A:B,1,FALSE)</f>
        <v>ATT</v>
      </c>
    </row>
    <row r="91" ht="17.25" customHeight="1">
      <c r="A91" s="32">
        <v>45150.0</v>
      </c>
      <c r="B91" s="1" t="s">
        <v>222</v>
      </c>
      <c r="C91" s="3" t="s">
        <v>237</v>
      </c>
      <c r="D91" s="3" t="s">
        <v>9</v>
      </c>
      <c r="E91" s="5">
        <v>4.0</v>
      </c>
      <c r="F91" s="74" t="s">
        <v>260</v>
      </c>
      <c r="G91" s="3" t="s">
        <v>230</v>
      </c>
      <c r="J91" s="5">
        <v>4.0</v>
      </c>
      <c r="N91" s="3" t="b">
        <v>0</v>
      </c>
      <c r="R91" s="3">
        <v>0.0</v>
      </c>
      <c r="T91" s="3">
        <v>10.0</v>
      </c>
      <c r="U91" s="2"/>
      <c r="V91" s="2"/>
      <c r="W91" s="70"/>
      <c r="X91" s="71"/>
      <c r="AA91" s="2">
        <f>2+ (P91*'Scoring System'!$B$3)+ (IF(OR(D91="DEF",D91="GK"),N91*'Scoring System'!$B$4,IF(D91="MID",N91*'Scoring System'!$B$5,0)))+ (IF(OR(D91="DEF",D91="GK"),H91*'Scoring System'!$B$6,IF(D91="MID",H91*'Scoring System'!$B$7,IF(D91="ATT",H91*'Scoring System'!$B$8,0))))+ IF(AND(OR(D91="GK",D91="DEF"),J91&gt;=3),1*'Scoring System'!$B$9,0)+ (I91*'Scoring System'!$B$10)+ (K91*'Scoring System'!$B$11)+ (M91*'Scoring System'!$B$12)+ (L91*'Scoring System'!$B$13)+ (O91*'Scoring System'!$B$14)+ (Q91*'Scoring System'!$B$15)+ (R91*'Scoring System'!$B$16)</f>
        <v>2</v>
      </c>
      <c r="AB91" s="72" t="b">
        <f>IFERROR(match(C91,'Match Day Fees'!$B$2:$B$999,0),0)=0</f>
        <v>0</v>
      </c>
      <c r="AC91" s="73">
        <f t="shared" si="1"/>
        <v>0</v>
      </c>
      <c r="AD91" s="3" t="str">
        <f>VLOOKUP(D91,'Position Lookup'!A:B,1,FALSE)</f>
        <v>ATT</v>
      </c>
    </row>
    <row r="92" ht="17.25" customHeight="1">
      <c r="A92" s="32">
        <v>45150.0</v>
      </c>
      <c r="B92" s="1" t="s">
        <v>222</v>
      </c>
      <c r="C92" s="3" t="s">
        <v>264</v>
      </c>
      <c r="D92" s="3" t="s">
        <v>11</v>
      </c>
      <c r="E92" s="5">
        <v>4.0</v>
      </c>
      <c r="F92" s="74" t="s">
        <v>260</v>
      </c>
      <c r="G92" s="3" t="s">
        <v>230</v>
      </c>
      <c r="J92" s="5">
        <v>4.0</v>
      </c>
      <c r="N92" s="3" t="b">
        <v>0</v>
      </c>
      <c r="R92" s="3">
        <v>0.0</v>
      </c>
      <c r="T92" s="3">
        <v>10.0</v>
      </c>
      <c r="U92" s="2"/>
      <c r="V92" s="2"/>
      <c r="W92" s="70"/>
      <c r="X92" s="71"/>
      <c r="AA92" s="2">
        <f>2+ (P92*'Scoring System'!$B$3)+ (IF(OR(D92="DEF",D92="GK"),N92*'Scoring System'!$B$4,IF(D92="MID",N92*'Scoring System'!$B$5,0)))+ (IF(OR(D92="DEF",D92="GK"),H92*'Scoring System'!$B$6,IF(D92="MID",H92*'Scoring System'!$B$7,IF(D92="ATT",H92*'Scoring System'!$B$8,0))))+ IF(AND(OR(D92="GK",D92="DEF"),J92&gt;=3),1*'Scoring System'!$B$9,0)+ (I92*'Scoring System'!$B$10)+ (K92*'Scoring System'!$B$11)+ (M92*'Scoring System'!$B$12)+ (L92*'Scoring System'!$B$13)+ (O92*'Scoring System'!$B$14)+ (Q92*'Scoring System'!$B$15)+ (R92*'Scoring System'!$B$16)</f>
        <v>1</v>
      </c>
      <c r="AB92" s="72" t="b">
        <f>IFERROR(match(C92,'Match Day Fees'!$B$2:$B$999,0),0)=0</f>
        <v>0</v>
      </c>
      <c r="AC92" s="73">
        <f t="shared" si="1"/>
        <v>0</v>
      </c>
      <c r="AD92" s="3" t="str">
        <f>VLOOKUP(D92,'Position Lookup'!A:B,1,FALSE)</f>
        <v>DEF</v>
      </c>
    </row>
    <row r="93" ht="17.25" customHeight="1">
      <c r="A93" s="32">
        <v>45150.0</v>
      </c>
      <c r="B93" s="1" t="s">
        <v>222</v>
      </c>
      <c r="C93" s="3" t="s">
        <v>106</v>
      </c>
      <c r="D93" s="3" t="s">
        <v>8</v>
      </c>
      <c r="E93" s="5">
        <v>5.0</v>
      </c>
      <c r="F93" s="3" t="s">
        <v>223</v>
      </c>
      <c r="G93" s="3" t="s">
        <v>242</v>
      </c>
      <c r="J93" s="5"/>
      <c r="N93" s="3" t="b">
        <v>1</v>
      </c>
      <c r="R93" s="3">
        <v>1.0</v>
      </c>
      <c r="S93" s="3" t="b">
        <v>1</v>
      </c>
      <c r="T93" s="3">
        <v>0.0</v>
      </c>
      <c r="U93" s="2"/>
      <c r="V93" s="2"/>
      <c r="W93" s="70"/>
      <c r="X93" s="71"/>
      <c r="AA93" s="2">
        <f>2+ (P93*'Scoring System'!$B$3)+ (IF(OR(D93="DEF",D93="GK"),N93*'Scoring System'!$B$4,IF(D93="MID",N93*'Scoring System'!$B$5,0)))+ (IF(OR(D93="DEF",D93="GK"),H93*'Scoring System'!$B$6,IF(D93="MID",H93*'Scoring System'!$B$7,IF(D93="ATT",H93*'Scoring System'!$B$8,0))))+ IF(AND(OR(D93="GK",D93="DEF"),J93&gt;=3),1*'Scoring System'!$B$9,0)+ (I93*'Scoring System'!$B$10)+ (K93*'Scoring System'!$B$11)+ (M93*'Scoring System'!$B$12)+ (L93*'Scoring System'!$B$13)+ (O93*'Scoring System'!$B$14)+ (Q93*'Scoring System'!$B$15)+ (R93*'Scoring System'!$B$16)</f>
        <v>13</v>
      </c>
      <c r="AB93" s="72" t="b">
        <f>IFERROR(match(C93,'Match Day Fees'!$B$2:$B$999,0),0)=0</f>
        <v>0</v>
      </c>
      <c r="AC93" s="73">
        <f t="shared" si="1"/>
        <v>0</v>
      </c>
      <c r="AD93" s="3" t="str">
        <f>VLOOKUP(D93,'Position Lookup'!A:B,1,FALSE)</f>
        <v>GK</v>
      </c>
    </row>
    <row r="94" ht="17.25" customHeight="1">
      <c r="A94" s="32">
        <v>45150.0</v>
      </c>
      <c r="B94" s="1" t="s">
        <v>222</v>
      </c>
      <c r="C94" s="3" t="s">
        <v>265</v>
      </c>
      <c r="D94" s="3" t="s">
        <v>11</v>
      </c>
      <c r="E94" s="5">
        <v>5.0</v>
      </c>
      <c r="F94" s="3" t="s">
        <v>223</v>
      </c>
      <c r="G94" s="3" t="s">
        <v>242</v>
      </c>
      <c r="J94" s="5"/>
      <c r="N94" s="3" t="b">
        <v>1</v>
      </c>
      <c r="R94" s="3">
        <v>0.0</v>
      </c>
      <c r="T94" s="3">
        <v>5.0</v>
      </c>
      <c r="U94" s="2"/>
      <c r="V94" s="2"/>
      <c r="W94" s="70"/>
      <c r="X94" s="71"/>
      <c r="AA94" s="2">
        <f>2+ (P94*'Scoring System'!$B$3)+ (IF(OR(D94="DEF",D94="GK"),N94*'Scoring System'!$B$4,IF(D94="MID",N94*'Scoring System'!$B$5,0)))+ (IF(OR(D94="DEF",D94="GK"),H94*'Scoring System'!$B$6,IF(D94="MID",H94*'Scoring System'!$B$7,IF(D94="ATT",H94*'Scoring System'!$B$8,0))))+ IF(AND(OR(D94="GK",D94="DEF"),J94&gt;=3),1*'Scoring System'!$B$9,0)+ (I94*'Scoring System'!$B$10)+ (K94*'Scoring System'!$B$11)+ (M94*'Scoring System'!$B$12)+ (L94*'Scoring System'!$B$13)+ (O94*'Scoring System'!$B$14)+ (Q94*'Scoring System'!$B$15)+ (R94*'Scoring System'!$B$16)</f>
        <v>8</v>
      </c>
      <c r="AB94" s="72" t="b">
        <f>IFERROR(match(C94,'Match Day Fees'!$B$2:$B$999,0),0)=0</f>
        <v>0</v>
      </c>
      <c r="AC94" s="73">
        <f t="shared" si="1"/>
        <v>0</v>
      </c>
      <c r="AD94" s="3" t="str">
        <f>VLOOKUP(D94,'Position Lookup'!A:B,1,FALSE)</f>
        <v>DEF</v>
      </c>
    </row>
    <row r="95" ht="17.25" customHeight="1">
      <c r="A95" s="32">
        <v>45150.0</v>
      </c>
      <c r="B95" s="1" t="s">
        <v>222</v>
      </c>
      <c r="C95" s="3" t="s">
        <v>248</v>
      </c>
      <c r="D95" s="3" t="s">
        <v>11</v>
      </c>
      <c r="E95" s="5">
        <v>5.0</v>
      </c>
      <c r="F95" s="3" t="s">
        <v>223</v>
      </c>
      <c r="G95" s="3" t="s">
        <v>242</v>
      </c>
      <c r="J95" s="5"/>
      <c r="N95" s="3" t="b">
        <v>1</v>
      </c>
      <c r="R95" s="3">
        <v>0.0</v>
      </c>
      <c r="T95" s="3">
        <v>5.0</v>
      </c>
      <c r="U95" s="2"/>
      <c r="V95" s="2"/>
      <c r="W95" s="70"/>
      <c r="X95" s="71"/>
      <c r="AA95" s="2">
        <f>2+ (P95*'Scoring System'!$B$3)+ (IF(OR(D95="DEF",D95="GK"),N95*'Scoring System'!$B$4,IF(D95="MID",N95*'Scoring System'!$B$5,0)))+ (IF(OR(D95="DEF",D95="GK"),H95*'Scoring System'!$B$6,IF(D95="MID",H95*'Scoring System'!$B$7,IF(D95="ATT",H95*'Scoring System'!$B$8,0))))+ IF(AND(OR(D95="GK",D95="DEF"),J95&gt;=3),1*'Scoring System'!$B$9,0)+ (I95*'Scoring System'!$B$10)+ (K95*'Scoring System'!$B$11)+ (M95*'Scoring System'!$B$12)+ (L95*'Scoring System'!$B$13)+ (O95*'Scoring System'!$B$14)+ (Q95*'Scoring System'!$B$15)+ (R95*'Scoring System'!$B$16)</f>
        <v>8</v>
      </c>
      <c r="AB95" s="72" t="b">
        <f>IFERROR(match(C95,'Match Day Fees'!$B$2:$B$999,0),0)=0</f>
        <v>0</v>
      </c>
      <c r="AC95" s="73">
        <f t="shared" si="1"/>
        <v>0</v>
      </c>
      <c r="AD95" s="3" t="str">
        <f>VLOOKUP(D95,'Position Lookup'!A:B,1,FALSE)</f>
        <v>DEF</v>
      </c>
    </row>
    <row r="96" ht="17.25" customHeight="1">
      <c r="A96" s="32">
        <v>45150.0</v>
      </c>
      <c r="B96" s="1" t="s">
        <v>222</v>
      </c>
      <c r="C96" s="3" t="s">
        <v>154</v>
      </c>
      <c r="D96" s="3" t="s">
        <v>11</v>
      </c>
      <c r="E96" s="5">
        <v>5.0</v>
      </c>
      <c r="F96" s="3" t="s">
        <v>223</v>
      </c>
      <c r="G96" s="3" t="s">
        <v>242</v>
      </c>
      <c r="J96" s="5"/>
      <c r="N96" s="3" t="b">
        <v>1</v>
      </c>
      <c r="R96" s="3">
        <v>0.0</v>
      </c>
      <c r="T96" s="3">
        <v>10.0</v>
      </c>
      <c r="U96" s="2"/>
      <c r="V96" s="2"/>
      <c r="W96" s="70"/>
      <c r="X96" s="71"/>
      <c r="AA96" s="2">
        <f>2+ (P96*'Scoring System'!$B$3)+ (IF(OR(D96="DEF",D96="GK"),N96*'Scoring System'!$B$4,IF(D96="MID",N96*'Scoring System'!$B$5,0)))+ (IF(OR(D96="DEF",D96="GK"),H96*'Scoring System'!$B$6,IF(D96="MID",H96*'Scoring System'!$B$7,IF(D96="ATT",H96*'Scoring System'!$B$8,0))))+ IF(AND(OR(D96="GK",D96="DEF"),J96&gt;=3),1*'Scoring System'!$B$9,0)+ (I96*'Scoring System'!$B$10)+ (K96*'Scoring System'!$B$11)+ (M96*'Scoring System'!$B$12)+ (L96*'Scoring System'!$B$13)+ (O96*'Scoring System'!$B$14)+ (Q96*'Scoring System'!$B$15)+ (R96*'Scoring System'!$B$16)</f>
        <v>8</v>
      </c>
      <c r="AB96" s="72" t="b">
        <f>IFERROR(match(C96,'Match Day Fees'!$B$2:$B$999,0),0)=0</f>
        <v>0</v>
      </c>
      <c r="AC96" s="73">
        <f t="shared" si="1"/>
        <v>0</v>
      </c>
      <c r="AD96" s="3" t="str">
        <f>VLOOKUP(D96,'Position Lookup'!A:B,1,FALSE)</f>
        <v>DEF</v>
      </c>
    </row>
    <row r="97" ht="17.25" customHeight="1">
      <c r="A97" s="32">
        <v>45150.0</v>
      </c>
      <c r="B97" s="1" t="s">
        <v>222</v>
      </c>
      <c r="C97" s="3" t="s">
        <v>101</v>
      </c>
      <c r="D97" s="3" t="s">
        <v>11</v>
      </c>
      <c r="E97" s="5">
        <v>5.0</v>
      </c>
      <c r="F97" s="3" t="s">
        <v>223</v>
      </c>
      <c r="G97" s="3" t="s">
        <v>242</v>
      </c>
      <c r="J97" s="5"/>
      <c r="N97" s="3" t="b">
        <v>1</v>
      </c>
      <c r="R97" s="3">
        <v>0.0</v>
      </c>
      <c r="T97" s="3">
        <v>10.0</v>
      </c>
      <c r="U97" s="2"/>
      <c r="V97" s="2"/>
      <c r="W97" s="70"/>
      <c r="X97" s="71"/>
      <c r="AA97" s="2">
        <f>2+ (P97*'Scoring System'!$B$3)+ (IF(OR(D97="DEF",D97="GK"),N97*'Scoring System'!$B$4,IF(D97="MID",N97*'Scoring System'!$B$5,0)))+ (IF(OR(D97="DEF",D97="GK"),H97*'Scoring System'!$B$6,IF(D97="MID",H97*'Scoring System'!$B$7,IF(D97="ATT",H97*'Scoring System'!$B$8,0))))+ IF(AND(OR(D97="GK",D97="DEF"),J97&gt;=3),1*'Scoring System'!$B$9,0)+ (I97*'Scoring System'!$B$10)+ (K97*'Scoring System'!$B$11)+ (M97*'Scoring System'!$B$12)+ (L97*'Scoring System'!$B$13)+ (O97*'Scoring System'!$B$14)+ (Q97*'Scoring System'!$B$15)+ (R97*'Scoring System'!$B$16)</f>
        <v>8</v>
      </c>
      <c r="AB97" s="72" t="b">
        <f>IFERROR(match(C97,'Match Day Fees'!$B$2:$B$999,0),0)=0</f>
        <v>0</v>
      </c>
      <c r="AC97" s="73">
        <f t="shared" si="1"/>
        <v>0</v>
      </c>
      <c r="AD97" s="3" t="str">
        <f>VLOOKUP(D97,'Position Lookup'!A:B,1,FALSE)</f>
        <v>DEF</v>
      </c>
    </row>
    <row r="98" ht="17.25" customHeight="1">
      <c r="A98" s="32">
        <v>45150.0</v>
      </c>
      <c r="B98" s="1" t="s">
        <v>222</v>
      </c>
      <c r="C98" s="3" t="s">
        <v>266</v>
      </c>
      <c r="D98" s="3" t="s">
        <v>10</v>
      </c>
      <c r="E98" s="5">
        <v>5.0</v>
      </c>
      <c r="F98" s="3" t="s">
        <v>223</v>
      </c>
      <c r="G98" s="3" t="s">
        <v>242</v>
      </c>
      <c r="J98" s="5"/>
      <c r="N98" s="3" t="b">
        <v>1</v>
      </c>
      <c r="R98" s="3">
        <v>0.0</v>
      </c>
      <c r="T98" s="3">
        <v>10.0</v>
      </c>
      <c r="U98" s="2"/>
      <c r="V98" s="2"/>
      <c r="W98" s="70"/>
      <c r="X98" s="71"/>
      <c r="AA98" s="2">
        <f>2+ (P98*'Scoring System'!$B$3)+ (IF(OR(D98="DEF",D98="GK"),N98*'Scoring System'!$B$4,IF(D98="MID",N98*'Scoring System'!$B$5,0)))+ (IF(OR(D98="DEF",D98="GK"),H98*'Scoring System'!$B$6,IF(D98="MID",H98*'Scoring System'!$B$7,IF(D98="ATT",H98*'Scoring System'!$B$8,0))))+ IF(AND(OR(D98="GK",D98="DEF"),J98&gt;=3),1*'Scoring System'!$B$9,0)+ (I98*'Scoring System'!$B$10)+ (K98*'Scoring System'!$B$11)+ (M98*'Scoring System'!$B$12)+ (L98*'Scoring System'!$B$13)+ (O98*'Scoring System'!$B$14)+ (Q98*'Scoring System'!$B$15)+ (R98*'Scoring System'!$B$16)</f>
        <v>4</v>
      </c>
      <c r="AB98" s="72" t="b">
        <f>IFERROR(match(C98,'Match Day Fees'!$B$2:$B$999,0),0)=0</f>
        <v>0</v>
      </c>
      <c r="AC98" s="73">
        <f t="shared" si="1"/>
        <v>0</v>
      </c>
      <c r="AD98" s="3" t="str">
        <f>VLOOKUP(D98,'Position Lookup'!A:B,1,FALSE)</f>
        <v>MID</v>
      </c>
    </row>
    <row r="99" ht="17.25" customHeight="1">
      <c r="A99" s="32">
        <v>45150.0</v>
      </c>
      <c r="B99" s="1" t="s">
        <v>222</v>
      </c>
      <c r="C99" s="3" t="s">
        <v>267</v>
      </c>
      <c r="D99" s="3" t="s">
        <v>10</v>
      </c>
      <c r="E99" s="5">
        <v>5.0</v>
      </c>
      <c r="F99" s="3" t="s">
        <v>223</v>
      </c>
      <c r="G99" s="3" t="s">
        <v>242</v>
      </c>
      <c r="J99" s="5"/>
      <c r="N99" s="3" t="b">
        <v>1</v>
      </c>
      <c r="R99" s="3">
        <v>0.0</v>
      </c>
      <c r="T99" s="3">
        <v>10.0</v>
      </c>
      <c r="U99" s="2"/>
      <c r="V99" s="2"/>
      <c r="W99" s="70"/>
      <c r="X99" s="71"/>
      <c r="AA99" s="2">
        <f>2+ (P99*'Scoring System'!$B$3)+ (IF(OR(D99="DEF",D99="GK"),N99*'Scoring System'!$B$4,IF(D99="MID",N99*'Scoring System'!$B$5,0)))+ (IF(OR(D99="DEF",D99="GK"),H99*'Scoring System'!$B$6,IF(D99="MID",H99*'Scoring System'!$B$7,IF(D99="ATT",H99*'Scoring System'!$B$8,0))))+ IF(AND(OR(D99="GK",D99="DEF"),J99&gt;=3),1*'Scoring System'!$B$9,0)+ (I99*'Scoring System'!$B$10)+ (K99*'Scoring System'!$B$11)+ (M99*'Scoring System'!$B$12)+ (L99*'Scoring System'!$B$13)+ (O99*'Scoring System'!$B$14)+ (Q99*'Scoring System'!$B$15)+ (R99*'Scoring System'!$B$16)</f>
        <v>4</v>
      </c>
      <c r="AB99" s="72" t="b">
        <f>IFERROR(match(C99,'Match Day Fees'!$B$2:$B$999,0),0)=0</f>
        <v>0</v>
      </c>
      <c r="AC99" s="73">
        <f t="shared" si="1"/>
        <v>0</v>
      </c>
      <c r="AD99" s="3" t="str">
        <f>VLOOKUP(D99,'Position Lookup'!A:B,1,FALSE)</f>
        <v>MID</v>
      </c>
    </row>
    <row r="100" ht="17.25" customHeight="1">
      <c r="A100" s="32">
        <v>45150.0</v>
      </c>
      <c r="B100" s="1" t="s">
        <v>222</v>
      </c>
      <c r="C100" s="3" t="s">
        <v>58</v>
      </c>
      <c r="D100" s="3" t="s">
        <v>10</v>
      </c>
      <c r="E100" s="5">
        <v>5.0</v>
      </c>
      <c r="F100" s="3" t="s">
        <v>223</v>
      </c>
      <c r="G100" s="3" t="s">
        <v>242</v>
      </c>
      <c r="J100" s="5"/>
      <c r="N100" s="3" t="b">
        <v>1</v>
      </c>
      <c r="R100" s="3">
        <v>0.0</v>
      </c>
      <c r="T100" s="3">
        <v>10.0</v>
      </c>
      <c r="U100" s="2"/>
      <c r="V100" s="2"/>
      <c r="W100" s="70"/>
      <c r="X100" s="71"/>
      <c r="AA100" s="2">
        <f>2+ (P100*'Scoring System'!$B$3)+ (IF(OR(D100="DEF",D100="GK"),N100*'Scoring System'!$B$4,IF(D100="MID",N100*'Scoring System'!$B$5,0)))+ (IF(OR(D100="DEF",D100="GK"),H100*'Scoring System'!$B$6,IF(D100="MID",H100*'Scoring System'!$B$7,IF(D100="ATT",H100*'Scoring System'!$B$8,0))))+ IF(AND(OR(D100="GK",D100="DEF"),J100&gt;=3),1*'Scoring System'!$B$9,0)+ (I100*'Scoring System'!$B$10)+ (K100*'Scoring System'!$B$11)+ (M100*'Scoring System'!$B$12)+ (L100*'Scoring System'!$B$13)+ (O100*'Scoring System'!$B$14)+ (Q100*'Scoring System'!$B$15)+ (R100*'Scoring System'!$B$16)</f>
        <v>4</v>
      </c>
      <c r="AB100" s="72" t="b">
        <f>IFERROR(match(C100,'Match Day Fees'!$B$2:$B$999,0),0)=0</f>
        <v>0</v>
      </c>
      <c r="AC100" s="73">
        <f t="shared" si="1"/>
        <v>0</v>
      </c>
      <c r="AD100" s="3" t="str">
        <f>VLOOKUP(D100,'Position Lookup'!A:B,1,FALSE)</f>
        <v>MID</v>
      </c>
    </row>
    <row r="101" ht="17.25" customHeight="1">
      <c r="A101" s="32">
        <v>45150.0</v>
      </c>
      <c r="B101" s="1" t="s">
        <v>222</v>
      </c>
      <c r="C101" s="3" t="s">
        <v>128</v>
      </c>
      <c r="D101" s="3" t="s">
        <v>10</v>
      </c>
      <c r="E101" s="5">
        <v>5.0</v>
      </c>
      <c r="F101" s="3" t="s">
        <v>223</v>
      </c>
      <c r="G101" s="3" t="s">
        <v>242</v>
      </c>
      <c r="J101" s="5"/>
      <c r="N101" s="3" t="b">
        <v>1</v>
      </c>
      <c r="R101" s="3">
        <v>0.0</v>
      </c>
      <c r="T101" s="3">
        <v>10.0</v>
      </c>
      <c r="U101" s="2"/>
      <c r="V101" s="2"/>
      <c r="W101" s="70"/>
      <c r="X101" s="71"/>
      <c r="AA101" s="2">
        <f>2+ (P101*'Scoring System'!$B$3)+ (IF(OR(D101="DEF",D101="GK"),N101*'Scoring System'!$B$4,IF(D101="MID",N101*'Scoring System'!$B$5,0)))+ (IF(OR(D101="DEF",D101="GK"),H101*'Scoring System'!$B$6,IF(D101="MID",H101*'Scoring System'!$B$7,IF(D101="ATT",H101*'Scoring System'!$B$8,0))))+ IF(AND(OR(D101="GK",D101="DEF"),J101&gt;=3),1*'Scoring System'!$B$9,0)+ (I101*'Scoring System'!$B$10)+ (K101*'Scoring System'!$B$11)+ (M101*'Scoring System'!$B$12)+ (L101*'Scoring System'!$B$13)+ (O101*'Scoring System'!$B$14)+ (Q101*'Scoring System'!$B$15)+ (R101*'Scoring System'!$B$16)</f>
        <v>4</v>
      </c>
      <c r="AB101" s="72" t="b">
        <f>IFERROR(match(C101,'Match Day Fees'!$B$2:$B$999,0),0)=0</f>
        <v>0</v>
      </c>
      <c r="AC101" s="73">
        <f t="shared" si="1"/>
        <v>0</v>
      </c>
      <c r="AD101" s="3" t="str">
        <f>VLOOKUP(D101,'Position Lookup'!A:B,1,FALSE)</f>
        <v>MID</v>
      </c>
    </row>
    <row r="102" ht="17.25" customHeight="1">
      <c r="A102" s="32">
        <v>45150.0</v>
      </c>
      <c r="B102" s="1" t="s">
        <v>222</v>
      </c>
      <c r="C102" s="3" t="s">
        <v>45</v>
      </c>
      <c r="D102" s="3" t="s">
        <v>10</v>
      </c>
      <c r="E102" s="5">
        <v>5.0</v>
      </c>
      <c r="F102" s="3" t="s">
        <v>223</v>
      </c>
      <c r="G102" s="3" t="s">
        <v>242</v>
      </c>
      <c r="J102" s="5"/>
      <c r="N102" s="3" t="b">
        <v>1</v>
      </c>
      <c r="R102" s="3">
        <v>0.0</v>
      </c>
      <c r="T102" s="3">
        <v>10.0</v>
      </c>
      <c r="U102" s="2"/>
      <c r="V102" s="2"/>
      <c r="W102" s="70"/>
      <c r="X102" s="71"/>
      <c r="AA102" s="2">
        <f>2+ (P102*'Scoring System'!$B$3)+ (IF(OR(D102="DEF",D102="GK"),N102*'Scoring System'!$B$4,IF(D102="MID",N102*'Scoring System'!$B$5,0)))+ (IF(OR(D102="DEF",D102="GK"),H102*'Scoring System'!$B$6,IF(D102="MID",H102*'Scoring System'!$B$7,IF(D102="ATT",H102*'Scoring System'!$B$8,0))))+ IF(AND(OR(D102="GK",D102="DEF"),J102&gt;=3),1*'Scoring System'!$B$9,0)+ (I102*'Scoring System'!$B$10)+ (K102*'Scoring System'!$B$11)+ (M102*'Scoring System'!$B$12)+ (L102*'Scoring System'!$B$13)+ (O102*'Scoring System'!$B$14)+ (Q102*'Scoring System'!$B$15)+ (R102*'Scoring System'!$B$16)</f>
        <v>4</v>
      </c>
      <c r="AB102" s="72" t="b">
        <f>IFERROR(match(C102,'Match Day Fees'!$B$2:$B$999,0),0)=0</f>
        <v>0</v>
      </c>
      <c r="AC102" s="73">
        <f t="shared" si="1"/>
        <v>0</v>
      </c>
      <c r="AD102" s="3" t="str">
        <f>VLOOKUP(D102,'Position Lookup'!A:B,1,FALSE)</f>
        <v>MID</v>
      </c>
    </row>
    <row r="103" ht="17.25" customHeight="1">
      <c r="A103" s="32">
        <v>45150.0</v>
      </c>
      <c r="B103" s="1" t="s">
        <v>222</v>
      </c>
      <c r="C103" s="3" t="s">
        <v>268</v>
      </c>
      <c r="D103" s="3" t="s">
        <v>10</v>
      </c>
      <c r="E103" s="5">
        <v>6.0</v>
      </c>
      <c r="F103" s="3" t="s">
        <v>223</v>
      </c>
      <c r="G103" s="3" t="s">
        <v>242</v>
      </c>
      <c r="J103" s="5"/>
      <c r="N103" s="3" t="b">
        <v>1</v>
      </c>
      <c r="R103" s="3">
        <v>0.0</v>
      </c>
      <c r="T103" s="3">
        <v>10.0</v>
      </c>
      <c r="U103" s="2"/>
      <c r="V103" s="2"/>
      <c r="W103" s="70"/>
      <c r="X103" s="71"/>
      <c r="AA103" s="2">
        <f>2+ (P103*'Scoring System'!$B$3)+ (IF(OR(D103="DEF",D103="GK"),N103*'Scoring System'!$B$4,IF(D103="MID",N103*'Scoring System'!$B$5,0)))+ (IF(OR(D103="DEF",D103="GK"),H103*'Scoring System'!$B$6,IF(D103="MID",H103*'Scoring System'!$B$7,IF(D103="ATT",H103*'Scoring System'!$B$8,0))))+ IF(AND(OR(D103="GK",D103="DEF"),J103&gt;=3),1*'Scoring System'!$B$9,0)+ (I103*'Scoring System'!$B$10)+ (K103*'Scoring System'!$B$11)+ (M103*'Scoring System'!$B$12)+ (L103*'Scoring System'!$B$13)+ (O103*'Scoring System'!$B$14)+ (Q103*'Scoring System'!$B$15)+ (R103*'Scoring System'!$B$16)</f>
        <v>4</v>
      </c>
      <c r="AB103" s="72" t="b">
        <f>IFERROR(match(C103,'Match Day Fees'!$B$2:$B$999,0),0)=0</f>
        <v>0</v>
      </c>
      <c r="AC103" s="73">
        <f t="shared" si="1"/>
        <v>0</v>
      </c>
      <c r="AD103" s="3" t="str">
        <f>VLOOKUP(D103,'Position Lookup'!A:B,1,FALSE)</f>
        <v>MID</v>
      </c>
    </row>
    <row r="104" ht="17.25" customHeight="1">
      <c r="A104" s="32">
        <v>45150.0</v>
      </c>
      <c r="B104" s="1" t="s">
        <v>222</v>
      </c>
      <c r="C104" s="3" t="s">
        <v>89</v>
      </c>
      <c r="D104" s="3" t="s">
        <v>9</v>
      </c>
      <c r="E104" s="5">
        <v>6.0</v>
      </c>
      <c r="F104" s="3" t="s">
        <v>223</v>
      </c>
      <c r="G104" s="3" t="s">
        <v>242</v>
      </c>
      <c r="J104" s="5"/>
      <c r="N104" s="3" t="b">
        <v>1</v>
      </c>
      <c r="R104" s="3">
        <v>0.0</v>
      </c>
      <c r="T104" s="3">
        <v>10.0</v>
      </c>
      <c r="U104" s="2"/>
      <c r="V104" s="2"/>
      <c r="W104" s="70"/>
      <c r="X104" s="71"/>
      <c r="AA104" s="2">
        <f>2+ (P104*'Scoring System'!$B$3)+ (IF(OR(D104="DEF",D104="GK"),N104*'Scoring System'!$B$4,IF(D104="MID",N104*'Scoring System'!$B$5,0)))+ (IF(OR(D104="DEF",D104="GK"),H104*'Scoring System'!$B$6,IF(D104="MID",H104*'Scoring System'!$B$7,IF(D104="ATT",H104*'Scoring System'!$B$8,0))))+ IF(AND(OR(D104="GK",D104="DEF"),J104&gt;=3),1*'Scoring System'!$B$9,0)+ (I104*'Scoring System'!$B$10)+ (K104*'Scoring System'!$B$11)+ (M104*'Scoring System'!$B$12)+ (L104*'Scoring System'!$B$13)+ (O104*'Scoring System'!$B$14)+ (Q104*'Scoring System'!$B$15)+ (R104*'Scoring System'!$B$16)</f>
        <v>2</v>
      </c>
      <c r="AB104" s="72" t="b">
        <f>IFERROR(match(C104,'Match Day Fees'!$B$2:$B$999,0),0)=0</f>
        <v>0</v>
      </c>
      <c r="AC104" s="73">
        <f t="shared" si="1"/>
        <v>0</v>
      </c>
      <c r="AD104" s="3" t="str">
        <f>VLOOKUP(D104,'Position Lookup'!A:B,1,FALSE)</f>
        <v>ATT</v>
      </c>
    </row>
    <row r="105" ht="17.25" customHeight="1">
      <c r="A105" s="32">
        <v>45150.0</v>
      </c>
      <c r="B105" s="1" t="s">
        <v>222</v>
      </c>
      <c r="C105" s="3" t="s">
        <v>269</v>
      </c>
      <c r="D105" s="3" t="s">
        <v>10</v>
      </c>
      <c r="E105" s="5">
        <v>6.0</v>
      </c>
      <c r="F105" s="3" t="s">
        <v>223</v>
      </c>
      <c r="G105" s="3" t="s">
        <v>242</v>
      </c>
      <c r="J105" s="5"/>
      <c r="N105" s="3" t="b">
        <v>1</v>
      </c>
      <c r="R105" s="3">
        <v>0.0</v>
      </c>
      <c r="T105" s="3">
        <v>5.0</v>
      </c>
      <c r="U105" s="2"/>
      <c r="V105" s="2"/>
      <c r="W105" s="70"/>
      <c r="X105" s="71"/>
      <c r="AA105" s="2">
        <f>2+ (P105*'Scoring System'!$B$3)+ (IF(OR(D105="DEF",D105="GK"),N105*'Scoring System'!$B$4,IF(D105="MID",N105*'Scoring System'!$B$5,0)))+ (IF(OR(D105="DEF",D105="GK"),H105*'Scoring System'!$B$6,IF(D105="MID",H105*'Scoring System'!$B$7,IF(D105="ATT",H105*'Scoring System'!$B$8,0))))+ IF(AND(OR(D105="GK",D105="DEF"),J105&gt;=3),1*'Scoring System'!$B$9,0)+ (I105*'Scoring System'!$B$10)+ (K105*'Scoring System'!$B$11)+ (M105*'Scoring System'!$B$12)+ (L105*'Scoring System'!$B$13)+ (O105*'Scoring System'!$B$14)+ (Q105*'Scoring System'!$B$15)+ (R105*'Scoring System'!$B$16)</f>
        <v>4</v>
      </c>
      <c r="AB105" s="72" t="b">
        <f>IFERROR(match(C105,'Match Day Fees'!$B$2:$B$999,0),0)=0</f>
        <v>0</v>
      </c>
      <c r="AC105" s="73">
        <f t="shared" si="1"/>
        <v>0</v>
      </c>
      <c r="AD105" s="3" t="str">
        <f>VLOOKUP(D105,'Position Lookup'!A:B,1,FALSE)</f>
        <v>MID</v>
      </c>
    </row>
    <row r="106" ht="17.25" customHeight="1">
      <c r="A106" s="32">
        <v>45150.0</v>
      </c>
      <c r="B106" s="1" t="s">
        <v>222</v>
      </c>
      <c r="C106" s="3" t="s">
        <v>245</v>
      </c>
      <c r="D106" s="3" t="s">
        <v>8</v>
      </c>
      <c r="E106" s="5">
        <v>6.0</v>
      </c>
      <c r="F106" s="3" t="s">
        <v>247</v>
      </c>
      <c r="G106" s="3" t="s">
        <v>242</v>
      </c>
      <c r="J106" s="5">
        <v>1.0</v>
      </c>
      <c r="N106" s="3" t="b">
        <v>0</v>
      </c>
      <c r="R106" s="3">
        <v>0.0</v>
      </c>
      <c r="T106" s="3">
        <v>10.0</v>
      </c>
      <c r="U106" s="2"/>
      <c r="V106" s="2"/>
      <c r="W106" s="70"/>
      <c r="X106" s="71"/>
      <c r="AA106" s="2">
        <f>2+ (P106*'Scoring System'!$B$3)+ (IF(OR(D106="DEF",D106="GK"),N106*'Scoring System'!$B$4,IF(D106="MID",N106*'Scoring System'!$B$5,0)))+ (IF(OR(D106="DEF",D106="GK"),H106*'Scoring System'!$B$6,IF(D106="MID",H106*'Scoring System'!$B$7,IF(D106="ATT",H106*'Scoring System'!$B$8,0))))+ IF(AND(OR(D106="GK",D106="DEF"),J106&gt;=3),1*'Scoring System'!$B$9,0)+ (I106*'Scoring System'!$B$10)+ (K106*'Scoring System'!$B$11)+ (M106*'Scoring System'!$B$12)+ (L106*'Scoring System'!$B$13)+ (O106*'Scoring System'!$B$14)+ (Q106*'Scoring System'!$B$15)+ (R106*'Scoring System'!$B$16)</f>
        <v>2</v>
      </c>
      <c r="AB106" s="72" t="b">
        <f>IFERROR(match(C106,'Match Day Fees'!$B$2:$B$999,0),0)=0</f>
        <v>0</v>
      </c>
      <c r="AC106" s="73">
        <f t="shared" si="1"/>
        <v>0</v>
      </c>
      <c r="AD106" s="3" t="str">
        <f>VLOOKUP(D106,'Position Lookup'!A:B,1,FALSE)</f>
        <v>GK</v>
      </c>
    </row>
    <row r="107" ht="17.25" customHeight="1">
      <c r="A107" s="32">
        <v>45150.0</v>
      </c>
      <c r="B107" s="1" t="s">
        <v>222</v>
      </c>
      <c r="C107" s="3" t="s">
        <v>147</v>
      </c>
      <c r="D107" s="3" t="s">
        <v>11</v>
      </c>
      <c r="E107" s="5">
        <v>6.0</v>
      </c>
      <c r="F107" s="3" t="s">
        <v>247</v>
      </c>
      <c r="G107" s="3" t="s">
        <v>242</v>
      </c>
      <c r="J107" s="5">
        <v>1.0</v>
      </c>
      <c r="N107" s="3" t="b">
        <v>0</v>
      </c>
      <c r="R107" s="3">
        <v>0.0</v>
      </c>
      <c r="T107" s="3">
        <v>5.0</v>
      </c>
      <c r="U107" s="2"/>
      <c r="V107" s="2"/>
      <c r="W107" s="70"/>
      <c r="X107" s="71"/>
      <c r="AA107" s="2">
        <f>2+ (P107*'Scoring System'!$B$3)+ (IF(OR(D107="DEF",D107="GK"),N107*'Scoring System'!$B$4,IF(D107="MID",N107*'Scoring System'!$B$5,0)))+ (IF(OR(D107="DEF",D107="GK"),H107*'Scoring System'!$B$6,IF(D107="MID",H107*'Scoring System'!$B$7,IF(D107="ATT",H107*'Scoring System'!$B$8,0))))+ IF(AND(OR(D107="GK",D107="DEF"),J107&gt;=3),1*'Scoring System'!$B$9,0)+ (I107*'Scoring System'!$B$10)+ (K107*'Scoring System'!$B$11)+ (M107*'Scoring System'!$B$12)+ (L107*'Scoring System'!$B$13)+ (O107*'Scoring System'!$B$14)+ (Q107*'Scoring System'!$B$15)+ (R107*'Scoring System'!$B$16)</f>
        <v>2</v>
      </c>
      <c r="AB107" s="72" t="b">
        <f>IFERROR(match(C107,'Match Day Fees'!$B$2:$B$999,0),0)=0</f>
        <v>0</v>
      </c>
      <c r="AC107" s="73">
        <f t="shared" si="1"/>
        <v>0</v>
      </c>
      <c r="AD107" s="3" t="str">
        <f>VLOOKUP(D107,'Position Lookup'!A:B,1,FALSE)</f>
        <v>DEF</v>
      </c>
    </row>
    <row r="108" ht="17.25" customHeight="1">
      <c r="A108" s="32">
        <v>45150.0</v>
      </c>
      <c r="B108" s="1" t="s">
        <v>222</v>
      </c>
      <c r="C108" s="3" t="s">
        <v>108</v>
      </c>
      <c r="D108" s="3" t="s">
        <v>11</v>
      </c>
      <c r="E108" s="5">
        <v>6.0</v>
      </c>
      <c r="F108" s="3" t="s">
        <v>247</v>
      </c>
      <c r="G108" s="3" t="s">
        <v>242</v>
      </c>
      <c r="J108" s="5">
        <v>1.0</v>
      </c>
      <c r="N108" s="3" t="b">
        <v>0</v>
      </c>
      <c r="R108" s="3">
        <v>0.0</v>
      </c>
      <c r="T108" s="3">
        <v>10.0</v>
      </c>
      <c r="U108" s="2"/>
      <c r="V108" s="2"/>
      <c r="W108" s="70"/>
      <c r="X108" s="71"/>
      <c r="AA108" s="2">
        <f>2+ (P108*'Scoring System'!$B$3)+ (IF(OR(D108="DEF",D108="GK"),N108*'Scoring System'!$B$4,IF(D108="MID",N108*'Scoring System'!$B$5,0)))+ (IF(OR(D108="DEF",D108="GK"),H108*'Scoring System'!$B$6,IF(D108="MID",H108*'Scoring System'!$B$7,IF(D108="ATT",H108*'Scoring System'!$B$8,0))))+ IF(AND(OR(D108="GK",D108="DEF"),J108&gt;=3),1*'Scoring System'!$B$9,0)+ (I108*'Scoring System'!$B$10)+ (K108*'Scoring System'!$B$11)+ (M108*'Scoring System'!$B$12)+ (L108*'Scoring System'!$B$13)+ (O108*'Scoring System'!$B$14)+ (Q108*'Scoring System'!$B$15)+ (R108*'Scoring System'!$B$16)</f>
        <v>2</v>
      </c>
      <c r="AB108" s="72" t="b">
        <f>IFERROR(match(C108,'Match Day Fees'!$B$2:$B$999,0),0)=0</f>
        <v>0</v>
      </c>
      <c r="AC108" s="73">
        <f t="shared" si="1"/>
        <v>0</v>
      </c>
      <c r="AD108" s="3" t="str">
        <f>VLOOKUP(D108,'Position Lookup'!A:B,1,FALSE)</f>
        <v>DEF</v>
      </c>
    </row>
    <row r="109" ht="17.25" customHeight="1">
      <c r="A109" s="32">
        <v>45150.0</v>
      </c>
      <c r="B109" s="1" t="s">
        <v>222</v>
      </c>
      <c r="C109" s="3" t="s">
        <v>97</v>
      </c>
      <c r="D109" s="3" t="s">
        <v>11</v>
      </c>
      <c r="E109" s="5">
        <v>6.0</v>
      </c>
      <c r="F109" s="3" t="s">
        <v>247</v>
      </c>
      <c r="G109" s="3" t="s">
        <v>242</v>
      </c>
      <c r="I109" s="3">
        <v>1.0</v>
      </c>
      <c r="J109" s="5">
        <v>1.0</v>
      </c>
      <c r="N109" s="3" t="b">
        <v>0</v>
      </c>
      <c r="R109" s="3">
        <v>1.0</v>
      </c>
      <c r="T109" s="3">
        <v>5.0</v>
      </c>
      <c r="U109" s="2"/>
      <c r="V109" s="2"/>
      <c r="W109" s="70"/>
      <c r="X109" s="71"/>
      <c r="AA109" s="2">
        <f>2+ (P109*'Scoring System'!$B$3)+ (IF(OR(D109="DEF",D109="GK"),N109*'Scoring System'!$B$4,IF(D109="MID",N109*'Scoring System'!$B$5,0)))+ (IF(OR(D109="DEF",D109="GK"),H109*'Scoring System'!$B$6,IF(D109="MID",H109*'Scoring System'!$B$7,IF(D109="ATT",H109*'Scoring System'!$B$8,0))))+ IF(AND(OR(D109="GK",D109="DEF"),J109&gt;=3),1*'Scoring System'!$B$9,0)+ (I109*'Scoring System'!$B$10)+ (K109*'Scoring System'!$B$11)+ (M109*'Scoring System'!$B$12)+ (L109*'Scoring System'!$B$13)+ (O109*'Scoring System'!$B$14)+ (Q109*'Scoring System'!$B$15)+ (R109*'Scoring System'!$B$16)</f>
        <v>10</v>
      </c>
      <c r="AB109" s="72" t="b">
        <f>IFERROR(match(C109,'Match Day Fees'!$B$2:$B$999,0),0)=0</f>
        <v>0</v>
      </c>
      <c r="AC109" s="73">
        <f t="shared" si="1"/>
        <v>0</v>
      </c>
      <c r="AD109" s="3" t="str">
        <f>VLOOKUP(D109,'Position Lookup'!A:B,1,FALSE)</f>
        <v>DEF</v>
      </c>
    </row>
    <row r="110" ht="17.25" customHeight="1">
      <c r="A110" s="32">
        <v>45150.0</v>
      </c>
      <c r="B110" s="1" t="s">
        <v>222</v>
      </c>
      <c r="C110" s="3" t="s">
        <v>99</v>
      </c>
      <c r="D110" s="3" t="s">
        <v>11</v>
      </c>
      <c r="E110" s="5">
        <v>6.0</v>
      </c>
      <c r="F110" s="3" t="s">
        <v>247</v>
      </c>
      <c r="G110" s="3" t="s">
        <v>242</v>
      </c>
      <c r="J110" s="5">
        <v>1.0</v>
      </c>
      <c r="N110" s="3" t="b">
        <v>0</v>
      </c>
      <c r="R110" s="3">
        <v>0.0</v>
      </c>
      <c r="T110" s="3">
        <v>10.0</v>
      </c>
      <c r="U110" s="2"/>
      <c r="V110" s="2"/>
      <c r="W110" s="70"/>
      <c r="X110" s="71"/>
      <c r="AA110" s="2">
        <f>2+ (P110*'Scoring System'!$B$3)+ (IF(OR(D110="DEF",D110="GK"),N110*'Scoring System'!$B$4,IF(D110="MID",N110*'Scoring System'!$B$5,0)))+ (IF(OR(D110="DEF",D110="GK"),H110*'Scoring System'!$B$6,IF(D110="MID",H110*'Scoring System'!$B$7,IF(D110="ATT",H110*'Scoring System'!$B$8,0))))+ IF(AND(OR(D110="GK",D110="DEF"),J110&gt;=3),1*'Scoring System'!$B$9,0)+ (I110*'Scoring System'!$B$10)+ (K110*'Scoring System'!$B$11)+ (M110*'Scoring System'!$B$12)+ (L110*'Scoring System'!$B$13)+ (O110*'Scoring System'!$B$14)+ (Q110*'Scoring System'!$B$15)+ (R110*'Scoring System'!$B$16)</f>
        <v>2</v>
      </c>
      <c r="AB110" s="72" t="b">
        <f>IFERROR(match(C110,'Match Day Fees'!$B$2:$B$999,0),0)=0</f>
        <v>0</v>
      </c>
      <c r="AC110" s="73">
        <f t="shared" si="1"/>
        <v>0</v>
      </c>
      <c r="AD110" s="3" t="str">
        <f>VLOOKUP(D110,'Position Lookup'!A:B,1,FALSE)</f>
        <v>DEF</v>
      </c>
    </row>
    <row r="111" ht="17.25" customHeight="1">
      <c r="A111" s="32">
        <v>45150.0</v>
      </c>
      <c r="B111" s="1" t="s">
        <v>222</v>
      </c>
      <c r="C111" s="3" t="s">
        <v>233</v>
      </c>
      <c r="D111" s="3" t="s">
        <v>10</v>
      </c>
      <c r="E111" s="5">
        <v>6.0</v>
      </c>
      <c r="F111" s="3" t="s">
        <v>247</v>
      </c>
      <c r="G111" s="3" t="s">
        <v>242</v>
      </c>
      <c r="J111" s="5">
        <v>1.0</v>
      </c>
      <c r="N111" s="3" t="b">
        <v>0</v>
      </c>
      <c r="R111" s="3">
        <v>0.0</v>
      </c>
      <c r="T111" s="3">
        <v>10.0</v>
      </c>
      <c r="U111" s="2"/>
      <c r="V111" s="2"/>
      <c r="W111" s="70"/>
      <c r="X111" s="71"/>
      <c r="AA111" s="2">
        <f>2+ (P111*'Scoring System'!$B$3)+ (IF(OR(D111="DEF",D111="GK"),N111*'Scoring System'!$B$4,IF(D111="MID",N111*'Scoring System'!$B$5,0)))+ (IF(OR(D111="DEF",D111="GK"),H111*'Scoring System'!$B$6,IF(D111="MID",H111*'Scoring System'!$B$7,IF(D111="ATT",H111*'Scoring System'!$B$8,0))))+ IF(AND(OR(D111="GK",D111="DEF"),J111&gt;=3),1*'Scoring System'!$B$9,0)+ (I111*'Scoring System'!$B$10)+ (K111*'Scoring System'!$B$11)+ (M111*'Scoring System'!$B$12)+ (L111*'Scoring System'!$B$13)+ (O111*'Scoring System'!$B$14)+ (Q111*'Scoring System'!$B$15)+ (R111*'Scoring System'!$B$16)</f>
        <v>2</v>
      </c>
      <c r="AB111" s="72" t="b">
        <f>IFERROR(match(C111,'Match Day Fees'!$B$2:$B$999,0),0)=0</f>
        <v>0</v>
      </c>
      <c r="AC111" s="73">
        <f t="shared" si="1"/>
        <v>0</v>
      </c>
      <c r="AD111" s="3" t="str">
        <f>VLOOKUP(D111,'Position Lookup'!A:B,1,FALSE)</f>
        <v>MID</v>
      </c>
    </row>
    <row r="112" ht="17.25" customHeight="1">
      <c r="A112" s="32">
        <v>45150.0</v>
      </c>
      <c r="B112" s="1" t="s">
        <v>222</v>
      </c>
      <c r="C112" s="3" t="s">
        <v>251</v>
      </c>
      <c r="D112" s="3" t="s">
        <v>10</v>
      </c>
      <c r="E112" s="5">
        <v>6.0</v>
      </c>
      <c r="F112" s="3" t="s">
        <v>247</v>
      </c>
      <c r="G112" s="3" t="s">
        <v>242</v>
      </c>
      <c r="J112" s="5">
        <v>1.0</v>
      </c>
      <c r="N112" s="3" t="b">
        <v>0</v>
      </c>
      <c r="R112" s="3">
        <v>0.0</v>
      </c>
      <c r="T112" s="3">
        <v>10.0</v>
      </c>
      <c r="U112" s="2"/>
      <c r="V112" s="2"/>
      <c r="W112" s="70"/>
      <c r="X112" s="71"/>
      <c r="AA112" s="2">
        <f>2+ (P112*'Scoring System'!$B$3)+ (IF(OR(D112="DEF",D112="GK"),N112*'Scoring System'!$B$4,IF(D112="MID",N112*'Scoring System'!$B$5,0)))+ (IF(OR(D112="DEF",D112="GK"),H112*'Scoring System'!$B$6,IF(D112="MID",H112*'Scoring System'!$B$7,IF(D112="ATT",H112*'Scoring System'!$B$8,0))))+ IF(AND(OR(D112="GK",D112="DEF"),J112&gt;=3),1*'Scoring System'!$B$9,0)+ (I112*'Scoring System'!$B$10)+ (K112*'Scoring System'!$B$11)+ (M112*'Scoring System'!$B$12)+ (L112*'Scoring System'!$B$13)+ (O112*'Scoring System'!$B$14)+ (Q112*'Scoring System'!$B$15)+ (R112*'Scoring System'!$B$16)</f>
        <v>2</v>
      </c>
      <c r="AB112" s="72" t="b">
        <f>IFERROR(match(C112,'Match Day Fees'!$B$2:$B$999,0),0)=0</f>
        <v>0</v>
      </c>
      <c r="AC112" s="73">
        <f t="shared" si="1"/>
        <v>0</v>
      </c>
      <c r="AD112" s="3" t="str">
        <f>VLOOKUP(D112,'Position Lookup'!A:B,1,FALSE)</f>
        <v>MID</v>
      </c>
    </row>
    <row r="113" ht="17.25" customHeight="1">
      <c r="A113" s="32">
        <v>45150.0</v>
      </c>
      <c r="B113" s="1" t="s">
        <v>222</v>
      </c>
      <c r="C113" s="3" t="s">
        <v>141</v>
      </c>
      <c r="D113" s="3" t="s">
        <v>10</v>
      </c>
      <c r="E113" s="5">
        <v>6.0</v>
      </c>
      <c r="F113" s="3" t="s">
        <v>247</v>
      </c>
      <c r="G113" s="3" t="s">
        <v>242</v>
      </c>
      <c r="J113" s="5">
        <v>1.0</v>
      </c>
      <c r="N113" s="3" t="b">
        <v>0</v>
      </c>
      <c r="R113" s="3">
        <v>0.0</v>
      </c>
      <c r="T113" s="3">
        <v>10.0</v>
      </c>
      <c r="U113" s="2"/>
      <c r="V113" s="2"/>
      <c r="W113" s="70"/>
      <c r="X113" s="71"/>
      <c r="AA113" s="2">
        <f>2+ (P113*'Scoring System'!$B$3)+ (IF(OR(D113="DEF",D113="GK"),N113*'Scoring System'!$B$4,IF(D113="MID",N113*'Scoring System'!$B$5,0)))+ (IF(OR(D113="DEF",D113="GK"),H113*'Scoring System'!$B$6,IF(D113="MID",H113*'Scoring System'!$B$7,IF(D113="ATT",H113*'Scoring System'!$B$8,0))))+ IF(AND(OR(D113="GK",D113="DEF"),J113&gt;=3),1*'Scoring System'!$B$9,0)+ (I113*'Scoring System'!$B$10)+ (K113*'Scoring System'!$B$11)+ (M113*'Scoring System'!$B$12)+ (L113*'Scoring System'!$B$13)+ (O113*'Scoring System'!$B$14)+ (Q113*'Scoring System'!$B$15)+ (R113*'Scoring System'!$B$16)</f>
        <v>2</v>
      </c>
      <c r="AB113" s="72" t="b">
        <f>IFERROR(match(C113,'Match Day Fees'!$B$2:$B$999,0),0)=0</f>
        <v>0</v>
      </c>
      <c r="AC113" s="73">
        <f t="shared" si="1"/>
        <v>0</v>
      </c>
      <c r="AD113" s="3" t="str">
        <f>VLOOKUP(D113,'Position Lookup'!A:B,1,FALSE)</f>
        <v>MID</v>
      </c>
    </row>
    <row r="114" ht="17.25" customHeight="1">
      <c r="A114" s="32">
        <v>45150.0</v>
      </c>
      <c r="B114" s="1" t="s">
        <v>222</v>
      </c>
      <c r="C114" s="3" t="s">
        <v>270</v>
      </c>
      <c r="D114" s="3" t="s">
        <v>10</v>
      </c>
      <c r="E114" s="5">
        <v>6.0</v>
      </c>
      <c r="F114" s="3" t="s">
        <v>247</v>
      </c>
      <c r="G114" s="3" t="s">
        <v>242</v>
      </c>
      <c r="J114" s="5">
        <v>1.0</v>
      </c>
      <c r="N114" s="3" t="b">
        <v>0</v>
      </c>
      <c r="R114" s="3">
        <v>0.0</v>
      </c>
      <c r="T114" s="3">
        <v>10.0</v>
      </c>
      <c r="U114" s="2"/>
      <c r="V114" s="2"/>
      <c r="W114" s="70"/>
      <c r="X114" s="71"/>
      <c r="AA114" s="2">
        <f>2+ (P114*'Scoring System'!$B$3)+ (IF(OR(D114="DEF",D114="GK"),N114*'Scoring System'!$B$4,IF(D114="MID",N114*'Scoring System'!$B$5,0)))+ (IF(OR(D114="DEF",D114="GK"),H114*'Scoring System'!$B$6,IF(D114="MID",H114*'Scoring System'!$B$7,IF(D114="ATT",H114*'Scoring System'!$B$8,0))))+ IF(AND(OR(D114="GK",D114="DEF"),J114&gt;=3),1*'Scoring System'!$B$9,0)+ (I114*'Scoring System'!$B$10)+ (K114*'Scoring System'!$B$11)+ (M114*'Scoring System'!$B$12)+ (L114*'Scoring System'!$B$13)+ (O114*'Scoring System'!$B$14)+ (Q114*'Scoring System'!$B$15)+ (R114*'Scoring System'!$B$16)</f>
        <v>2</v>
      </c>
      <c r="AB114" s="72" t="b">
        <f>IFERROR(match(C114,'Match Day Fees'!$B$2:$B$999,0),0)=0</f>
        <v>0</v>
      </c>
      <c r="AC114" s="73">
        <f t="shared" si="1"/>
        <v>0</v>
      </c>
      <c r="AD114" s="3" t="str">
        <f>VLOOKUP(D114,'Position Lookup'!A:B,1,FALSE)</f>
        <v>MID</v>
      </c>
    </row>
    <row r="115" ht="17.25" customHeight="1">
      <c r="A115" s="32">
        <v>45150.0</v>
      </c>
      <c r="B115" s="1" t="s">
        <v>222</v>
      </c>
      <c r="C115" s="3" t="s">
        <v>95</v>
      </c>
      <c r="D115" s="3" t="s">
        <v>10</v>
      </c>
      <c r="E115" s="5">
        <v>6.0</v>
      </c>
      <c r="F115" s="3" t="s">
        <v>247</v>
      </c>
      <c r="G115" s="3" t="s">
        <v>242</v>
      </c>
      <c r="H115" s="3">
        <v>1.0</v>
      </c>
      <c r="J115" s="5">
        <v>1.0</v>
      </c>
      <c r="N115" s="3" t="b">
        <v>0</v>
      </c>
      <c r="R115" s="3">
        <v>0.0</v>
      </c>
      <c r="T115" s="3">
        <v>10.0</v>
      </c>
      <c r="U115" s="2"/>
      <c r="V115" s="2"/>
      <c r="W115" s="70"/>
      <c r="X115" s="71"/>
      <c r="AA115" s="2">
        <f>2+ (P115*'Scoring System'!$B$3)+ (IF(OR(D115="DEF",D115="GK"),N115*'Scoring System'!$B$4,IF(D115="MID",N115*'Scoring System'!$B$5,0)))+ (IF(OR(D115="DEF",D115="GK"),H115*'Scoring System'!$B$6,IF(D115="MID",H115*'Scoring System'!$B$7,IF(D115="ATT",H115*'Scoring System'!$B$8,0))))+ IF(AND(OR(D115="GK",D115="DEF"),J115&gt;=3),1*'Scoring System'!$B$9,0)+ (I115*'Scoring System'!$B$10)+ (K115*'Scoring System'!$B$11)+ (M115*'Scoring System'!$B$12)+ (L115*'Scoring System'!$B$13)+ (O115*'Scoring System'!$B$14)+ (Q115*'Scoring System'!$B$15)+ (R115*'Scoring System'!$B$16)</f>
        <v>7</v>
      </c>
      <c r="AB115" s="72" t="b">
        <f>IFERROR(match(C115,'Match Day Fees'!$B$2:$B$999,0),0)=0</f>
        <v>0</v>
      </c>
      <c r="AC115" s="73">
        <f t="shared" si="1"/>
        <v>0</v>
      </c>
      <c r="AD115" s="3" t="str">
        <f>VLOOKUP(D115,'Position Lookup'!A:B,1,FALSE)</f>
        <v>MID</v>
      </c>
    </row>
    <row r="116" ht="17.25" customHeight="1">
      <c r="A116" s="32">
        <v>45150.0</v>
      </c>
      <c r="B116" s="1" t="s">
        <v>222</v>
      </c>
      <c r="C116" s="3" t="s">
        <v>231</v>
      </c>
      <c r="D116" s="3" t="s">
        <v>11</v>
      </c>
      <c r="E116" s="5">
        <v>6.0</v>
      </c>
      <c r="F116" s="3" t="s">
        <v>247</v>
      </c>
      <c r="G116" s="3" t="s">
        <v>242</v>
      </c>
      <c r="J116" s="5">
        <v>1.0</v>
      </c>
      <c r="N116" s="3" t="b">
        <v>0</v>
      </c>
      <c r="R116" s="3">
        <v>0.0</v>
      </c>
      <c r="S116" s="3" t="b">
        <v>1</v>
      </c>
      <c r="T116" s="3">
        <v>0.0</v>
      </c>
      <c r="U116" s="2"/>
      <c r="V116" s="2"/>
      <c r="W116" s="70"/>
      <c r="X116" s="71"/>
      <c r="AA116" s="2">
        <f>2+ (P116*'Scoring System'!$B$3)+ (IF(OR(D116="DEF",D116="GK"),N116*'Scoring System'!$B$4,IF(D116="MID",N116*'Scoring System'!$B$5,0)))+ (IF(OR(D116="DEF",D116="GK"),H116*'Scoring System'!$B$6,IF(D116="MID",H116*'Scoring System'!$B$7,IF(D116="ATT",H116*'Scoring System'!$B$8,0))))+ IF(AND(OR(D116="GK",D116="DEF"),J116&gt;=3),1*'Scoring System'!$B$9,0)+ (I116*'Scoring System'!$B$10)+ (K116*'Scoring System'!$B$11)+ (M116*'Scoring System'!$B$12)+ (L116*'Scoring System'!$B$13)+ (O116*'Scoring System'!$B$14)+ (Q116*'Scoring System'!$B$15)+ (R116*'Scoring System'!$B$16)</f>
        <v>2</v>
      </c>
      <c r="AB116" s="72" t="b">
        <f>IFERROR(match(C116,'Match Day Fees'!$B$2:$B$999,0),0)=0</f>
        <v>0</v>
      </c>
      <c r="AC116" s="73">
        <f t="shared" si="1"/>
        <v>0</v>
      </c>
      <c r="AD116" s="3" t="str">
        <f>VLOOKUP(D116,'Position Lookup'!A:B,1,FALSE)</f>
        <v>DEF</v>
      </c>
    </row>
    <row r="117" ht="17.25" customHeight="1">
      <c r="A117" s="32">
        <v>45150.0</v>
      </c>
      <c r="B117" s="1" t="s">
        <v>222</v>
      </c>
      <c r="C117" s="3" t="s">
        <v>236</v>
      </c>
      <c r="D117" s="3" t="s">
        <v>10</v>
      </c>
      <c r="E117" s="5">
        <v>6.0</v>
      </c>
      <c r="F117" s="3" t="s">
        <v>247</v>
      </c>
      <c r="G117" s="3" t="s">
        <v>242</v>
      </c>
      <c r="J117" s="5">
        <v>1.0</v>
      </c>
      <c r="N117" s="3" t="b">
        <v>0</v>
      </c>
      <c r="R117" s="3">
        <v>0.0</v>
      </c>
      <c r="T117" s="3">
        <v>10.0</v>
      </c>
      <c r="U117" s="2"/>
      <c r="V117" s="2"/>
      <c r="W117" s="70"/>
      <c r="X117" s="71"/>
      <c r="AA117" s="2">
        <f>2+ (P117*'Scoring System'!$B$3)+ (IF(OR(D117="DEF",D117="GK"),N117*'Scoring System'!$B$4,IF(D117="MID",N117*'Scoring System'!$B$5,0)))+ (IF(OR(D117="DEF",D117="GK"),H117*'Scoring System'!$B$6,IF(D117="MID",H117*'Scoring System'!$B$7,IF(D117="ATT",H117*'Scoring System'!$B$8,0))))+ IF(AND(OR(D117="GK",D117="DEF"),J117&gt;=3),1*'Scoring System'!$B$9,0)+ (I117*'Scoring System'!$B$10)+ (K117*'Scoring System'!$B$11)+ (M117*'Scoring System'!$B$12)+ (L117*'Scoring System'!$B$13)+ (O117*'Scoring System'!$B$14)+ (Q117*'Scoring System'!$B$15)+ (R117*'Scoring System'!$B$16)</f>
        <v>2</v>
      </c>
      <c r="AB117" s="72" t="b">
        <f>IFERROR(match(C117,'Match Day Fees'!$B$2:$B$999,0),0)=0</f>
        <v>0</v>
      </c>
      <c r="AC117" s="73">
        <f t="shared" si="1"/>
        <v>0</v>
      </c>
      <c r="AD117" s="3" t="str">
        <f>VLOOKUP(D117,'Position Lookup'!A:B,1,FALSE)</f>
        <v>MID</v>
      </c>
    </row>
    <row r="118" ht="17.25" customHeight="1">
      <c r="A118" s="32">
        <v>45150.0</v>
      </c>
      <c r="B118" s="1" t="s">
        <v>222</v>
      </c>
      <c r="C118" s="3" t="s">
        <v>234</v>
      </c>
      <c r="D118" s="3" t="s">
        <v>9</v>
      </c>
      <c r="E118" s="5">
        <v>6.0</v>
      </c>
      <c r="F118" s="3" t="s">
        <v>247</v>
      </c>
      <c r="G118" s="3" t="s">
        <v>242</v>
      </c>
      <c r="J118" s="5">
        <v>1.0</v>
      </c>
      <c r="N118" s="3" t="b">
        <v>0</v>
      </c>
      <c r="R118" s="3">
        <v>0.0</v>
      </c>
      <c r="T118" s="3">
        <v>10.0</v>
      </c>
      <c r="U118" s="2"/>
      <c r="V118" s="2"/>
      <c r="W118" s="70"/>
      <c r="X118" s="71"/>
      <c r="AA118" s="2">
        <f>2+ (P118*'Scoring System'!$B$3)+ (IF(OR(D118="DEF",D118="GK"),N118*'Scoring System'!$B$4,IF(D118="MID",N118*'Scoring System'!$B$5,0)))+ (IF(OR(D118="DEF",D118="GK"),H118*'Scoring System'!$B$6,IF(D118="MID",H118*'Scoring System'!$B$7,IF(D118="ATT",H118*'Scoring System'!$B$8,0))))+ IF(AND(OR(D118="GK",D118="DEF"),J118&gt;=3),1*'Scoring System'!$B$9,0)+ (I118*'Scoring System'!$B$10)+ (K118*'Scoring System'!$B$11)+ (M118*'Scoring System'!$B$12)+ (L118*'Scoring System'!$B$13)+ (O118*'Scoring System'!$B$14)+ (Q118*'Scoring System'!$B$15)+ (R118*'Scoring System'!$B$16)</f>
        <v>2</v>
      </c>
      <c r="AB118" s="72" t="b">
        <f>IFERROR(match(C118,'Match Day Fees'!$B$2:$B$999,0),0)=0</f>
        <v>0</v>
      </c>
      <c r="AC118" s="73">
        <f t="shared" si="1"/>
        <v>0</v>
      </c>
      <c r="AD118" s="3" t="str">
        <f>VLOOKUP(D118,'Position Lookup'!A:B,1,FALSE)</f>
        <v>ATT</v>
      </c>
    </row>
    <row r="119" ht="17.25" customHeight="1">
      <c r="A119" s="32">
        <v>45150.0</v>
      </c>
      <c r="B119" s="1" t="s">
        <v>222</v>
      </c>
      <c r="C119" s="3" t="s">
        <v>235</v>
      </c>
      <c r="D119" s="3" t="s">
        <v>9</v>
      </c>
      <c r="E119" s="5">
        <v>6.0</v>
      </c>
      <c r="F119" s="3" t="s">
        <v>247</v>
      </c>
      <c r="G119" s="3" t="s">
        <v>242</v>
      </c>
      <c r="J119" s="5">
        <v>1.0</v>
      </c>
      <c r="N119" s="3" t="b">
        <v>0</v>
      </c>
      <c r="R119" s="3">
        <v>0.0</v>
      </c>
      <c r="T119" s="3">
        <v>10.0</v>
      </c>
      <c r="U119" s="2"/>
      <c r="V119" s="2"/>
      <c r="W119" s="70"/>
      <c r="X119" s="71"/>
      <c r="AA119" s="2">
        <f>2+ (P119*'Scoring System'!$B$3)+ (IF(OR(D119="DEF",D119="GK"),N119*'Scoring System'!$B$4,IF(D119="MID",N119*'Scoring System'!$B$5,0)))+ (IF(OR(D119="DEF",D119="GK"),H119*'Scoring System'!$B$6,IF(D119="MID",H119*'Scoring System'!$B$7,IF(D119="ATT",H119*'Scoring System'!$B$8,0))))+ IF(AND(OR(D119="GK",D119="DEF"),J119&gt;=3),1*'Scoring System'!$B$9,0)+ (I119*'Scoring System'!$B$10)+ (K119*'Scoring System'!$B$11)+ (M119*'Scoring System'!$B$12)+ (L119*'Scoring System'!$B$13)+ (O119*'Scoring System'!$B$14)+ (Q119*'Scoring System'!$B$15)+ (R119*'Scoring System'!$B$16)</f>
        <v>2</v>
      </c>
      <c r="AB119" s="72" t="b">
        <f>IFERROR(match(C119,'Match Day Fees'!$B$2:$B$999,0),0)=0</f>
        <v>0</v>
      </c>
      <c r="AC119" s="73">
        <f t="shared" si="1"/>
        <v>0</v>
      </c>
      <c r="AD119" s="3" t="str">
        <f>VLOOKUP(D119,'Position Lookup'!A:B,1,FALSE)</f>
        <v>ATT</v>
      </c>
    </row>
    <row r="120" ht="17.25" customHeight="1">
      <c r="A120" s="32">
        <v>45150.0</v>
      </c>
      <c r="B120" s="1" t="s">
        <v>222</v>
      </c>
      <c r="C120" s="3" t="s">
        <v>53</v>
      </c>
      <c r="D120" s="3" t="s">
        <v>8</v>
      </c>
      <c r="E120" s="5">
        <v>2.0</v>
      </c>
      <c r="F120" s="74" t="s">
        <v>271</v>
      </c>
      <c r="G120" s="3" t="s">
        <v>242</v>
      </c>
      <c r="J120" s="5">
        <v>0.0</v>
      </c>
      <c r="N120" s="3" t="b">
        <v>1</v>
      </c>
      <c r="R120" s="3">
        <v>1.0</v>
      </c>
      <c r="T120" s="3">
        <v>10.0</v>
      </c>
      <c r="U120" s="2"/>
      <c r="V120" s="2"/>
      <c r="W120" s="70"/>
      <c r="X120" s="71"/>
      <c r="AA120" s="2">
        <f>2+ (P120*'Scoring System'!$B$3)+ (IF(OR(D120="DEF",D120="GK"),N120*'Scoring System'!$B$4,IF(D120="MID",N120*'Scoring System'!$B$5,0)))+ (IF(OR(D120="DEF",D120="GK"),H120*'Scoring System'!$B$6,IF(D120="MID",H120*'Scoring System'!$B$7,IF(D120="ATT",H120*'Scoring System'!$B$8,0))))+ IF(AND(OR(D120="GK",D120="DEF"),J120&gt;=3),1*'Scoring System'!$B$9,0)+ (I120*'Scoring System'!$B$10)+ (K120*'Scoring System'!$B$11)+ (M120*'Scoring System'!$B$12)+ (L120*'Scoring System'!$B$13)+ (O120*'Scoring System'!$B$14)+ (Q120*'Scoring System'!$B$15)+ (R120*'Scoring System'!$B$16)</f>
        <v>13</v>
      </c>
      <c r="AB120" s="72" t="b">
        <f>IFERROR(match(C120,'Match Day Fees'!$B$2:$B$999,0),0)=0</f>
        <v>0</v>
      </c>
      <c r="AC120" s="73">
        <f t="shared" si="1"/>
        <v>0</v>
      </c>
      <c r="AD120" s="3" t="str">
        <f>VLOOKUP(D120,'Position Lookup'!A:B,1,FALSE)</f>
        <v>GK</v>
      </c>
    </row>
    <row r="121" ht="17.25" customHeight="1">
      <c r="A121" s="32">
        <v>45150.0</v>
      </c>
      <c r="B121" s="1" t="s">
        <v>222</v>
      </c>
      <c r="C121" s="3" t="s">
        <v>96</v>
      </c>
      <c r="D121" s="3" t="s">
        <v>11</v>
      </c>
      <c r="E121" s="5">
        <v>2.0</v>
      </c>
      <c r="F121" s="74" t="s">
        <v>271</v>
      </c>
      <c r="G121" s="3" t="s">
        <v>242</v>
      </c>
      <c r="J121" s="5">
        <v>0.0</v>
      </c>
      <c r="N121" s="3" t="b">
        <v>1</v>
      </c>
      <c r="R121" s="3">
        <v>0.0</v>
      </c>
      <c r="T121" s="3">
        <v>5.0</v>
      </c>
      <c r="U121" s="2"/>
      <c r="V121" s="2"/>
      <c r="W121" s="70"/>
      <c r="X121" s="71"/>
      <c r="AA121" s="2">
        <f>2+ (P121*'Scoring System'!$B$3)+ (IF(OR(D121="DEF",D121="GK"),N121*'Scoring System'!$B$4,IF(D121="MID",N121*'Scoring System'!$B$5,0)))+ (IF(OR(D121="DEF",D121="GK"),H121*'Scoring System'!$B$6,IF(D121="MID",H121*'Scoring System'!$B$7,IF(D121="ATT",H121*'Scoring System'!$B$8,0))))+ IF(AND(OR(D121="GK",D121="DEF"),J121&gt;=3),1*'Scoring System'!$B$9,0)+ (I121*'Scoring System'!$B$10)+ (K121*'Scoring System'!$B$11)+ (M121*'Scoring System'!$B$12)+ (L121*'Scoring System'!$B$13)+ (O121*'Scoring System'!$B$14)+ (Q121*'Scoring System'!$B$15)+ (R121*'Scoring System'!$B$16)</f>
        <v>8</v>
      </c>
      <c r="AB121" s="72" t="b">
        <f>IFERROR(match(C121,'Match Day Fees'!$B$2:$B$999,0),0)=0</f>
        <v>0</v>
      </c>
      <c r="AC121" s="73">
        <f t="shared" si="1"/>
        <v>0</v>
      </c>
      <c r="AD121" s="3" t="str">
        <f>VLOOKUP(D121,'Position Lookup'!A:B,1,FALSE)</f>
        <v>DEF</v>
      </c>
    </row>
    <row r="122" ht="17.25" customHeight="1">
      <c r="A122" s="32">
        <v>45150.0</v>
      </c>
      <c r="B122" s="1" t="s">
        <v>222</v>
      </c>
      <c r="C122" s="3" t="s">
        <v>114</v>
      </c>
      <c r="D122" s="3" t="s">
        <v>11</v>
      </c>
      <c r="E122" s="5">
        <v>2.0</v>
      </c>
      <c r="F122" s="74" t="s">
        <v>271</v>
      </c>
      <c r="G122" s="3" t="s">
        <v>242</v>
      </c>
      <c r="J122" s="5">
        <v>0.0</v>
      </c>
      <c r="N122" s="3" t="b">
        <v>1</v>
      </c>
      <c r="R122" s="3">
        <v>0.0</v>
      </c>
      <c r="T122" s="3">
        <v>10.0</v>
      </c>
      <c r="U122" s="2"/>
      <c r="V122" s="2"/>
      <c r="W122" s="70"/>
      <c r="X122" s="71"/>
      <c r="AA122" s="2">
        <f>2+ (P122*'Scoring System'!$B$3)+ (IF(OR(D122="DEF",D122="GK"),N122*'Scoring System'!$B$4,IF(D122="MID",N122*'Scoring System'!$B$5,0)))+ (IF(OR(D122="DEF",D122="GK"),H122*'Scoring System'!$B$6,IF(D122="MID",H122*'Scoring System'!$B$7,IF(D122="ATT",H122*'Scoring System'!$B$8,0))))+ IF(AND(OR(D122="GK",D122="DEF"),J122&gt;=3),1*'Scoring System'!$B$9,0)+ (I122*'Scoring System'!$B$10)+ (K122*'Scoring System'!$B$11)+ (M122*'Scoring System'!$B$12)+ (L122*'Scoring System'!$B$13)+ (O122*'Scoring System'!$B$14)+ (Q122*'Scoring System'!$B$15)+ (R122*'Scoring System'!$B$16)</f>
        <v>8</v>
      </c>
      <c r="AB122" s="72" t="b">
        <f>IFERROR(match(C122,'Match Day Fees'!$B$2:$B$999,0),0)=0</f>
        <v>0</v>
      </c>
      <c r="AC122" s="73">
        <f t="shared" si="1"/>
        <v>0</v>
      </c>
      <c r="AD122" s="3" t="str">
        <f>VLOOKUP(D122,'Position Lookup'!A:B,1,FALSE)</f>
        <v>DEF</v>
      </c>
    </row>
    <row r="123" ht="17.25" customHeight="1">
      <c r="A123" s="32">
        <v>45150.0</v>
      </c>
      <c r="B123" s="1" t="s">
        <v>222</v>
      </c>
      <c r="C123" s="3" t="s">
        <v>111</v>
      </c>
      <c r="D123" s="3" t="s">
        <v>11</v>
      </c>
      <c r="E123" s="5">
        <v>2.0</v>
      </c>
      <c r="F123" s="74" t="s">
        <v>271</v>
      </c>
      <c r="G123" s="3" t="s">
        <v>242</v>
      </c>
      <c r="J123" s="5">
        <v>0.0</v>
      </c>
      <c r="N123" s="3" t="b">
        <v>1</v>
      </c>
      <c r="R123" s="3">
        <v>0.0</v>
      </c>
      <c r="T123" s="3">
        <v>10.0</v>
      </c>
      <c r="U123" s="2"/>
      <c r="V123" s="2"/>
      <c r="W123" s="70"/>
      <c r="X123" s="71"/>
      <c r="AA123" s="2">
        <f>2+ (P123*'Scoring System'!$B$3)+ (IF(OR(D123="DEF",D123="GK"),N123*'Scoring System'!$B$4,IF(D123="MID",N123*'Scoring System'!$B$5,0)))+ (IF(OR(D123="DEF",D123="GK"),H123*'Scoring System'!$B$6,IF(D123="MID",H123*'Scoring System'!$B$7,IF(D123="ATT",H123*'Scoring System'!$B$8,0))))+ IF(AND(OR(D123="GK",D123="DEF"),J123&gt;=3),1*'Scoring System'!$B$9,0)+ (I123*'Scoring System'!$B$10)+ (K123*'Scoring System'!$B$11)+ (M123*'Scoring System'!$B$12)+ (L123*'Scoring System'!$B$13)+ (O123*'Scoring System'!$B$14)+ (Q123*'Scoring System'!$B$15)+ (R123*'Scoring System'!$B$16)</f>
        <v>8</v>
      </c>
      <c r="AB123" s="72" t="b">
        <f>IFERROR(match(C123,'Match Day Fees'!$B$2:$B$999,0),0)=0</f>
        <v>0</v>
      </c>
      <c r="AC123" s="73">
        <f t="shared" si="1"/>
        <v>0</v>
      </c>
      <c r="AD123" s="3" t="str">
        <f>VLOOKUP(D123,'Position Lookup'!A:B,1,FALSE)</f>
        <v>DEF</v>
      </c>
    </row>
    <row r="124" ht="17.25" customHeight="1">
      <c r="A124" s="32">
        <v>45150.0</v>
      </c>
      <c r="B124" s="1" t="s">
        <v>222</v>
      </c>
      <c r="C124" s="3" t="s">
        <v>239</v>
      </c>
      <c r="D124" s="3" t="s">
        <v>11</v>
      </c>
      <c r="E124" s="5">
        <v>2.0</v>
      </c>
      <c r="F124" s="74" t="s">
        <v>271</v>
      </c>
      <c r="G124" s="3" t="s">
        <v>242</v>
      </c>
      <c r="J124" s="5">
        <v>0.0</v>
      </c>
      <c r="N124" s="3" t="b">
        <v>1</v>
      </c>
      <c r="R124" s="3">
        <v>0.0</v>
      </c>
      <c r="T124" s="3">
        <v>5.0</v>
      </c>
      <c r="U124" s="2"/>
      <c r="V124" s="2"/>
      <c r="W124" s="70"/>
      <c r="X124" s="71"/>
      <c r="AA124" s="2">
        <f>2+ (P124*'Scoring System'!$B$3)+ (IF(OR(D124="DEF",D124="GK"),N124*'Scoring System'!$B$4,IF(D124="MID",N124*'Scoring System'!$B$5,0)))+ (IF(OR(D124="DEF",D124="GK"),H124*'Scoring System'!$B$6,IF(D124="MID",H124*'Scoring System'!$B$7,IF(D124="ATT",H124*'Scoring System'!$B$8,0))))+ IF(AND(OR(D124="GK",D124="DEF"),J124&gt;=3),1*'Scoring System'!$B$9,0)+ (I124*'Scoring System'!$B$10)+ (K124*'Scoring System'!$B$11)+ (M124*'Scoring System'!$B$12)+ (L124*'Scoring System'!$B$13)+ (O124*'Scoring System'!$B$14)+ (Q124*'Scoring System'!$B$15)+ (R124*'Scoring System'!$B$16)</f>
        <v>8</v>
      </c>
      <c r="AB124" s="72" t="b">
        <f>IFERROR(match(C124,'Match Day Fees'!$B$2:$B$999,0),0)=0</f>
        <v>0</v>
      </c>
      <c r="AC124" s="73">
        <f t="shared" si="1"/>
        <v>0</v>
      </c>
      <c r="AD124" s="3" t="str">
        <f>VLOOKUP(D124,'Position Lookup'!A:B,1,FALSE)</f>
        <v>DEF</v>
      </c>
    </row>
    <row r="125" ht="17.25" customHeight="1">
      <c r="A125" s="32">
        <v>45150.0</v>
      </c>
      <c r="B125" s="1" t="s">
        <v>222</v>
      </c>
      <c r="C125" s="3" t="s">
        <v>123</v>
      </c>
      <c r="D125" s="3" t="s">
        <v>10</v>
      </c>
      <c r="E125" s="5">
        <v>2.0</v>
      </c>
      <c r="F125" s="74" t="s">
        <v>271</v>
      </c>
      <c r="G125" s="3" t="s">
        <v>242</v>
      </c>
      <c r="J125" s="5">
        <v>0.0</v>
      </c>
      <c r="N125" s="3" t="b">
        <v>1</v>
      </c>
      <c r="R125" s="3">
        <v>0.0</v>
      </c>
      <c r="T125" s="3">
        <v>10.0</v>
      </c>
      <c r="U125" s="2"/>
      <c r="V125" s="2"/>
      <c r="W125" s="70"/>
      <c r="X125" s="71"/>
      <c r="AA125" s="2">
        <f>2+ (P125*'Scoring System'!$B$3)+ (IF(OR(D125="DEF",D125="GK"),N125*'Scoring System'!$B$4,IF(D125="MID",N125*'Scoring System'!$B$5,0)))+ (IF(OR(D125="DEF",D125="GK"),H125*'Scoring System'!$B$6,IF(D125="MID",H125*'Scoring System'!$B$7,IF(D125="ATT",H125*'Scoring System'!$B$8,0))))+ IF(AND(OR(D125="GK",D125="DEF"),J125&gt;=3),1*'Scoring System'!$B$9,0)+ (I125*'Scoring System'!$B$10)+ (K125*'Scoring System'!$B$11)+ (M125*'Scoring System'!$B$12)+ (L125*'Scoring System'!$B$13)+ (O125*'Scoring System'!$B$14)+ (Q125*'Scoring System'!$B$15)+ (R125*'Scoring System'!$B$16)</f>
        <v>4</v>
      </c>
      <c r="AB125" s="72" t="b">
        <f>IFERROR(match(C125,'Match Day Fees'!$B$2:$B$999,0),0)=0</f>
        <v>0</v>
      </c>
      <c r="AC125" s="73">
        <f t="shared" si="1"/>
        <v>0</v>
      </c>
      <c r="AD125" s="3" t="str">
        <f>VLOOKUP(D125,'Position Lookup'!A:B,1,FALSE)</f>
        <v>MID</v>
      </c>
    </row>
    <row r="126" ht="17.25" customHeight="1">
      <c r="A126" s="32">
        <v>45150.0</v>
      </c>
      <c r="B126" s="1" t="s">
        <v>222</v>
      </c>
      <c r="C126" s="3" t="s">
        <v>92</v>
      </c>
      <c r="D126" s="3" t="s">
        <v>10</v>
      </c>
      <c r="E126" s="5">
        <v>2.0</v>
      </c>
      <c r="F126" s="74" t="s">
        <v>271</v>
      </c>
      <c r="G126" s="3" t="s">
        <v>242</v>
      </c>
      <c r="J126" s="5">
        <v>0.0</v>
      </c>
      <c r="N126" s="3" t="b">
        <v>1</v>
      </c>
      <c r="R126" s="3">
        <v>0.0</v>
      </c>
      <c r="S126" s="3" t="b">
        <v>1</v>
      </c>
      <c r="T126" s="3">
        <v>0.0</v>
      </c>
      <c r="U126" s="2"/>
      <c r="V126" s="2"/>
      <c r="W126" s="70"/>
      <c r="X126" s="71"/>
      <c r="AA126" s="2">
        <f>2+ (P126*'Scoring System'!$B$3)+ (IF(OR(D126="DEF",D126="GK"),N126*'Scoring System'!$B$4,IF(D126="MID",N126*'Scoring System'!$B$5,0)))+ (IF(OR(D126="DEF",D126="GK"),H126*'Scoring System'!$B$6,IF(D126="MID",H126*'Scoring System'!$B$7,IF(D126="ATT",H126*'Scoring System'!$B$8,0))))+ IF(AND(OR(D126="GK",D126="DEF"),J126&gt;=3),1*'Scoring System'!$B$9,0)+ (I126*'Scoring System'!$B$10)+ (K126*'Scoring System'!$B$11)+ (M126*'Scoring System'!$B$12)+ (L126*'Scoring System'!$B$13)+ (O126*'Scoring System'!$B$14)+ (Q126*'Scoring System'!$B$15)+ (R126*'Scoring System'!$B$16)</f>
        <v>4</v>
      </c>
      <c r="AB126" s="72" t="b">
        <f>IFERROR(match(C126,'Match Day Fees'!$B$2:$B$999,0),0)=0</f>
        <v>0</v>
      </c>
      <c r="AC126" s="73">
        <f t="shared" si="1"/>
        <v>0</v>
      </c>
      <c r="AD126" s="3" t="str">
        <f>VLOOKUP(D126,'Position Lookup'!A:B,1,FALSE)</f>
        <v>MID</v>
      </c>
    </row>
    <row r="127" ht="17.25" customHeight="1">
      <c r="A127" s="32">
        <v>45150.0</v>
      </c>
      <c r="B127" s="1" t="s">
        <v>222</v>
      </c>
      <c r="C127" s="3" t="s">
        <v>137</v>
      </c>
      <c r="D127" s="3" t="s">
        <v>10</v>
      </c>
      <c r="E127" s="5">
        <v>2.0</v>
      </c>
      <c r="F127" s="74" t="s">
        <v>271</v>
      </c>
      <c r="G127" s="3" t="s">
        <v>242</v>
      </c>
      <c r="J127" s="5">
        <v>0.0</v>
      </c>
      <c r="N127" s="3" t="b">
        <v>1</v>
      </c>
      <c r="R127" s="3">
        <v>0.0</v>
      </c>
      <c r="T127" s="3">
        <v>10.0</v>
      </c>
      <c r="U127" s="2"/>
      <c r="V127" s="2"/>
      <c r="W127" s="70"/>
      <c r="X127" s="71"/>
      <c r="AA127" s="2">
        <f>2+ (P127*'Scoring System'!$B$3)+ (IF(OR(D127="DEF",D127="GK"),N127*'Scoring System'!$B$4,IF(D127="MID",N127*'Scoring System'!$B$5,0)))+ (IF(OR(D127="DEF",D127="GK"),H127*'Scoring System'!$B$6,IF(D127="MID",H127*'Scoring System'!$B$7,IF(D127="ATT",H127*'Scoring System'!$B$8,0))))+ IF(AND(OR(D127="GK",D127="DEF"),J127&gt;=3),1*'Scoring System'!$B$9,0)+ (I127*'Scoring System'!$B$10)+ (K127*'Scoring System'!$B$11)+ (M127*'Scoring System'!$B$12)+ (L127*'Scoring System'!$B$13)+ (O127*'Scoring System'!$B$14)+ (Q127*'Scoring System'!$B$15)+ (R127*'Scoring System'!$B$16)</f>
        <v>4</v>
      </c>
      <c r="AB127" s="72" t="b">
        <f>IFERROR(match(C127,'Match Day Fees'!$B$2:$B$999,0),0)=0</f>
        <v>0</v>
      </c>
      <c r="AC127" s="73">
        <f t="shared" si="1"/>
        <v>0</v>
      </c>
      <c r="AD127" s="3" t="str">
        <f>VLOOKUP(D127,'Position Lookup'!A:B,1,FALSE)</f>
        <v>MID</v>
      </c>
    </row>
    <row r="128" ht="17.25" customHeight="1">
      <c r="A128" s="32">
        <v>45150.0</v>
      </c>
      <c r="B128" s="1" t="s">
        <v>222</v>
      </c>
      <c r="C128" s="3" t="s">
        <v>272</v>
      </c>
      <c r="D128" s="3" t="s">
        <v>10</v>
      </c>
      <c r="E128" s="5">
        <v>2.0</v>
      </c>
      <c r="F128" s="74" t="s">
        <v>271</v>
      </c>
      <c r="G128" s="3" t="s">
        <v>242</v>
      </c>
      <c r="J128" s="5">
        <v>0.0</v>
      </c>
      <c r="N128" s="3" t="b">
        <v>1</v>
      </c>
      <c r="R128" s="3">
        <v>0.0</v>
      </c>
      <c r="T128" s="3">
        <v>10.0</v>
      </c>
      <c r="U128" s="2"/>
      <c r="V128" s="2"/>
      <c r="W128" s="70"/>
      <c r="X128" s="71"/>
      <c r="AA128" s="2">
        <f>2+ (P128*'Scoring System'!$B$3)+ (IF(OR(D128="DEF",D128="GK"),N128*'Scoring System'!$B$4,IF(D128="MID",N128*'Scoring System'!$B$5,0)))+ (IF(OR(D128="DEF",D128="GK"),H128*'Scoring System'!$B$6,IF(D128="MID",H128*'Scoring System'!$B$7,IF(D128="ATT",H128*'Scoring System'!$B$8,0))))+ IF(AND(OR(D128="GK",D128="DEF"),J128&gt;=3),1*'Scoring System'!$B$9,0)+ (I128*'Scoring System'!$B$10)+ (K128*'Scoring System'!$B$11)+ (M128*'Scoring System'!$B$12)+ (L128*'Scoring System'!$B$13)+ (O128*'Scoring System'!$B$14)+ (Q128*'Scoring System'!$B$15)+ (R128*'Scoring System'!$B$16)</f>
        <v>4</v>
      </c>
      <c r="AB128" s="72" t="b">
        <f>IFERROR(match(C128,'Match Day Fees'!$B$2:$B$999,0),0)=0</f>
        <v>0</v>
      </c>
      <c r="AC128" s="73">
        <f t="shared" si="1"/>
        <v>0</v>
      </c>
      <c r="AD128" s="3" t="str">
        <f>VLOOKUP(D128,'Position Lookup'!A:B,1,FALSE)</f>
        <v>MID</v>
      </c>
    </row>
    <row r="129" ht="17.25" customHeight="1">
      <c r="A129" s="32">
        <v>45150.0</v>
      </c>
      <c r="B129" s="1" t="s">
        <v>222</v>
      </c>
      <c r="C129" s="3" t="s">
        <v>40</v>
      </c>
      <c r="D129" s="3" t="s">
        <v>9</v>
      </c>
      <c r="E129" s="5">
        <v>2.0</v>
      </c>
      <c r="F129" s="74" t="s">
        <v>271</v>
      </c>
      <c r="G129" s="3" t="s">
        <v>242</v>
      </c>
      <c r="J129" s="5">
        <v>0.0</v>
      </c>
      <c r="N129" s="3" t="b">
        <v>1</v>
      </c>
      <c r="R129" s="3">
        <v>0.0</v>
      </c>
      <c r="T129" s="3">
        <v>10.0</v>
      </c>
      <c r="U129" s="2"/>
      <c r="V129" s="2"/>
      <c r="W129" s="70"/>
      <c r="X129" s="71"/>
      <c r="AA129" s="2">
        <f>2+ (P129*'Scoring System'!$B$3)+ (IF(OR(D129="DEF",D129="GK"),N129*'Scoring System'!$B$4,IF(D129="MID",N129*'Scoring System'!$B$5,0)))+ (IF(OR(D129="DEF",D129="GK"),H129*'Scoring System'!$B$6,IF(D129="MID",H129*'Scoring System'!$B$7,IF(D129="ATT",H129*'Scoring System'!$B$8,0))))+ IF(AND(OR(D129="GK",D129="DEF"),J129&gt;=3),1*'Scoring System'!$B$9,0)+ (I129*'Scoring System'!$B$10)+ (K129*'Scoring System'!$B$11)+ (M129*'Scoring System'!$B$12)+ (L129*'Scoring System'!$B$13)+ (O129*'Scoring System'!$B$14)+ (Q129*'Scoring System'!$B$15)+ (R129*'Scoring System'!$B$16)</f>
        <v>2</v>
      </c>
      <c r="AB129" s="72" t="b">
        <f>IFERROR(match(C129,'Match Day Fees'!$B$2:$B$999,0),0)=0</f>
        <v>0</v>
      </c>
      <c r="AC129" s="73">
        <f t="shared" si="1"/>
        <v>0</v>
      </c>
      <c r="AD129" s="3" t="str">
        <f>VLOOKUP(D129,'Position Lookup'!A:B,1,FALSE)</f>
        <v>ATT</v>
      </c>
    </row>
    <row r="130" ht="17.25" customHeight="1">
      <c r="A130" s="32">
        <v>45150.0</v>
      </c>
      <c r="B130" s="1" t="s">
        <v>222</v>
      </c>
      <c r="C130" s="3" t="s">
        <v>78</v>
      </c>
      <c r="D130" s="3" t="s">
        <v>10</v>
      </c>
      <c r="E130" s="5">
        <v>2.0</v>
      </c>
      <c r="F130" s="74" t="s">
        <v>271</v>
      </c>
      <c r="G130" s="3" t="s">
        <v>242</v>
      </c>
      <c r="J130" s="5">
        <v>0.0</v>
      </c>
      <c r="N130" s="3" t="b">
        <v>1</v>
      </c>
      <c r="R130" s="3">
        <v>0.0</v>
      </c>
      <c r="T130" s="3">
        <v>10.0</v>
      </c>
      <c r="U130" s="2"/>
      <c r="V130" s="2"/>
      <c r="W130" s="70"/>
      <c r="X130" s="71"/>
      <c r="AA130" s="2">
        <f>2+ (P130*'Scoring System'!$B$3)+ (IF(OR(D130="DEF",D130="GK"),N130*'Scoring System'!$B$4,IF(D130="MID",N130*'Scoring System'!$B$5,0)))+ (IF(OR(D130="DEF",D130="GK"),H130*'Scoring System'!$B$6,IF(D130="MID",H130*'Scoring System'!$B$7,IF(D130="ATT",H130*'Scoring System'!$B$8,0))))+ IF(AND(OR(D130="GK",D130="DEF"),J130&gt;=3),1*'Scoring System'!$B$9,0)+ (I130*'Scoring System'!$B$10)+ (K130*'Scoring System'!$B$11)+ (M130*'Scoring System'!$B$12)+ (L130*'Scoring System'!$B$13)+ (O130*'Scoring System'!$B$14)+ (Q130*'Scoring System'!$B$15)+ (R130*'Scoring System'!$B$16)</f>
        <v>4</v>
      </c>
      <c r="AB130" s="72" t="b">
        <f>IFERROR(match(C130,'Match Day Fees'!$B$2:$B$999,0),0)=0</f>
        <v>0</v>
      </c>
      <c r="AC130" s="73">
        <f t="shared" si="1"/>
        <v>0</v>
      </c>
      <c r="AD130" s="3" t="str">
        <f>VLOOKUP(D130,'Position Lookup'!A:B,1,FALSE)</f>
        <v>MID</v>
      </c>
    </row>
    <row r="131" ht="17.25" customHeight="1">
      <c r="A131" s="32">
        <v>45150.0</v>
      </c>
      <c r="B131" s="1" t="s">
        <v>222</v>
      </c>
      <c r="C131" s="3" t="s">
        <v>91</v>
      </c>
      <c r="D131" s="3" t="s">
        <v>10</v>
      </c>
      <c r="E131" s="5">
        <v>2.0</v>
      </c>
      <c r="F131" s="74" t="s">
        <v>271</v>
      </c>
      <c r="G131" s="3" t="s">
        <v>242</v>
      </c>
      <c r="J131" s="5">
        <v>0.0</v>
      </c>
      <c r="N131" s="3" t="b">
        <v>1</v>
      </c>
      <c r="R131" s="3">
        <v>0.0</v>
      </c>
      <c r="T131" s="3">
        <v>5.0</v>
      </c>
      <c r="U131" s="2"/>
      <c r="V131" s="2"/>
      <c r="W131" s="70"/>
      <c r="X131" s="71"/>
      <c r="AA131" s="2">
        <f>2+ (P131*'Scoring System'!$B$3)+ (IF(OR(D131="DEF",D131="GK"),N131*'Scoring System'!$B$4,IF(D131="MID",N131*'Scoring System'!$B$5,0)))+ (IF(OR(D131="DEF",D131="GK"),H131*'Scoring System'!$B$6,IF(D131="MID",H131*'Scoring System'!$B$7,IF(D131="ATT",H131*'Scoring System'!$B$8,0))))+ IF(AND(OR(D131="GK",D131="DEF"),J131&gt;=3),1*'Scoring System'!$B$9,0)+ (I131*'Scoring System'!$B$10)+ (K131*'Scoring System'!$B$11)+ (M131*'Scoring System'!$B$12)+ (L131*'Scoring System'!$B$13)+ (O131*'Scoring System'!$B$14)+ (Q131*'Scoring System'!$B$15)+ (R131*'Scoring System'!$B$16)</f>
        <v>4</v>
      </c>
      <c r="AB131" s="72" t="b">
        <f>IFERROR(match(C131,'Match Day Fees'!$B$2:$B$999,0),0)=0</f>
        <v>0</v>
      </c>
      <c r="AC131" s="73">
        <f t="shared" si="1"/>
        <v>0</v>
      </c>
      <c r="AD131" s="3" t="str">
        <f>VLOOKUP(D131,'Position Lookup'!A:B,1,FALSE)</f>
        <v>MID</v>
      </c>
    </row>
    <row r="132" ht="17.25" customHeight="1">
      <c r="A132" s="32">
        <v>45150.0</v>
      </c>
      <c r="B132" s="1" t="s">
        <v>222</v>
      </c>
      <c r="C132" s="3" t="s">
        <v>146</v>
      </c>
      <c r="D132" s="3" t="s">
        <v>10</v>
      </c>
      <c r="E132" s="5">
        <v>2.0</v>
      </c>
      <c r="F132" s="74" t="s">
        <v>271</v>
      </c>
      <c r="G132" s="3" t="s">
        <v>242</v>
      </c>
      <c r="J132" s="5">
        <v>0.0</v>
      </c>
      <c r="N132" s="3" t="b">
        <v>1</v>
      </c>
      <c r="R132" s="3">
        <v>0.0</v>
      </c>
      <c r="T132" s="3">
        <v>10.0</v>
      </c>
      <c r="U132" s="2"/>
      <c r="V132" s="2"/>
      <c r="W132" s="70"/>
      <c r="X132" s="71"/>
      <c r="AA132" s="2">
        <f>2+ (P132*'Scoring System'!$B$3)+ (IF(OR(D132="DEF",D132="GK"),N132*'Scoring System'!$B$4,IF(D132="MID",N132*'Scoring System'!$B$5,0)))+ (IF(OR(D132="DEF",D132="GK"),H132*'Scoring System'!$B$6,IF(D132="MID",H132*'Scoring System'!$B$7,IF(D132="ATT",H132*'Scoring System'!$B$8,0))))+ IF(AND(OR(D132="GK",D132="DEF"),J132&gt;=3),1*'Scoring System'!$B$9,0)+ (I132*'Scoring System'!$B$10)+ (K132*'Scoring System'!$B$11)+ (M132*'Scoring System'!$B$12)+ (L132*'Scoring System'!$B$13)+ (O132*'Scoring System'!$B$14)+ (Q132*'Scoring System'!$B$15)+ (R132*'Scoring System'!$B$16)</f>
        <v>4</v>
      </c>
      <c r="AB132" s="72" t="b">
        <f>IFERROR(match(C132,'Match Day Fees'!$B$2:$B$999,0),0)=0</f>
        <v>0</v>
      </c>
      <c r="AC132" s="73">
        <f t="shared" si="1"/>
        <v>0</v>
      </c>
      <c r="AD132" s="3" t="str">
        <f>VLOOKUP(D132,'Position Lookup'!A:B,1,FALSE)</f>
        <v>MID</v>
      </c>
    </row>
    <row r="133" ht="17.25" customHeight="1">
      <c r="A133" s="32">
        <v>45150.0</v>
      </c>
      <c r="B133" s="1" t="s">
        <v>222</v>
      </c>
      <c r="C133" s="3" t="s">
        <v>73</v>
      </c>
      <c r="D133" s="3" t="s">
        <v>10</v>
      </c>
      <c r="E133" s="5">
        <v>2.0</v>
      </c>
      <c r="F133" s="74" t="s">
        <v>271</v>
      </c>
      <c r="G133" s="3" t="s">
        <v>242</v>
      </c>
      <c r="J133" s="5">
        <v>0.0</v>
      </c>
      <c r="L133" s="3" t="b">
        <v>0</v>
      </c>
      <c r="N133" s="3" t="b">
        <v>1</v>
      </c>
      <c r="R133" s="3">
        <v>0.0</v>
      </c>
      <c r="T133" s="3">
        <v>10.0</v>
      </c>
      <c r="U133" s="2"/>
      <c r="V133" s="2"/>
      <c r="W133" s="70"/>
      <c r="X133" s="71"/>
      <c r="AA133" s="2">
        <f>2+ (P133*'Scoring System'!$B$3)+ (IF(OR(D133="DEF",D133="GK"),N133*'Scoring System'!$B$4,IF(D133="MID",N133*'Scoring System'!$B$5,0)))+ (IF(OR(D133="DEF",D133="GK"),H133*'Scoring System'!$B$6,IF(D133="MID",H133*'Scoring System'!$B$7,IF(D133="ATT",H133*'Scoring System'!$B$8,0))))+ IF(AND(OR(D133="GK",D133="DEF"),J133&gt;=3),1*'Scoring System'!$B$9,0)+ (I133*'Scoring System'!$B$10)+ (K133*'Scoring System'!$B$11)+ (M133*'Scoring System'!$B$12)+ (L133*'Scoring System'!$B$13)+ (O133*'Scoring System'!$B$14)+ (Q133*'Scoring System'!$B$15)+ (R133*'Scoring System'!$B$16)</f>
        <v>4</v>
      </c>
      <c r="AB133" s="72" t="b">
        <f>IFERROR(match(C133,'Match Day Fees'!$B$2:$B$999,0),0)=0</f>
        <v>0</v>
      </c>
      <c r="AC133" s="73">
        <f t="shared" si="1"/>
        <v>0</v>
      </c>
      <c r="AD133" s="3" t="str">
        <f>VLOOKUP(D133,'Position Lookup'!A:B,1,FALSE)</f>
        <v>MID</v>
      </c>
    </row>
    <row r="134" ht="17.25" customHeight="1">
      <c r="A134" s="32">
        <v>45157.0</v>
      </c>
      <c r="B134" s="1" t="s">
        <v>222</v>
      </c>
      <c r="C134" s="3" t="s">
        <v>96</v>
      </c>
      <c r="D134" s="3" t="s">
        <v>8</v>
      </c>
      <c r="E134" s="5">
        <v>1.0</v>
      </c>
      <c r="G134" s="3" t="s">
        <v>224</v>
      </c>
      <c r="J134" s="5">
        <v>0.0</v>
      </c>
      <c r="N134" s="3" t="b">
        <v>1</v>
      </c>
      <c r="R134" s="3">
        <v>0.0</v>
      </c>
      <c r="T134" s="3">
        <v>10.0</v>
      </c>
      <c r="U134" s="2"/>
      <c r="V134" s="2"/>
      <c r="W134" s="70"/>
      <c r="X134" s="71"/>
      <c r="AA134" s="2">
        <f>2+ (P134*'Scoring System'!$B$3)+ (IF(OR(D134="DEF",D134="GK"),N134*'Scoring System'!$B$4,IF(D134="MID",N134*'Scoring System'!$B$5,0)))+ (IF(OR(D134="DEF",D134="GK"),H134*'Scoring System'!$B$6,IF(D134="MID",H134*'Scoring System'!$B$7,IF(D134="ATT",H134*'Scoring System'!$B$8,0))))+ IF(AND(OR(D134="GK",D134="DEF"),J134&gt;=3),1*'Scoring System'!$B$9,0)+ (I134*'Scoring System'!$B$10)+ (K134*'Scoring System'!$B$11)+ (M134*'Scoring System'!$B$12)+ (L134*'Scoring System'!$B$13)+ (O134*'Scoring System'!$B$14)+ (Q134*'Scoring System'!$B$15)+ (R134*'Scoring System'!$B$16)</f>
        <v>8</v>
      </c>
      <c r="AB134" s="72" t="b">
        <f>IFERROR(match(C134,'Match Day Fees'!$B$2:$B$999,0),0)=0</f>
        <v>0</v>
      </c>
      <c r="AC134" s="73">
        <f t="shared" si="1"/>
        <v>0</v>
      </c>
      <c r="AD134" s="3" t="str">
        <f>VLOOKUP(D134,'Position Lookup'!A:B,1,FALSE)</f>
        <v>GK</v>
      </c>
    </row>
    <row r="135" ht="17.25" customHeight="1">
      <c r="A135" s="32">
        <v>45157.0</v>
      </c>
      <c r="B135" s="1" t="s">
        <v>222</v>
      </c>
      <c r="C135" s="3" t="s">
        <v>77</v>
      </c>
      <c r="D135" s="3" t="s">
        <v>11</v>
      </c>
      <c r="E135" s="5">
        <v>1.0</v>
      </c>
      <c r="G135" s="3" t="s">
        <v>224</v>
      </c>
      <c r="J135" s="5">
        <v>0.0</v>
      </c>
      <c r="N135" s="3" t="b">
        <v>1</v>
      </c>
      <c r="R135" s="3">
        <v>0.0</v>
      </c>
      <c r="T135" s="3">
        <v>10.0</v>
      </c>
      <c r="U135" s="2"/>
      <c r="V135" s="2"/>
      <c r="W135" s="70"/>
      <c r="X135" s="71"/>
      <c r="AA135" s="2">
        <f>2+ (P135*'Scoring System'!$B$3)+ (IF(OR(D135="DEF",D135="GK"),N135*'Scoring System'!$B$4,IF(D135="MID",N135*'Scoring System'!$B$5,0)))+ (IF(OR(D135="DEF",D135="GK"),H135*'Scoring System'!$B$6,IF(D135="MID",H135*'Scoring System'!$B$7,IF(D135="ATT",H135*'Scoring System'!$B$8,0))))+ IF(AND(OR(D135="GK",D135="DEF"),J135&gt;=3),1*'Scoring System'!$B$9,0)+ (I135*'Scoring System'!$B$10)+ (K135*'Scoring System'!$B$11)+ (M135*'Scoring System'!$B$12)+ (L135*'Scoring System'!$B$13)+ (O135*'Scoring System'!$B$14)+ (Q135*'Scoring System'!$B$15)+ (R135*'Scoring System'!$B$16)</f>
        <v>8</v>
      </c>
      <c r="AB135" s="72" t="b">
        <f>IFERROR(match(C135,'Match Day Fees'!$B$2:$B$999,0),0)=0</f>
        <v>0</v>
      </c>
      <c r="AC135" s="73">
        <f t="shared" si="1"/>
        <v>0</v>
      </c>
      <c r="AD135" s="3" t="str">
        <f>VLOOKUP(D135,'Position Lookup'!A:B,1,FALSE)</f>
        <v>DEF</v>
      </c>
    </row>
    <row r="136" ht="17.25" customHeight="1">
      <c r="A136" s="32">
        <v>45157.0</v>
      </c>
      <c r="B136" s="1" t="s">
        <v>222</v>
      </c>
      <c r="C136" s="3" t="s">
        <v>76</v>
      </c>
      <c r="D136" s="3" t="s">
        <v>11</v>
      </c>
      <c r="E136" s="5">
        <v>1.0</v>
      </c>
      <c r="G136" s="3" t="s">
        <v>224</v>
      </c>
      <c r="J136" s="5">
        <v>0.0</v>
      </c>
      <c r="N136" s="3" t="b">
        <v>1</v>
      </c>
      <c r="R136" s="3">
        <v>0.0</v>
      </c>
      <c r="T136" s="3">
        <v>10.0</v>
      </c>
      <c r="U136" s="2"/>
      <c r="V136" s="2"/>
      <c r="W136" s="70"/>
      <c r="X136" s="71"/>
      <c r="AA136" s="2">
        <f>2+ (P136*'Scoring System'!$B$3)+ (IF(OR(D136="DEF",D136="GK"),N136*'Scoring System'!$B$4,IF(D136="MID",N136*'Scoring System'!$B$5,0)))+ (IF(OR(D136="DEF",D136="GK"),H136*'Scoring System'!$B$6,IF(D136="MID",H136*'Scoring System'!$B$7,IF(D136="ATT",H136*'Scoring System'!$B$8,0))))+ IF(AND(OR(D136="GK",D136="DEF"),J136&gt;=3),1*'Scoring System'!$B$9,0)+ (I136*'Scoring System'!$B$10)+ (K136*'Scoring System'!$B$11)+ (M136*'Scoring System'!$B$12)+ (L136*'Scoring System'!$B$13)+ (O136*'Scoring System'!$B$14)+ (Q136*'Scoring System'!$B$15)+ (R136*'Scoring System'!$B$16)</f>
        <v>8</v>
      </c>
      <c r="AB136" s="72" t="b">
        <f>IFERROR(match(C136,'Match Day Fees'!$B$2:$B$999,0),0)=0</f>
        <v>0</v>
      </c>
      <c r="AC136" s="73">
        <f t="shared" si="1"/>
        <v>0</v>
      </c>
      <c r="AD136" s="3" t="str">
        <f>VLOOKUP(D136,'Position Lookup'!A:B,1,FALSE)</f>
        <v>DEF</v>
      </c>
    </row>
    <row r="137" ht="17.25" customHeight="1">
      <c r="A137" s="32">
        <v>45157.0</v>
      </c>
      <c r="B137" s="1" t="s">
        <v>222</v>
      </c>
      <c r="C137" s="3" t="s">
        <v>68</v>
      </c>
      <c r="D137" s="3" t="s">
        <v>11</v>
      </c>
      <c r="E137" s="5">
        <v>1.0</v>
      </c>
      <c r="G137" s="3" t="s">
        <v>224</v>
      </c>
      <c r="J137" s="5">
        <v>0.0</v>
      </c>
      <c r="N137" s="3" t="b">
        <v>1</v>
      </c>
      <c r="R137" s="3">
        <v>1.0</v>
      </c>
      <c r="T137" s="3">
        <v>10.0</v>
      </c>
      <c r="U137" s="2"/>
      <c r="V137" s="2"/>
      <c r="W137" s="70"/>
      <c r="X137" s="71"/>
      <c r="AA137" s="2">
        <f>2+ (P137*'Scoring System'!$B$3)+ (IF(OR(D137="DEF",D137="GK"),N137*'Scoring System'!$B$4,IF(D137="MID",N137*'Scoring System'!$B$5,0)))+ (IF(OR(D137="DEF",D137="GK"),H137*'Scoring System'!$B$6,IF(D137="MID",H137*'Scoring System'!$B$7,IF(D137="ATT",H137*'Scoring System'!$B$8,0))))+ IF(AND(OR(D137="GK",D137="DEF"),J137&gt;=3),1*'Scoring System'!$B$9,0)+ (I137*'Scoring System'!$B$10)+ (K137*'Scoring System'!$B$11)+ (M137*'Scoring System'!$B$12)+ (L137*'Scoring System'!$B$13)+ (O137*'Scoring System'!$B$14)+ (Q137*'Scoring System'!$B$15)+ (R137*'Scoring System'!$B$16)</f>
        <v>13</v>
      </c>
      <c r="AB137" s="72" t="b">
        <f>IFERROR(match(C137,'Match Day Fees'!$B$2:$B$999,0),0)=0</f>
        <v>0</v>
      </c>
      <c r="AC137" s="73">
        <f t="shared" si="1"/>
        <v>0</v>
      </c>
      <c r="AD137" s="3" t="str">
        <f>VLOOKUP(D137,'Position Lookup'!A:B,1,FALSE)</f>
        <v>DEF</v>
      </c>
    </row>
    <row r="138" ht="17.25" customHeight="1">
      <c r="A138" s="32">
        <v>45157.0</v>
      </c>
      <c r="B138" s="1" t="s">
        <v>222</v>
      </c>
      <c r="C138" s="3" t="s">
        <v>107</v>
      </c>
      <c r="D138" s="3" t="s">
        <v>11</v>
      </c>
      <c r="E138" s="5">
        <v>1.0</v>
      </c>
      <c r="G138" s="3" t="s">
        <v>224</v>
      </c>
      <c r="J138" s="5">
        <v>0.0</v>
      </c>
      <c r="N138" s="3" t="b">
        <v>1</v>
      </c>
      <c r="R138" s="3">
        <v>0.0</v>
      </c>
      <c r="T138" s="3">
        <v>10.0</v>
      </c>
      <c r="U138" s="2"/>
      <c r="V138" s="2"/>
      <c r="W138" s="70"/>
      <c r="X138" s="71"/>
      <c r="AA138" s="2">
        <f>2+ (P138*'Scoring System'!$B$3)+ (IF(OR(D138="DEF",D138="GK"),N138*'Scoring System'!$B$4,IF(D138="MID",N138*'Scoring System'!$B$5,0)))+ (IF(OR(D138="DEF",D138="GK"),H138*'Scoring System'!$B$6,IF(D138="MID",H138*'Scoring System'!$B$7,IF(D138="ATT",H138*'Scoring System'!$B$8,0))))+ IF(AND(OR(D138="GK",D138="DEF"),J138&gt;=3),1*'Scoring System'!$B$9,0)+ (I138*'Scoring System'!$B$10)+ (K138*'Scoring System'!$B$11)+ (M138*'Scoring System'!$B$12)+ (L138*'Scoring System'!$B$13)+ (O138*'Scoring System'!$B$14)+ (Q138*'Scoring System'!$B$15)+ (R138*'Scoring System'!$B$16)</f>
        <v>8</v>
      </c>
      <c r="AB138" s="72" t="b">
        <f>IFERROR(match(C138,'Match Day Fees'!$B$2:$B$999,0),0)=0</f>
        <v>0</v>
      </c>
      <c r="AC138" s="73">
        <f t="shared" si="1"/>
        <v>0</v>
      </c>
      <c r="AD138" s="3" t="str">
        <f>VLOOKUP(D138,'Position Lookup'!A:B,1,FALSE)</f>
        <v>DEF</v>
      </c>
    </row>
    <row r="139" ht="17.25" customHeight="1">
      <c r="A139" s="32">
        <v>45157.0</v>
      </c>
      <c r="B139" s="1" t="s">
        <v>222</v>
      </c>
      <c r="C139" s="3" t="s">
        <v>273</v>
      </c>
      <c r="D139" s="3" t="s">
        <v>11</v>
      </c>
      <c r="E139" s="5">
        <v>1.0</v>
      </c>
      <c r="G139" s="3" t="s">
        <v>224</v>
      </c>
      <c r="J139" s="5">
        <v>0.0</v>
      </c>
      <c r="N139" s="3" t="b">
        <v>1</v>
      </c>
      <c r="R139" s="3">
        <v>0.0</v>
      </c>
      <c r="T139" s="3">
        <v>10.0</v>
      </c>
      <c r="U139" s="2"/>
      <c r="V139" s="2"/>
      <c r="W139" s="70"/>
      <c r="X139" s="71"/>
      <c r="AA139" s="2">
        <f>2+ (P139*'Scoring System'!$B$3)+ (IF(OR(D139="DEF",D139="GK"),N139*'Scoring System'!$B$4,IF(D139="MID",N139*'Scoring System'!$B$5,0)))+ (IF(OR(D139="DEF",D139="GK"),H139*'Scoring System'!$B$6,IF(D139="MID",H139*'Scoring System'!$B$7,IF(D139="ATT",H139*'Scoring System'!$B$8,0))))+ IF(AND(OR(D139="GK",D139="DEF"),J139&gt;=3),1*'Scoring System'!$B$9,0)+ (I139*'Scoring System'!$B$10)+ (K139*'Scoring System'!$B$11)+ (M139*'Scoring System'!$B$12)+ (L139*'Scoring System'!$B$13)+ (O139*'Scoring System'!$B$14)+ (Q139*'Scoring System'!$B$15)+ (R139*'Scoring System'!$B$16)</f>
        <v>8</v>
      </c>
      <c r="AB139" s="72" t="b">
        <f>IFERROR(match(C139,'Match Day Fees'!$B$2:$B$999,0),0)=0</f>
        <v>0</v>
      </c>
      <c r="AC139" s="73">
        <f t="shared" si="1"/>
        <v>0</v>
      </c>
      <c r="AD139" s="3" t="str">
        <f>VLOOKUP(D139,'Position Lookup'!A:B,1,FALSE)</f>
        <v>DEF</v>
      </c>
    </row>
    <row r="140" ht="17.25" customHeight="1">
      <c r="A140" s="32">
        <v>45157.0</v>
      </c>
      <c r="B140" s="1" t="s">
        <v>222</v>
      </c>
      <c r="C140" s="3" t="s">
        <v>137</v>
      </c>
      <c r="D140" s="3" t="s">
        <v>10</v>
      </c>
      <c r="E140" s="5">
        <v>1.0</v>
      </c>
      <c r="G140" s="3" t="s">
        <v>224</v>
      </c>
      <c r="J140" s="5">
        <v>0.0</v>
      </c>
      <c r="N140" s="3" t="b">
        <v>1</v>
      </c>
      <c r="R140" s="3">
        <v>0.0</v>
      </c>
      <c r="T140" s="3">
        <v>10.0</v>
      </c>
      <c r="U140" s="2"/>
      <c r="V140" s="2"/>
      <c r="W140" s="70"/>
      <c r="X140" s="71"/>
      <c r="AA140" s="2">
        <f>2+ (P140*'Scoring System'!$B$3)+ (IF(OR(D140="DEF",D140="GK"),N140*'Scoring System'!$B$4,IF(D140="MID",N140*'Scoring System'!$B$5,0)))+ (IF(OR(D140="DEF",D140="GK"),H140*'Scoring System'!$B$6,IF(D140="MID",H140*'Scoring System'!$B$7,IF(D140="ATT",H140*'Scoring System'!$B$8,0))))+ IF(AND(OR(D140="GK",D140="DEF"),J140&gt;=3),1*'Scoring System'!$B$9,0)+ (I140*'Scoring System'!$B$10)+ (K140*'Scoring System'!$B$11)+ (M140*'Scoring System'!$B$12)+ (L140*'Scoring System'!$B$13)+ (O140*'Scoring System'!$B$14)+ (Q140*'Scoring System'!$B$15)+ (R140*'Scoring System'!$B$16)</f>
        <v>4</v>
      </c>
      <c r="AB140" s="72" t="b">
        <f>IFERROR(match(C140,'Match Day Fees'!$B$2:$B$999,0),0)=0</f>
        <v>0</v>
      </c>
      <c r="AC140" s="73">
        <f t="shared" si="1"/>
        <v>0</v>
      </c>
      <c r="AD140" s="3" t="str">
        <f>VLOOKUP(D140,'Position Lookup'!A:B,1,FALSE)</f>
        <v>MID</v>
      </c>
    </row>
    <row r="141" ht="17.25" customHeight="1">
      <c r="A141" s="32">
        <v>45157.0</v>
      </c>
      <c r="B141" s="1" t="s">
        <v>222</v>
      </c>
      <c r="C141" s="3" t="s">
        <v>93</v>
      </c>
      <c r="D141" s="3" t="s">
        <v>10</v>
      </c>
      <c r="E141" s="5">
        <v>1.0</v>
      </c>
      <c r="G141" s="3" t="s">
        <v>224</v>
      </c>
      <c r="J141" s="5">
        <v>0.0</v>
      </c>
      <c r="N141" s="3" t="b">
        <v>1</v>
      </c>
      <c r="R141" s="3">
        <v>0.0</v>
      </c>
      <c r="T141" s="3">
        <v>10.0</v>
      </c>
      <c r="U141" s="2"/>
      <c r="V141" s="2"/>
      <c r="W141" s="70"/>
      <c r="X141" s="71"/>
      <c r="AA141" s="2">
        <f>2+ (P141*'Scoring System'!$B$3)+ (IF(OR(D141="DEF",D141="GK"),N141*'Scoring System'!$B$4,IF(D141="MID",N141*'Scoring System'!$B$5,0)))+ (IF(OR(D141="DEF",D141="GK"),H141*'Scoring System'!$B$6,IF(D141="MID",H141*'Scoring System'!$B$7,IF(D141="ATT",H141*'Scoring System'!$B$8,0))))+ IF(AND(OR(D141="GK",D141="DEF"),J141&gt;=3),1*'Scoring System'!$B$9,0)+ (I141*'Scoring System'!$B$10)+ (K141*'Scoring System'!$B$11)+ (M141*'Scoring System'!$B$12)+ (L141*'Scoring System'!$B$13)+ (O141*'Scoring System'!$B$14)+ (Q141*'Scoring System'!$B$15)+ (R141*'Scoring System'!$B$16)</f>
        <v>4</v>
      </c>
      <c r="AB141" s="72" t="b">
        <f>IFERROR(match(C141,'Match Day Fees'!$B$2:$B$999,0),0)=0</f>
        <v>0</v>
      </c>
      <c r="AC141" s="73">
        <f t="shared" si="1"/>
        <v>0</v>
      </c>
      <c r="AD141" s="3" t="str">
        <f>VLOOKUP(D141,'Position Lookup'!A:B,1,FALSE)</f>
        <v>MID</v>
      </c>
    </row>
    <row r="142" ht="17.25" customHeight="1">
      <c r="A142" s="32">
        <v>45157.0</v>
      </c>
      <c r="B142" s="1" t="s">
        <v>222</v>
      </c>
      <c r="C142" s="3" t="s">
        <v>60</v>
      </c>
      <c r="D142" s="3" t="s">
        <v>10</v>
      </c>
      <c r="E142" s="5">
        <v>1.0</v>
      </c>
      <c r="G142" s="3" t="s">
        <v>224</v>
      </c>
      <c r="J142" s="5">
        <v>0.0</v>
      </c>
      <c r="N142" s="3" t="b">
        <v>1</v>
      </c>
      <c r="R142" s="3">
        <v>0.0</v>
      </c>
      <c r="T142" s="3">
        <v>10.0</v>
      </c>
      <c r="U142" s="2"/>
      <c r="V142" s="2"/>
      <c r="W142" s="70"/>
      <c r="X142" s="71"/>
      <c r="AA142" s="2">
        <f>2+ (P142*'Scoring System'!$B$3)+ (IF(OR(D142="DEF",D142="GK"),N142*'Scoring System'!$B$4,IF(D142="MID",N142*'Scoring System'!$B$5,0)))+ (IF(OR(D142="DEF",D142="GK"),H142*'Scoring System'!$B$6,IF(D142="MID",H142*'Scoring System'!$B$7,IF(D142="ATT",H142*'Scoring System'!$B$8,0))))+ IF(AND(OR(D142="GK",D142="DEF"),J142&gt;=3),1*'Scoring System'!$B$9,0)+ (I142*'Scoring System'!$B$10)+ (K142*'Scoring System'!$B$11)+ (M142*'Scoring System'!$B$12)+ (L142*'Scoring System'!$B$13)+ (O142*'Scoring System'!$B$14)+ (Q142*'Scoring System'!$B$15)+ (R142*'Scoring System'!$B$16)</f>
        <v>4</v>
      </c>
      <c r="AB142" s="72" t="b">
        <f>IFERROR(match(C142,'Match Day Fees'!$B$2:$B$999,0),0)=0</f>
        <v>0</v>
      </c>
      <c r="AC142" s="73">
        <f t="shared" si="1"/>
        <v>0</v>
      </c>
      <c r="AD142" s="3" t="str">
        <f>VLOOKUP(D142,'Position Lookup'!A:B,1,FALSE)</f>
        <v>MID</v>
      </c>
    </row>
    <row r="143" ht="17.25" customHeight="1">
      <c r="A143" s="32">
        <v>45157.0</v>
      </c>
      <c r="B143" s="1" t="s">
        <v>222</v>
      </c>
      <c r="C143" s="3" t="s">
        <v>47</v>
      </c>
      <c r="D143" s="3" t="s">
        <v>10</v>
      </c>
      <c r="E143" s="5">
        <v>1.0</v>
      </c>
      <c r="G143" s="3" t="s">
        <v>224</v>
      </c>
      <c r="H143" s="3">
        <v>1.0</v>
      </c>
      <c r="J143" s="5">
        <v>0.0</v>
      </c>
      <c r="N143" s="3" t="b">
        <v>1</v>
      </c>
      <c r="R143" s="3">
        <v>0.0</v>
      </c>
      <c r="T143" s="3">
        <v>10.0</v>
      </c>
      <c r="U143" s="2"/>
      <c r="V143" s="2"/>
      <c r="W143" s="70"/>
      <c r="X143" s="71"/>
      <c r="AA143" s="2">
        <f>2+ (P143*'Scoring System'!$B$3)+ (IF(OR(D143="DEF",D143="GK"),N143*'Scoring System'!$B$4,IF(D143="MID",N143*'Scoring System'!$B$5,0)))+ (IF(OR(D143="DEF",D143="GK"),H143*'Scoring System'!$B$6,IF(D143="MID",H143*'Scoring System'!$B$7,IF(D143="ATT",H143*'Scoring System'!$B$8,0))))+ IF(AND(OR(D143="GK",D143="DEF"),J143&gt;=3),1*'Scoring System'!$B$9,0)+ (I143*'Scoring System'!$B$10)+ (K143*'Scoring System'!$B$11)+ (M143*'Scoring System'!$B$12)+ (L143*'Scoring System'!$B$13)+ (O143*'Scoring System'!$B$14)+ (Q143*'Scoring System'!$B$15)+ (R143*'Scoring System'!$B$16)</f>
        <v>9</v>
      </c>
      <c r="AB143" s="72" t="b">
        <f>IFERROR(match(C143,'Match Day Fees'!$B$2:$B$999,0),0)=0</f>
        <v>0</v>
      </c>
      <c r="AC143" s="73">
        <f t="shared" si="1"/>
        <v>0</v>
      </c>
      <c r="AD143" s="3" t="str">
        <f>VLOOKUP(D143,'Position Lookup'!A:B,1,FALSE)</f>
        <v>MID</v>
      </c>
    </row>
    <row r="144" ht="17.25" customHeight="1">
      <c r="A144" s="32">
        <v>45157.0</v>
      </c>
      <c r="B144" s="1" t="s">
        <v>222</v>
      </c>
      <c r="C144" s="3" t="s">
        <v>239</v>
      </c>
      <c r="D144" s="3" t="s">
        <v>9</v>
      </c>
      <c r="E144" s="5">
        <v>1.0</v>
      </c>
      <c r="G144" s="3" t="s">
        <v>224</v>
      </c>
      <c r="J144" s="5">
        <v>0.0</v>
      </c>
      <c r="N144" s="3" t="b">
        <v>1</v>
      </c>
      <c r="R144" s="3">
        <v>0.0</v>
      </c>
      <c r="T144" s="3">
        <v>5.0</v>
      </c>
      <c r="U144" s="2"/>
      <c r="V144" s="2"/>
      <c r="W144" s="70"/>
      <c r="X144" s="71"/>
      <c r="AA144" s="2">
        <f>2+ (P144*'Scoring System'!$B$3)+ (IF(OR(D144="DEF",D144="GK"),N144*'Scoring System'!$B$4,IF(D144="MID",N144*'Scoring System'!$B$5,0)))+ (IF(OR(D144="DEF",D144="GK"),H144*'Scoring System'!$B$6,IF(D144="MID",H144*'Scoring System'!$B$7,IF(D144="ATT",H144*'Scoring System'!$B$8,0))))+ IF(AND(OR(D144="GK",D144="DEF"),J144&gt;=3),1*'Scoring System'!$B$9,0)+ (I144*'Scoring System'!$B$10)+ (K144*'Scoring System'!$B$11)+ (M144*'Scoring System'!$B$12)+ (L144*'Scoring System'!$B$13)+ (O144*'Scoring System'!$B$14)+ (Q144*'Scoring System'!$B$15)+ (R144*'Scoring System'!$B$16)</f>
        <v>2</v>
      </c>
      <c r="AB144" s="72" t="b">
        <f>IFERROR(match(C144,'Match Day Fees'!$B$2:$B$999,0),0)=0</f>
        <v>0</v>
      </c>
      <c r="AC144" s="73">
        <f t="shared" si="1"/>
        <v>0</v>
      </c>
      <c r="AD144" s="3" t="str">
        <f>VLOOKUP(D144,'Position Lookup'!A:B,1,FALSE)</f>
        <v>ATT</v>
      </c>
    </row>
    <row r="145" ht="17.25" customHeight="1">
      <c r="A145" s="32">
        <v>45157.0</v>
      </c>
      <c r="B145" s="1" t="s">
        <v>222</v>
      </c>
      <c r="C145" s="3" t="s">
        <v>114</v>
      </c>
      <c r="D145" s="3" t="s">
        <v>10</v>
      </c>
      <c r="E145" s="5">
        <v>1.0</v>
      </c>
      <c r="G145" s="3" t="s">
        <v>224</v>
      </c>
      <c r="J145" s="5">
        <v>0.0</v>
      </c>
      <c r="N145" s="3" t="b">
        <v>1</v>
      </c>
      <c r="R145" s="3">
        <v>0.0</v>
      </c>
      <c r="T145" s="3">
        <v>10.0</v>
      </c>
      <c r="U145" s="2"/>
      <c r="V145" s="2"/>
      <c r="W145" s="70"/>
      <c r="X145" s="71"/>
      <c r="AA145" s="2">
        <f>2+ (P145*'Scoring System'!$B$3)+ (IF(OR(D145="DEF",D145="GK"),N145*'Scoring System'!$B$4,IF(D145="MID",N145*'Scoring System'!$B$5,0)))+ (IF(OR(D145="DEF",D145="GK"),H145*'Scoring System'!$B$6,IF(D145="MID",H145*'Scoring System'!$B$7,IF(D145="ATT",H145*'Scoring System'!$B$8,0))))+ IF(AND(OR(D145="GK",D145="DEF"),J145&gt;=3),1*'Scoring System'!$B$9,0)+ (I145*'Scoring System'!$B$10)+ (K145*'Scoring System'!$B$11)+ (M145*'Scoring System'!$B$12)+ (L145*'Scoring System'!$B$13)+ (O145*'Scoring System'!$B$14)+ (Q145*'Scoring System'!$B$15)+ (R145*'Scoring System'!$B$16)</f>
        <v>4</v>
      </c>
      <c r="AB145" s="72" t="b">
        <f>IFERROR(match(C145,'Match Day Fees'!$B$2:$B$999,0),0)=0</f>
        <v>0</v>
      </c>
      <c r="AC145" s="73">
        <f t="shared" si="1"/>
        <v>0</v>
      </c>
      <c r="AD145" s="3" t="str">
        <f>VLOOKUP(D145,'Position Lookup'!A:B,1,FALSE)</f>
        <v>MID</v>
      </c>
    </row>
    <row r="146" ht="17.25" customHeight="1">
      <c r="A146" s="32">
        <v>45157.0</v>
      </c>
      <c r="B146" s="1" t="s">
        <v>222</v>
      </c>
      <c r="C146" s="3" t="s">
        <v>274</v>
      </c>
      <c r="D146" s="3" t="s">
        <v>10</v>
      </c>
      <c r="E146" s="5">
        <v>1.0</v>
      </c>
      <c r="G146" s="3" t="s">
        <v>224</v>
      </c>
      <c r="J146" s="5">
        <v>0.0</v>
      </c>
      <c r="N146" s="3" t="b">
        <v>1</v>
      </c>
      <c r="R146" s="3">
        <v>0.0</v>
      </c>
      <c r="T146" s="5">
        <v>5.0</v>
      </c>
      <c r="U146" s="2"/>
      <c r="V146" s="2"/>
      <c r="W146" s="70"/>
      <c r="X146" s="71"/>
      <c r="AA146" s="2">
        <f>2+ (P146*'Scoring System'!$B$3)+ (IF(OR(D146="DEF",D146="GK"),N146*'Scoring System'!$B$4,IF(D146="MID",N146*'Scoring System'!$B$5,0)))+ (IF(OR(D146="DEF",D146="GK"),H146*'Scoring System'!$B$6,IF(D146="MID",H146*'Scoring System'!$B$7,IF(D146="ATT",H146*'Scoring System'!$B$8,0))))+ IF(AND(OR(D146="GK",D146="DEF"),J146&gt;=3),1*'Scoring System'!$B$9,0)+ (I146*'Scoring System'!$B$10)+ (K146*'Scoring System'!$B$11)+ (M146*'Scoring System'!$B$12)+ (L146*'Scoring System'!$B$13)+ (O146*'Scoring System'!$B$14)+ (Q146*'Scoring System'!$B$15)+ (R146*'Scoring System'!$B$16)</f>
        <v>4</v>
      </c>
      <c r="AB146" s="72" t="b">
        <f>IFERROR(match(C146,'Match Day Fees'!$B$2:$B$999,0),0)=0</f>
        <v>0</v>
      </c>
      <c r="AC146" s="73">
        <f t="shared" si="1"/>
        <v>0</v>
      </c>
      <c r="AD146" s="3" t="str">
        <f>VLOOKUP(D146,'Position Lookup'!A:B,1,FALSE)</f>
        <v>MID</v>
      </c>
    </row>
    <row r="147" ht="17.25" customHeight="1">
      <c r="A147" s="32">
        <v>45157.0</v>
      </c>
      <c r="B147" s="1" t="s">
        <v>222</v>
      </c>
      <c r="C147" s="3" t="s">
        <v>123</v>
      </c>
      <c r="D147" s="3" t="s">
        <v>9</v>
      </c>
      <c r="E147" s="5">
        <v>1.0</v>
      </c>
      <c r="G147" s="3" t="s">
        <v>224</v>
      </c>
      <c r="J147" s="5">
        <v>0.0</v>
      </c>
      <c r="N147" s="3" t="b">
        <v>1</v>
      </c>
      <c r="R147" s="3">
        <v>0.0</v>
      </c>
      <c r="T147" s="3">
        <v>5.0</v>
      </c>
      <c r="U147" s="2"/>
      <c r="V147" s="2"/>
      <c r="W147" s="70"/>
      <c r="X147" s="71"/>
      <c r="AA147" s="2">
        <f>2+ (P147*'Scoring System'!$B$3)+ (IF(OR(D147="DEF",D147="GK"),N147*'Scoring System'!$B$4,IF(D147="MID",N147*'Scoring System'!$B$5,0)))+ (IF(OR(D147="DEF",D147="GK"),H147*'Scoring System'!$B$6,IF(D147="MID",H147*'Scoring System'!$B$7,IF(D147="ATT",H147*'Scoring System'!$B$8,0))))+ IF(AND(OR(D147="GK",D147="DEF"),J147&gt;=3),1*'Scoring System'!$B$9,0)+ (I147*'Scoring System'!$B$10)+ (K147*'Scoring System'!$B$11)+ (M147*'Scoring System'!$B$12)+ (L147*'Scoring System'!$B$13)+ (O147*'Scoring System'!$B$14)+ (Q147*'Scoring System'!$B$15)+ (R147*'Scoring System'!$B$16)</f>
        <v>2</v>
      </c>
      <c r="AB147" s="72" t="b">
        <f>IFERROR(match(C147,'Match Day Fees'!$B$2:$B$999,0),0)=0</f>
        <v>0</v>
      </c>
      <c r="AC147" s="73">
        <f t="shared" si="1"/>
        <v>0</v>
      </c>
      <c r="AD147" s="3" t="str">
        <f>VLOOKUP(D147,'Position Lookup'!A:B,1,FALSE)</f>
        <v>ATT</v>
      </c>
    </row>
    <row r="148" ht="17.25" customHeight="1">
      <c r="A148" s="32">
        <v>45157.0</v>
      </c>
      <c r="B148" s="1" t="s">
        <v>222</v>
      </c>
      <c r="C148" s="3" t="s">
        <v>85</v>
      </c>
      <c r="D148" s="3" t="s">
        <v>10</v>
      </c>
      <c r="E148" s="5">
        <v>1.0</v>
      </c>
      <c r="G148" s="3" t="s">
        <v>224</v>
      </c>
      <c r="J148" s="5">
        <v>0.0</v>
      </c>
      <c r="N148" s="3" t="b">
        <v>1</v>
      </c>
      <c r="R148" s="3">
        <v>0.0</v>
      </c>
      <c r="T148" s="3">
        <v>5.0</v>
      </c>
      <c r="U148" s="2"/>
      <c r="V148" s="2"/>
      <c r="W148" s="70"/>
      <c r="X148" s="71"/>
      <c r="AA148" s="2">
        <f>2+ (P148*'Scoring System'!$B$3)+ (IF(OR(D148="DEF",D148="GK"),N148*'Scoring System'!$B$4,IF(D148="MID",N148*'Scoring System'!$B$5,0)))+ (IF(OR(D148="DEF",D148="GK"),H148*'Scoring System'!$B$6,IF(D148="MID",H148*'Scoring System'!$B$7,IF(D148="ATT",H148*'Scoring System'!$B$8,0))))+ IF(AND(OR(D148="GK",D148="DEF"),J148&gt;=3),1*'Scoring System'!$B$9,0)+ (I148*'Scoring System'!$B$10)+ (K148*'Scoring System'!$B$11)+ (M148*'Scoring System'!$B$12)+ (L148*'Scoring System'!$B$13)+ (O148*'Scoring System'!$B$14)+ (Q148*'Scoring System'!$B$15)+ (R148*'Scoring System'!$B$16)</f>
        <v>4</v>
      </c>
      <c r="AB148" s="72" t="b">
        <f>IFERROR(match(C148,'Match Day Fees'!$B$2:$B$999,0),0)=0</f>
        <v>0</v>
      </c>
      <c r="AC148" s="73">
        <f t="shared" si="1"/>
        <v>0</v>
      </c>
      <c r="AD148" s="3" t="str">
        <f>VLOOKUP(D148,'Position Lookup'!A:B,1,FALSE)</f>
        <v>MID</v>
      </c>
    </row>
    <row r="149" ht="17.25" customHeight="1">
      <c r="A149" s="32">
        <v>45157.0</v>
      </c>
      <c r="B149" s="1" t="s">
        <v>222</v>
      </c>
      <c r="C149" s="3" t="s">
        <v>56</v>
      </c>
      <c r="D149" s="3" t="s">
        <v>11</v>
      </c>
      <c r="E149" s="5">
        <v>2.0</v>
      </c>
      <c r="F149" s="74" t="s">
        <v>275</v>
      </c>
      <c r="G149" s="3" t="s">
        <v>230</v>
      </c>
      <c r="J149" s="5">
        <v>9.0</v>
      </c>
      <c r="N149" s="3" t="b">
        <v>0</v>
      </c>
      <c r="R149" s="3">
        <v>0.0</v>
      </c>
      <c r="T149" s="3">
        <v>10.0</v>
      </c>
      <c r="U149" s="2"/>
      <c r="V149" s="2"/>
      <c r="W149" s="70"/>
      <c r="X149" s="71"/>
      <c r="AA149" s="2">
        <f>2+ (P149*'Scoring System'!$B$3)+ (IF(OR(D149="DEF",D149="GK"),N149*'Scoring System'!$B$4,IF(D149="MID",N149*'Scoring System'!$B$5,0)))+ (IF(OR(D149="DEF",D149="GK"),H149*'Scoring System'!$B$6,IF(D149="MID",H149*'Scoring System'!$B$7,IF(D149="ATT",H149*'Scoring System'!$B$8,0))))+ IF(AND(OR(D149="GK",D149="DEF"),J149&gt;=3),1*'Scoring System'!$B$9,0)+ (I149*'Scoring System'!$B$10)+ (K149*'Scoring System'!$B$11)+ (M149*'Scoring System'!$B$12)+ (L149*'Scoring System'!$B$13)+ (O149*'Scoring System'!$B$14)+ (Q149*'Scoring System'!$B$15)+ (R149*'Scoring System'!$B$16)</f>
        <v>1</v>
      </c>
      <c r="AB149" s="72" t="b">
        <f>IFERROR(match(C149,'Match Day Fees'!$B$2:$B$999,0),0)=0</f>
        <v>0</v>
      </c>
      <c r="AC149" s="73">
        <f t="shared" si="1"/>
        <v>0</v>
      </c>
      <c r="AD149" s="3" t="str">
        <f>VLOOKUP(D149,'Position Lookup'!A:B,1,FALSE)</f>
        <v>DEF</v>
      </c>
    </row>
    <row r="150" ht="17.25" customHeight="1">
      <c r="A150" s="32">
        <v>45157.0</v>
      </c>
      <c r="B150" s="1" t="s">
        <v>222</v>
      </c>
      <c r="C150" s="3" t="s">
        <v>80</v>
      </c>
      <c r="D150" s="3" t="s">
        <v>11</v>
      </c>
      <c r="E150" s="5">
        <v>2.0</v>
      </c>
      <c r="F150" s="74" t="s">
        <v>275</v>
      </c>
      <c r="G150" s="3" t="s">
        <v>230</v>
      </c>
      <c r="J150" s="5">
        <v>9.0</v>
      </c>
      <c r="N150" s="3" t="b">
        <v>0</v>
      </c>
      <c r="R150" s="3">
        <v>0.0</v>
      </c>
      <c r="T150" s="5">
        <v>0.0</v>
      </c>
      <c r="U150" s="2"/>
      <c r="V150" s="2"/>
      <c r="W150" s="70"/>
      <c r="X150" s="71"/>
      <c r="AA150" s="2">
        <f>2+ (P150*'Scoring System'!$B$3)+ (IF(OR(D150="DEF",D150="GK"),N150*'Scoring System'!$B$4,IF(D150="MID",N150*'Scoring System'!$B$5,0)))+ (IF(OR(D150="DEF",D150="GK"),H150*'Scoring System'!$B$6,IF(D150="MID",H150*'Scoring System'!$B$7,IF(D150="ATT",H150*'Scoring System'!$B$8,0))))+ IF(AND(OR(D150="GK",D150="DEF"),J150&gt;=3),1*'Scoring System'!$B$9,0)+ (I150*'Scoring System'!$B$10)+ (K150*'Scoring System'!$B$11)+ (M150*'Scoring System'!$B$12)+ (L150*'Scoring System'!$B$13)+ (O150*'Scoring System'!$B$14)+ (Q150*'Scoring System'!$B$15)+ (R150*'Scoring System'!$B$16)</f>
        <v>1</v>
      </c>
      <c r="AB150" s="72" t="b">
        <f>IFERROR(match(C150,'Match Day Fees'!$B$2:$B$999,0),0)=0</f>
        <v>0</v>
      </c>
      <c r="AC150" s="73">
        <f t="shared" si="1"/>
        <v>0</v>
      </c>
      <c r="AD150" s="3" t="str">
        <f>VLOOKUP(D150,'Position Lookup'!A:B,1,FALSE)</f>
        <v>DEF</v>
      </c>
    </row>
    <row r="151" ht="17.25" customHeight="1">
      <c r="A151" s="32">
        <v>45157.0</v>
      </c>
      <c r="B151" s="1" t="s">
        <v>222</v>
      </c>
      <c r="C151" s="3" t="s">
        <v>79</v>
      </c>
      <c r="D151" s="3" t="s">
        <v>11</v>
      </c>
      <c r="E151" s="5">
        <v>2.0</v>
      </c>
      <c r="F151" s="74" t="s">
        <v>275</v>
      </c>
      <c r="G151" s="3" t="s">
        <v>230</v>
      </c>
      <c r="J151" s="5">
        <v>9.0</v>
      </c>
      <c r="N151" s="3" t="b">
        <v>0</v>
      </c>
      <c r="R151" s="3">
        <v>0.0</v>
      </c>
      <c r="T151" s="3">
        <v>10.0</v>
      </c>
      <c r="U151" s="2"/>
      <c r="V151" s="2"/>
      <c r="W151" s="70"/>
      <c r="X151" s="71"/>
      <c r="AA151" s="2">
        <f>2+ (P151*'Scoring System'!$B$3)+ (IF(OR(D151="DEF",D151="GK"),N151*'Scoring System'!$B$4,IF(D151="MID",N151*'Scoring System'!$B$5,0)))+ (IF(OR(D151="DEF",D151="GK"),H151*'Scoring System'!$B$6,IF(D151="MID",H151*'Scoring System'!$B$7,IF(D151="ATT",H151*'Scoring System'!$B$8,0))))+ IF(AND(OR(D151="GK",D151="DEF"),J151&gt;=3),1*'Scoring System'!$B$9,0)+ (I151*'Scoring System'!$B$10)+ (K151*'Scoring System'!$B$11)+ (M151*'Scoring System'!$B$12)+ (L151*'Scoring System'!$B$13)+ (O151*'Scoring System'!$B$14)+ (Q151*'Scoring System'!$B$15)+ (R151*'Scoring System'!$B$16)</f>
        <v>1</v>
      </c>
      <c r="AB151" s="72" t="b">
        <f>IFERROR(match(C151,'Match Day Fees'!$B$2:$B$999,0),0)=0</f>
        <v>0</v>
      </c>
      <c r="AC151" s="73">
        <f t="shared" si="1"/>
        <v>0</v>
      </c>
      <c r="AD151" s="3" t="str">
        <f>VLOOKUP(D151,'Position Lookup'!A:B,1,FALSE)</f>
        <v>DEF</v>
      </c>
    </row>
    <row r="152" ht="17.25" customHeight="1">
      <c r="A152" s="32">
        <v>45157.0</v>
      </c>
      <c r="B152" s="1" t="s">
        <v>222</v>
      </c>
      <c r="C152" s="3" t="s">
        <v>73</v>
      </c>
      <c r="D152" s="3" t="s">
        <v>11</v>
      </c>
      <c r="E152" s="5">
        <v>2.0</v>
      </c>
      <c r="F152" s="74" t="s">
        <v>275</v>
      </c>
      <c r="G152" s="3" t="s">
        <v>230</v>
      </c>
      <c r="J152" s="5">
        <v>9.0</v>
      </c>
      <c r="N152" s="3" t="b">
        <v>0</v>
      </c>
      <c r="R152" s="3">
        <v>0.0</v>
      </c>
      <c r="T152" s="3">
        <v>10.0</v>
      </c>
      <c r="U152" s="2"/>
      <c r="V152" s="2"/>
      <c r="W152" s="70"/>
      <c r="X152" s="71"/>
      <c r="AA152" s="2">
        <f>2+ (P152*'Scoring System'!$B$3)+ (IF(OR(D152="DEF",D152="GK"),N152*'Scoring System'!$B$4,IF(D152="MID",N152*'Scoring System'!$B$5,0)))+ (IF(OR(D152="DEF",D152="GK"),H152*'Scoring System'!$B$6,IF(D152="MID",H152*'Scoring System'!$B$7,IF(D152="ATT",H152*'Scoring System'!$B$8,0))))+ IF(AND(OR(D152="GK",D152="DEF"),J152&gt;=3),1*'Scoring System'!$B$9,0)+ (I152*'Scoring System'!$B$10)+ (K152*'Scoring System'!$B$11)+ (M152*'Scoring System'!$B$12)+ (L152*'Scoring System'!$B$13)+ (O152*'Scoring System'!$B$14)+ (Q152*'Scoring System'!$B$15)+ (R152*'Scoring System'!$B$16)</f>
        <v>1</v>
      </c>
      <c r="AB152" s="72" t="b">
        <f>IFERROR(match(C152,'Match Day Fees'!$B$2:$B$999,0),0)=0</f>
        <v>0</v>
      </c>
      <c r="AC152" s="73">
        <f t="shared" si="1"/>
        <v>0</v>
      </c>
      <c r="AD152" s="3" t="str">
        <f>VLOOKUP(D152,'Position Lookup'!A:B,1,FALSE)</f>
        <v>DEF</v>
      </c>
    </row>
    <row r="153" ht="17.25" customHeight="1">
      <c r="A153" s="32">
        <v>45157.0</v>
      </c>
      <c r="B153" s="1" t="s">
        <v>222</v>
      </c>
      <c r="C153" s="3" t="s">
        <v>256</v>
      </c>
      <c r="D153" s="3" t="s">
        <v>11</v>
      </c>
      <c r="E153" s="5">
        <v>2.0</v>
      </c>
      <c r="F153" s="74" t="s">
        <v>275</v>
      </c>
      <c r="G153" s="3" t="s">
        <v>230</v>
      </c>
      <c r="J153" s="5">
        <v>9.0</v>
      </c>
      <c r="N153" s="3" t="b">
        <v>0</v>
      </c>
      <c r="R153" s="3">
        <v>0.0</v>
      </c>
      <c r="T153" s="3">
        <v>5.0</v>
      </c>
      <c r="U153" s="2"/>
      <c r="V153" s="2"/>
      <c r="W153" s="70"/>
      <c r="X153" s="71"/>
      <c r="AA153" s="2">
        <f>2+ (P153*'Scoring System'!$B$3)+ (IF(OR(D153="DEF",D153="GK"),N153*'Scoring System'!$B$4,IF(D153="MID",N153*'Scoring System'!$B$5,0)))+ (IF(OR(D153="DEF",D153="GK"),H153*'Scoring System'!$B$6,IF(D153="MID",H153*'Scoring System'!$B$7,IF(D153="ATT",H153*'Scoring System'!$B$8,0))))+ IF(AND(OR(D153="GK",D153="DEF"),J153&gt;=3),1*'Scoring System'!$B$9,0)+ (I153*'Scoring System'!$B$10)+ (K153*'Scoring System'!$B$11)+ (M153*'Scoring System'!$B$12)+ (L153*'Scoring System'!$B$13)+ (O153*'Scoring System'!$B$14)+ (Q153*'Scoring System'!$B$15)+ (R153*'Scoring System'!$B$16)</f>
        <v>1</v>
      </c>
      <c r="AB153" s="72" t="b">
        <f>IFERROR(match(C153,'Match Day Fees'!$B$2:$B$999,0),0)=0</f>
        <v>0</v>
      </c>
      <c r="AC153" s="73">
        <f t="shared" si="1"/>
        <v>0</v>
      </c>
      <c r="AD153" s="3" t="str">
        <f>VLOOKUP(D153,'Position Lookup'!A:B,1,FALSE)</f>
        <v>DEF</v>
      </c>
    </row>
    <row r="154" ht="17.25" customHeight="1">
      <c r="A154" s="32">
        <v>45157.0</v>
      </c>
      <c r="B154" s="1" t="s">
        <v>222</v>
      </c>
      <c r="C154" s="3" t="s">
        <v>243</v>
      </c>
      <c r="D154" s="3" t="s">
        <v>10</v>
      </c>
      <c r="E154" s="5">
        <v>2.0</v>
      </c>
      <c r="F154" s="74" t="s">
        <v>275</v>
      </c>
      <c r="G154" s="3" t="s">
        <v>230</v>
      </c>
      <c r="J154" s="5">
        <v>9.0</v>
      </c>
      <c r="N154" s="3" t="b">
        <v>0</v>
      </c>
      <c r="R154" s="3">
        <v>0.0</v>
      </c>
      <c r="T154" s="3">
        <v>10.0</v>
      </c>
      <c r="U154" s="2"/>
      <c r="V154" s="2"/>
      <c r="W154" s="70"/>
      <c r="X154" s="71"/>
      <c r="AA154" s="2">
        <f>2+ (P154*'Scoring System'!$B$3)+ (IF(OR(D154="DEF",D154="GK"),N154*'Scoring System'!$B$4,IF(D154="MID",N154*'Scoring System'!$B$5,0)))+ (IF(OR(D154="DEF",D154="GK"),H154*'Scoring System'!$B$6,IF(D154="MID",H154*'Scoring System'!$B$7,IF(D154="ATT",H154*'Scoring System'!$B$8,0))))+ IF(AND(OR(D154="GK",D154="DEF"),J154&gt;=3),1*'Scoring System'!$B$9,0)+ (I154*'Scoring System'!$B$10)+ (K154*'Scoring System'!$B$11)+ (M154*'Scoring System'!$B$12)+ (L154*'Scoring System'!$B$13)+ (O154*'Scoring System'!$B$14)+ (Q154*'Scoring System'!$B$15)+ (R154*'Scoring System'!$B$16)</f>
        <v>2</v>
      </c>
      <c r="AB154" s="72" t="b">
        <f>IFERROR(match(C154,'Match Day Fees'!$B$2:$B$999,0),0)=0</f>
        <v>0</v>
      </c>
      <c r="AC154" s="73">
        <f t="shared" si="1"/>
        <v>0</v>
      </c>
      <c r="AD154" s="3" t="str">
        <f>VLOOKUP(D154,'Position Lookup'!A:B,1,FALSE)</f>
        <v>MID</v>
      </c>
    </row>
    <row r="155" ht="17.25" customHeight="1">
      <c r="A155" s="32">
        <v>45157.0</v>
      </c>
      <c r="B155" s="1" t="s">
        <v>222</v>
      </c>
      <c r="C155" s="3" t="s">
        <v>92</v>
      </c>
      <c r="D155" s="3" t="s">
        <v>10</v>
      </c>
      <c r="E155" s="5">
        <v>2.0</v>
      </c>
      <c r="F155" s="74" t="s">
        <v>275</v>
      </c>
      <c r="G155" s="3" t="s">
        <v>230</v>
      </c>
      <c r="J155" s="5">
        <v>9.0</v>
      </c>
      <c r="N155" s="3" t="b">
        <v>0</v>
      </c>
      <c r="R155" s="3">
        <v>0.0</v>
      </c>
      <c r="S155" s="3" t="b">
        <v>1</v>
      </c>
      <c r="T155" s="3">
        <v>0.0</v>
      </c>
      <c r="U155" s="2"/>
      <c r="V155" s="2"/>
      <c r="W155" s="70"/>
      <c r="X155" s="71"/>
      <c r="AA155" s="2">
        <f>2+ (P155*'Scoring System'!$B$3)+ (IF(OR(D155="DEF",D155="GK"),N155*'Scoring System'!$B$4,IF(D155="MID",N155*'Scoring System'!$B$5,0)))+ (IF(OR(D155="DEF",D155="GK"),H155*'Scoring System'!$B$6,IF(D155="MID",H155*'Scoring System'!$B$7,IF(D155="ATT",H155*'Scoring System'!$B$8,0))))+ IF(AND(OR(D155="GK",D155="DEF"),J155&gt;=3),1*'Scoring System'!$B$9,0)+ (I155*'Scoring System'!$B$10)+ (K155*'Scoring System'!$B$11)+ (M155*'Scoring System'!$B$12)+ (L155*'Scoring System'!$B$13)+ (O155*'Scoring System'!$B$14)+ (Q155*'Scoring System'!$B$15)+ (R155*'Scoring System'!$B$16)</f>
        <v>2</v>
      </c>
      <c r="AB155" s="72" t="b">
        <f>IFERROR(match(C155,'Match Day Fees'!$B$2:$B$999,0),0)=0</f>
        <v>0</v>
      </c>
      <c r="AC155" s="73">
        <f t="shared" si="1"/>
        <v>0</v>
      </c>
      <c r="AD155" s="3" t="str">
        <f>VLOOKUP(D155,'Position Lookup'!A:B,1,FALSE)</f>
        <v>MID</v>
      </c>
    </row>
    <row r="156" ht="17.25" customHeight="1">
      <c r="A156" s="32">
        <v>45157.0</v>
      </c>
      <c r="B156" s="1" t="s">
        <v>222</v>
      </c>
      <c r="C156" s="3" t="s">
        <v>276</v>
      </c>
      <c r="D156" s="3" t="s">
        <v>10</v>
      </c>
      <c r="E156" s="5">
        <v>2.0</v>
      </c>
      <c r="F156" s="74" t="s">
        <v>275</v>
      </c>
      <c r="G156" s="3" t="s">
        <v>230</v>
      </c>
      <c r="J156" s="5">
        <v>9.0</v>
      </c>
      <c r="N156" s="3" t="b">
        <v>0</v>
      </c>
      <c r="R156" s="3">
        <v>0.0</v>
      </c>
      <c r="T156" s="3">
        <v>10.0</v>
      </c>
      <c r="U156" s="2"/>
      <c r="V156" s="2"/>
      <c r="W156" s="70"/>
      <c r="X156" s="71"/>
      <c r="AA156" s="2">
        <f>2+ (P156*'Scoring System'!$B$3)+ (IF(OR(D156="DEF",D156="GK"),N156*'Scoring System'!$B$4,IF(D156="MID",N156*'Scoring System'!$B$5,0)))+ (IF(OR(D156="DEF",D156="GK"),H156*'Scoring System'!$B$6,IF(D156="MID",H156*'Scoring System'!$B$7,IF(D156="ATT",H156*'Scoring System'!$B$8,0))))+ IF(AND(OR(D156="GK",D156="DEF"),J156&gt;=3),1*'Scoring System'!$B$9,0)+ (I156*'Scoring System'!$B$10)+ (K156*'Scoring System'!$B$11)+ (M156*'Scoring System'!$B$12)+ (L156*'Scoring System'!$B$13)+ (O156*'Scoring System'!$B$14)+ (Q156*'Scoring System'!$B$15)+ (R156*'Scoring System'!$B$16)</f>
        <v>2</v>
      </c>
      <c r="AB156" s="72" t="b">
        <f>IFERROR(match(C156,'Match Day Fees'!$B$2:$B$999,0),0)=0</f>
        <v>0</v>
      </c>
      <c r="AC156" s="73">
        <f t="shared" si="1"/>
        <v>0</v>
      </c>
      <c r="AD156" s="3" t="str">
        <f>VLOOKUP(D156,'Position Lookup'!A:B,1,FALSE)</f>
        <v>MID</v>
      </c>
    </row>
    <row r="157" ht="17.25" customHeight="1">
      <c r="A157" s="32">
        <v>45157.0</v>
      </c>
      <c r="B157" s="1" t="s">
        <v>222</v>
      </c>
      <c r="C157" s="3" t="s">
        <v>246</v>
      </c>
      <c r="D157" s="3" t="s">
        <v>10</v>
      </c>
      <c r="E157" s="5">
        <v>2.0</v>
      </c>
      <c r="F157" s="74" t="s">
        <v>275</v>
      </c>
      <c r="G157" s="3" t="s">
        <v>230</v>
      </c>
      <c r="J157" s="5">
        <v>9.0</v>
      </c>
      <c r="N157" s="3" t="b">
        <v>0</v>
      </c>
      <c r="R157" s="3">
        <v>0.0</v>
      </c>
      <c r="T157" s="3">
        <v>10.0</v>
      </c>
      <c r="U157" s="2"/>
      <c r="V157" s="2"/>
      <c r="W157" s="70"/>
      <c r="X157" s="71"/>
      <c r="AA157" s="2">
        <f>2+ (P157*'Scoring System'!$B$3)+ (IF(OR(D157="DEF",D157="GK"),N157*'Scoring System'!$B$4,IF(D157="MID",N157*'Scoring System'!$B$5,0)))+ (IF(OR(D157="DEF",D157="GK"),H157*'Scoring System'!$B$6,IF(D157="MID",H157*'Scoring System'!$B$7,IF(D157="ATT",H157*'Scoring System'!$B$8,0))))+ IF(AND(OR(D157="GK",D157="DEF"),J157&gt;=3),1*'Scoring System'!$B$9,0)+ (I157*'Scoring System'!$B$10)+ (K157*'Scoring System'!$B$11)+ (M157*'Scoring System'!$B$12)+ (L157*'Scoring System'!$B$13)+ (O157*'Scoring System'!$B$14)+ (Q157*'Scoring System'!$B$15)+ (R157*'Scoring System'!$B$16)</f>
        <v>2</v>
      </c>
      <c r="AB157" s="72" t="b">
        <f>IFERROR(match(C157,'Match Day Fees'!$B$2:$B$999,0),0)=0</f>
        <v>0</v>
      </c>
      <c r="AC157" s="73">
        <f t="shared" si="1"/>
        <v>0</v>
      </c>
      <c r="AD157" s="3" t="str">
        <f>VLOOKUP(D157,'Position Lookup'!A:B,1,FALSE)</f>
        <v>MID</v>
      </c>
    </row>
    <row r="158" ht="17.25" customHeight="1">
      <c r="A158" s="32">
        <v>45157.0</v>
      </c>
      <c r="B158" s="1" t="s">
        <v>222</v>
      </c>
      <c r="C158" s="3" t="s">
        <v>277</v>
      </c>
      <c r="D158" s="3" t="s">
        <v>9</v>
      </c>
      <c r="E158" s="5">
        <v>2.0</v>
      </c>
      <c r="F158" s="74" t="s">
        <v>275</v>
      </c>
      <c r="G158" s="3" t="s">
        <v>230</v>
      </c>
      <c r="J158" s="5">
        <v>9.0</v>
      </c>
      <c r="N158" s="3" t="b">
        <v>0</v>
      </c>
      <c r="R158" s="3">
        <v>0.0</v>
      </c>
      <c r="T158" s="3">
        <v>10.0</v>
      </c>
      <c r="U158" s="2"/>
      <c r="V158" s="2"/>
      <c r="W158" s="70"/>
      <c r="X158" s="71"/>
      <c r="AA158" s="2">
        <f>2+ (P158*'Scoring System'!$B$3)+ (IF(OR(D158="DEF",D158="GK"),N158*'Scoring System'!$B$4,IF(D158="MID",N158*'Scoring System'!$B$5,0)))+ (IF(OR(D158="DEF",D158="GK"),H158*'Scoring System'!$B$6,IF(D158="MID",H158*'Scoring System'!$B$7,IF(D158="ATT",H158*'Scoring System'!$B$8,0))))+ IF(AND(OR(D158="GK",D158="DEF"),J158&gt;=3),1*'Scoring System'!$B$9,0)+ (I158*'Scoring System'!$B$10)+ (K158*'Scoring System'!$B$11)+ (M158*'Scoring System'!$B$12)+ (L158*'Scoring System'!$B$13)+ (O158*'Scoring System'!$B$14)+ (Q158*'Scoring System'!$B$15)+ (R158*'Scoring System'!$B$16)</f>
        <v>2</v>
      </c>
      <c r="AB158" s="72" t="b">
        <f>IFERROR(match(C158,'Match Day Fees'!$B$2:$B$999,0),0)=0</f>
        <v>0</v>
      </c>
      <c r="AC158" s="73">
        <f t="shared" si="1"/>
        <v>0</v>
      </c>
      <c r="AD158" s="3" t="str">
        <f>VLOOKUP(D158,'Position Lookup'!A:B,1,FALSE)</f>
        <v>ATT</v>
      </c>
    </row>
    <row r="159" ht="17.25" customHeight="1">
      <c r="A159" s="32">
        <v>45157.0</v>
      </c>
      <c r="B159" s="1" t="s">
        <v>222</v>
      </c>
      <c r="C159" s="3" t="s">
        <v>41</v>
      </c>
      <c r="E159" s="5">
        <v>2.0</v>
      </c>
      <c r="F159" s="74" t="s">
        <v>275</v>
      </c>
      <c r="G159" s="3" t="s">
        <v>230</v>
      </c>
      <c r="J159" s="5">
        <v>9.0</v>
      </c>
      <c r="N159" s="3" t="b">
        <v>0</v>
      </c>
      <c r="R159" s="3">
        <v>0.0</v>
      </c>
      <c r="T159" s="3">
        <v>10.0</v>
      </c>
      <c r="U159" s="2"/>
      <c r="V159" s="2"/>
      <c r="W159" s="70"/>
      <c r="X159" s="71"/>
      <c r="AA159" s="2">
        <f>2+ (P159*'Scoring System'!$B$3)+ (IF(OR(D159="DEF",D159="GK"),N159*'Scoring System'!$B$4,IF(D159="MID",N159*'Scoring System'!$B$5,0)))+ (IF(OR(D159="DEF",D159="GK"),H159*'Scoring System'!$B$6,IF(D159="MID",H159*'Scoring System'!$B$7,IF(D159="ATT",H159*'Scoring System'!$B$8,0))))+ IF(AND(OR(D159="GK",D159="DEF"),J159&gt;=3),1*'Scoring System'!$B$9,0)+ (I159*'Scoring System'!$B$10)+ (K159*'Scoring System'!$B$11)+ (M159*'Scoring System'!$B$12)+ (L159*'Scoring System'!$B$13)+ (O159*'Scoring System'!$B$14)+ (Q159*'Scoring System'!$B$15)+ (R159*'Scoring System'!$B$16)</f>
        <v>2</v>
      </c>
      <c r="AB159" s="72" t="b">
        <f>IFERROR(match(C159,'Match Day Fees'!$B$2:$B$999,0),0)=0</f>
        <v>0</v>
      </c>
      <c r="AC159" s="73">
        <f t="shared" si="1"/>
        <v>0</v>
      </c>
      <c r="AD159" s="3" t="str">
        <f>VLOOKUP(D159,'Position Lookup'!A:B,1,FALSE)</f>
        <v>#N/A</v>
      </c>
    </row>
    <row r="160" ht="17.25" customHeight="1">
      <c r="A160" s="32">
        <v>45157.0</v>
      </c>
      <c r="B160" s="1" t="s">
        <v>222</v>
      </c>
      <c r="C160" s="3" t="s">
        <v>126</v>
      </c>
      <c r="E160" s="5">
        <v>2.0</v>
      </c>
      <c r="F160" s="74" t="s">
        <v>275</v>
      </c>
      <c r="G160" s="3" t="s">
        <v>230</v>
      </c>
      <c r="J160" s="5">
        <v>9.0</v>
      </c>
      <c r="N160" s="3" t="b">
        <v>0</v>
      </c>
      <c r="R160" s="3">
        <v>0.0</v>
      </c>
      <c r="T160" s="3">
        <v>5.0</v>
      </c>
      <c r="U160" s="2"/>
      <c r="V160" s="2"/>
      <c r="W160" s="70"/>
      <c r="X160" s="71"/>
      <c r="AA160" s="2">
        <f>2+ (P160*'Scoring System'!$B$3)+ (IF(OR(D160="DEF",D160="GK"),N160*'Scoring System'!$B$4,IF(D160="MID",N160*'Scoring System'!$B$5,0)))+ (IF(OR(D160="DEF",D160="GK"),H160*'Scoring System'!$B$6,IF(D160="MID",H160*'Scoring System'!$B$7,IF(D160="ATT",H160*'Scoring System'!$B$8,0))))+ IF(AND(OR(D160="GK",D160="DEF"),J160&gt;=3),1*'Scoring System'!$B$9,0)+ (I160*'Scoring System'!$B$10)+ (K160*'Scoring System'!$B$11)+ (M160*'Scoring System'!$B$12)+ (L160*'Scoring System'!$B$13)+ (O160*'Scoring System'!$B$14)+ (Q160*'Scoring System'!$B$15)+ (R160*'Scoring System'!$B$16)</f>
        <v>2</v>
      </c>
      <c r="AB160" s="72" t="b">
        <f>IFERROR(match(C160,'Match Day Fees'!$B$2:$B$999,0),0)=0</f>
        <v>0</v>
      </c>
      <c r="AC160" s="73">
        <f t="shared" si="1"/>
        <v>0</v>
      </c>
      <c r="AD160" s="3" t="str">
        <f>VLOOKUP(D160,'Position Lookup'!A:B,1,FALSE)</f>
        <v>#N/A</v>
      </c>
    </row>
    <row r="161" ht="17.25" customHeight="1">
      <c r="A161" s="32">
        <v>45157.0</v>
      </c>
      <c r="B161" s="1" t="s">
        <v>222</v>
      </c>
      <c r="C161" s="3" t="s">
        <v>278</v>
      </c>
      <c r="D161" s="3" t="s">
        <v>8</v>
      </c>
      <c r="E161" s="5">
        <v>2.0</v>
      </c>
      <c r="F161" s="74" t="s">
        <v>275</v>
      </c>
      <c r="G161" s="3" t="s">
        <v>230</v>
      </c>
      <c r="J161" s="5">
        <v>9.0</v>
      </c>
      <c r="L161" s="3" t="b">
        <v>0</v>
      </c>
      <c r="N161" s="3" t="b">
        <v>0</v>
      </c>
      <c r="R161" s="3">
        <v>1.0</v>
      </c>
      <c r="T161" s="3">
        <v>10.0</v>
      </c>
      <c r="U161" s="2"/>
      <c r="V161" s="2"/>
      <c r="W161" s="70"/>
      <c r="X161" s="71"/>
      <c r="AA161" s="2">
        <f>2+ (P161*'Scoring System'!$B$3)+ (IF(OR(D161="DEF",D161="GK"),N161*'Scoring System'!$B$4,IF(D161="MID",N161*'Scoring System'!$B$5,0)))+ (IF(OR(D161="DEF",D161="GK"),H161*'Scoring System'!$B$6,IF(D161="MID",H161*'Scoring System'!$B$7,IF(D161="ATT",H161*'Scoring System'!$B$8,0))))+ IF(AND(OR(D161="GK",D161="DEF"),J161&gt;=3),1*'Scoring System'!$B$9,0)+ (I161*'Scoring System'!$B$10)+ (K161*'Scoring System'!$B$11)+ (M161*'Scoring System'!$B$12)+ (L161*'Scoring System'!$B$13)+ (O161*'Scoring System'!$B$14)+ (Q161*'Scoring System'!$B$15)+ (R161*'Scoring System'!$B$16)</f>
        <v>6</v>
      </c>
      <c r="AB161" s="72" t="b">
        <f>IFERROR(match(C161,'Match Day Fees'!$B$2:$B$999,0),0)=0</f>
        <v>0</v>
      </c>
      <c r="AC161" s="73">
        <f t="shared" si="1"/>
        <v>0</v>
      </c>
      <c r="AD161" s="3" t="str">
        <f>VLOOKUP(D161,'Position Lookup'!A:B,1,FALSE)</f>
        <v>GK</v>
      </c>
    </row>
    <row r="162" ht="17.25" customHeight="1">
      <c r="A162" s="32">
        <v>45157.0</v>
      </c>
      <c r="B162" s="1" t="s">
        <v>222</v>
      </c>
      <c r="C162" s="3" t="s">
        <v>254</v>
      </c>
      <c r="D162" s="3" t="s">
        <v>8</v>
      </c>
      <c r="E162" s="5">
        <v>3.0</v>
      </c>
      <c r="F162" s="74" t="s">
        <v>279</v>
      </c>
      <c r="G162" s="3" t="s">
        <v>224</v>
      </c>
      <c r="J162" s="5">
        <v>0.0</v>
      </c>
      <c r="N162" s="3" t="b">
        <v>1</v>
      </c>
      <c r="R162" s="3">
        <v>0.0</v>
      </c>
      <c r="T162" s="3">
        <v>0.0</v>
      </c>
      <c r="U162" s="2"/>
      <c r="V162" s="2"/>
      <c r="W162" s="70"/>
      <c r="X162" s="71"/>
      <c r="AA162" s="2">
        <f>2+ (P162*'Scoring System'!$B$3)+ (IF(OR(D162="DEF",D162="GK"),N162*'Scoring System'!$B$4,IF(D162="MID",N162*'Scoring System'!$B$5,0)))+ (IF(OR(D162="DEF",D162="GK"),H162*'Scoring System'!$B$6,IF(D162="MID",H162*'Scoring System'!$B$7,IF(D162="ATT",H162*'Scoring System'!$B$8,0))))+ IF(AND(OR(D162="GK",D162="DEF"),J162&gt;=3),1*'Scoring System'!$B$9,0)+ (I162*'Scoring System'!$B$10)+ (K162*'Scoring System'!$B$11)+ (M162*'Scoring System'!$B$12)+ (L162*'Scoring System'!$B$13)+ (O162*'Scoring System'!$B$14)+ (Q162*'Scoring System'!$B$15)+ (R162*'Scoring System'!$B$16)</f>
        <v>8</v>
      </c>
      <c r="AB162" s="72" t="b">
        <f>IFERROR(match(C162,'Match Day Fees'!$B$2:$B$999,0),0)=0</f>
        <v>0</v>
      </c>
      <c r="AC162" s="73">
        <f t="shared" si="1"/>
        <v>0</v>
      </c>
      <c r="AD162" s="3" t="str">
        <f>VLOOKUP(D162,'Position Lookup'!A:B,1,FALSE)</f>
        <v>GK</v>
      </c>
    </row>
    <row r="163" ht="17.25" customHeight="1">
      <c r="A163" s="32">
        <v>45157.0</v>
      </c>
      <c r="B163" s="1" t="s">
        <v>222</v>
      </c>
      <c r="C163" s="3" t="s">
        <v>133</v>
      </c>
      <c r="D163" s="3" t="s">
        <v>11</v>
      </c>
      <c r="E163" s="5">
        <v>3.0</v>
      </c>
      <c r="F163" s="74" t="s">
        <v>279</v>
      </c>
      <c r="G163" s="3" t="s">
        <v>224</v>
      </c>
      <c r="J163" s="5">
        <v>0.0</v>
      </c>
      <c r="N163" s="3" t="b">
        <v>1</v>
      </c>
      <c r="R163" s="3">
        <v>0.0</v>
      </c>
      <c r="T163" s="3">
        <v>10.0</v>
      </c>
      <c r="U163" s="2"/>
      <c r="V163" s="2"/>
      <c r="W163" s="70"/>
      <c r="X163" s="71"/>
      <c r="AA163" s="2">
        <f>2+ (P163*'Scoring System'!$B$3)+ (IF(OR(D163="DEF",D163="GK"),N163*'Scoring System'!$B$4,IF(D163="MID",N163*'Scoring System'!$B$5,0)))+ (IF(OR(D163="DEF",D163="GK"),H163*'Scoring System'!$B$6,IF(D163="MID",H163*'Scoring System'!$B$7,IF(D163="ATT",H163*'Scoring System'!$B$8,0))))+ IF(AND(OR(D163="GK",D163="DEF"),J163&gt;=3),1*'Scoring System'!$B$9,0)+ (I163*'Scoring System'!$B$10)+ (K163*'Scoring System'!$B$11)+ (M163*'Scoring System'!$B$12)+ (L163*'Scoring System'!$B$13)+ (O163*'Scoring System'!$B$14)+ (Q163*'Scoring System'!$B$15)+ (R163*'Scoring System'!$B$16)</f>
        <v>8</v>
      </c>
      <c r="AB163" s="72" t="b">
        <f>IFERROR(match(C163,'Match Day Fees'!$B$2:$B$999,0),0)=0</f>
        <v>0</v>
      </c>
      <c r="AC163" s="73">
        <f t="shared" si="1"/>
        <v>0</v>
      </c>
      <c r="AD163" s="3" t="str">
        <f>VLOOKUP(D163,'Position Lookup'!A:B,1,FALSE)</f>
        <v>DEF</v>
      </c>
    </row>
    <row r="164" ht="17.25" customHeight="1">
      <c r="A164" s="32">
        <v>45157.0</v>
      </c>
      <c r="B164" s="1" t="s">
        <v>222</v>
      </c>
      <c r="C164" s="3" t="s">
        <v>265</v>
      </c>
      <c r="D164" s="3" t="s">
        <v>11</v>
      </c>
      <c r="E164" s="5">
        <v>3.0</v>
      </c>
      <c r="F164" s="74" t="s">
        <v>279</v>
      </c>
      <c r="G164" s="3" t="s">
        <v>224</v>
      </c>
      <c r="J164" s="5">
        <v>0.0</v>
      </c>
      <c r="N164" s="3" t="b">
        <v>1</v>
      </c>
      <c r="R164" s="3">
        <v>0.0</v>
      </c>
      <c r="T164" s="5">
        <v>5.0</v>
      </c>
      <c r="U164" s="2"/>
      <c r="V164" s="2"/>
      <c r="W164" s="70"/>
      <c r="X164" s="71"/>
      <c r="AA164" s="2">
        <f>2+ (P164*'Scoring System'!$B$3)+ (IF(OR(D164="DEF",D164="GK"),N164*'Scoring System'!$B$4,IF(D164="MID",N164*'Scoring System'!$B$5,0)))+ (IF(OR(D164="DEF",D164="GK"),H164*'Scoring System'!$B$6,IF(D164="MID",H164*'Scoring System'!$B$7,IF(D164="ATT",H164*'Scoring System'!$B$8,0))))+ IF(AND(OR(D164="GK",D164="DEF"),J164&gt;=3),1*'Scoring System'!$B$9,0)+ (I164*'Scoring System'!$B$10)+ (K164*'Scoring System'!$B$11)+ (M164*'Scoring System'!$B$12)+ (L164*'Scoring System'!$B$13)+ (O164*'Scoring System'!$B$14)+ (Q164*'Scoring System'!$B$15)+ (R164*'Scoring System'!$B$16)</f>
        <v>8</v>
      </c>
      <c r="AB164" s="72" t="b">
        <f>IFERROR(match(C164,'Match Day Fees'!$B$2:$B$999,0),0)=0</f>
        <v>0</v>
      </c>
      <c r="AC164" s="73">
        <f t="shared" si="1"/>
        <v>0</v>
      </c>
      <c r="AD164" s="3" t="str">
        <f>VLOOKUP(D164,'Position Lookup'!A:B,1,FALSE)</f>
        <v>DEF</v>
      </c>
    </row>
    <row r="165" ht="17.25" customHeight="1">
      <c r="A165" s="32">
        <v>45157.0</v>
      </c>
      <c r="B165" s="1" t="s">
        <v>222</v>
      </c>
      <c r="C165" s="3" t="s">
        <v>39</v>
      </c>
      <c r="D165" s="3" t="s">
        <v>11</v>
      </c>
      <c r="E165" s="5">
        <v>3.0</v>
      </c>
      <c r="F165" s="74" t="s">
        <v>279</v>
      </c>
      <c r="G165" s="3" t="s">
        <v>224</v>
      </c>
      <c r="J165" s="5">
        <v>0.0</v>
      </c>
      <c r="N165" s="3" t="b">
        <v>1</v>
      </c>
      <c r="R165" s="3">
        <v>1.0</v>
      </c>
      <c r="T165" s="3">
        <v>10.0</v>
      </c>
      <c r="U165" s="2"/>
      <c r="V165" s="2"/>
      <c r="W165" s="70"/>
      <c r="X165" s="71"/>
      <c r="AA165" s="2">
        <f>2+ (P165*'Scoring System'!$B$3)+ (IF(OR(D165="DEF",D165="GK"),N165*'Scoring System'!$B$4,IF(D165="MID",N165*'Scoring System'!$B$5,0)))+ (IF(OR(D165="DEF",D165="GK"),H165*'Scoring System'!$B$6,IF(D165="MID",H165*'Scoring System'!$B$7,IF(D165="ATT",H165*'Scoring System'!$B$8,0))))+ IF(AND(OR(D165="GK",D165="DEF"),J165&gt;=3),1*'Scoring System'!$B$9,0)+ (I165*'Scoring System'!$B$10)+ (K165*'Scoring System'!$B$11)+ (M165*'Scoring System'!$B$12)+ (L165*'Scoring System'!$B$13)+ (O165*'Scoring System'!$B$14)+ (Q165*'Scoring System'!$B$15)+ (R165*'Scoring System'!$B$16)</f>
        <v>13</v>
      </c>
      <c r="AB165" s="72" t="b">
        <f>IFERROR(match(C165,'Match Day Fees'!$B$2:$B$999,0),0)=0</f>
        <v>0</v>
      </c>
      <c r="AC165" s="73">
        <f t="shared" si="1"/>
        <v>0</v>
      </c>
      <c r="AD165" s="3" t="str">
        <f>VLOOKUP(D165,'Position Lookup'!A:B,1,FALSE)</f>
        <v>DEF</v>
      </c>
    </row>
    <row r="166" ht="17.25" customHeight="1">
      <c r="A166" s="32">
        <v>45157.0</v>
      </c>
      <c r="B166" s="1" t="s">
        <v>222</v>
      </c>
      <c r="C166" s="3" t="s">
        <v>119</v>
      </c>
      <c r="D166" s="3" t="s">
        <v>11</v>
      </c>
      <c r="E166" s="5">
        <v>3.0</v>
      </c>
      <c r="F166" s="74" t="s">
        <v>279</v>
      </c>
      <c r="G166" s="3" t="s">
        <v>224</v>
      </c>
      <c r="J166" s="5">
        <v>0.0</v>
      </c>
      <c r="N166" s="3" t="b">
        <v>1</v>
      </c>
      <c r="R166" s="3">
        <v>0.0</v>
      </c>
      <c r="T166" s="3">
        <v>10.0</v>
      </c>
      <c r="U166" s="2"/>
      <c r="V166" s="2"/>
      <c r="W166" s="70"/>
      <c r="X166" s="71"/>
      <c r="AA166" s="2">
        <f>2+ (P166*'Scoring System'!$B$3)+ (IF(OR(D166="DEF",D166="GK"),N166*'Scoring System'!$B$4,IF(D166="MID",N166*'Scoring System'!$B$5,0)))+ (IF(OR(D166="DEF",D166="GK"),H166*'Scoring System'!$B$6,IF(D166="MID",H166*'Scoring System'!$B$7,IF(D166="ATT",H166*'Scoring System'!$B$8,0))))+ IF(AND(OR(D166="GK",D166="DEF"),J166&gt;=3),1*'Scoring System'!$B$9,0)+ (I166*'Scoring System'!$B$10)+ (K166*'Scoring System'!$B$11)+ (M166*'Scoring System'!$B$12)+ (L166*'Scoring System'!$B$13)+ (O166*'Scoring System'!$B$14)+ (Q166*'Scoring System'!$B$15)+ (R166*'Scoring System'!$B$16)</f>
        <v>8</v>
      </c>
      <c r="AB166" s="72" t="b">
        <f>IFERROR(match(C166,'Match Day Fees'!$B$2:$B$999,0),0)=0</f>
        <v>0</v>
      </c>
      <c r="AC166" s="73">
        <f t="shared" si="1"/>
        <v>0</v>
      </c>
      <c r="AD166" s="3" t="str">
        <f>VLOOKUP(D166,'Position Lookup'!A:B,1,FALSE)</f>
        <v>DEF</v>
      </c>
    </row>
    <row r="167" ht="17.25" customHeight="1">
      <c r="A167" s="32">
        <v>45157.0</v>
      </c>
      <c r="B167" s="1" t="s">
        <v>222</v>
      </c>
      <c r="C167" s="3" t="s">
        <v>86</v>
      </c>
      <c r="D167" s="3" t="s">
        <v>10</v>
      </c>
      <c r="E167" s="5">
        <v>3.0</v>
      </c>
      <c r="F167" s="74" t="s">
        <v>279</v>
      </c>
      <c r="G167" s="3" t="s">
        <v>224</v>
      </c>
      <c r="J167" s="5">
        <v>0.0</v>
      </c>
      <c r="N167" s="3" t="b">
        <v>1</v>
      </c>
      <c r="R167" s="3">
        <v>0.0</v>
      </c>
      <c r="T167" s="3">
        <v>10.0</v>
      </c>
      <c r="U167" s="2"/>
      <c r="V167" s="2"/>
      <c r="W167" s="70"/>
      <c r="X167" s="71"/>
      <c r="AA167" s="2">
        <f>2+ (P167*'Scoring System'!$B$3)+ (IF(OR(D167="DEF",D167="GK"),N167*'Scoring System'!$B$4,IF(D167="MID",N167*'Scoring System'!$B$5,0)))+ (IF(OR(D167="DEF",D167="GK"),H167*'Scoring System'!$B$6,IF(D167="MID",H167*'Scoring System'!$B$7,IF(D167="ATT",H167*'Scoring System'!$B$8,0))))+ IF(AND(OR(D167="GK",D167="DEF"),J167&gt;=3),1*'Scoring System'!$B$9,0)+ (I167*'Scoring System'!$B$10)+ (K167*'Scoring System'!$B$11)+ (M167*'Scoring System'!$B$12)+ (L167*'Scoring System'!$B$13)+ (O167*'Scoring System'!$B$14)+ (Q167*'Scoring System'!$B$15)+ (R167*'Scoring System'!$B$16)</f>
        <v>4</v>
      </c>
      <c r="AB167" s="72" t="b">
        <f>IFERROR(match(C167,'Match Day Fees'!$B$2:$B$999,0),0)=0</f>
        <v>0</v>
      </c>
      <c r="AC167" s="73">
        <f t="shared" si="1"/>
        <v>0</v>
      </c>
      <c r="AD167" s="3" t="str">
        <f>VLOOKUP(D167,'Position Lookup'!A:B,1,FALSE)</f>
        <v>MID</v>
      </c>
    </row>
    <row r="168" ht="17.25" customHeight="1">
      <c r="A168" s="32">
        <v>45157.0</v>
      </c>
      <c r="B168" s="1" t="s">
        <v>222</v>
      </c>
      <c r="C168" s="3" t="s">
        <v>151</v>
      </c>
      <c r="D168" s="3" t="s">
        <v>10</v>
      </c>
      <c r="E168" s="5">
        <v>3.0</v>
      </c>
      <c r="F168" s="74" t="s">
        <v>279</v>
      </c>
      <c r="G168" s="3" t="s">
        <v>224</v>
      </c>
      <c r="J168" s="5">
        <v>0.0</v>
      </c>
      <c r="N168" s="3" t="b">
        <v>1</v>
      </c>
      <c r="R168" s="3">
        <v>0.0</v>
      </c>
      <c r="T168" s="5">
        <v>5.0</v>
      </c>
      <c r="U168" s="2"/>
      <c r="V168" s="2"/>
      <c r="W168" s="70"/>
      <c r="X168" s="71"/>
      <c r="AA168" s="2">
        <f>2+ (P168*'Scoring System'!$B$3)+ (IF(OR(D168="DEF",D168="GK"),N168*'Scoring System'!$B$4,IF(D168="MID",N168*'Scoring System'!$B$5,0)))+ (IF(OR(D168="DEF",D168="GK"),H168*'Scoring System'!$B$6,IF(D168="MID",H168*'Scoring System'!$B$7,IF(D168="ATT",H168*'Scoring System'!$B$8,0))))+ IF(AND(OR(D168="GK",D168="DEF"),J168&gt;=3),1*'Scoring System'!$B$9,0)+ (I168*'Scoring System'!$B$10)+ (K168*'Scoring System'!$B$11)+ (M168*'Scoring System'!$B$12)+ (L168*'Scoring System'!$B$13)+ (O168*'Scoring System'!$B$14)+ (Q168*'Scoring System'!$B$15)+ (R168*'Scoring System'!$B$16)</f>
        <v>4</v>
      </c>
      <c r="AB168" s="72" t="b">
        <f>IFERROR(match(C168,'Match Day Fees'!$B$2:$B$999,0),0)=0</f>
        <v>0</v>
      </c>
      <c r="AC168" s="73">
        <f t="shared" si="1"/>
        <v>0</v>
      </c>
      <c r="AD168" s="3" t="str">
        <f>VLOOKUP(D168,'Position Lookup'!A:B,1,FALSE)</f>
        <v>MID</v>
      </c>
    </row>
    <row r="169" ht="17.25" customHeight="1">
      <c r="A169" s="32">
        <v>45157.0</v>
      </c>
      <c r="B169" s="1" t="s">
        <v>222</v>
      </c>
      <c r="C169" s="3" t="s">
        <v>227</v>
      </c>
      <c r="D169" s="3" t="s">
        <v>10</v>
      </c>
      <c r="E169" s="5">
        <v>3.0</v>
      </c>
      <c r="F169" s="74" t="s">
        <v>279</v>
      </c>
      <c r="G169" s="3" t="s">
        <v>224</v>
      </c>
      <c r="J169" s="5">
        <v>0.0</v>
      </c>
      <c r="N169" s="3" t="b">
        <v>1</v>
      </c>
      <c r="R169" s="3">
        <v>0.0</v>
      </c>
      <c r="T169" s="3">
        <v>10.0</v>
      </c>
      <c r="U169" s="2"/>
      <c r="V169" s="2"/>
      <c r="W169" s="70"/>
      <c r="X169" s="71"/>
      <c r="AA169" s="2">
        <f>2+ (P169*'Scoring System'!$B$3)+ (IF(OR(D169="DEF",D169="GK"),N169*'Scoring System'!$B$4,IF(D169="MID",N169*'Scoring System'!$B$5,0)))+ (IF(OR(D169="DEF",D169="GK"),H169*'Scoring System'!$B$6,IF(D169="MID",H169*'Scoring System'!$B$7,IF(D169="ATT",H169*'Scoring System'!$B$8,0))))+ IF(AND(OR(D169="GK",D169="DEF"),J169&gt;=3),1*'Scoring System'!$B$9,0)+ (I169*'Scoring System'!$B$10)+ (K169*'Scoring System'!$B$11)+ (M169*'Scoring System'!$B$12)+ (L169*'Scoring System'!$B$13)+ (O169*'Scoring System'!$B$14)+ (Q169*'Scoring System'!$B$15)+ (R169*'Scoring System'!$B$16)</f>
        <v>4</v>
      </c>
      <c r="AB169" s="72" t="b">
        <f>IFERROR(match(C169,'Match Day Fees'!$B$2:$B$999,0),0)=0</f>
        <v>0</v>
      </c>
      <c r="AC169" s="73">
        <f t="shared" si="1"/>
        <v>0</v>
      </c>
      <c r="AD169" s="3" t="str">
        <f>VLOOKUP(D169,'Position Lookup'!A:B,1,FALSE)</f>
        <v>MID</v>
      </c>
    </row>
    <row r="170" ht="17.25" customHeight="1">
      <c r="A170" s="32">
        <v>45157.0</v>
      </c>
      <c r="B170" s="1" t="s">
        <v>222</v>
      </c>
      <c r="C170" s="3" t="s">
        <v>280</v>
      </c>
      <c r="D170" s="3" t="s">
        <v>10</v>
      </c>
      <c r="E170" s="5">
        <v>3.0</v>
      </c>
      <c r="F170" s="74" t="s">
        <v>279</v>
      </c>
      <c r="G170" s="3" t="s">
        <v>224</v>
      </c>
      <c r="J170" s="5">
        <v>0.0</v>
      </c>
      <c r="N170" s="3" t="b">
        <v>1</v>
      </c>
      <c r="R170" s="3">
        <v>0.0</v>
      </c>
      <c r="T170" s="3">
        <v>10.0</v>
      </c>
      <c r="U170" s="2"/>
      <c r="V170" s="2"/>
      <c r="W170" s="70"/>
      <c r="X170" s="71"/>
      <c r="AA170" s="2">
        <f>2+ (P170*'Scoring System'!$B$3)+ (IF(OR(D170="DEF",D170="GK"),N170*'Scoring System'!$B$4,IF(D170="MID",N170*'Scoring System'!$B$5,0)))+ (IF(OR(D170="DEF",D170="GK"),H170*'Scoring System'!$B$6,IF(D170="MID",H170*'Scoring System'!$B$7,IF(D170="ATT",H170*'Scoring System'!$B$8,0))))+ IF(AND(OR(D170="GK",D170="DEF"),J170&gt;=3),1*'Scoring System'!$B$9,0)+ (I170*'Scoring System'!$B$10)+ (K170*'Scoring System'!$B$11)+ (M170*'Scoring System'!$B$12)+ (L170*'Scoring System'!$B$13)+ (O170*'Scoring System'!$B$14)+ (Q170*'Scoring System'!$B$15)+ (R170*'Scoring System'!$B$16)</f>
        <v>4</v>
      </c>
      <c r="AB170" s="72" t="b">
        <f>IFERROR(match(C170,'Match Day Fees'!$B$2:$B$999,0),0)=0</f>
        <v>0</v>
      </c>
      <c r="AC170" s="73">
        <f t="shared" si="1"/>
        <v>0</v>
      </c>
      <c r="AD170" s="3" t="str">
        <f>VLOOKUP(D170,'Position Lookup'!A:B,1,FALSE)</f>
        <v>MID</v>
      </c>
    </row>
    <row r="171" ht="17.25" customHeight="1">
      <c r="A171" s="32">
        <v>45157.0</v>
      </c>
      <c r="B171" s="1" t="s">
        <v>222</v>
      </c>
      <c r="C171" s="3" t="s">
        <v>258</v>
      </c>
      <c r="D171" s="3" t="s">
        <v>9</v>
      </c>
      <c r="E171" s="5">
        <v>3.0</v>
      </c>
      <c r="F171" s="74" t="s">
        <v>279</v>
      </c>
      <c r="G171" s="3" t="s">
        <v>224</v>
      </c>
      <c r="I171" s="3">
        <v>1.0</v>
      </c>
      <c r="J171" s="5">
        <v>0.0</v>
      </c>
      <c r="N171" s="3" t="b">
        <v>1</v>
      </c>
      <c r="O171" s="3">
        <v>1.0</v>
      </c>
      <c r="R171" s="3">
        <v>0.0</v>
      </c>
      <c r="S171" s="3" t="b">
        <v>1</v>
      </c>
      <c r="T171" s="5">
        <v>0.0</v>
      </c>
      <c r="U171" s="2"/>
      <c r="V171" s="2"/>
      <c r="W171" s="70"/>
      <c r="X171" s="71"/>
      <c r="AA171" s="2">
        <f>2+ (P171*'Scoring System'!$B$3)+ (IF(OR(D171="DEF",D171="GK"),N171*'Scoring System'!$B$4,IF(D171="MID",N171*'Scoring System'!$B$5,0)))+ (IF(OR(D171="DEF",D171="GK"),H171*'Scoring System'!$B$6,IF(D171="MID",H171*'Scoring System'!$B$7,IF(D171="ATT",H171*'Scoring System'!$B$8,0))))+ IF(AND(OR(D171="GK",D171="DEF"),J171&gt;=3),1*'Scoring System'!$B$9,0)+ (I171*'Scoring System'!$B$10)+ (K171*'Scoring System'!$B$11)+ (M171*'Scoring System'!$B$12)+ (L171*'Scoring System'!$B$13)+ (O171*'Scoring System'!$B$14)+ (Q171*'Scoring System'!$B$15)+ (R171*'Scoring System'!$B$16)</f>
        <v>3</v>
      </c>
      <c r="AB171" s="72" t="b">
        <f>IFERROR(match(C171,'Match Day Fees'!$B$2:$B$999,0),0)=0</f>
        <v>0</v>
      </c>
      <c r="AC171" s="73">
        <f t="shared" si="1"/>
        <v>0</v>
      </c>
      <c r="AD171" s="3" t="str">
        <f>VLOOKUP(D171,'Position Lookup'!A:B,1,FALSE)</f>
        <v>ATT</v>
      </c>
    </row>
    <row r="172" ht="17.25" customHeight="1">
      <c r="A172" s="32">
        <v>45157.0</v>
      </c>
      <c r="B172" s="1" t="s">
        <v>222</v>
      </c>
      <c r="C172" s="3" t="s">
        <v>105</v>
      </c>
      <c r="D172" s="3" t="s">
        <v>10</v>
      </c>
      <c r="E172" s="5">
        <v>3.0</v>
      </c>
      <c r="F172" s="74" t="s">
        <v>279</v>
      </c>
      <c r="G172" s="3" t="s">
        <v>224</v>
      </c>
      <c r="J172" s="5">
        <v>0.0</v>
      </c>
      <c r="N172" s="3" t="b">
        <v>1</v>
      </c>
      <c r="R172" s="3">
        <v>0.0</v>
      </c>
      <c r="T172" s="3">
        <v>5.0</v>
      </c>
      <c r="U172" s="2"/>
      <c r="V172" s="2"/>
      <c r="W172" s="70"/>
      <c r="X172" s="71"/>
      <c r="AA172" s="2">
        <f>2+ (P172*'Scoring System'!$B$3)+ (IF(OR(D172="DEF",D172="GK"),N172*'Scoring System'!$B$4,IF(D172="MID",N172*'Scoring System'!$B$5,0)))+ (IF(OR(D172="DEF",D172="GK"),H172*'Scoring System'!$B$6,IF(D172="MID",H172*'Scoring System'!$B$7,IF(D172="ATT",H172*'Scoring System'!$B$8,0))))+ IF(AND(OR(D172="GK",D172="DEF"),J172&gt;=3),1*'Scoring System'!$B$9,0)+ (I172*'Scoring System'!$B$10)+ (K172*'Scoring System'!$B$11)+ (M172*'Scoring System'!$B$12)+ (L172*'Scoring System'!$B$13)+ (O172*'Scoring System'!$B$14)+ (Q172*'Scoring System'!$B$15)+ (R172*'Scoring System'!$B$16)</f>
        <v>4</v>
      </c>
      <c r="AB172" s="72" t="b">
        <f>IFERROR(match(C172,'Match Day Fees'!$B$2:$B$999,0),0)=0</f>
        <v>0</v>
      </c>
      <c r="AC172" s="73">
        <f t="shared" si="1"/>
        <v>0</v>
      </c>
      <c r="AD172" s="3" t="str">
        <f>VLOOKUP(D172,'Position Lookup'!A:B,1,FALSE)</f>
        <v>MID</v>
      </c>
    </row>
    <row r="173" ht="17.25" customHeight="1">
      <c r="A173" s="32">
        <v>45157.0</v>
      </c>
      <c r="B173" s="1" t="s">
        <v>222</v>
      </c>
      <c r="C173" s="3" t="s">
        <v>130</v>
      </c>
      <c r="D173" s="3" t="s">
        <v>9</v>
      </c>
      <c r="E173" s="5">
        <v>3.0</v>
      </c>
      <c r="F173" s="74" t="s">
        <v>279</v>
      </c>
      <c r="G173" s="3" t="s">
        <v>224</v>
      </c>
      <c r="H173" s="3">
        <v>1.0</v>
      </c>
      <c r="J173" s="5">
        <v>0.0</v>
      </c>
      <c r="N173" s="3" t="b">
        <v>1</v>
      </c>
      <c r="R173" s="3">
        <v>0.0</v>
      </c>
      <c r="T173" s="3">
        <v>5.0</v>
      </c>
      <c r="U173" s="2"/>
      <c r="V173" s="2"/>
      <c r="W173" s="70"/>
      <c r="X173" s="71"/>
      <c r="AA173" s="2">
        <f>2+ (P173*'Scoring System'!$B$3)+ (IF(OR(D173="DEF",D173="GK"),N173*'Scoring System'!$B$4,IF(D173="MID",N173*'Scoring System'!$B$5,0)))+ (IF(OR(D173="DEF",D173="GK"),H173*'Scoring System'!$B$6,IF(D173="MID",H173*'Scoring System'!$B$7,IF(D173="ATT",H173*'Scoring System'!$B$8,0))))+ IF(AND(OR(D173="GK",D173="DEF"),J173&gt;=3),1*'Scoring System'!$B$9,0)+ (I173*'Scoring System'!$B$10)+ (K173*'Scoring System'!$B$11)+ (M173*'Scoring System'!$B$12)+ (L173*'Scoring System'!$B$13)+ (O173*'Scoring System'!$B$14)+ (Q173*'Scoring System'!$B$15)+ (R173*'Scoring System'!$B$16)</f>
        <v>6</v>
      </c>
      <c r="AB173" s="72" t="b">
        <f>IFERROR(match(C173,'Match Day Fees'!$B$2:$B$999,0),0)=0</f>
        <v>0</v>
      </c>
      <c r="AC173" s="73">
        <f t="shared" si="1"/>
        <v>0</v>
      </c>
      <c r="AD173" s="3" t="str">
        <f>VLOOKUP(D173,'Position Lookup'!A:B,1,FALSE)</f>
        <v>ATT</v>
      </c>
    </row>
    <row r="174" ht="17.25" customHeight="1">
      <c r="A174" s="32">
        <v>45157.0</v>
      </c>
      <c r="B174" s="1" t="s">
        <v>222</v>
      </c>
      <c r="C174" s="3" t="s">
        <v>259</v>
      </c>
      <c r="D174" s="3" t="s">
        <v>8</v>
      </c>
      <c r="E174" s="5">
        <v>5.0</v>
      </c>
      <c r="F174" s="3" t="s">
        <v>281</v>
      </c>
      <c r="G174" s="3" t="s">
        <v>230</v>
      </c>
      <c r="J174" s="5">
        <v>3.0</v>
      </c>
      <c r="N174" s="3" t="b">
        <v>0</v>
      </c>
      <c r="R174" s="3">
        <v>1.0</v>
      </c>
      <c r="T174" s="3">
        <v>10.0</v>
      </c>
      <c r="U174" s="2"/>
      <c r="V174" s="2"/>
      <c r="W174" s="70"/>
      <c r="X174" s="71"/>
      <c r="AA174" s="2">
        <f>2+ (P174*'Scoring System'!$B$3)+ (IF(OR(D174="DEF",D174="GK"),N174*'Scoring System'!$B$4,IF(D174="MID",N174*'Scoring System'!$B$5,0)))+ (IF(OR(D174="DEF",D174="GK"),H174*'Scoring System'!$B$6,IF(D174="MID",H174*'Scoring System'!$B$7,IF(D174="ATT",H174*'Scoring System'!$B$8,0))))+ IF(AND(OR(D174="GK",D174="DEF"),J174&gt;=3),1*'Scoring System'!$B$9,0)+ (I174*'Scoring System'!$B$10)+ (K174*'Scoring System'!$B$11)+ (M174*'Scoring System'!$B$12)+ (L174*'Scoring System'!$B$13)+ (O174*'Scoring System'!$B$14)+ (Q174*'Scoring System'!$B$15)+ (R174*'Scoring System'!$B$16)</f>
        <v>6</v>
      </c>
      <c r="AB174" s="72" t="b">
        <f>IFERROR(match(C174,'Match Day Fees'!$B$2:$B$999,0),0)=0</f>
        <v>0</v>
      </c>
      <c r="AC174" s="73">
        <f t="shared" si="1"/>
        <v>0</v>
      </c>
      <c r="AD174" s="3" t="str">
        <f>VLOOKUP(D174,'Position Lookup'!A:B,1,FALSE)</f>
        <v>GK</v>
      </c>
    </row>
    <row r="175" ht="17.25" customHeight="1">
      <c r="A175" s="32">
        <v>45157.0</v>
      </c>
      <c r="B175" s="1" t="s">
        <v>222</v>
      </c>
      <c r="C175" s="3" t="s">
        <v>248</v>
      </c>
      <c r="D175" s="3" t="s">
        <v>11</v>
      </c>
      <c r="E175" s="5">
        <v>5.0</v>
      </c>
      <c r="F175" s="3" t="s">
        <v>281</v>
      </c>
      <c r="G175" s="3" t="s">
        <v>230</v>
      </c>
      <c r="J175" s="5">
        <v>3.0</v>
      </c>
      <c r="N175" s="3" t="b">
        <v>0</v>
      </c>
      <c r="R175" s="3">
        <v>0.0</v>
      </c>
      <c r="T175" s="3">
        <v>5.0</v>
      </c>
      <c r="U175" s="2"/>
      <c r="V175" s="2"/>
      <c r="W175" s="70"/>
      <c r="X175" s="71"/>
      <c r="AA175" s="2">
        <f>2+ (P175*'Scoring System'!$B$3)+ (IF(OR(D175="DEF",D175="GK"),N175*'Scoring System'!$B$4,IF(D175="MID",N175*'Scoring System'!$B$5,0)))+ (IF(OR(D175="DEF",D175="GK"),H175*'Scoring System'!$B$6,IF(D175="MID",H175*'Scoring System'!$B$7,IF(D175="ATT",H175*'Scoring System'!$B$8,0))))+ IF(AND(OR(D175="GK",D175="DEF"),J175&gt;=3),1*'Scoring System'!$B$9,0)+ (I175*'Scoring System'!$B$10)+ (K175*'Scoring System'!$B$11)+ (M175*'Scoring System'!$B$12)+ (L175*'Scoring System'!$B$13)+ (O175*'Scoring System'!$B$14)+ (Q175*'Scoring System'!$B$15)+ (R175*'Scoring System'!$B$16)</f>
        <v>1</v>
      </c>
      <c r="AB175" s="72" t="b">
        <f>IFERROR(match(C175,'Match Day Fees'!$B$2:$B$999,0),0)=0</f>
        <v>0</v>
      </c>
      <c r="AC175" s="73">
        <f t="shared" si="1"/>
        <v>0</v>
      </c>
      <c r="AD175" s="3" t="str">
        <f>VLOOKUP(D175,'Position Lookup'!A:B,1,FALSE)</f>
        <v>DEF</v>
      </c>
    </row>
    <row r="176" ht="17.25" customHeight="1">
      <c r="A176" s="32">
        <v>45157.0</v>
      </c>
      <c r="B176" s="1" t="s">
        <v>222</v>
      </c>
      <c r="C176" s="3" t="s">
        <v>154</v>
      </c>
      <c r="D176" s="3" t="s">
        <v>11</v>
      </c>
      <c r="E176" s="5">
        <v>5.0</v>
      </c>
      <c r="F176" s="3" t="s">
        <v>281</v>
      </c>
      <c r="G176" s="3" t="s">
        <v>230</v>
      </c>
      <c r="J176" s="5">
        <v>3.0</v>
      </c>
      <c r="N176" s="3" t="b">
        <v>0</v>
      </c>
      <c r="R176" s="3">
        <v>0.0</v>
      </c>
      <c r="T176" s="3">
        <v>10.0</v>
      </c>
      <c r="U176" s="2"/>
      <c r="V176" s="2"/>
      <c r="W176" s="70"/>
      <c r="X176" s="71"/>
      <c r="AA176" s="2">
        <f>2+ (P176*'Scoring System'!$B$3)+ (IF(OR(D176="DEF",D176="GK"),N176*'Scoring System'!$B$4,IF(D176="MID",N176*'Scoring System'!$B$5,0)))+ (IF(OR(D176="DEF",D176="GK"),H176*'Scoring System'!$B$6,IF(D176="MID",H176*'Scoring System'!$B$7,IF(D176="ATT",H176*'Scoring System'!$B$8,0))))+ IF(AND(OR(D176="GK",D176="DEF"),J176&gt;=3),1*'Scoring System'!$B$9,0)+ (I176*'Scoring System'!$B$10)+ (K176*'Scoring System'!$B$11)+ (M176*'Scoring System'!$B$12)+ (L176*'Scoring System'!$B$13)+ (O176*'Scoring System'!$B$14)+ (Q176*'Scoring System'!$B$15)+ (R176*'Scoring System'!$B$16)</f>
        <v>1</v>
      </c>
      <c r="AB176" s="72" t="b">
        <f>IFERROR(match(C176,'Match Day Fees'!$B$2:$B$999,0),0)=0</f>
        <v>0</v>
      </c>
      <c r="AC176" s="73">
        <f t="shared" si="1"/>
        <v>0</v>
      </c>
      <c r="AD176" s="3" t="str">
        <f>VLOOKUP(D176,'Position Lookup'!A:B,1,FALSE)</f>
        <v>DEF</v>
      </c>
    </row>
    <row r="177" ht="17.25" customHeight="1">
      <c r="A177" s="32">
        <v>45157.0</v>
      </c>
      <c r="B177" s="1" t="s">
        <v>222</v>
      </c>
      <c r="C177" s="3" t="s">
        <v>44</v>
      </c>
      <c r="D177" s="3" t="s">
        <v>11</v>
      </c>
      <c r="E177" s="5">
        <v>5.0</v>
      </c>
      <c r="F177" s="3" t="s">
        <v>281</v>
      </c>
      <c r="G177" s="3" t="s">
        <v>230</v>
      </c>
      <c r="J177" s="5">
        <v>3.0</v>
      </c>
      <c r="N177" s="3" t="b">
        <v>0</v>
      </c>
      <c r="R177" s="3">
        <v>0.0</v>
      </c>
      <c r="T177" s="3">
        <v>5.0</v>
      </c>
      <c r="U177" s="2"/>
      <c r="V177" s="2"/>
      <c r="W177" s="70"/>
      <c r="X177" s="71"/>
      <c r="AA177" s="2">
        <f>2+ (P177*'Scoring System'!$B$3)+ (IF(OR(D177="DEF",D177="GK"),N177*'Scoring System'!$B$4,IF(D177="MID",N177*'Scoring System'!$B$5,0)))+ (IF(OR(D177="DEF",D177="GK"),H177*'Scoring System'!$B$6,IF(D177="MID",H177*'Scoring System'!$B$7,IF(D177="ATT",H177*'Scoring System'!$B$8,0))))+ IF(AND(OR(D177="GK",D177="DEF"),J177&gt;=3),1*'Scoring System'!$B$9,0)+ (I177*'Scoring System'!$B$10)+ (K177*'Scoring System'!$B$11)+ (M177*'Scoring System'!$B$12)+ (L177*'Scoring System'!$B$13)+ (O177*'Scoring System'!$B$14)+ (Q177*'Scoring System'!$B$15)+ (R177*'Scoring System'!$B$16)</f>
        <v>1</v>
      </c>
      <c r="AB177" s="72" t="b">
        <f>IFERROR(match(C177,'Match Day Fees'!$B$2:$B$999,0),0)=0</f>
        <v>0</v>
      </c>
      <c r="AC177" s="73">
        <f t="shared" si="1"/>
        <v>0</v>
      </c>
      <c r="AD177" s="3" t="str">
        <f>VLOOKUP(D177,'Position Lookup'!A:B,1,FALSE)</f>
        <v>DEF</v>
      </c>
    </row>
    <row r="178" ht="17.25" customHeight="1">
      <c r="A178" s="32">
        <v>45157.0</v>
      </c>
      <c r="B178" s="1" t="s">
        <v>222</v>
      </c>
      <c r="C178" s="3" t="s">
        <v>226</v>
      </c>
      <c r="D178" s="3" t="s">
        <v>11</v>
      </c>
      <c r="E178" s="5">
        <v>5.0</v>
      </c>
      <c r="F178" s="3" t="s">
        <v>281</v>
      </c>
      <c r="G178" s="3" t="s">
        <v>230</v>
      </c>
      <c r="J178" s="5">
        <v>3.0</v>
      </c>
      <c r="N178" s="3" t="b">
        <v>0</v>
      </c>
      <c r="R178" s="3">
        <v>0.0</v>
      </c>
      <c r="T178" s="3">
        <v>10.0</v>
      </c>
      <c r="U178" s="2"/>
      <c r="V178" s="2"/>
      <c r="W178" s="70"/>
      <c r="X178" s="71"/>
      <c r="AA178" s="2">
        <f>2+ (P178*'Scoring System'!$B$3)+ (IF(OR(D178="DEF",D178="GK"),N178*'Scoring System'!$B$4,IF(D178="MID",N178*'Scoring System'!$B$5,0)))+ (IF(OR(D178="DEF",D178="GK"),H178*'Scoring System'!$B$6,IF(D178="MID",H178*'Scoring System'!$B$7,IF(D178="ATT",H178*'Scoring System'!$B$8,0))))+ IF(AND(OR(D178="GK",D178="DEF"),J178&gt;=3),1*'Scoring System'!$B$9,0)+ (I178*'Scoring System'!$B$10)+ (K178*'Scoring System'!$B$11)+ (M178*'Scoring System'!$B$12)+ (L178*'Scoring System'!$B$13)+ (O178*'Scoring System'!$B$14)+ (Q178*'Scoring System'!$B$15)+ (R178*'Scoring System'!$B$16)</f>
        <v>1</v>
      </c>
      <c r="AB178" s="72" t="b">
        <f>IFERROR(match(C178,'Match Day Fees'!$B$2:$B$999,0),0)=0</f>
        <v>0</v>
      </c>
      <c r="AC178" s="73">
        <f t="shared" si="1"/>
        <v>0</v>
      </c>
      <c r="AD178" s="3" t="str">
        <f>VLOOKUP(D178,'Position Lookup'!A:B,1,FALSE)</f>
        <v>DEF</v>
      </c>
    </row>
    <row r="179" ht="17.25" customHeight="1">
      <c r="A179" s="32">
        <v>45157.0</v>
      </c>
      <c r="B179" s="1" t="s">
        <v>222</v>
      </c>
      <c r="C179" s="3" t="s">
        <v>282</v>
      </c>
      <c r="D179" s="3" t="s">
        <v>10</v>
      </c>
      <c r="E179" s="5">
        <v>5.0</v>
      </c>
      <c r="F179" s="3" t="s">
        <v>281</v>
      </c>
      <c r="G179" s="3" t="s">
        <v>230</v>
      </c>
      <c r="J179" s="5">
        <v>3.0</v>
      </c>
      <c r="N179" s="3" t="b">
        <v>0</v>
      </c>
      <c r="R179" s="3">
        <v>0.0</v>
      </c>
      <c r="T179" s="3">
        <v>10.0</v>
      </c>
      <c r="U179" s="2"/>
      <c r="V179" s="2"/>
      <c r="W179" s="70"/>
      <c r="X179" s="71"/>
      <c r="AA179" s="2">
        <f>2+ (P179*'Scoring System'!$B$3)+ (IF(OR(D179="DEF",D179="GK"),N179*'Scoring System'!$B$4,IF(D179="MID",N179*'Scoring System'!$B$5,0)))+ (IF(OR(D179="DEF",D179="GK"),H179*'Scoring System'!$B$6,IF(D179="MID",H179*'Scoring System'!$B$7,IF(D179="ATT",H179*'Scoring System'!$B$8,0))))+ IF(AND(OR(D179="GK",D179="DEF"),J179&gt;=3),1*'Scoring System'!$B$9,0)+ (I179*'Scoring System'!$B$10)+ (K179*'Scoring System'!$B$11)+ (M179*'Scoring System'!$B$12)+ (L179*'Scoring System'!$B$13)+ (O179*'Scoring System'!$B$14)+ (Q179*'Scoring System'!$B$15)+ (R179*'Scoring System'!$B$16)</f>
        <v>2</v>
      </c>
      <c r="AB179" s="72" t="b">
        <f>IFERROR(match(C179,'Match Day Fees'!$B$2:$B$999,0),0)=0</f>
        <v>0</v>
      </c>
      <c r="AC179" s="73">
        <f t="shared" si="1"/>
        <v>0</v>
      </c>
      <c r="AD179" s="3" t="str">
        <f>VLOOKUP(D179,'Position Lookup'!A:B,1,FALSE)</f>
        <v>MID</v>
      </c>
    </row>
    <row r="180" ht="17.25" customHeight="1">
      <c r="A180" s="32">
        <v>45157.0</v>
      </c>
      <c r="B180" s="1" t="s">
        <v>222</v>
      </c>
      <c r="C180" s="3" t="s">
        <v>103</v>
      </c>
      <c r="D180" s="3" t="s">
        <v>10</v>
      </c>
      <c r="E180" s="5">
        <v>5.0</v>
      </c>
      <c r="F180" s="3" t="s">
        <v>281</v>
      </c>
      <c r="G180" s="3" t="s">
        <v>230</v>
      </c>
      <c r="J180" s="5">
        <v>3.0</v>
      </c>
      <c r="N180" s="3" t="b">
        <v>0</v>
      </c>
      <c r="R180" s="3">
        <v>0.0</v>
      </c>
      <c r="T180" s="3">
        <v>10.0</v>
      </c>
      <c r="U180" s="2"/>
      <c r="V180" s="2"/>
      <c r="W180" s="70"/>
      <c r="X180" s="71"/>
      <c r="AA180" s="2">
        <f>2+ (P180*'Scoring System'!$B$3)+ (IF(OR(D180="DEF",D180="GK"),N180*'Scoring System'!$B$4,IF(D180="MID",N180*'Scoring System'!$B$5,0)))+ (IF(OR(D180="DEF",D180="GK"),H180*'Scoring System'!$B$6,IF(D180="MID",H180*'Scoring System'!$B$7,IF(D180="ATT",H180*'Scoring System'!$B$8,0))))+ IF(AND(OR(D180="GK",D180="DEF"),J180&gt;=3),1*'Scoring System'!$B$9,0)+ (I180*'Scoring System'!$B$10)+ (K180*'Scoring System'!$B$11)+ (M180*'Scoring System'!$B$12)+ (L180*'Scoring System'!$B$13)+ (O180*'Scoring System'!$B$14)+ (Q180*'Scoring System'!$B$15)+ (R180*'Scoring System'!$B$16)</f>
        <v>2</v>
      </c>
      <c r="AB180" s="72" t="b">
        <f>IFERROR(match(C180,'Match Day Fees'!$B$2:$B$999,0),0)=0</f>
        <v>0</v>
      </c>
      <c r="AC180" s="73">
        <f t="shared" si="1"/>
        <v>0</v>
      </c>
      <c r="AD180" s="3" t="str">
        <f>VLOOKUP(D180,'Position Lookup'!A:B,1,FALSE)</f>
        <v>MID</v>
      </c>
    </row>
    <row r="181" ht="17.25" customHeight="1">
      <c r="A181" s="32">
        <v>45157.0</v>
      </c>
      <c r="B181" s="1" t="s">
        <v>222</v>
      </c>
      <c r="C181" s="3" t="s">
        <v>283</v>
      </c>
      <c r="D181" s="3" t="s">
        <v>10</v>
      </c>
      <c r="E181" s="5">
        <v>5.0</v>
      </c>
      <c r="F181" s="3" t="s">
        <v>281</v>
      </c>
      <c r="G181" s="3" t="s">
        <v>230</v>
      </c>
      <c r="J181" s="5">
        <v>3.0</v>
      </c>
      <c r="N181" s="3" t="b">
        <v>0</v>
      </c>
      <c r="R181" s="3">
        <v>0.0</v>
      </c>
      <c r="T181" s="3">
        <v>10.0</v>
      </c>
      <c r="U181" s="2"/>
      <c r="V181" s="2"/>
      <c r="W181" s="70"/>
      <c r="X181" s="71"/>
      <c r="AA181" s="2">
        <f>2+ (P181*'Scoring System'!$B$3)+ (IF(OR(D181="DEF",D181="GK"),N181*'Scoring System'!$B$4,IF(D181="MID",N181*'Scoring System'!$B$5,0)))+ (IF(OR(D181="DEF",D181="GK"),H181*'Scoring System'!$B$6,IF(D181="MID",H181*'Scoring System'!$B$7,IF(D181="ATT",H181*'Scoring System'!$B$8,0))))+ IF(AND(OR(D181="GK",D181="DEF"),J181&gt;=3),1*'Scoring System'!$B$9,0)+ (I181*'Scoring System'!$B$10)+ (K181*'Scoring System'!$B$11)+ (M181*'Scoring System'!$B$12)+ (L181*'Scoring System'!$B$13)+ (O181*'Scoring System'!$B$14)+ (Q181*'Scoring System'!$B$15)+ (R181*'Scoring System'!$B$16)</f>
        <v>2</v>
      </c>
      <c r="AB181" s="72" t="b">
        <f>IFERROR(match(C181,'Match Day Fees'!$B$2:$B$999,0),0)=0</f>
        <v>0</v>
      </c>
      <c r="AC181" s="73">
        <f t="shared" si="1"/>
        <v>0</v>
      </c>
      <c r="AD181" s="3" t="str">
        <f>VLOOKUP(D181,'Position Lookup'!A:B,1,FALSE)</f>
        <v>MID</v>
      </c>
    </row>
    <row r="182" ht="17.25" customHeight="1">
      <c r="A182" s="32">
        <v>45157.0</v>
      </c>
      <c r="B182" s="1" t="s">
        <v>222</v>
      </c>
      <c r="C182" s="3" t="s">
        <v>263</v>
      </c>
      <c r="D182" s="3" t="s">
        <v>10</v>
      </c>
      <c r="E182" s="5">
        <v>5.0</v>
      </c>
      <c r="F182" s="3" t="s">
        <v>281</v>
      </c>
      <c r="G182" s="3" t="s">
        <v>230</v>
      </c>
      <c r="J182" s="5">
        <v>3.0</v>
      </c>
      <c r="N182" s="3" t="b">
        <v>0</v>
      </c>
      <c r="R182" s="3">
        <v>0.0</v>
      </c>
      <c r="T182" s="3">
        <v>10.0</v>
      </c>
      <c r="U182" s="2"/>
      <c r="V182" s="2"/>
      <c r="W182" s="70"/>
      <c r="X182" s="71"/>
      <c r="AA182" s="2">
        <f>2+ (P182*'Scoring System'!$B$3)+ (IF(OR(D182="DEF",D182="GK"),N182*'Scoring System'!$B$4,IF(D182="MID",N182*'Scoring System'!$B$5,0)))+ (IF(OR(D182="DEF",D182="GK"),H182*'Scoring System'!$B$6,IF(D182="MID",H182*'Scoring System'!$B$7,IF(D182="ATT",H182*'Scoring System'!$B$8,0))))+ IF(AND(OR(D182="GK",D182="DEF"),J182&gt;=3),1*'Scoring System'!$B$9,0)+ (I182*'Scoring System'!$B$10)+ (K182*'Scoring System'!$B$11)+ (M182*'Scoring System'!$B$12)+ (L182*'Scoring System'!$B$13)+ (O182*'Scoring System'!$B$14)+ (Q182*'Scoring System'!$B$15)+ (R182*'Scoring System'!$B$16)</f>
        <v>2</v>
      </c>
      <c r="AB182" s="72" t="b">
        <f>IFERROR(match(C182,'Match Day Fees'!$B$2:$B$999,0),0)=0</f>
        <v>0</v>
      </c>
      <c r="AC182" s="73">
        <f t="shared" si="1"/>
        <v>0</v>
      </c>
      <c r="AD182" s="3" t="str">
        <f>VLOOKUP(D182,'Position Lookup'!A:B,1,FALSE)</f>
        <v>MID</v>
      </c>
    </row>
    <row r="183" ht="17.25" customHeight="1">
      <c r="A183" s="32">
        <v>45157.0</v>
      </c>
      <c r="B183" s="1" t="s">
        <v>222</v>
      </c>
      <c r="C183" s="3" t="s">
        <v>284</v>
      </c>
      <c r="D183" s="3" t="s">
        <v>10</v>
      </c>
      <c r="E183" s="5">
        <v>5.0</v>
      </c>
      <c r="F183" s="3" t="s">
        <v>281</v>
      </c>
      <c r="G183" s="3" t="s">
        <v>230</v>
      </c>
      <c r="J183" s="5">
        <v>3.0</v>
      </c>
      <c r="N183" s="3" t="b">
        <v>0</v>
      </c>
      <c r="R183" s="3">
        <v>0.0</v>
      </c>
      <c r="T183" s="3">
        <v>10.0</v>
      </c>
      <c r="U183" s="2"/>
      <c r="V183" s="2"/>
      <c r="W183" s="70"/>
      <c r="X183" s="71"/>
      <c r="AA183" s="2">
        <f>2+ (P183*'Scoring System'!$B$3)+ (IF(OR(D183="DEF",D183="GK"),N183*'Scoring System'!$B$4,IF(D183="MID",N183*'Scoring System'!$B$5,0)))+ (IF(OR(D183="DEF",D183="GK"),H183*'Scoring System'!$B$6,IF(D183="MID",H183*'Scoring System'!$B$7,IF(D183="ATT",H183*'Scoring System'!$B$8,0))))+ IF(AND(OR(D183="GK",D183="DEF"),J183&gt;=3),1*'Scoring System'!$B$9,0)+ (I183*'Scoring System'!$B$10)+ (K183*'Scoring System'!$B$11)+ (M183*'Scoring System'!$B$12)+ (L183*'Scoring System'!$B$13)+ (O183*'Scoring System'!$B$14)+ (Q183*'Scoring System'!$B$15)+ (R183*'Scoring System'!$B$16)</f>
        <v>2</v>
      </c>
      <c r="AB183" s="72" t="b">
        <f>IFERROR(match(C183,'Match Day Fees'!$B$2:$B$999,0),0)=0</f>
        <v>0</v>
      </c>
      <c r="AC183" s="73">
        <f t="shared" si="1"/>
        <v>0</v>
      </c>
      <c r="AD183" s="3" t="str">
        <f>VLOOKUP(D183,'Position Lookup'!A:B,1,FALSE)</f>
        <v>MID</v>
      </c>
    </row>
    <row r="184" ht="17.25" customHeight="1">
      <c r="A184" s="32">
        <v>45157.0</v>
      </c>
      <c r="B184" s="1" t="s">
        <v>222</v>
      </c>
      <c r="C184" s="3" t="s">
        <v>58</v>
      </c>
      <c r="D184" s="3" t="s">
        <v>9</v>
      </c>
      <c r="E184" s="5">
        <v>6.0</v>
      </c>
      <c r="F184" s="3" t="s">
        <v>281</v>
      </c>
      <c r="G184" s="3" t="s">
        <v>230</v>
      </c>
      <c r="J184" s="5">
        <v>3.0</v>
      </c>
      <c r="N184" s="3" t="b">
        <v>0</v>
      </c>
      <c r="R184" s="3">
        <v>0.0</v>
      </c>
      <c r="T184" s="3">
        <v>10.0</v>
      </c>
      <c r="U184" s="2"/>
      <c r="V184" s="2"/>
      <c r="W184" s="70"/>
      <c r="X184" s="71"/>
      <c r="AA184" s="2">
        <f>2+ (P184*'Scoring System'!$B$3)+ (IF(OR(D184="DEF",D184="GK"),N184*'Scoring System'!$B$4,IF(D184="MID",N184*'Scoring System'!$B$5,0)))+ (IF(OR(D184="DEF",D184="GK"),H184*'Scoring System'!$B$6,IF(D184="MID",H184*'Scoring System'!$B$7,IF(D184="ATT",H184*'Scoring System'!$B$8,0))))+ IF(AND(OR(D184="GK",D184="DEF"),J184&gt;=3),1*'Scoring System'!$B$9,0)+ (I184*'Scoring System'!$B$10)+ (K184*'Scoring System'!$B$11)+ (M184*'Scoring System'!$B$12)+ (L184*'Scoring System'!$B$13)+ (O184*'Scoring System'!$B$14)+ (Q184*'Scoring System'!$B$15)+ (R184*'Scoring System'!$B$16)</f>
        <v>2</v>
      </c>
      <c r="AB184" s="72" t="b">
        <f>IFERROR(match(C184,'Match Day Fees'!$B$2:$B$999,0),0)=0</f>
        <v>0</v>
      </c>
      <c r="AC184" s="73">
        <f t="shared" si="1"/>
        <v>0</v>
      </c>
      <c r="AD184" s="3" t="str">
        <f>VLOOKUP(D184,'Position Lookup'!A:B,1,FALSE)</f>
        <v>ATT</v>
      </c>
    </row>
    <row r="185" ht="17.25" customHeight="1">
      <c r="A185" s="32">
        <v>45157.0</v>
      </c>
      <c r="B185" s="1" t="s">
        <v>222</v>
      </c>
      <c r="C185" s="3" t="s">
        <v>95</v>
      </c>
      <c r="E185" s="5">
        <v>6.0</v>
      </c>
      <c r="F185" s="3" t="s">
        <v>281</v>
      </c>
      <c r="G185" s="3" t="s">
        <v>230</v>
      </c>
      <c r="J185" s="5">
        <v>3.0</v>
      </c>
      <c r="N185" s="3" t="b">
        <v>0</v>
      </c>
      <c r="R185" s="3">
        <v>0.0</v>
      </c>
      <c r="T185" s="3">
        <v>10.0</v>
      </c>
      <c r="U185" s="2"/>
      <c r="V185" s="2"/>
      <c r="W185" s="70"/>
      <c r="X185" s="71"/>
      <c r="AA185" s="2">
        <f>2+ (P185*'Scoring System'!$B$3)+ (IF(OR(D185="DEF",D185="GK"),N185*'Scoring System'!$B$4,IF(D185="MID",N185*'Scoring System'!$B$5,0)))+ (IF(OR(D185="DEF",D185="GK"),H185*'Scoring System'!$B$6,IF(D185="MID",H185*'Scoring System'!$B$7,IF(D185="ATT",H185*'Scoring System'!$B$8,0))))+ IF(AND(OR(D185="GK",D185="DEF"),J185&gt;=3),1*'Scoring System'!$B$9,0)+ (I185*'Scoring System'!$B$10)+ (K185*'Scoring System'!$B$11)+ (M185*'Scoring System'!$B$12)+ (L185*'Scoring System'!$B$13)+ (O185*'Scoring System'!$B$14)+ (Q185*'Scoring System'!$B$15)+ (R185*'Scoring System'!$B$16)</f>
        <v>2</v>
      </c>
      <c r="AB185" s="72" t="b">
        <f>IFERROR(match(C185,'Match Day Fees'!$B$2:$B$999,0),0)=0</f>
        <v>0</v>
      </c>
      <c r="AC185" s="73">
        <f t="shared" si="1"/>
        <v>0</v>
      </c>
      <c r="AD185" s="3" t="str">
        <f>VLOOKUP(D185,'Position Lookup'!A:B,1,FALSE)</f>
        <v>#N/A</v>
      </c>
    </row>
    <row r="186" ht="17.25" customHeight="1">
      <c r="A186" s="32">
        <v>45157.0</v>
      </c>
      <c r="B186" s="1" t="s">
        <v>222</v>
      </c>
      <c r="C186" s="3" t="s">
        <v>285</v>
      </c>
      <c r="E186" s="5">
        <v>5.0</v>
      </c>
      <c r="F186" s="3" t="s">
        <v>281</v>
      </c>
      <c r="G186" s="3" t="s">
        <v>230</v>
      </c>
      <c r="J186" s="5">
        <v>3.0</v>
      </c>
      <c r="N186" s="3" t="b">
        <v>0</v>
      </c>
      <c r="R186" s="3">
        <v>0.0</v>
      </c>
      <c r="T186" s="3">
        <v>10.0</v>
      </c>
      <c r="U186" s="2"/>
      <c r="V186" s="2"/>
      <c r="W186" s="70"/>
      <c r="X186" s="71"/>
      <c r="AA186" s="2">
        <f>2+ (P186*'Scoring System'!$B$3)+ (IF(OR(D186="DEF",D186="GK"),N186*'Scoring System'!$B$4,IF(D186="MID",N186*'Scoring System'!$B$5,0)))+ (IF(OR(D186="DEF",D186="GK"),H186*'Scoring System'!$B$6,IF(D186="MID",H186*'Scoring System'!$B$7,IF(D186="ATT",H186*'Scoring System'!$B$8,0))))+ IF(AND(OR(D186="GK",D186="DEF"),J186&gt;=3),1*'Scoring System'!$B$9,0)+ (I186*'Scoring System'!$B$10)+ (K186*'Scoring System'!$B$11)+ (M186*'Scoring System'!$B$12)+ (L186*'Scoring System'!$B$13)+ (O186*'Scoring System'!$B$14)+ (Q186*'Scoring System'!$B$15)+ (R186*'Scoring System'!$B$16)</f>
        <v>2</v>
      </c>
      <c r="AB186" s="72" t="b">
        <f>IFERROR(match(C186,'Match Day Fees'!$B$2:$B$999,0),0)=0</f>
        <v>0</v>
      </c>
      <c r="AC186" s="73">
        <f t="shared" si="1"/>
        <v>0</v>
      </c>
      <c r="AD186" s="3" t="str">
        <f>VLOOKUP(D186,'Position Lookup'!A:B,1,FALSE)</f>
        <v>#N/A</v>
      </c>
    </row>
    <row r="187" ht="17.25" customHeight="1">
      <c r="A187" s="32">
        <v>45157.0</v>
      </c>
      <c r="B187" s="1" t="s">
        <v>222</v>
      </c>
      <c r="C187" s="3" t="s">
        <v>228</v>
      </c>
      <c r="D187" s="3" t="s">
        <v>8</v>
      </c>
      <c r="E187" s="5">
        <v>6.0</v>
      </c>
      <c r="F187" s="3" t="s">
        <v>286</v>
      </c>
      <c r="G187" s="3" t="s">
        <v>224</v>
      </c>
      <c r="J187" s="5">
        <v>2.0</v>
      </c>
      <c r="N187" s="3" t="b">
        <v>0</v>
      </c>
      <c r="R187" s="3">
        <v>0.0</v>
      </c>
      <c r="T187" s="3">
        <v>10.0</v>
      </c>
      <c r="U187" s="2"/>
      <c r="V187" s="2"/>
      <c r="W187" s="70"/>
      <c r="X187" s="71"/>
      <c r="AA187" s="2">
        <f>2+ (P187*'Scoring System'!$B$3)+ (IF(OR(D187="DEF",D187="GK"),N187*'Scoring System'!$B$4,IF(D187="MID",N187*'Scoring System'!$B$5,0)))+ (IF(OR(D187="DEF",D187="GK"),H187*'Scoring System'!$B$6,IF(D187="MID",H187*'Scoring System'!$B$7,IF(D187="ATT",H187*'Scoring System'!$B$8,0))))+ IF(AND(OR(D187="GK",D187="DEF"),J187&gt;=3),1*'Scoring System'!$B$9,0)+ (I187*'Scoring System'!$B$10)+ (K187*'Scoring System'!$B$11)+ (M187*'Scoring System'!$B$12)+ (L187*'Scoring System'!$B$13)+ (O187*'Scoring System'!$B$14)+ (Q187*'Scoring System'!$B$15)+ (R187*'Scoring System'!$B$16)</f>
        <v>2</v>
      </c>
      <c r="AB187" s="72" t="b">
        <f>IFERROR(match(C187,'Match Day Fees'!$B$2:$B$999,0),0)=0</f>
        <v>0</v>
      </c>
      <c r="AC187" s="73">
        <f t="shared" si="1"/>
        <v>0</v>
      </c>
      <c r="AD187" s="3" t="str">
        <f>VLOOKUP(D187,'Position Lookup'!A:B,1,FALSE)</f>
        <v>GK</v>
      </c>
    </row>
    <row r="188" ht="17.25" customHeight="1">
      <c r="A188" s="32">
        <v>45157.0</v>
      </c>
      <c r="B188" s="1" t="s">
        <v>222</v>
      </c>
      <c r="C188" s="3" t="s">
        <v>98</v>
      </c>
      <c r="D188" s="3" t="s">
        <v>11</v>
      </c>
      <c r="E188" s="5">
        <v>6.0</v>
      </c>
      <c r="F188" s="3" t="s">
        <v>286</v>
      </c>
      <c r="G188" s="3" t="s">
        <v>224</v>
      </c>
      <c r="I188" s="3">
        <v>1.0</v>
      </c>
      <c r="J188" s="5">
        <v>2.0</v>
      </c>
      <c r="N188" s="3" t="b">
        <v>0</v>
      </c>
      <c r="R188" s="3">
        <v>0.0</v>
      </c>
      <c r="T188" s="3">
        <v>10.0</v>
      </c>
      <c r="U188" s="2"/>
      <c r="V188" s="2"/>
      <c r="W188" s="70"/>
      <c r="X188" s="71"/>
      <c r="AA188" s="2">
        <f>2+ (P188*'Scoring System'!$B$3)+ (IF(OR(D188="DEF",D188="GK"),N188*'Scoring System'!$B$4,IF(D188="MID",N188*'Scoring System'!$B$5,0)))+ (IF(OR(D188="DEF",D188="GK"),H188*'Scoring System'!$B$6,IF(D188="MID",H188*'Scoring System'!$B$7,IF(D188="ATT",H188*'Scoring System'!$B$8,0))))+ IF(AND(OR(D188="GK",D188="DEF"),J188&gt;=3),1*'Scoring System'!$B$9,0)+ (I188*'Scoring System'!$B$10)+ (K188*'Scoring System'!$B$11)+ (M188*'Scoring System'!$B$12)+ (L188*'Scoring System'!$B$13)+ (O188*'Scoring System'!$B$14)+ (Q188*'Scoring System'!$B$15)+ (R188*'Scoring System'!$B$16)</f>
        <v>5</v>
      </c>
      <c r="AB188" s="72" t="b">
        <f>IFERROR(match(C188,'Match Day Fees'!$B$2:$B$999,0),0)=0</f>
        <v>0</v>
      </c>
      <c r="AC188" s="73">
        <f t="shared" si="1"/>
        <v>0</v>
      </c>
      <c r="AD188" s="3" t="str">
        <f>VLOOKUP(D188,'Position Lookup'!A:B,1,FALSE)</f>
        <v>DEF</v>
      </c>
    </row>
    <row r="189" ht="17.25" customHeight="1">
      <c r="A189" s="32">
        <v>45157.0</v>
      </c>
      <c r="B189" s="1" t="s">
        <v>222</v>
      </c>
      <c r="C189" s="3" t="s">
        <v>99</v>
      </c>
      <c r="D189" s="3" t="s">
        <v>11</v>
      </c>
      <c r="E189" s="5">
        <v>6.0</v>
      </c>
      <c r="F189" s="3" t="s">
        <v>286</v>
      </c>
      <c r="G189" s="3" t="s">
        <v>224</v>
      </c>
      <c r="J189" s="5">
        <v>2.0</v>
      </c>
      <c r="N189" s="3" t="b">
        <v>0</v>
      </c>
      <c r="R189" s="3">
        <v>0.0</v>
      </c>
      <c r="S189" s="3" t="b">
        <v>1</v>
      </c>
      <c r="T189" s="5">
        <v>0.0</v>
      </c>
      <c r="U189" s="2"/>
      <c r="V189" s="2"/>
      <c r="W189" s="70"/>
      <c r="X189" s="71"/>
      <c r="AA189" s="2">
        <f>2+ (P189*'Scoring System'!$B$3)+ (IF(OR(D189="DEF",D189="GK"),N189*'Scoring System'!$B$4,IF(D189="MID",N189*'Scoring System'!$B$5,0)))+ (IF(OR(D189="DEF",D189="GK"),H189*'Scoring System'!$B$6,IF(D189="MID",H189*'Scoring System'!$B$7,IF(D189="ATT",H189*'Scoring System'!$B$8,0))))+ IF(AND(OR(D189="GK",D189="DEF"),J189&gt;=3),1*'Scoring System'!$B$9,0)+ (I189*'Scoring System'!$B$10)+ (K189*'Scoring System'!$B$11)+ (M189*'Scoring System'!$B$12)+ (L189*'Scoring System'!$B$13)+ (O189*'Scoring System'!$B$14)+ (Q189*'Scoring System'!$B$15)+ (R189*'Scoring System'!$B$16)</f>
        <v>2</v>
      </c>
      <c r="AB189" s="72" t="b">
        <f>IFERROR(match(C189,'Match Day Fees'!$B$2:$B$999,0),0)=0</f>
        <v>0</v>
      </c>
      <c r="AC189" s="73">
        <f t="shared" si="1"/>
        <v>0</v>
      </c>
      <c r="AD189" s="3" t="str">
        <f>VLOOKUP(D189,'Position Lookup'!A:B,1,FALSE)</f>
        <v>DEF</v>
      </c>
    </row>
    <row r="190" ht="17.25" customHeight="1">
      <c r="A190" s="32">
        <v>45157.0</v>
      </c>
      <c r="B190" s="1" t="s">
        <v>222</v>
      </c>
      <c r="C190" s="3" t="s">
        <v>251</v>
      </c>
      <c r="D190" s="3" t="s">
        <v>11</v>
      </c>
      <c r="E190" s="5">
        <v>6.0</v>
      </c>
      <c r="F190" s="3" t="s">
        <v>286</v>
      </c>
      <c r="G190" s="3" t="s">
        <v>224</v>
      </c>
      <c r="H190" s="3">
        <v>1.0</v>
      </c>
      <c r="J190" s="5">
        <v>2.0</v>
      </c>
      <c r="N190" s="3" t="b">
        <v>0</v>
      </c>
      <c r="R190" s="3">
        <v>0.0</v>
      </c>
      <c r="T190" s="5">
        <v>0.0</v>
      </c>
      <c r="U190" s="2"/>
      <c r="V190" s="2"/>
      <c r="W190" s="70"/>
      <c r="X190" s="71"/>
      <c r="AA190" s="2">
        <f>2+ (P190*'Scoring System'!$B$3)+ (IF(OR(D190="DEF",D190="GK"),N190*'Scoring System'!$B$4,IF(D190="MID",N190*'Scoring System'!$B$5,0)))+ (IF(OR(D190="DEF",D190="GK"),H190*'Scoring System'!$B$6,IF(D190="MID",H190*'Scoring System'!$B$7,IF(D190="ATT",H190*'Scoring System'!$B$8,0))))+ IF(AND(OR(D190="GK",D190="DEF"),J190&gt;=3),1*'Scoring System'!$B$9,0)+ (I190*'Scoring System'!$B$10)+ (K190*'Scoring System'!$B$11)+ (M190*'Scoring System'!$B$12)+ (L190*'Scoring System'!$B$13)+ (O190*'Scoring System'!$B$14)+ (Q190*'Scoring System'!$B$15)+ (R190*'Scoring System'!$B$16)</f>
        <v>8</v>
      </c>
      <c r="AB190" s="72" t="b">
        <f>IFERROR(match(C190,'Match Day Fees'!$B$2:$B$999,0),0)=0</f>
        <v>0</v>
      </c>
      <c r="AC190" s="73">
        <f t="shared" si="1"/>
        <v>0</v>
      </c>
      <c r="AD190" s="3" t="str">
        <f>VLOOKUP(D190,'Position Lookup'!A:B,1,FALSE)</f>
        <v>DEF</v>
      </c>
    </row>
    <row r="191" ht="17.25" customHeight="1">
      <c r="A191" s="32">
        <v>45157.0</v>
      </c>
      <c r="B191" s="1" t="s">
        <v>222</v>
      </c>
      <c r="C191" s="3" t="s">
        <v>287</v>
      </c>
      <c r="D191" s="3" t="s">
        <v>11</v>
      </c>
      <c r="E191" s="5">
        <v>6.0</v>
      </c>
      <c r="F191" s="3" t="s">
        <v>286</v>
      </c>
      <c r="G191" s="3" t="s">
        <v>224</v>
      </c>
      <c r="J191" s="5">
        <v>2.0</v>
      </c>
      <c r="N191" s="3" t="b">
        <v>0</v>
      </c>
      <c r="R191" s="3">
        <v>0.0</v>
      </c>
      <c r="T191" s="3">
        <v>10.0</v>
      </c>
      <c r="U191" s="2"/>
      <c r="V191" s="2"/>
      <c r="W191" s="70"/>
      <c r="X191" s="71"/>
      <c r="AA191" s="2">
        <f>2+ (P191*'Scoring System'!$B$3)+ (IF(OR(D191="DEF",D191="GK"),N191*'Scoring System'!$B$4,IF(D191="MID",N191*'Scoring System'!$B$5,0)))+ (IF(OR(D191="DEF",D191="GK"),H191*'Scoring System'!$B$6,IF(D191="MID",H191*'Scoring System'!$B$7,IF(D191="ATT",H191*'Scoring System'!$B$8,0))))+ IF(AND(OR(D191="GK",D191="DEF"),J191&gt;=3),1*'Scoring System'!$B$9,0)+ (I191*'Scoring System'!$B$10)+ (K191*'Scoring System'!$B$11)+ (M191*'Scoring System'!$B$12)+ (L191*'Scoring System'!$B$13)+ (O191*'Scoring System'!$B$14)+ (Q191*'Scoring System'!$B$15)+ (R191*'Scoring System'!$B$16)</f>
        <v>2</v>
      </c>
      <c r="AB191" s="72" t="b">
        <f>IFERROR(match(C191,'Match Day Fees'!$B$2:$B$999,0),0)=0</f>
        <v>0</v>
      </c>
      <c r="AC191" s="73">
        <f t="shared" si="1"/>
        <v>0</v>
      </c>
      <c r="AD191" s="3" t="str">
        <f>VLOOKUP(D191,'Position Lookup'!A:B,1,FALSE)</f>
        <v>DEF</v>
      </c>
    </row>
    <row r="192" ht="17.25" customHeight="1">
      <c r="A192" s="32">
        <v>45157.0</v>
      </c>
      <c r="B192" s="1" t="s">
        <v>222</v>
      </c>
      <c r="C192" s="3" t="s">
        <v>108</v>
      </c>
      <c r="D192" s="3" t="s">
        <v>10</v>
      </c>
      <c r="E192" s="5">
        <v>6.0</v>
      </c>
      <c r="F192" s="3" t="s">
        <v>286</v>
      </c>
      <c r="G192" s="3" t="s">
        <v>224</v>
      </c>
      <c r="I192" s="3">
        <v>1.0</v>
      </c>
      <c r="J192" s="5">
        <v>2.0</v>
      </c>
      <c r="N192" s="3" t="b">
        <v>0</v>
      </c>
      <c r="R192" s="3">
        <v>0.0</v>
      </c>
      <c r="T192" s="3">
        <v>10.0</v>
      </c>
      <c r="U192" s="2"/>
      <c r="V192" s="2"/>
      <c r="W192" s="70"/>
      <c r="X192" s="71"/>
      <c r="AA192" s="2">
        <f>2+ (P192*'Scoring System'!$B$3)+ (IF(OR(D192="DEF",D192="GK"),N192*'Scoring System'!$B$4,IF(D192="MID",N192*'Scoring System'!$B$5,0)))+ (IF(OR(D192="DEF",D192="GK"),H192*'Scoring System'!$B$6,IF(D192="MID",H192*'Scoring System'!$B$7,IF(D192="ATT",H192*'Scoring System'!$B$8,0))))+ IF(AND(OR(D192="GK",D192="DEF"),J192&gt;=3),1*'Scoring System'!$B$9,0)+ (I192*'Scoring System'!$B$10)+ (K192*'Scoring System'!$B$11)+ (M192*'Scoring System'!$B$12)+ (L192*'Scoring System'!$B$13)+ (O192*'Scoring System'!$B$14)+ (Q192*'Scoring System'!$B$15)+ (R192*'Scoring System'!$B$16)</f>
        <v>5</v>
      </c>
      <c r="AB192" s="72" t="b">
        <f>IFERROR(match(C192,'Match Day Fees'!$B$2:$B$999,0),0)=0</f>
        <v>0</v>
      </c>
      <c r="AC192" s="73">
        <f t="shared" si="1"/>
        <v>0</v>
      </c>
      <c r="AD192" s="3" t="str">
        <f>VLOOKUP(D192,'Position Lookup'!A:B,1,FALSE)</f>
        <v>MID</v>
      </c>
    </row>
    <row r="193" ht="17.25" customHeight="1">
      <c r="A193" s="32">
        <v>45157.0</v>
      </c>
      <c r="B193" s="1" t="s">
        <v>222</v>
      </c>
      <c r="C193" s="3" t="s">
        <v>233</v>
      </c>
      <c r="D193" s="3" t="s">
        <v>10</v>
      </c>
      <c r="E193" s="5">
        <v>6.0</v>
      </c>
      <c r="F193" s="3" t="s">
        <v>286</v>
      </c>
      <c r="G193" s="3" t="s">
        <v>224</v>
      </c>
      <c r="J193" s="5">
        <v>2.0</v>
      </c>
      <c r="N193" s="3" t="b">
        <v>0</v>
      </c>
      <c r="R193" s="3">
        <v>0.0</v>
      </c>
      <c r="T193" s="3">
        <v>5.0</v>
      </c>
      <c r="U193" s="2"/>
      <c r="V193" s="2"/>
      <c r="W193" s="70"/>
      <c r="X193" s="71"/>
      <c r="AA193" s="2">
        <f>2+ (P193*'Scoring System'!$B$3)+ (IF(OR(D193="DEF",D193="GK"),N193*'Scoring System'!$B$4,IF(D193="MID",N193*'Scoring System'!$B$5,0)))+ (IF(OR(D193="DEF",D193="GK"),H193*'Scoring System'!$B$6,IF(D193="MID",H193*'Scoring System'!$B$7,IF(D193="ATT",H193*'Scoring System'!$B$8,0))))+ IF(AND(OR(D193="GK",D193="DEF"),J193&gt;=3),1*'Scoring System'!$B$9,0)+ (I193*'Scoring System'!$B$10)+ (K193*'Scoring System'!$B$11)+ (M193*'Scoring System'!$B$12)+ (L193*'Scoring System'!$B$13)+ (O193*'Scoring System'!$B$14)+ (Q193*'Scoring System'!$B$15)+ (R193*'Scoring System'!$B$16)</f>
        <v>2</v>
      </c>
      <c r="AB193" s="72" t="b">
        <f>IFERROR(match(C193,'Match Day Fees'!$B$2:$B$999,0),0)=0</f>
        <v>0</v>
      </c>
      <c r="AC193" s="73">
        <f t="shared" si="1"/>
        <v>0</v>
      </c>
      <c r="AD193" s="3" t="str">
        <f>VLOOKUP(D193,'Position Lookup'!A:B,1,FALSE)</f>
        <v>MID</v>
      </c>
    </row>
    <row r="194" ht="17.25" customHeight="1">
      <c r="A194" s="32">
        <v>45157.0</v>
      </c>
      <c r="B194" s="1" t="s">
        <v>222</v>
      </c>
      <c r="C194" s="3" t="s">
        <v>231</v>
      </c>
      <c r="D194" s="3" t="s">
        <v>10</v>
      </c>
      <c r="E194" s="5">
        <v>6.0</v>
      </c>
      <c r="F194" s="3" t="s">
        <v>286</v>
      </c>
      <c r="G194" s="3" t="s">
        <v>224</v>
      </c>
      <c r="J194" s="5">
        <v>2.0</v>
      </c>
      <c r="N194" s="3" t="b">
        <v>0</v>
      </c>
      <c r="R194" s="3">
        <v>0.0</v>
      </c>
      <c r="T194" s="3">
        <v>10.0</v>
      </c>
      <c r="U194" s="2"/>
      <c r="V194" s="2"/>
      <c r="W194" s="70"/>
      <c r="X194" s="71"/>
      <c r="AA194" s="2">
        <f>2+ (P194*'Scoring System'!$B$3)+ (IF(OR(D194="DEF",D194="GK"),N194*'Scoring System'!$B$4,IF(D194="MID",N194*'Scoring System'!$B$5,0)))+ (IF(OR(D194="DEF",D194="GK"),H194*'Scoring System'!$B$6,IF(D194="MID",H194*'Scoring System'!$B$7,IF(D194="ATT",H194*'Scoring System'!$B$8,0))))+ IF(AND(OR(D194="GK",D194="DEF"),J194&gt;=3),1*'Scoring System'!$B$9,0)+ (I194*'Scoring System'!$B$10)+ (K194*'Scoring System'!$B$11)+ (M194*'Scoring System'!$B$12)+ (L194*'Scoring System'!$B$13)+ (O194*'Scoring System'!$B$14)+ (Q194*'Scoring System'!$B$15)+ (R194*'Scoring System'!$B$16)</f>
        <v>2</v>
      </c>
      <c r="AB194" s="72" t="b">
        <f>IFERROR(match(C194,'Match Day Fees'!$B$2:$B$999,0),0)=0</f>
        <v>0</v>
      </c>
      <c r="AC194" s="73">
        <f t="shared" si="1"/>
        <v>0</v>
      </c>
      <c r="AD194" s="3" t="str">
        <f>VLOOKUP(D194,'Position Lookup'!A:B,1,FALSE)</f>
        <v>MID</v>
      </c>
    </row>
    <row r="195" ht="17.25" customHeight="1">
      <c r="A195" s="32">
        <v>45157.0</v>
      </c>
      <c r="B195" s="1" t="s">
        <v>222</v>
      </c>
      <c r="C195" s="3" t="s">
        <v>270</v>
      </c>
      <c r="D195" s="3" t="s">
        <v>10</v>
      </c>
      <c r="E195" s="5">
        <v>6.0</v>
      </c>
      <c r="F195" s="3" t="s">
        <v>286</v>
      </c>
      <c r="G195" s="3" t="s">
        <v>224</v>
      </c>
      <c r="H195" s="3">
        <v>1.0</v>
      </c>
      <c r="J195" s="5">
        <v>2.0</v>
      </c>
      <c r="N195" s="3" t="b">
        <v>0</v>
      </c>
      <c r="R195" s="3">
        <v>1.0</v>
      </c>
      <c r="T195" s="3">
        <v>10.0</v>
      </c>
      <c r="U195" s="2"/>
      <c r="V195" s="2"/>
      <c r="W195" s="70"/>
      <c r="X195" s="71"/>
      <c r="AA195" s="2">
        <f>2+ (P195*'Scoring System'!$B$3)+ (IF(OR(D195="DEF",D195="GK"),N195*'Scoring System'!$B$4,IF(D195="MID",N195*'Scoring System'!$B$5,0)))+ (IF(OR(D195="DEF",D195="GK"),H195*'Scoring System'!$B$6,IF(D195="MID",H195*'Scoring System'!$B$7,IF(D195="ATT",H195*'Scoring System'!$B$8,0))))+ IF(AND(OR(D195="GK",D195="DEF"),J195&gt;=3),1*'Scoring System'!$B$9,0)+ (I195*'Scoring System'!$B$10)+ (K195*'Scoring System'!$B$11)+ (M195*'Scoring System'!$B$12)+ (L195*'Scoring System'!$B$13)+ (O195*'Scoring System'!$B$14)+ (Q195*'Scoring System'!$B$15)+ (R195*'Scoring System'!$B$16)</f>
        <v>12</v>
      </c>
      <c r="AB195" s="72" t="b">
        <f>IFERROR(match(C195,'Match Day Fees'!$B$2:$B$999,0),0)=0</f>
        <v>0</v>
      </c>
      <c r="AC195" s="73">
        <f t="shared" si="1"/>
        <v>0</v>
      </c>
      <c r="AD195" s="3" t="str">
        <f>VLOOKUP(D195,'Position Lookup'!A:B,1,FALSE)</f>
        <v>MID</v>
      </c>
    </row>
    <row r="196" ht="17.25" customHeight="1">
      <c r="A196" s="32">
        <v>45157.0</v>
      </c>
      <c r="B196" s="1" t="s">
        <v>222</v>
      </c>
      <c r="C196" s="3" t="s">
        <v>90</v>
      </c>
      <c r="D196" s="3" t="s">
        <v>10</v>
      </c>
      <c r="E196" s="5">
        <v>6.0</v>
      </c>
      <c r="F196" s="3" t="s">
        <v>286</v>
      </c>
      <c r="G196" s="3" t="s">
        <v>224</v>
      </c>
      <c r="I196" s="3">
        <v>1.0</v>
      </c>
      <c r="J196" s="5">
        <v>2.0</v>
      </c>
      <c r="N196" s="3" t="b">
        <v>0</v>
      </c>
      <c r="R196" s="3">
        <v>0.0</v>
      </c>
      <c r="T196" s="3">
        <v>10.0</v>
      </c>
      <c r="U196" s="2"/>
      <c r="V196" s="2"/>
      <c r="W196" s="70"/>
      <c r="X196" s="71"/>
      <c r="AA196" s="2">
        <f>2+ (P196*'Scoring System'!$B$3)+ (IF(OR(D196="DEF",D196="GK"),N196*'Scoring System'!$B$4,IF(D196="MID",N196*'Scoring System'!$B$5,0)))+ (IF(OR(D196="DEF",D196="GK"),H196*'Scoring System'!$B$6,IF(D196="MID",H196*'Scoring System'!$B$7,IF(D196="ATT",H196*'Scoring System'!$B$8,0))))+ IF(AND(OR(D196="GK",D196="DEF"),J196&gt;=3),1*'Scoring System'!$B$9,0)+ (I196*'Scoring System'!$B$10)+ (K196*'Scoring System'!$B$11)+ (M196*'Scoring System'!$B$12)+ (L196*'Scoring System'!$B$13)+ (O196*'Scoring System'!$B$14)+ (Q196*'Scoring System'!$B$15)+ (R196*'Scoring System'!$B$16)</f>
        <v>5</v>
      </c>
      <c r="AB196" s="72" t="b">
        <f>IFERROR(match(C196,'Match Day Fees'!$B$2:$B$999,0),0)=0</f>
        <v>0</v>
      </c>
      <c r="AC196" s="73">
        <f t="shared" si="1"/>
        <v>0</v>
      </c>
      <c r="AD196" s="3" t="str">
        <f>VLOOKUP(D196,'Position Lookup'!A:B,1,FALSE)</f>
        <v>MID</v>
      </c>
    </row>
    <row r="197" ht="17.25" customHeight="1">
      <c r="A197" s="32">
        <v>45157.0</v>
      </c>
      <c r="B197" s="1" t="s">
        <v>222</v>
      </c>
      <c r="C197" s="3" t="s">
        <v>236</v>
      </c>
      <c r="D197" s="3" t="s">
        <v>9</v>
      </c>
      <c r="E197" s="5">
        <v>6.0</v>
      </c>
      <c r="F197" s="3" t="s">
        <v>286</v>
      </c>
      <c r="G197" s="3" t="s">
        <v>224</v>
      </c>
      <c r="J197" s="5">
        <v>2.0</v>
      </c>
      <c r="N197" s="3" t="b">
        <v>0</v>
      </c>
      <c r="R197" s="3">
        <v>0.0</v>
      </c>
      <c r="T197" s="3">
        <v>10.0</v>
      </c>
      <c r="U197" s="2"/>
      <c r="V197" s="2"/>
      <c r="W197" s="70"/>
      <c r="X197" s="71"/>
      <c r="AA197" s="2">
        <f>2+ (P197*'Scoring System'!$B$3)+ (IF(OR(D197="DEF",D197="GK"),N197*'Scoring System'!$B$4,IF(D197="MID",N197*'Scoring System'!$B$5,0)))+ (IF(OR(D197="DEF",D197="GK"),H197*'Scoring System'!$B$6,IF(D197="MID",H197*'Scoring System'!$B$7,IF(D197="ATT",H197*'Scoring System'!$B$8,0))))+ IF(AND(OR(D197="GK",D197="DEF"),J197&gt;=3),1*'Scoring System'!$B$9,0)+ (I197*'Scoring System'!$B$10)+ (K197*'Scoring System'!$B$11)+ (M197*'Scoring System'!$B$12)+ (L197*'Scoring System'!$B$13)+ (O197*'Scoring System'!$B$14)+ (Q197*'Scoring System'!$B$15)+ (R197*'Scoring System'!$B$16)</f>
        <v>2</v>
      </c>
      <c r="AB197" s="72" t="b">
        <f>IFERROR(match(C197,'Match Day Fees'!$B$2:$B$999,0),0)=0</f>
        <v>0</v>
      </c>
      <c r="AC197" s="73">
        <f t="shared" si="1"/>
        <v>0</v>
      </c>
      <c r="AD197" s="3" t="str">
        <f>VLOOKUP(D197,'Position Lookup'!A:B,1,FALSE)</f>
        <v>ATT</v>
      </c>
    </row>
    <row r="198" ht="17.25" customHeight="1">
      <c r="A198" s="32">
        <v>45157.0</v>
      </c>
      <c r="B198" s="1" t="s">
        <v>222</v>
      </c>
      <c r="C198" s="3" t="s">
        <v>235</v>
      </c>
      <c r="E198" s="5">
        <v>6.0</v>
      </c>
      <c r="F198" s="3" t="s">
        <v>286</v>
      </c>
      <c r="G198" s="3" t="s">
        <v>224</v>
      </c>
      <c r="H198" s="3">
        <v>1.0</v>
      </c>
      <c r="I198" s="3">
        <v>1.0</v>
      </c>
      <c r="J198" s="5">
        <v>2.0</v>
      </c>
      <c r="N198" s="3" t="b">
        <v>0</v>
      </c>
      <c r="R198" s="3">
        <v>0.0</v>
      </c>
      <c r="T198" s="3">
        <v>10.0</v>
      </c>
      <c r="U198" s="2"/>
      <c r="V198" s="2"/>
      <c r="W198" s="70"/>
      <c r="X198" s="71"/>
      <c r="AA198" s="2">
        <f>2+ (P198*'Scoring System'!$B$3)+ (IF(OR(D198="DEF",D198="GK"),N198*'Scoring System'!$B$4,IF(D198="MID",N198*'Scoring System'!$B$5,0)))+ (IF(OR(D198="DEF",D198="GK"),H198*'Scoring System'!$B$6,IF(D198="MID",H198*'Scoring System'!$B$7,IF(D198="ATT",H198*'Scoring System'!$B$8,0))))+ IF(AND(OR(D198="GK",D198="DEF"),J198&gt;=3),1*'Scoring System'!$B$9,0)+ (I198*'Scoring System'!$B$10)+ (K198*'Scoring System'!$B$11)+ (M198*'Scoring System'!$B$12)+ (L198*'Scoring System'!$B$13)+ (O198*'Scoring System'!$B$14)+ (Q198*'Scoring System'!$B$15)+ (R198*'Scoring System'!$B$16)</f>
        <v>5</v>
      </c>
      <c r="AB198" s="72" t="b">
        <f>IFERROR(match(C198,'Match Day Fees'!$B$2:$B$999,0),0)=0</f>
        <v>0</v>
      </c>
      <c r="AC198" s="73">
        <f t="shared" si="1"/>
        <v>0</v>
      </c>
      <c r="AD198" s="3" t="str">
        <f>VLOOKUP(D198,'Position Lookup'!A:B,1,FALSE)</f>
        <v>#N/A</v>
      </c>
    </row>
    <row r="199" ht="17.25" customHeight="1">
      <c r="A199" s="32">
        <v>45157.0</v>
      </c>
      <c r="B199" s="1" t="s">
        <v>222</v>
      </c>
      <c r="C199" s="3" t="s">
        <v>268</v>
      </c>
      <c r="E199" s="5">
        <v>6.0</v>
      </c>
      <c r="F199" s="3" t="s">
        <v>286</v>
      </c>
      <c r="G199" s="3" t="s">
        <v>224</v>
      </c>
      <c r="J199" s="5">
        <v>2.0</v>
      </c>
      <c r="N199" s="3" t="b">
        <v>0</v>
      </c>
      <c r="R199" s="3">
        <v>0.0</v>
      </c>
      <c r="T199" s="3">
        <v>10.0</v>
      </c>
      <c r="U199" s="2"/>
      <c r="V199" s="2"/>
      <c r="W199" s="70"/>
      <c r="X199" s="71"/>
      <c r="AA199" s="2">
        <f>2+ (P199*'Scoring System'!$B$3)+ (IF(OR(D199="DEF",D199="GK"),N199*'Scoring System'!$B$4,IF(D199="MID",N199*'Scoring System'!$B$5,0)))+ (IF(OR(D199="DEF",D199="GK"),H199*'Scoring System'!$B$6,IF(D199="MID",H199*'Scoring System'!$B$7,IF(D199="ATT",H199*'Scoring System'!$B$8,0))))+ IF(AND(OR(D199="GK",D199="DEF"),J199&gt;=3),1*'Scoring System'!$B$9,0)+ (I199*'Scoring System'!$B$10)+ (K199*'Scoring System'!$B$11)+ (M199*'Scoring System'!$B$12)+ (L199*'Scoring System'!$B$13)+ (O199*'Scoring System'!$B$14)+ (Q199*'Scoring System'!$B$15)+ (R199*'Scoring System'!$B$16)</f>
        <v>2</v>
      </c>
      <c r="AB199" s="72" t="b">
        <f>IFERROR(match(C199,'Match Day Fees'!$B$2:$B$999,0),0)=0</f>
        <v>0</v>
      </c>
      <c r="AC199" s="73">
        <f t="shared" si="1"/>
        <v>0</v>
      </c>
      <c r="AD199" s="3" t="str">
        <f>VLOOKUP(D199,'Position Lookup'!A:B,1,FALSE)</f>
        <v>#N/A</v>
      </c>
    </row>
    <row r="200" ht="17.25" customHeight="1">
      <c r="A200" s="32">
        <v>45157.0</v>
      </c>
      <c r="B200" s="1" t="s">
        <v>222</v>
      </c>
      <c r="C200" s="3" t="s">
        <v>147</v>
      </c>
      <c r="E200" s="5">
        <v>6.0</v>
      </c>
      <c r="F200" s="3" t="s">
        <v>286</v>
      </c>
      <c r="G200" s="3" t="s">
        <v>224</v>
      </c>
      <c r="H200" s="3">
        <v>1.0</v>
      </c>
      <c r="J200" s="5">
        <v>2.0</v>
      </c>
      <c r="N200" s="3" t="b">
        <v>0</v>
      </c>
      <c r="R200" s="3">
        <v>0.0</v>
      </c>
      <c r="T200" s="3">
        <v>5.0</v>
      </c>
      <c r="U200" s="2"/>
      <c r="V200" s="2"/>
      <c r="W200" s="70"/>
      <c r="X200" s="71"/>
      <c r="AA200" s="2">
        <f>2+ (P200*'Scoring System'!$B$3)+ (IF(OR(D200="DEF",D200="GK"),N200*'Scoring System'!$B$4,IF(D200="MID",N200*'Scoring System'!$B$5,0)))+ (IF(OR(D200="DEF",D200="GK"),H200*'Scoring System'!$B$6,IF(D200="MID",H200*'Scoring System'!$B$7,IF(D200="ATT",H200*'Scoring System'!$B$8,0))))+ IF(AND(OR(D200="GK",D200="DEF"),J200&gt;=3),1*'Scoring System'!$B$9,0)+ (I200*'Scoring System'!$B$10)+ (K200*'Scoring System'!$B$11)+ (M200*'Scoring System'!$B$12)+ (L200*'Scoring System'!$B$13)+ (O200*'Scoring System'!$B$14)+ (Q200*'Scoring System'!$B$15)+ (R200*'Scoring System'!$B$16)</f>
        <v>2</v>
      </c>
      <c r="AB200" s="72" t="b">
        <f>IFERROR(match(C200,'Match Day Fees'!$B$2:$B$999,0),0)=0</f>
        <v>0</v>
      </c>
      <c r="AC200" s="73">
        <f t="shared" si="1"/>
        <v>0</v>
      </c>
      <c r="AD200" s="3" t="str">
        <f>VLOOKUP(D200,'Position Lookup'!A:B,1,FALSE)</f>
        <v>#N/A</v>
      </c>
    </row>
    <row r="201" ht="17.25" customHeight="1">
      <c r="A201" s="32">
        <v>45157.0</v>
      </c>
      <c r="B201" s="1" t="s">
        <v>222</v>
      </c>
      <c r="C201" s="3" t="s">
        <v>55</v>
      </c>
      <c r="D201" s="3" t="s">
        <v>8</v>
      </c>
      <c r="E201" s="5" t="s">
        <v>157</v>
      </c>
      <c r="G201" s="3" t="s">
        <v>242</v>
      </c>
      <c r="J201" s="5"/>
      <c r="M201" s="3">
        <v>0.0</v>
      </c>
      <c r="N201" s="3" t="b">
        <v>1</v>
      </c>
      <c r="O201" s="3">
        <v>1.0</v>
      </c>
      <c r="Q201" s="3">
        <v>1.0</v>
      </c>
      <c r="R201" s="3">
        <v>0.0</v>
      </c>
      <c r="T201" s="5">
        <v>10.0</v>
      </c>
      <c r="U201" s="2"/>
      <c r="V201" s="2"/>
      <c r="W201" s="70"/>
      <c r="X201" s="71"/>
      <c r="AA201" s="2">
        <f>2+ (P201*'Scoring System'!$B$3)+ (IF(OR(D201="DEF",D201="GK"),N201*'Scoring System'!$B$4,IF(D201="MID",N201*'Scoring System'!$B$5,0)))+ (IF(OR(D201="DEF",D201="GK"),H201*'Scoring System'!$B$6,IF(D201="MID",H201*'Scoring System'!$B$7,IF(D201="ATT",H201*'Scoring System'!$B$8,0))))+ IF(AND(OR(D201="GK",D201="DEF"),J201&gt;=3),1*'Scoring System'!$B$9,0)+ (I201*'Scoring System'!$B$10)+ (K201*'Scoring System'!$B$11)+ (M201*'Scoring System'!$B$12)+ (L201*'Scoring System'!$B$13)+ (O201*'Scoring System'!$B$14)+ (Q201*'Scoring System'!$B$15)+ (R201*'Scoring System'!$B$16)</f>
        <v>4</v>
      </c>
      <c r="AB201" s="72" t="b">
        <f>IFERROR(match(C201,'Match Day Fees'!$B$2:$B$999,0),0)=0</f>
        <v>0</v>
      </c>
      <c r="AC201" s="73">
        <f t="shared" si="1"/>
        <v>0</v>
      </c>
      <c r="AD201" s="3" t="str">
        <f>VLOOKUP(D201,'Position Lookup'!A:B,1,FALSE)</f>
        <v>GK</v>
      </c>
    </row>
    <row r="202" ht="17.25" customHeight="1">
      <c r="A202" s="32">
        <v>45157.0</v>
      </c>
      <c r="B202" s="1" t="s">
        <v>222</v>
      </c>
      <c r="C202" s="3" t="s">
        <v>264</v>
      </c>
      <c r="E202" s="5" t="s">
        <v>157</v>
      </c>
      <c r="G202" s="3" t="s">
        <v>242</v>
      </c>
      <c r="J202" s="5"/>
      <c r="M202" s="3">
        <v>0.0</v>
      </c>
      <c r="N202" s="3" t="b">
        <v>1</v>
      </c>
      <c r="O202" s="3">
        <v>0.0</v>
      </c>
      <c r="Q202" s="3">
        <v>1.0</v>
      </c>
      <c r="R202" s="3">
        <v>0.0</v>
      </c>
      <c r="T202" s="5">
        <v>10.0</v>
      </c>
      <c r="U202" s="2"/>
      <c r="V202" s="2"/>
      <c r="W202" s="70"/>
      <c r="X202" s="71"/>
      <c r="AA202" s="2">
        <f>2+ (P202*'Scoring System'!$B$3)+ (IF(OR(D202="DEF",D202="GK"),N202*'Scoring System'!$B$4,IF(D202="MID",N202*'Scoring System'!$B$5,0)))+ (IF(OR(D202="DEF",D202="GK"),H202*'Scoring System'!$B$6,IF(D202="MID",H202*'Scoring System'!$B$7,IF(D202="ATT",H202*'Scoring System'!$B$8,0))))+ IF(AND(OR(D202="GK",D202="DEF"),J202&gt;=3),1*'Scoring System'!$B$9,0)+ (I202*'Scoring System'!$B$10)+ (K202*'Scoring System'!$B$11)+ (M202*'Scoring System'!$B$12)+ (L202*'Scoring System'!$B$13)+ (O202*'Scoring System'!$B$14)+ (Q202*'Scoring System'!$B$15)+ (R202*'Scoring System'!$B$16)</f>
        <v>0</v>
      </c>
      <c r="AB202" s="72" t="b">
        <f>IFERROR(match(C202,'Match Day Fees'!$B$2:$B$999,0),0)=0</f>
        <v>0</v>
      </c>
      <c r="AC202" s="73">
        <f t="shared" si="1"/>
        <v>0</v>
      </c>
      <c r="AD202" s="3" t="str">
        <f>VLOOKUP(D202,'Position Lookup'!A:B,1,FALSE)</f>
        <v>#N/A</v>
      </c>
    </row>
    <row r="203" ht="17.25" customHeight="1">
      <c r="A203" s="32">
        <v>45157.0</v>
      </c>
      <c r="B203" s="1" t="s">
        <v>222</v>
      </c>
      <c r="C203" s="5" t="s">
        <v>153</v>
      </c>
      <c r="E203" s="5" t="s">
        <v>157</v>
      </c>
      <c r="G203" s="3" t="s">
        <v>242</v>
      </c>
      <c r="J203" s="5"/>
      <c r="M203" s="3">
        <v>0.0</v>
      </c>
      <c r="N203" s="3" t="b">
        <v>1</v>
      </c>
      <c r="O203" s="3">
        <v>0.0</v>
      </c>
      <c r="Q203" s="3">
        <v>1.0</v>
      </c>
      <c r="R203" s="3">
        <v>0.0</v>
      </c>
      <c r="T203" s="5">
        <v>10.0</v>
      </c>
      <c r="U203" s="2"/>
      <c r="V203" s="2"/>
      <c r="W203" s="70"/>
      <c r="X203" s="71"/>
      <c r="AA203" s="2">
        <f>2+ (P203*'Scoring System'!$B$3)+ (IF(OR(D203="DEF",D203="GK"),N203*'Scoring System'!$B$4,IF(D203="MID",N203*'Scoring System'!$B$5,0)))+ (IF(OR(D203="DEF",D203="GK"),H203*'Scoring System'!$B$6,IF(D203="MID",H203*'Scoring System'!$B$7,IF(D203="ATT",H203*'Scoring System'!$B$8,0))))+ IF(AND(OR(D203="GK",D203="DEF"),J203&gt;=3),1*'Scoring System'!$B$9,0)+ (I203*'Scoring System'!$B$10)+ (K203*'Scoring System'!$B$11)+ (M203*'Scoring System'!$B$12)+ (L203*'Scoring System'!$B$13)+ (O203*'Scoring System'!$B$14)+ (Q203*'Scoring System'!$B$15)+ (R203*'Scoring System'!$B$16)</f>
        <v>0</v>
      </c>
      <c r="AB203" s="72" t="b">
        <f>IFERROR(match(C203,'Match Day Fees'!$B$2:$B$999,0),0)=0</f>
        <v>0</v>
      </c>
      <c r="AC203" s="73">
        <f t="shared" si="1"/>
        <v>0</v>
      </c>
      <c r="AD203" s="3" t="str">
        <f>VLOOKUP(D203,'Position Lookup'!A:B,1,FALSE)</f>
        <v>#N/A</v>
      </c>
    </row>
    <row r="204" ht="17.25" customHeight="1">
      <c r="A204" s="32">
        <v>45157.0</v>
      </c>
      <c r="B204" s="1" t="s">
        <v>222</v>
      </c>
      <c r="C204" s="3" t="s">
        <v>288</v>
      </c>
      <c r="E204" s="5" t="s">
        <v>157</v>
      </c>
      <c r="G204" s="3" t="s">
        <v>242</v>
      </c>
      <c r="J204" s="5"/>
      <c r="M204" s="3">
        <v>0.0</v>
      </c>
      <c r="N204" s="3" t="b">
        <v>1</v>
      </c>
      <c r="O204" s="3">
        <v>0.0</v>
      </c>
      <c r="Q204" s="3">
        <v>1.0</v>
      </c>
      <c r="R204" s="3">
        <v>0.0</v>
      </c>
      <c r="T204" s="5">
        <v>10.0</v>
      </c>
      <c r="U204" s="2"/>
      <c r="V204" s="2"/>
      <c r="W204" s="70"/>
      <c r="X204" s="71"/>
      <c r="AA204" s="2">
        <f>2+ (P204*'Scoring System'!$B$3)+ (IF(OR(D204="DEF",D204="GK"),N204*'Scoring System'!$B$4,IF(D204="MID",N204*'Scoring System'!$B$5,0)))+ (IF(OR(D204="DEF",D204="GK"),H204*'Scoring System'!$B$6,IF(D204="MID",H204*'Scoring System'!$B$7,IF(D204="ATT",H204*'Scoring System'!$B$8,0))))+ IF(AND(OR(D204="GK",D204="DEF"),J204&gt;=3),1*'Scoring System'!$B$9,0)+ (I204*'Scoring System'!$B$10)+ (K204*'Scoring System'!$B$11)+ (M204*'Scoring System'!$B$12)+ (L204*'Scoring System'!$B$13)+ (O204*'Scoring System'!$B$14)+ (Q204*'Scoring System'!$B$15)+ (R204*'Scoring System'!$B$16)</f>
        <v>0</v>
      </c>
      <c r="AB204" s="72" t="b">
        <f>IFERROR(match(C204,'Match Day Fees'!$B$2:$B$999,0),0)=0</f>
        <v>0</v>
      </c>
      <c r="AC204" s="73">
        <f t="shared" si="1"/>
        <v>0</v>
      </c>
      <c r="AD204" s="3" t="str">
        <f>VLOOKUP(D204,'Position Lookup'!A:B,1,FALSE)</f>
        <v>#N/A</v>
      </c>
    </row>
    <row r="205" ht="17.25" customHeight="1">
      <c r="A205" s="32">
        <v>45157.0</v>
      </c>
      <c r="B205" s="1" t="s">
        <v>222</v>
      </c>
      <c r="C205" s="3" t="s">
        <v>289</v>
      </c>
      <c r="E205" s="5" t="s">
        <v>157</v>
      </c>
      <c r="G205" s="3" t="s">
        <v>242</v>
      </c>
      <c r="H205" s="3">
        <v>1.0</v>
      </c>
      <c r="J205" s="5"/>
      <c r="M205" s="3">
        <v>0.0</v>
      </c>
      <c r="N205" s="3" t="b">
        <v>1</v>
      </c>
      <c r="O205" s="3">
        <v>0.0</v>
      </c>
      <c r="Q205" s="3">
        <v>1.0</v>
      </c>
      <c r="R205" s="3">
        <v>0.0</v>
      </c>
      <c r="T205" s="5">
        <v>10.0</v>
      </c>
      <c r="U205" s="2"/>
      <c r="V205" s="2"/>
      <c r="W205" s="70"/>
      <c r="X205" s="71"/>
      <c r="AA205" s="2">
        <f>2+ (P205*'Scoring System'!$B$3)+ (IF(OR(D205="DEF",D205="GK"),N205*'Scoring System'!$B$4,IF(D205="MID",N205*'Scoring System'!$B$5,0)))+ (IF(OR(D205="DEF",D205="GK"),H205*'Scoring System'!$B$6,IF(D205="MID",H205*'Scoring System'!$B$7,IF(D205="ATT",H205*'Scoring System'!$B$8,0))))+ IF(AND(OR(D205="GK",D205="DEF"),J205&gt;=3),1*'Scoring System'!$B$9,0)+ (I205*'Scoring System'!$B$10)+ (K205*'Scoring System'!$B$11)+ (M205*'Scoring System'!$B$12)+ (L205*'Scoring System'!$B$13)+ (O205*'Scoring System'!$B$14)+ (Q205*'Scoring System'!$B$15)+ (R205*'Scoring System'!$B$16)</f>
        <v>0</v>
      </c>
      <c r="AB205" s="72" t="b">
        <f>IFERROR(match(C205,'Match Day Fees'!$B$2:$B$999,0),0)=0</f>
        <v>0</v>
      </c>
      <c r="AC205" s="73">
        <f t="shared" si="1"/>
        <v>0</v>
      </c>
      <c r="AD205" s="3" t="str">
        <f>VLOOKUP(D205,'Position Lookup'!A:B,1,FALSE)</f>
        <v>#N/A</v>
      </c>
    </row>
    <row r="206" ht="17.25" customHeight="1">
      <c r="A206" s="32">
        <v>45157.0</v>
      </c>
      <c r="B206" s="1" t="s">
        <v>222</v>
      </c>
      <c r="C206" s="3" t="s">
        <v>146</v>
      </c>
      <c r="E206" s="5" t="s">
        <v>157</v>
      </c>
      <c r="G206" s="3" t="s">
        <v>242</v>
      </c>
      <c r="J206" s="5"/>
      <c r="M206" s="3">
        <v>0.0</v>
      </c>
      <c r="N206" s="3" t="b">
        <v>1</v>
      </c>
      <c r="O206" s="3">
        <v>0.0</v>
      </c>
      <c r="Q206" s="3">
        <v>1.0</v>
      </c>
      <c r="R206" s="3">
        <v>0.0</v>
      </c>
      <c r="T206" s="5">
        <v>10.0</v>
      </c>
      <c r="U206" s="2"/>
      <c r="V206" s="2"/>
      <c r="W206" s="70"/>
      <c r="X206" s="71"/>
      <c r="AA206" s="2">
        <f>2+ (P206*'Scoring System'!$B$3)+ (IF(OR(D206="DEF",D206="GK"),N206*'Scoring System'!$B$4,IF(D206="MID",N206*'Scoring System'!$B$5,0)))+ (IF(OR(D206="DEF",D206="GK"),H206*'Scoring System'!$B$6,IF(D206="MID",H206*'Scoring System'!$B$7,IF(D206="ATT",H206*'Scoring System'!$B$8,0))))+ IF(AND(OR(D206="GK",D206="DEF"),J206&gt;=3),1*'Scoring System'!$B$9,0)+ (I206*'Scoring System'!$B$10)+ (K206*'Scoring System'!$B$11)+ (M206*'Scoring System'!$B$12)+ (L206*'Scoring System'!$B$13)+ (O206*'Scoring System'!$B$14)+ (Q206*'Scoring System'!$B$15)+ (R206*'Scoring System'!$B$16)</f>
        <v>0</v>
      </c>
      <c r="AB206" s="72" t="b">
        <f>IFERROR(match(C206,'Match Day Fees'!$B$2:$B$999,0),0)=0</f>
        <v>0</v>
      </c>
      <c r="AC206" s="73">
        <f t="shared" si="1"/>
        <v>0</v>
      </c>
      <c r="AD206" s="3" t="str">
        <f>VLOOKUP(D206,'Position Lookup'!A:B,1,FALSE)</f>
        <v>#N/A</v>
      </c>
    </row>
    <row r="207" ht="17.25" customHeight="1">
      <c r="A207" s="32">
        <v>45157.0</v>
      </c>
      <c r="B207" s="1" t="s">
        <v>222</v>
      </c>
      <c r="C207" s="3" t="s">
        <v>290</v>
      </c>
      <c r="E207" s="5" t="s">
        <v>157</v>
      </c>
      <c r="G207" s="3" t="s">
        <v>242</v>
      </c>
      <c r="J207" s="5"/>
      <c r="M207" s="3">
        <v>0.0</v>
      </c>
      <c r="N207" s="3" t="b">
        <v>1</v>
      </c>
      <c r="O207" s="3">
        <v>0.0</v>
      </c>
      <c r="Q207" s="3">
        <v>1.0</v>
      </c>
      <c r="R207" s="3">
        <v>0.0</v>
      </c>
      <c r="T207" s="5">
        <v>10.0</v>
      </c>
      <c r="U207" s="2"/>
      <c r="V207" s="2"/>
      <c r="W207" s="70"/>
      <c r="X207" s="71"/>
      <c r="AA207" s="2">
        <f>2+ (P207*'Scoring System'!$B$3)+ (IF(OR(D207="DEF",D207="GK"),N207*'Scoring System'!$B$4,IF(D207="MID",N207*'Scoring System'!$B$5,0)))+ (IF(OR(D207="DEF",D207="GK"),H207*'Scoring System'!$B$6,IF(D207="MID",H207*'Scoring System'!$B$7,IF(D207="ATT",H207*'Scoring System'!$B$8,0))))+ IF(AND(OR(D207="GK",D207="DEF"),J207&gt;=3),1*'Scoring System'!$B$9,0)+ (I207*'Scoring System'!$B$10)+ (K207*'Scoring System'!$B$11)+ (M207*'Scoring System'!$B$12)+ (L207*'Scoring System'!$B$13)+ (O207*'Scoring System'!$B$14)+ (Q207*'Scoring System'!$B$15)+ (R207*'Scoring System'!$B$16)</f>
        <v>0</v>
      </c>
      <c r="AB207" s="72" t="b">
        <f>IFERROR(match(C207,'Match Day Fees'!$B$2:$B$999,0),0)=0</f>
        <v>0</v>
      </c>
      <c r="AC207" s="73">
        <f t="shared" si="1"/>
        <v>0</v>
      </c>
      <c r="AD207" s="3" t="str">
        <f>VLOOKUP(D207,'Position Lookup'!A:B,1,FALSE)</f>
        <v>#N/A</v>
      </c>
    </row>
    <row r="208" ht="17.25" customHeight="1">
      <c r="A208" s="32">
        <v>45157.0</v>
      </c>
      <c r="B208" s="1" t="s">
        <v>222</v>
      </c>
      <c r="C208" s="3" t="s">
        <v>100</v>
      </c>
      <c r="E208" s="5" t="s">
        <v>157</v>
      </c>
      <c r="G208" s="3" t="s">
        <v>242</v>
      </c>
      <c r="J208" s="5"/>
      <c r="M208" s="3">
        <v>0.0</v>
      </c>
      <c r="N208" s="3" t="b">
        <v>1</v>
      </c>
      <c r="O208" s="3">
        <v>0.0</v>
      </c>
      <c r="Q208" s="3">
        <v>1.0</v>
      </c>
      <c r="R208" s="3">
        <v>0.0</v>
      </c>
      <c r="T208" s="5">
        <v>10.0</v>
      </c>
      <c r="U208" s="2"/>
      <c r="V208" s="2"/>
      <c r="W208" s="70"/>
      <c r="X208" s="71"/>
      <c r="AA208" s="2">
        <f>2+ (P208*'Scoring System'!$B$3)+ (IF(OR(D208="DEF",D208="GK"),N208*'Scoring System'!$B$4,IF(D208="MID",N208*'Scoring System'!$B$5,0)))+ (IF(OR(D208="DEF",D208="GK"),H208*'Scoring System'!$B$6,IF(D208="MID",H208*'Scoring System'!$B$7,IF(D208="ATT",H208*'Scoring System'!$B$8,0))))+ IF(AND(OR(D208="GK",D208="DEF"),J208&gt;=3),1*'Scoring System'!$B$9,0)+ (I208*'Scoring System'!$B$10)+ (K208*'Scoring System'!$B$11)+ (M208*'Scoring System'!$B$12)+ (L208*'Scoring System'!$B$13)+ (O208*'Scoring System'!$B$14)+ (Q208*'Scoring System'!$B$15)+ (R208*'Scoring System'!$B$16)</f>
        <v>0</v>
      </c>
      <c r="AB208" s="72" t="b">
        <f>IFERROR(match(C208,'Match Day Fees'!$B$2:$B$999,0),0)=0</f>
        <v>0</v>
      </c>
      <c r="AC208" s="73">
        <f t="shared" si="1"/>
        <v>0</v>
      </c>
      <c r="AD208" s="3" t="str">
        <f>VLOOKUP(D208,'Position Lookup'!A:B,1,FALSE)</f>
        <v>#N/A</v>
      </c>
    </row>
    <row r="209" ht="17.25" customHeight="1">
      <c r="A209" s="32">
        <v>45157.0</v>
      </c>
      <c r="B209" s="1" t="s">
        <v>222</v>
      </c>
      <c r="C209" s="3" t="s">
        <v>291</v>
      </c>
      <c r="E209" s="5" t="s">
        <v>157</v>
      </c>
      <c r="G209" s="3" t="s">
        <v>242</v>
      </c>
      <c r="J209" s="5"/>
      <c r="M209" s="3">
        <v>0.0</v>
      </c>
      <c r="N209" s="3" t="b">
        <v>1</v>
      </c>
      <c r="O209" s="3">
        <v>0.0</v>
      </c>
      <c r="Q209" s="3">
        <v>1.0</v>
      </c>
      <c r="R209" s="3">
        <v>0.0</v>
      </c>
      <c r="T209" s="5">
        <v>0.0</v>
      </c>
      <c r="U209" s="2"/>
      <c r="V209" s="2"/>
      <c r="W209" s="70"/>
      <c r="X209" s="71"/>
      <c r="AA209" s="2">
        <f>2+ (P209*'Scoring System'!$B$3)+ (IF(OR(D209="DEF",D209="GK"),N209*'Scoring System'!$B$4,IF(D209="MID",N209*'Scoring System'!$B$5,0)))+ (IF(OR(D209="DEF",D209="GK"),H209*'Scoring System'!$B$6,IF(D209="MID",H209*'Scoring System'!$B$7,IF(D209="ATT",H209*'Scoring System'!$B$8,0))))+ IF(AND(OR(D209="GK",D209="DEF"),J209&gt;=3),1*'Scoring System'!$B$9,0)+ (I209*'Scoring System'!$B$10)+ (K209*'Scoring System'!$B$11)+ (M209*'Scoring System'!$B$12)+ (L209*'Scoring System'!$B$13)+ (O209*'Scoring System'!$B$14)+ (Q209*'Scoring System'!$B$15)+ (R209*'Scoring System'!$B$16)</f>
        <v>0</v>
      </c>
      <c r="AB209" s="72" t="b">
        <f>IFERROR(match(C209,'Match Day Fees'!$B$2:$B$999,0),0)=0</f>
        <v>0</v>
      </c>
      <c r="AC209" s="73">
        <f t="shared" si="1"/>
        <v>0</v>
      </c>
      <c r="AD209" s="3" t="str">
        <f>VLOOKUP(D209,'Position Lookup'!A:B,1,FALSE)</f>
        <v>#N/A</v>
      </c>
    </row>
    <row r="210" ht="17.25" customHeight="1">
      <c r="A210" s="32">
        <v>45157.0</v>
      </c>
      <c r="B210" s="1" t="s">
        <v>222</v>
      </c>
      <c r="C210" s="3" t="s">
        <v>83</v>
      </c>
      <c r="E210" s="5" t="s">
        <v>157</v>
      </c>
      <c r="G210" s="3" t="s">
        <v>242</v>
      </c>
      <c r="H210" s="3">
        <v>1.0</v>
      </c>
      <c r="J210" s="5"/>
      <c r="M210" s="3">
        <v>0.0</v>
      </c>
      <c r="N210" s="3" t="b">
        <v>1</v>
      </c>
      <c r="O210" s="3">
        <v>0.0</v>
      </c>
      <c r="Q210" s="3">
        <v>1.0</v>
      </c>
      <c r="R210" s="3">
        <v>0.0</v>
      </c>
      <c r="T210" s="5">
        <v>10.0</v>
      </c>
      <c r="U210" s="2"/>
      <c r="V210" s="2"/>
      <c r="W210" s="70"/>
      <c r="X210" s="71"/>
      <c r="AA210" s="2">
        <f>2+ (P210*'Scoring System'!$B$3)+ (IF(OR(D210="DEF",D210="GK"),N210*'Scoring System'!$B$4,IF(D210="MID",N210*'Scoring System'!$B$5,0)))+ (IF(OR(D210="DEF",D210="GK"),H210*'Scoring System'!$B$6,IF(D210="MID",H210*'Scoring System'!$B$7,IF(D210="ATT",H210*'Scoring System'!$B$8,0))))+ IF(AND(OR(D210="GK",D210="DEF"),J210&gt;=3),1*'Scoring System'!$B$9,0)+ (I210*'Scoring System'!$B$10)+ (K210*'Scoring System'!$B$11)+ (M210*'Scoring System'!$B$12)+ (L210*'Scoring System'!$B$13)+ (O210*'Scoring System'!$B$14)+ (Q210*'Scoring System'!$B$15)+ (R210*'Scoring System'!$B$16)</f>
        <v>0</v>
      </c>
      <c r="AB210" s="72" t="b">
        <f>IFERROR(match(C210,'Match Day Fees'!$B$2:$B$999,0),0)=0</f>
        <v>0</v>
      </c>
      <c r="AC210" s="73">
        <f t="shared" si="1"/>
        <v>0</v>
      </c>
      <c r="AD210" s="3" t="str">
        <f>VLOOKUP(D210,'Position Lookup'!A:B,1,FALSE)</f>
        <v>#N/A</v>
      </c>
    </row>
    <row r="211" ht="17.25" customHeight="1">
      <c r="A211" s="32">
        <v>45157.0</v>
      </c>
      <c r="B211" s="1" t="s">
        <v>222</v>
      </c>
      <c r="C211" s="3" t="s">
        <v>292</v>
      </c>
      <c r="E211" s="5" t="s">
        <v>157</v>
      </c>
      <c r="G211" s="3" t="s">
        <v>242</v>
      </c>
      <c r="J211" s="5"/>
      <c r="M211" s="3">
        <v>0.0</v>
      </c>
      <c r="N211" s="3" t="b">
        <v>1</v>
      </c>
      <c r="O211" s="3">
        <v>0.0</v>
      </c>
      <c r="Q211" s="3">
        <v>1.0</v>
      </c>
      <c r="R211" s="3">
        <v>0.0</v>
      </c>
      <c r="T211" s="5">
        <v>10.0</v>
      </c>
      <c r="U211" s="2"/>
      <c r="V211" s="2"/>
      <c r="W211" s="70"/>
      <c r="X211" s="71"/>
      <c r="AA211" s="2">
        <f>2+ (P211*'Scoring System'!$B$3)+ (IF(OR(D211="DEF",D211="GK"),N211*'Scoring System'!$B$4,IF(D211="MID",N211*'Scoring System'!$B$5,0)))+ (IF(OR(D211="DEF",D211="GK"),H211*'Scoring System'!$B$6,IF(D211="MID",H211*'Scoring System'!$B$7,IF(D211="ATT",H211*'Scoring System'!$B$8,0))))+ IF(AND(OR(D211="GK",D211="DEF"),J211&gt;=3),1*'Scoring System'!$B$9,0)+ (I211*'Scoring System'!$B$10)+ (K211*'Scoring System'!$B$11)+ (M211*'Scoring System'!$B$12)+ (L211*'Scoring System'!$B$13)+ (O211*'Scoring System'!$B$14)+ (Q211*'Scoring System'!$B$15)+ (R211*'Scoring System'!$B$16)</f>
        <v>0</v>
      </c>
      <c r="AB211" s="72" t="b">
        <f>IFERROR(match(C211,'Match Day Fees'!$B$2:$B$999,0),0)=0</f>
        <v>0</v>
      </c>
      <c r="AC211" s="73">
        <f t="shared" si="1"/>
        <v>0</v>
      </c>
      <c r="AD211" s="3" t="str">
        <f>VLOOKUP(D211,'Position Lookup'!A:B,1,FALSE)</f>
        <v>#N/A</v>
      </c>
    </row>
    <row r="212" ht="17.25" customHeight="1">
      <c r="A212" s="32">
        <v>45157.0</v>
      </c>
      <c r="B212" s="1" t="s">
        <v>222</v>
      </c>
      <c r="C212" s="3" t="s">
        <v>293</v>
      </c>
      <c r="E212" s="5" t="s">
        <v>157</v>
      </c>
      <c r="G212" s="3" t="s">
        <v>242</v>
      </c>
      <c r="J212" s="5"/>
      <c r="M212" s="3">
        <v>0.0</v>
      </c>
      <c r="N212" s="3" t="b">
        <v>1</v>
      </c>
      <c r="O212" s="3">
        <v>0.0</v>
      </c>
      <c r="Q212" s="3">
        <v>1.0</v>
      </c>
      <c r="R212" s="3">
        <v>0.0</v>
      </c>
      <c r="T212" s="5">
        <v>10.0</v>
      </c>
      <c r="U212" s="2"/>
      <c r="V212" s="2"/>
      <c r="W212" s="70"/>
      <c r="X212" s="71"/>
      <c r="AA212" s="2">
        <f>2+ (P212*'Scoring System'!$B$3)+ (IF(OR(D212="DEF",D212="GK"),N212*'Scoring System'!$B$4,IF(D212="MID",N212*'Scoring System'!$B$5,0)))+ (IF(OR(D212="DEF",D212="GK"),H212*'Scoring System'!$B$6,IF(D212="MID",H212*'Scoring System'!$B$7,IF(D212="ATT",H212*'Scoring System'!$B$8,0))))+ IF(AND(OR(D212="GK",D212="DEF"),J212&gt;=3),1*'Scoring System'!$B$9,0)+ (I212*'Scoring System'!$B$10)+ (K212*'Scoring System'!$B$11)+ (M212*'Scoring System'!$B$12)+ (L212*'Scoring System'!$B$13)+ (O212*'Scoring System'!$B$14)+ (Q212*'Scoring System'!$B$15)+ (R212*'Scoring System'!$B$16)</f>
        <v>0</v>
      </c>
      <c r="AB212" s="72" t="b">
        <f>IFERROR(match(C212,'Match Day Fees'!$B$2:$B$999,0),0)=0</f>
        <v>0</v>
      </c>
      <c r="AC212" s="73">
        <f t="shared" si="1"/>
        <v>0</v>
      </c>
      <c r="AD212" s="3" t="str">
        <f>VLOOKUP(D212,'Position Lookup'!A:B,1,FALSE)</f>
        <v>#N/A</v>
      </c>
    </row>
    <row r="213" ht="17.25" customHeight="1">
      <c r="A213" s="32">
        <v>45157.0</v>
      </c>
      <c r="B213" s="1" t="s">
        <v>222</v>
      </c>
      <c r="C213" s="3" t="s">
        <v>294</v>
      </c>
      <c r="E213" s="5" t="s">
        <v>157</v>
      </c>
      <c r="G213" s="3" t="s">
        <v>242</v>
      </c>
      <c r="H213" s="3">
        <v>1.0</v>
      </c>
      <c r="J213" s="5"/>
      <c r="M213" s="3">
        <v>0.0</v>
      </c>
      <c r="N213" s="3" t="b">
        <v>1</v>
      </c>
      <c r="O213" s="3">
        <v>0.0</v>
      </c>
      <c r="Q213" s="3">
        <v>1.0</v>
      </c>
      <c r="R213" s="3">
        <v>0.0</v>
      </c>
      <c r="T213" s="5">
        <v>10.0</v>
      </c>
      <c r="U213" s="2"/>
      <c r="V213" s="2"/>
      <c r="W213" s="70"/>
      <c r="X213" s="71"/>
      <c r="AA213" s="2">
        <f>2+ (P213*'Scoring System'!$B$3)+ (IF(OR(D213="DEF",D213="GK"),N213*'Scoring System'!$B$4,IF(D213="MID",N213*'Scoring System'!$B$5,0)))+ (IF(OR(D213="DEF",D213="GK"),H213*'Scoring System'!$B$6,IF(D213="MID",H213*'Scoring System'!$B$7,IF(D213="ATT",H213*'Scoring System'!$B$8,0))))+ IF(AND(OR(D213="GK",D213="DEF"),J213&gt;=3),1*'Scoring System'!$B$9,0)+ (I213*'Scoring System'!$B$10)+ (K213*'Scoring System'!$B$11)+ (M213*'Scoring System'!$B$12)+ (L213*'Scoring System'!$B$13)+ (O213*'Scoring System'!$B$14)+ (Q213*'Scoring System'!$B$15)+ (R213*'Scoring System'!$B$16)</f>
        <v>0</v>
      </c>
      <c r="AB213" s="72" t="b">
        <f>IFERROR(match(C213,'Match Day Fees'!$B$2:$B$999,0),0)=0</f>
        <v>0</v>
      </c>
      <c r="AC213" s="73">
        <f t="shared" si="1"/>
        <v>0</v>
      </c>
      <c r="AD213" s="3" t="str">
        <f>VLOOKUP(D213,'Position Lookup'!A:B,1,FALSE)</f>
        <v>#N/A</v>
      </c>
    </row>
    <row r="214" ht="17.25" customHeight="1">
      <c r="A214" s="10">
        <v>45164.0</v>
      </c>
      <c r="B214" s="1" t="s">
        <v>222</v>
      </c>
      <c r="C214" s="3" t="s">
        <v>38</v>
      </c>
      <c r="D214" s="3" t="s">
        <v>8</v>
      </c>
      <c r="E214" s="5">
        <v>1.0</v>
      </c>
      <c r="G214" s="3" t="s">
        <v>224</v>
      </c>
      <c r="J214" s="5">
        <v>0.0</v>
      </c>
      <c r="N214" s="3" t="b">
        <v>1</v>
      </c>
      <c r="R214" s="3">
        <v>0.0</v>
      </c>
      <c r="S214" s="3" t="b">
        <v>0</v>
      </c>
      <c r="T214" s="3">
        <v>10.0</v>
      </c>
      <c r="U214" s="2"/>
      <c r="V214" s="2"/>
      <c r="W214" s="70"/>
      <c r="X214" s="71"/>
      <c r="AA214" s="2">
        <f>2+ (P214*'Scoring System'!$B$3)+ (IF(OR(D214="DEF",D214="GK"),N214*'Scoring System'!$B$4,IF(D214="MID",N214*'Scoring System'!$B$5,0)))+ (IF(OR(D214="DEF",D214="GK"),H214*'Scoring System'!$B$6,IF(D214="MID",H214*'Scoring System'!$B$7,IF(D214="ATT",H214*'Scoring System'!$B$8,0))))+ IF(AND(OR(D214="GK",D214="DEF"),J214&gt;=3),1*'Scoring System'!$B$9,0)+ (I214*'Scoring System'!$B$10)+ (K214*'Scoring System'!$B$11)+ (M214*'Scoring System'!$B$12)+ (L214*'Scoring System'!$B$13)+ (O214*'Scoring System'!$B$14)+ (Q214*'Scoring System'!$B$15)+ (R214*'Scoring System'!$B$16)</f>
        <v>8</v>
      </c>
      <c r="AB214" s="72" t="b">
        <f>IFERROR(match(C214,'Match Day Fees'!$B$2:$B$999,0),0)=0</f>
        <v>0</v>
      </c>
      <c r="AC214" s="73">
        <f t="shared" si="1"/>
        <v>0</v>
      </c>
      <c r="AD214" s="3" t="str">
        <f>VLOOKUP(D214,'Position Lookup'!A:B,1,FALSE)</f>
        <v>GK</v>
      </c>
    </row>
    <row r="215" ht="17.25" customHeight="1">
      <c r="A215" s="10">
        <v>45164.0</v>
      </c>
      <c r="B215" s="1" t="s">
        <v>222</v>
      </c>
      <c r="C215" s="3" t="s">
        <v>68</v>
      </c>
      <c r="D215" s="3" t="s">
        <v>11</v>
      </c>
      <c r="E215" s="5">
        <v>1.0</v>
      </c>
      <c r="G215" s="3" t="s">
        <v>224</v>
      </c>
      <c r="J215" s="5">
        <v>0.0</v>
      </c>
      <c r="N215" s="3" t="b">
        <v>1</v>
      </c>
      <c r="R215" s="3">
        <v>0.0</v>
      </c>
      <c r="T215" s="3">
        <v>10.0</v>
      </c>
      <c r="U215" s="2"/>
      <c r="V215" s="2"/>
      <c r="W215" s="70"/>
      <c r="X215" s="71"/>
      <c r="AA215" s="2">
        <f>2+ (P215*'Scoring System'!$B$3)+ (IF(OR(D215="DEF",D215="GK"),N215*'Scoring System'!$B$4,IF(D215="MID",N215*'Scoring System'!$B$5,0)))+ (IF(OR(D215="DEF",D215="GK"),H215*'Scoring System'!$B$6,IF(D215="MID",H215*'Scoring System'!$B$7,IF(D215="ATT",H215*'Scoring System'!$B$8,0))))+ IF(AND(OR(D215="GK",D215="DEF"),J215&gt;=3),1*'Scoring System'!$B$9,0)+ (I215*'Scoring System'!$B$10)+ (K215*'Scoring System'!$B$11)+ (M215*'Scoring System'!$B$12)+ (L215*'Scoring System'!$B$13)+ (O215*'Scoring System'!$B$14)+ (Q215*'Scoring System'!$B$15)+ (R215*'Scoring System'!$B$16)</f>
        <v>8</v>
      </c>
      <c r="AB215" s="72" t="b">
        <f>IFERROR(match(C215,'Match Day Fees'!$B$2:$B$999,0),0)=0</f>
        <v>0</v>
      </c>
      <c r="AC215" s="73">
        <f t="shared" si="1"/>
        <v>0</v>
      </c>
      <c r="AD215" s="3" t="str">
        <f>VLOOKUP(D215,'Position Lookup'!A:B,1,FALSE)</f>
        <v>DEF</v>
      </c>
    </row>
    <row r="216" ht="17.25" customHeight="1">
      <c r="A216" s="10">
        <v>45164.0</v>
      </c>
      <c r="B216" s="1" t="s">
        <v>222</v>
      </c>
      <c r="C216" s="3" t="s">
        <v>107</v>
      </c>
      <c r="D216" s="3" t="s">
        <v>11</v>
      </c>
      <c r="E216" s="5">
        <v>1.0</v>
      </c>
      <c r="G216" s="3" t="s">
        <v>224</v>
      </c>
      <c r="J216" s="5">
        <v>0.0</v>
      </c>
      <c r="N216" s="3" t="b">
        <v>1</v>
      </c>
      <c r="R216" s="3">
        <v>0.0</v>
      </c>
      <c r="T216" s="3">
        <v>10.0</v>
      </c>
      <c r="U216" s="2"/>
      <c r="V216" s="2"/>
      <c r="W216" s="70"/>
      <c r="X216" s="71"/>
      <c r="AA216" s="2">
        <f>2+ (P216*'Scoring System'!$B$3)+ (IF(OR(D216="DEF",D216="GK"),N216*'Scoring System'!$B$4,IF(D216="MID",N216*'Scoring System'!$B$5,0)))+ (IF(OR(D216="DEF",D216="GK"),H216*'Scoring System'!$B$6,IF(D216="MID",H216*'Scoring System'!$B$7,IF(D216="ATT",H216*'Scoring System'!$B$8,0))))+ IF(AND(OR(D216="GK",D216="DEF"),J216&gt;=3),1*'Scoring System'!$B$9,0)+ (I216*'Scoring System'!$B$10)+ (K216*'Scoring System'!$B$11)+ (M216*'Scoring System'!$B$12)+ (L216*'Scoring System'!$B$13)+ (O216*'Scoring System'!$B$14)+ (Q216*'Scoring System'!$B$15)+ (R216*'Scoring System'!$B$16)</f>
        <v>8</v>
      </c>
      <c r="AB216" s="72" t="b">
        <f>IFERROR(match(C216,'Match Day Fees'!$B$2:$B$999,0),0)=0</f>
        <v>0</v>
      </c>
      <c r="AC216" s="73">
        <f t="shared" si="1"/>
        <v>0</v>
      </c>
      <c r="AD216" s="3" t="str">
        <f>VLOOKUP(D216,'Position Lookup'!A:B,1,FALSE)</f>
        <v>DEF</v>
      </c>
    </row>
    <row r="217" ht="17.25" customHeight="1">
      <c r="A217" s="10">
        <v>45164.0</v>
      </c>
      <c r="B217" s="1" t="s">
        <v>222</v>
      </c>
      <c r="C217" s="3" t="s">
        <v>76</v>
      </c>
      <c r="D217" s="3" t="s">
        <v>11</v>
      </c>
      <c r="E217" s="5">
        <v>1.0</v>
      </c>
      <c r="G217" s="3" t="s">
        <v>224</v>
      </c>
      <c r="J217" s="5">
        <v>0.0</v>
      </c>
      <c r="N217" s="3" t="b">
        <v>1</v>
      </c>
      <c r="R217" s="3">
        <v>0.0</v>
      </c>
      <c r="T217" s="3">
        <v>10.0</v>
      </c>
      <c r="U217" s="2"/>
      <c r="V217" s="2"/>
      <c r="W217" s="70"/>
      <c r="X217" s="71"/>
      <c r="AA217" s="2">
        <f>2+ (P217*'Scoring System'!$B$3)+ (IF(OR(D217="DEF",D217="GK"),N217*'Scoring System'!$B$4,IF(D217="MID",N217*'Scoring System'!$B$5,0)))+ (IF(OR(D217="DEF",D217="GK"),H217*'Scoring System'!$B$6,IF(D217="MID",H217*'Scoring System'!$B$7,IF(D217="ATT",H217*'Scoring System'!$B$8,0))))+ IF(AND(OR(D217="GK",D217="DEF"),J217&gt;=3),1*'Scoring System'!$B$9,0)+ (I217*'Scoring System'!$B$10)+ (K217*'Scoring System'!$B$11)+ (M217*'Scoring System'!$B$12)+ (L217*'Scoring System'!$B$13)+ (O217*'Scoring System'!$B$14)+ (Q217*'Scoring System'!$B$15)+ (R217*'Scoring System'!$B$16)</f>
        <v>8</v>
      </c>
      <c r="AB217" s="72" t="b">
        <f>IFERROR(match(C217,'Match Day Fees'!$B$2:$B$999,0),0)=0</f>
        <v>0</v>
      </c>
      <c r="AC217" s="73">
        <f t="shared" si="1"/>
        <v>0</v>
      </c>
      <c r="AD217" s="3" t="str">
        <f>VLOOKUP(D217,'Position Lookup'!A:B,1,FALSE)</f>
        <v>DEF</v>
      </c>
    </row>
    <row r="218" ht="17.25" customHeight="1">
      <c r="A218" s="10">
        <v>45164.0</v>
      </c>
      <c r="B218" s="1" t="s">
        <v>222</v>
      </c>
      <c r="C218" s="3" t="s">
        <v>77</v>
      </c>
      <c r="D218" s="3" t="s">
        <v>11</v>
      </c>
      <c r="E218" s="5">
        <v>1.0</v>
      </c>
      <c r="G218" s="3" t="s">
        <v>224</v>
      </c>
      <c r="I218" s="3">
        <v>1.0</v>
      </c>
      <c r="J218" s="5">
        <v>0.0</v>
      </c>
      <c r="N218" s="3" t="b">
        <v>1</v>
      </c>
      <c r="R218" s="3">
        <v>1.0</v>
      </c>
      <c r="T218" s="3">
        <v>10.0</v>
      </c>
      <c r="U218" s="2"/>
      <c r="V218" s="2"/>
      <c r="W218" s="70"/>
      <c r="X218" s="71"/>
      <c r="AA218" s="2">
        <f>2+ (P218*'Scoring System'!$B$3)+ (IF(OR(D218="DEF",D218="GK"),N218*'Scoring System'!$B$4,IF(D218="MID",N218*'Scoring System'!$B$5,0)))+ (IF(OR(D218="DEF",D218="GK"),H218*'Scoring System'!$B$6,IF(D218="MID",H218*'Scoring System'!$B$7,IF(D218="ATT",H218*'Scoring System'!$B$8,0))))+ IF(AND(OR(D218="GK",D218="DEF"),J218&gt;=3),1*'Scoring System'!$B$9,0)+ (I218*'Scoring System'!$B$10)+ (K218*'Scoring System'!$B$11)+ (M218*'Scoring System'!$B$12)+ (L218*'Scoring System'!$B$13)+ (O218*'Scoring System'!$B$14)+ (Q218*'Scoring System'!$B$15)+ (R218*'Scoring System'!$B$16)</f>
        <v>16</v>
      </c>
      <c r="AB218" s="72" t="b">
        <f>IFERROR(match(C218,'Match Day Fees'!$B$2:$B$999,0),0)=0</f>
        <v>0</v>
      </c>
      <c r="AC218" s="73">
        <f t="shared" si="1"/>
        <v>0</v>
      </c>
      <c r="AD218" s="3" t="str">
        <f>VLOOKUP(D218,'Position Lookup'!A:B,1,FALSE)</f>
        <v>DEF</v>
      </c>
    </row>
    <row r="219" ht="17.25" customHeight="1">
      <c r="A219" s="10">
        <v>45164.0</v>
      </c>
      <c r="B219" s="1" t="s">
        <v>222</v>
      </c>
      <c r="C219" s="3" t="s">
        <v>114</v>
      </c>
      <c r="D219" s="3" t="s">
        <v>11</v>
      </c>
      <c r="E219" s="5">
        <v>1.0</v>
      </c>
      <c r="G219" s="3" t="s">
        <v>224</v>
      </c>
      <c r="I219" s="3">
        <v>1.0</v>
      </c>
      <c r="J219" s="5">
        <v>0.0</v>
      </c>
      <c r="N219" s="3" t="b">
        <v>1</v>
      </c>
      <c r="R219" s="3">
        <v>0.0</v>
      </c>
      <c r="T219" s="3">
        <v>10.0</v>
      </c>
      <c r="U219" s="2"/>
      <c r="V219" s="2"/>
      <c r="W219" s="70"/>
      <c r="X219" s="71"/>
      <c r="AA219" s="2">
        <f>2+ (P219*'Scoring System'!$B$3)+ (IF(OR(D219="DEF",D219="GK"),N219*'Scoring System'!$B$4,IF(D219="MID",N219*'Scoring System'!$B$5,0)))+ (IF(OR(D219="DEF",D219="GK"),H219*'Scoring System'!$B$6,IF(D219="MID",H219*'Scoring System'!$B$7,IF(D219="ATT",H219*'Scoring System'!$B$8,0))))+ IF(AND(OR(D219="GK",D219="DEF"),J219&gt;=3),1*'Scoring System'!$B$9,0)+ (I219*'Scoring System'!$B$10)+ (K219*'Scoring System'!$B$11)+ (M219*'Scoring System'!$B$12)+ (L219*'Scoring System'!$B$13)+ (O219*'Scoring System'!$B$14)+ (Q219*'Scoring System'!$B$15)+ (R219*'Scoring System'!$B$16)</f>
        <v>11</v>
      </c>
      <c r="AB219" s="72" t="b">
        <f>IFERROR(match(C219,'Match Day Fees'!$B$2:$B$999,0),0)=0</f>
        <v>0</v>
      </c>
      <c r="AC219" s="73">
        <f t="shared" si="1"/>
        <v>0</v>
      </c>
      <c r="AD219" s="3" t="str">
        <f>VLOOKUP(D219,'Position Lookup'!A:B,1,FALSE)</f>
        <v>DEF</v>
      </c>
    </row>
    <row r="220" ht="17.25" customHeight="1">
      <c r="A220" s="10">
        <v>45164.0</v>
      </c>
      <c r="B220" s="1" t="s">
        <v>222</v>
      </c>
      <c r="C220" s="3" t="s">
        <v>67</v>
      </c>
      <c r="D220" s="3" t="s">
        <v>10</v>
      </c>
      <c r="E220" s="5">
        <v>1.0</v>
      </c>
      <c r="G220" s="3" t="s">
        <v>224</v>
      </c>
      <c r="J220" s="5">
        <v>0.0</v>
      </c>
      <c r="N220" s="3" t="b">
        <v>1</v>
      </c>
      <c r="R220" s="3">
        <v>0.0</v>
      </c>
      <c r="T220" s="3">
        <v>10.0</v>
      </c>
      <c r="U220" s="2"/>
      <c r="V220" s="2"/>
      <c r="W220" s="70"/>
      <c r="X220" s="71"/>
      <c r="AA220" s="2">
        <f>2+ (P220*'Scoring System'!$B$3)+ (IF(OR(D220="DEF",D220="GK"),N220*'Scoring System'!$B$4,IF(D220="MID",N220*'Scoring System'!$B$5,0)))+ (IF(OR(D220="DEF",D220="GK"),H220*'Scoring System'!$B$6,IF(D220="MID",H220*'Scoring System'!$B$7,IF(D220="ATT",H220*'Scoring System'!$B$8,0))))+ IF(AND(OR(D220="GK",D220="DEF"),J220&gt;=3),1*'Scoring System'!$B$9,0)+ (I220*'Scoring System'!$B$10)+ (K220*'Scoring System'!$B$11)+ (M220*'Scoring System'!$B$12)+ (L220*'Scoring System'!$B$13)+ (O220*'Scoring System'!$B$14)+ (Q220*'Scoring System'!$B$15)+ (R220*'Scoring System'!$B$16)</f>
        <v>4</v>
      </c>
      <c r="AB220" s="72" t="b">
        <f>IFERROR(match(C220,'Match Day Fees'!$B$2:$B$999,0),0)=0</f>
        <v>0</v>
      </c>
      <c r="AC220" s="73">
        <f t="shared" si="1"/>
        <v>0</v>
      </c>
      <c r="AD220" s="3" t="str">
        <f>VLOOKUP(D220,'Position Lookup'!A:B,1,FALSE)</f>
        <v>MID</v>
      </c>
    </row>
    <row r="221" ht="17.25" customHeight="1">
      <c r="A221" s="10">
        <v>45164.0</v>
      </c>
      <c r="B221" s="1" t="s">
        <v>222</v>
      </c>
      <c r="C221" s="3" t="s">
        <v>274</v>
      </c>
      <c r="D221" s="3" t="s">
        <v>10</v>
      </c>
      <c r="E221" s="5">
        <v>1.0</v>
      </c>
      <c r="G221" s="3" t="s">
        <v>224</v>
      </c>
      <c r="J221" s="5">
        <v>0.0</v>
      </c>
      <c r="N221" s="3" t="b">
        <v>1</v>
      </c>
      <c r="R221" s="3">
        <v>0.0</v>
      </c>
      <c r="T221" s="3">
        <v>5.0</v>
      </c>
      <c r="U221" s="2"/>
      <c r="V221" s="2"/>
      <c r="W221" s="70"/>
      <c r="X221" s="71"/>
      <c r="AA221" s="2">
        <f>2+ (P221*'Scoring System'!$B$3)+ (IF(OR(D221="DEF",D221="GK"),N221*'Scoring System'!$B$4,IF(D221="MID",N221*'Scoring System'!$B$5,0)))+ (IF(OR(D221="DEF",D221="GK"),H221*'Scoring System'!$B$6,IF(D221="MID",H221*'Scoring System'!$B$7,IF(D221="ATT",H221*'Scoring System'!$B$8,0))))+ IF(AND(OR(D221="GK",D221="DEF"),J221&gt;=3),1*'Scoring System'!$B$9,0)+ (I221*'Scoring System'!$B$10)+ (K221*'Scoring System'!$B$11)+ (M221*'Scoring System'!$B$12)+ (L221*'Scoring System'!$B$13)+ (O221*'Scoring System'!$B$14)+ (Q221*'Scoring System'!$B$15)+ (R221*'Scoring System'!$B$16)</f>
        <v>4</v>
      </c>
      <c r="AB221" s="72" t="b">
        <f>IFERROR(match(C221,'Match Day Fees'!$B$2:$B$999,0),0)=0</f>
        <v>0</v>
      </c>
      <c r="AC221" s="73">
        <f t="shared" si="1"/>
        <v>0</v>
      </c>
      <c r="AD221" s="3" t="str">
        <f>VLOOKUP(D221,'Position Lookup'!A:B,1,FALSE)</f>
        <v>MID</v>
      </c>
    </row>
    <row r="222" ht="17.25" customHeight="1">
      <c r="A222" s="10">
        <v>45164.0</v>
      </c>
      <c r="B222" s="1" t="s">
        <v>222</v>
      </c>
      <c r="C222" s="3" t="s">
        <v>104</v>
      </c>
      <c r="D222" s="3" t="s">
        <v>10</v>
      </c>
      <c r="E222" s="5">
        <v>1.0</v>
      </c>
      <c r="G222" s="3" t="s">
        <v>224</v>
      </c>
      <c r="J222" s="5">
        <v>0.0</v>
      </c>
      <c r="N222" s="3" t="b">
        <v>1</v>
      </c>
      <c r="R222" s="3">
        <v>0.0</v>
      </c>
      <c r="T222" s="3">
        <v>5.0</v>
      </c>
      <c r="U222" s="2"/>
      <c r="V222" s="2"/>
      <c r="W222" s="70"/>
      <c r="X222" s="71"/>
      <c r="AA222" s="2">
        <f>2+ (P222*'Scoring System'!$B$3)+ (IF(OR(D222="DEF",D222="GK"),N222*'Scoring System'!$B$4,IF(D222="MID",N222*'Scoring System'!$B$5,0)))+ (IF(OR(D222="DEF",D222="GK"),H222*'Scoring System'!$B$6,IF(D222="MID",H222*'Scoring System'!$B$7,IF(D222="ATT",H222*'Scoring System'!$B$8,0))))+ IF(AND(OR(D222="GK",D222="DEF"),J222&gt;=3),1*'Scoring System'!$B$9,0)+ (I222*'Scoring System'!$B$10)+ (K222*'Scoring System'!$B$11)+ (M222*'Scoring System'!$B$12)+ (L222*'Scoring System'!$B$13)+ (O222*'Scoring System'!$B$14)+ (Q222*'Scoring System'!$B$15)+ (R222*'Scoring System'!$B$16)</f>
        <v>4</v>
      </c>
      <c r="AB222" s="72" t="b">
        <f>IFERROR(match(C222,'Match Day Fees'!$B$2:$B$999,0),0)=0</f>
        <v>0</v>
      </c>
      <c r="AC222" s="73">
        <f t="shared" si="1"/>
        <v>0</v>
      </c>
      <c r="AD222" s="3" t="str">
        <f>VLOOKUP(D222,'Position Lookup'!A:B,1,FALSE)</f>
        <v>MID</v>
      </c>
    </row>
    <row r="223" ht="17.25" customHeight="1">
      <c r="A223" s="10">
        <v>45164.0</v>
      </c>
      <c r="B223" s="1" t="s">
        <v>222</v>
      </c>
      <c r="C223" s="3" t="s">
        <v>47</v>
      </c>
      <c r="D223" s="3" t="s">
        <v>10</v>
      </c>
      <c r="E223" s="5">
        <v>1.0</v>
      </c>
      <c r="G223" s="3" t="s">
        <v>224</v>
      </c>
      <c r="H223" s="3">
        <v>1.0</v>
      </c>
      <c r="J223" s="5">
        <v>0.0</v>
      </c>
      <c r="N223" s="3" t="b">
        <v>1</v>
      </c>
      <c r="R223" s="3">
        <v>0.0</v>
      </c>
      <c r="T223" s="3">
        <v>10.0</v>
      </c>
      <c r="U223" s="2"/>
      <c r="V223" s="2"/>
      <c r="W223" s="70"/>
      <c r="X223" s="71"/>
      <c r="AA223" s="2">
        <f>2+ (P223*'Scoring System'!$B$3)+ (IF(OR(D223="DEF",D223="GK"),N223*'Scoring System'!$B$4,IF(D223="MID",N223*'Scoring System'!$B$5,0)))+ (IF(OR(D223="DEF",D223="GK"),H223*'Scoring System'!$B$6,IF(D223="MID",H223*'Scoring System'!$B$7,IF(D223="ATT",H223*'Scoring System'!$B$8,0))))+ IF(AND(OR(D223="GK",D223="DEF"),J223&gt;=3),1*'Scoring System'!$B$9,0)+ (I223*'Scoring System'!$B$10)+ (K223*'Scoring System'!$B$11)+ (M223*'Scoring System'!$B$12)+ (L223*'Scoring System'!$B$13)+ (O223*'Scoring System'!$B$14)+ (Q223*'Scoring System'!$B$15)+ (R223*'Scoring System'!$B$16)</f>
        <v>9</v>
      </c>
      <c r="AB223" s="72" t="b">
        <f>IFERROR(match(C223,'Match Day Fees'!$B$2:$B$999,0),0)=0</f>
        <v>0</v>
      </c>
      <c r="AC223" s="73">
        <f t="shared" si="1"/>
        <v>0</v>
      </c>
      <c r="AD223" s="3" t="str">
        <f>VLOOKUP(D223,'Position Lookup'!A:B,1,FALSE)</f>
        <v>MID</v>
      </c>
    </row>
    <row r="224" ht="17.25" customHeight="1">
      <c r="A224" s="10">
        <v>45164.0</v>
      </c>
      <c r="B224" s="1" t="s">
        <v>222</v>
      </c>
      <c r="C224" s="3" t="s">
        <v>96</v>
      </c>
      <c r="D224" s="3" t="s">
        <v>9</v>
      </c>
      <c r="E224" s="5">
        <v>1.0</v>
      </c>
      <c r="G224" s="3" t="s">
        <v>224</v>
      </c>
      <c r="J224" s="5">
        <v>0.0</v>
      </c>
      <c r="N224" s="3" t="b">
        <v>1</v>
      </c>
      <c r="R224" s="3">
        <v>0.0</v>
      </c>
      <c r="T224" s="3">
        <v>10.0</v>
      </c>
      <c r="U224" s="2"/>
      <c r="V224" s="2"/>
      <c r="W224" s="70"/>
      <c r="X224" s="71"/>
      <c r="AA224" s="2">
        <f>2+ (P224*'Scoring System'!$B$3)+ (IF(OR(D224="DEF",D224="GK"),N224*'Scoring System'!$B$4,IF(D224="MID",N224*'Scoring System'!$B$5,0)))+ (IF(OR(D224="DEF",D224="GK"),H224*'Scoring System'!$B$6,IF(D224="MID",H224*'Scoring System'!$B$7,IF(D224="ATT",H224*'Scoring System'!$B$8,0))))+ IF(AND(OR(D224="GK",D224="DEF"),J224&gt;=3),1*'Scoring System'!$B$9,0)+ (I224*'Scoring System'!$B$10)+ (K224*'Scoring System'!$B$11)+ (M224*'Scoring System'!$B$12)+ (L224*'Scoring System'!$B$13)+ (O224*'Scoring System'!$B$14)+ (Q224*'Scoring System'!$B$15)+ (R224*'Scoring System'!$B$16)</f>
        <v>2</v>
      </c>
      <c r="AB224" s="72" t="b">
        <f>IFERROR(match(C224,'Match Day Fees'!$B$2:$B$999,0),0)=0</f>
        <v>0</v>
      </c>
      <c r="AC224" s="73">
        <f t="shared" si="1"/>
        <v>0</v>
      </c>
      <c r="AD224" s="3" t="str">
        <f>VLOOKUP(D224,'Position Lookup'!A:B,1,FALSE)</f>
        <v>ATT</v>
      </c>
    </row>
    <row r="225" ht="17.25" customHeight="1">
      <c r="A225" s="10">
        <v>45164.0</v>
      </c>
      <c r="B225" s="1" t="s">
        <v>222</v>
      </c>
      <c r="C225" s="3" t="s">
        <v>272</v>
      </c>
      <c r="D225" s="3" t="s">
        <v>10</v>
      </c>
      <c r="E225" s="5">
        <v>1.0</v>
      </c>
      <c r="G225" s="3" t="s">
        <v>224</v>
      </c>
      <c r="J225" s="5">
        <v>0.0</v>
      </c>
      <c r="N225" s="3" t="b">
        <v>1</v>
      </c>
      <c r="R225" s="3">
        <v>0.0</v>
      </c>
      <c r="T225" s="3">
        <v>10.0</v>
      </c>
      <c r="U225" s="2"/>
      <c r="V225" s="2"/>
      <c r="W225" s="70"/>
      <c r="X225" s="71"/>
      <c r="AA225" s="2">
        <f>2+ (P225*'Scoring System'!$B$3)+ (IF(OR(D225="DEF",D225="GK"),N225*'Scoring System'!$B$4,IF(D225="MID",N225*'Scoring System'!$B$5,0)))+ (IF(OR(D225="DEF",D225="GK"),H225*'Scoring System'!$B$6,IF(D225="MID",H225*'Scoring System'!$B$7,IF(D225="ATT",H225*'Scoring System'!$B$8,0))))+ IF(AND(OR(D225="GK",D225="DEF"),J225&gt;=3),1*'Scoring System'!$B$9,0)+ (I225*'Scoring System'!$B$10)+ (K225*'Scoring System'!$B$11)+ (M225*'Scoring System'!$B$12)+ (L225*'Scoring System'!$B$13)+ (O225*'Scoring System'!$B$14)+ (Q225*'Scoring System'!$B$15)+ (R225*'Scoring System'!$B$16)</f>
        <v>4</v>
      </c>
      <c r="AB225" s="72" t="b">
        <f>IFERROR(match(C225,'Match Day Fees'!$B$2:$B$999,0),0)=0</f>
        <v>0</v>
      </c>
      <c r="AC225" s="73">
        <f t="shared" si="1"/>
        <v>0</v>
      </c>
      <c r="AD225" s="3" t="str">
        <f>VLOOKUP(D225,'Position Lookup'!A:B,1,FALSE)</f>
        <v>MID</v>
      </c>
    </row>
    <row r="226" ht="17.25" customHeight="1">
      <c r="A226" s="10">
        <v>45164.0</v>
      </c>
      <c r="B226" s="1" t="s">
        <v>222</v>
      </c>
      <c r="C226" s="3" t="s">
        <v>239</v>
      </c>
      <c r="D226" s="3" t="s">
        <v>9</v>
      </c>
      <c r="E226" s="5">
        <v>1.0</v>
      </c>
      <c r="G226" s="3" t="s">
        <v>224</v>
      </c>
      <c r="H226" s="3">
        <v>1.0</v>
      </c>
      <c r="J226" s="5">
        <v>0.0</v>
      </c>
      <c r="N226" s="3" t="b">
        <v>1</v>
      </c>
      <c r="R226" s="3">
        <v>0.0</v>
      </c>
      <c r="T226" s="3">
        <v>5.0</v>
      </c>
      <c r="U226" s="2"/>
      <c r="V226" s="2"/>
      <c r="W226" s="70"/>
      <c r="X226" s="71"/>
      <c r="AA226" s="2">
        <f>2+ (P226*'Scoring System'!$B$3)+ (IF(OR(D226="DEF",D226="GK"),N226*'Scoring System'!$B$4,IF(D226="MID",N226*'Scoring System'!$B$5,0)))+ (IF(OR(D226="DEF",D226="GK"),H226*'Scoring System'!$B$6,IF(D226="MID",H226*'Scoring System'!$B$7,IF(D226="ATT",H226*'Scoring System'!$B$8,0))))+ IF(AND(OR(D226="GK",D226="DEF"),J226&gt;=3),1*'Scoring System'!$B$9,0)+ (I226*'Scoring System'!$B$10)+ (K226*'Scoring System'!$B$11)+ (M226*'Scoring System'!$B$12)+ (L226*'Scoring System'!$B$13)+ (O226*'Scoring System'!$B$14)+ (Q226*'Scoring System'!$B$15)+ (R226*'Scoring System'!$B$16)</f>
        <v>6</v>
      </c>
      <c r="AB226" s="72" t="b">
        <f>IFERROR(match(C226,'Match Day Fees'!$B$2:$B$999,0),0)=0</f>
        <v>0</v>
      </c>
      <c r="AC226" s="73">
        <f t="shared" si="1"/>
        <v>0</v>
      </c>
      <c r="AD226" s="3" t="str">
        <f>VLOOKUP(D226,'Position Lookup'!A:B,1,FALSE)</f>
        <v>ATT</v>
      </c>
    </row>
    <row r="227" ht="17.25" customHeight="1">
      <c r="A227" s="10">
        <v>45164.0</v>
      </c>
      <c r="B227" s="1" t="s">
        <v>222</v>
      </c>
      <c r="C227" s="3" t="s">
        <v>123</v>
      </c>
      <c r="D227" s="3" t="s">
        <v>9</v>
      </c>
      <c r="E227" s="5">
        <v>1.0</v>
      </c>
      <c r="G227" s="3" t="s">
        <v>224</v>
      </c>
      <c r="J227" s="5">
        <v>0.0</v>
      </c>
      <c r="N227" s="3" t="b">
        <v>1</v>
      </c>
      <c r="R227" s="3">
        <v>0.0</v>
      </c>
      <c r="T227" s="3">
        <v>5.0</v>
      </c>
      <c r="U227" s="2"/>
      <c r="V227" s="2"/>
      <c r="W227" s="70"/>
      <c r="X227" s="71"/>
      <c r="AA227" s="2">
        <f>2+ (P227*'Scoring System'!$B$3)+ (IF(OR(D227="DEF",D227="GK"),N227*'Scoring System'!$B$4,IF(D227="MID",N227*'Scoring System'!$B$5,0)))+ (IF(OR(D227="DEF",D227="GK"),H227*'Scoring System'!$B$6,IF(D227="MID",H227*'Scoring System'!$B$7,IF(D227="ATT",H227*'Scoring System'!$B$8,0))))+ IF(AND(OR(D227="GK",D227="DEF"),J227&gt;=3),1*'Scoring System'!$B$9,0)+ (I227*'Scoring System'!$B$10)+ (K227*'Scoring System'!$B$11)+ (M227*'Scoring System'!$B$12)+ (L227*'Scoring System'!$B$13)+ (O227*'Scoring System'!$B$14)+ (Q227*'Scoring System'!$B$15)+ (R227*'Scoring System'!$B$16)</f>
        <v>2</v>
      </c>
      <c r="AB227" s="72" t="b">
        <f>IFERROR(match(C227,'Match Day Fees'!$B$2:$B$999,0),0)=0</f>
        <v>0</v>
      </c>
      <c r="AC227" s="73">
        <f t="shared" si="1"/>
        <v>0</v>
      </c>
      <c r="AD227" s="3" t="str">
        <f>VLOOKUP(D227,'Position Lookup'!A:B,1,FALSE)</f>
        <v>ATT</v>
      </c>
    </row>
    <row r="228" ht="17.25" customHeight="1">
      <c r="A228" s="10">
        <v>45164.0</v>
      </c>
      <c r="B228" s="1" t="s">
        <v>222</v>
      </c>
      <c r="C228" s="3" t="s">
        <v>278</v>
      </c>
      <c r="D228" s="3" t="s">
        <v>8</v>
      </c>
      <c r="E228" s="5">
        <v>3.0</v>
      </c>
      <c r="G228" s="3" t="s">
        <v>224</v>
      </c>
      <c r="J228" s="5">
        <v>4.0</v>
      </c>
      <c r="N228" s="3" t="b">
        <v>0</v>
      </c>
      <c r="R228" s="3">
        <v>0.0</v>
      </c>
      <c r="T228" s="3">
        <v>10.0</v>
      </c>
      <c r="U228" s="2"/>
      <c r="V228" s="2"/>
      <c r="W228" s="70"/>
      <c r="X228" s="71"/>
      <c r="AA228" s="2">
        <f>2+ (P228*'Scoring System'!$B$3)+ (IF(OR(D228="DEF",D228="GK"),N228*'Scoring System'!$B$4,IF(D228="MID",N228*'Scoring System'!$B$5,0)))+ (IF(OR(D228="DEF",D228="GK"),H228*'Scoring System'!$B$6,IF(D228="MID",H228*'Scoring System'!$B$7,IF(D228="ATT",H228*'Scoring System'!$B$8,0))))+ IF(AND(OR(D228="GK",D228="DEF"),J228&gt;=3),1*'Scoring System'!$B$9,0)+ (I228*'Scoring System'!$B$10)+ (K228*'Scoring System'!$B$11)+ (M228*'Scoring System'!$B$12)+ (L228*'Scoring System'!$B$13)+ (O228*'Scoring System'!$B$14)+ (Q228*'Scoring System'!$B$15)+ (R228*'Scoring System'!$B$16)</f>
        <v>1</v>
      </c>
      <c r="AB228" s="72" t="b">
        <f>IFERROR(match(C228,'Match Day Fees'!$B$2:$B$999,0),0)=0</f>
        <v>0</v>
      </c>
      <c r="AC228" s="73">
        <f t="shared" si="1"/>
        <v>0</v>
      </c>
      <c r="AD228" s="3" t="str">
        <f>VLOOKUP(D228,'Position Lookup'!A:B,1,FALSE)</f>
        <v>GK</v>
      </c>
    </row>
    <row r="229" ht="17.25" customHeight="1">
      <c r="A229" s="10">
        <v>45164.0</v>
      </c>
      <c r="B229" s="1" t="s">
        <v>222</v>
      </c>
      <c r="C229" s="3" t="s">
        <v>254</v>
      </c>
      <c r="D229" s="3" t="s">
        <v>11</v>
      </c>
      <c r="E229" s="5">
        <v>3.0</v>
      </c>
      <c r="G229" s="3" t="s">
        <v>224</v>
      </c>
      <c r="J229" s="5">
        <v>4.0</v>
      </c>
      <c r="N229" s="3" t="b">
        <v>0</v>
      </c>
      <c r="R229" s="3">
        <v>0.0</v>
      </c>
      <c r="S229" s="3" t="b">
        <v>1</v>
      </c>
      <c r="T229" s="3">
        <v>0.0</v>
      </c>
      <c r="U229" s="2"/>
      <c r="V229" s="2"/>
      <c r="W229" s="70"/>
      <c r="X229" s="71"/>
      <c r="AA229" s="2">
        <f>2+ (P229*'Scoring System'!$B$3)+ (IF(OR(D229="DEF",D229="GK"),N229*'Scoring System'!$B$4,IF(D229="MID",N229*'Scoring System'!$B$5,0)))+ (IF(OR(D229="DEF",D229="GK"),H229*'Scoring System'!$B$6,IF(D229="MID",H229*'Scoring System'!$B$7,IF(D229="ATT",H229*'Scoring System'!$B$8,0))))+ IF(AND(OR(D229="GK",D229="DEF"),J229&gt;=3),1*'Scoring System'!$B$9,0)+ (I229*'Scoring System'!$B$10)+ (K229*'Scoring System'!$B$11)+ (M229*'Scoring System'!$B$12)+ (L229*'Scoring System'!$B$13)+ (O229*'Scoring System'!$B$14)+ (Q229*'Scoring System'!$B$15)+ (R229*'Scoring System'!$B$16)</f>
        <v>1</v>
      </c>
      <c r="AB229" s="72" t="b">
        <f>IFERROR(match(C229,'Match Day Fees'!$B$2:$B$999,0),0)=0</f>
        <v>0</v>
      </c>
      <c r="AC229" s="73">
        <f t="shared" si="1"/>
        <v>0</v>
      </c>
      <c r="AD229" s="3" t="str">
        <f>VLOOKUP(D229,'Position Lookup'!A:B,1,FALSE)</f>
        <v>DEF</v>
      </c>
    </row>
    <row r="230" ht="17.25" customHeight="1">
      <c r="A230" s="10">
        <v>45164.0</v>
      </c>
      <c r="B230" s="1" t="s">
        <v>222</v>
      </c>
      <c r="C230" s="3" t="s">
        <v>91</v>
      </c>
      <c r="D230" s="3" t="s">
        <v>11</v>
      </c>
      <c r="E230" s="5">
        <v>3.0</v>
      </c>
      <c r="G230" s="3" t="s">
        <v>224</v>
      </c>
      <c r="J230" s="5">
        <v>4.0</v>
      </c>
      <c r="N230" s="3" t="b">
        <v>0</v>
      </c>
      <c r="R230" s="3">
        <v>0.0</v>
      </c>
      <c r="T230" s="3">
        <v>5.0</v>
      </c>
      <c r="U230" s="2"/>
      <c r="V230" s="2"/>
      <c r="W230" s="70"/>
      <c r="X230" s="71"/>
      <c r="AA230" s="2">
        <f>2+ (P230*'Scoring System'!$B$3)+ (IF(OR(D230="DEF",D230="GK"),N230*'Scoring System'!$B$4,IF(D230="MID",N230*'Scoring System'!$B$5,0)))+ (IF(OR(D230="DEF",D230="GK"),H230*'Scoring System'!$B$6,IF(D230="MID",H230*'Scoring System'!$B$7,IF(D230="ATT",H230*'Scoring System'!$B$8,0))))+ IF(AND(OR(D230="GK",D230="DEF"),J230&gt;=3),1*'Scoring System'!$B$9,0)+ (I230*'Scoring System'!$B$10)+ (K230*'Scoring System'!$B$11)+ (M230*'Scoring System'!$B$12)+ (L230*'Scoring System'!$B$13)+ (O230*'Scoring System'!$B$14)+ (Q230*'Scoring System'!$B$15)+ (R230*'Scoring System'!$B$16)</f>
        <v>1</v>
      </c>
      <c r="AB230" s="72" t="b">
        <f>IFERROR(match(C230,'Match Day Fees'!$B$2:$B$999,0),0)=0</f>
        <v>0</v>
      </c>
      <c r="AC230" s="73">
        <f t="shared" si="1"/>
        <v>0</v>
      </c>
      <c r="AD230" s="3" t="str">
        <f>VLOOKUP(D230,'Position Lookup'!A:B,1,FALSE)</f>
        <v>DEF</v>
      </c>
    </row>
    <row r="231" ht="17.25" customHeight="1">
      <c r="A231" s="10">
        <v>45164.0</v>
      </c>
      <c r="B231" s="1" t="s">
        <v>222</v>
      </c>
      <c r="C231" s="3" t="s">
        <v>39</v>
      </c>
      <c r="D231" s="3" t="s">
        <v>11</v>
      </c>
      <c r="E231" s="5">
        <v>3.0</v>
      </c>
      <c r="G231" s="3" t="s">
        <v>224</v>
      </c>
      <c r="I231" s="3">
        <v>1.0</v>
      </c>
      <c r="J231" s="5">
        <v>4.0</v>
      </c>
      <c r="N231" s="3" t="b">
        <v>0</v>
      </c>
      <c r="R231" s="3">
        <v>0.0</v>
      </c>
      <c r="T231" s="3">
        <v>10.0</v>
      </c>
      <c r="U231" s="2"/>
      <c r="V231" s="2"/>
      <c r="W231" s="70"/>
      <c r="X231" s="71"/>
      <c r="AA231" s="2">
        <f>2+ (P231*'Scoring System'!$B$3)+ (IF(OR(D231="DEF",D231="GK"),N231*'Scoring System'!$B$4,IF(D231="MID",N231*'Scoring System'!$B$5,0)))+ (IF(OR(D231="DEF",D231="GK"),H231*'Scoring System'!$B$6,IF(D231="MID",H231*'Scoring System'!$B$7,IF(D231="ATT",H231*'Scoring System'!$B$8,0))))+ IF(AND(OR(D231="GK",D231="DEF"),J231&gt;=3),1*'Scoring System'!$B$9,0)+ (I231*'Scoring System'!$B$10)+ (K231*'Scoring System'!$B$11)+ (M231*'Scoring System'!$B$12)+ (L231*'Scoring System'!$B$13)+ (O231*'Scoring System'!$B$14)+ (Q231*'Scoring System'!$B$15)+ (R231*'Scoring System'!$B$16)</f>
        <v>4</v>
      </c>
      <c r="AB231" s="72" t="b">
        <f>IFERROR(match(C231,'Match Day Fees'!$B$2:$B$999,0),0)=0</f>
        <v>0</v>
      </c>
      <c r="AC231" s="73">
        <f t="shared" si="1"/>
        <v>0</v>
      </c>
      <c r="AD231" s="3" t="str">
        <f>VLOOKUP(D231,'Position Lookup'!A:B,1,FALSE)</f>
        <v>DEF</v>
      </c>
    </row>
    <row r="232" ht="17.25" customHeight="1">
      <c r="A232" s="10">
        <v>45164.0</v>
      </c>
      <c r="B232" s="1" t="s">
        <v>222</v>
      </c>
      <c r="C232" s="3" t="s">
        <v>265</v>
      </c>
      <c r="D232" s="3" t="s">
        <v>11</v>
      </c>
      <c r="E232" s="5">
        <v>3.0</v>
      </c>
      <c r="G232" s="3" t="s">
        <v>224</v>
      </c>
      <c r="J232" s="5">
        <v>4.0</v>
      </c>
      <c r="N232" s="3" t="b">
        <v>0</v>
      </c>
      <c r="R232" s="3">
        <v>0.0</v>
      </c>
      <c r="T232" s="3">
        <v>5.0</v>
      </c>
      <c r="U232" s="2"/>
      <c r="V232" s="2"/>
      <c r="W232" s="70"/>
      <c r="X232" s="71"/>
      <c r="AA232" s="2">
        <f>2+ (P232*'Scoring System'!$B$3)+ (IF(OR(D232="DEF",D232="GK"),N232*'Scoring System'!$B$4,IF(D232="MID",N232*'Scoring System'!$B$5,0)))+ (IF(OR(D232="DEF",D232="GK"),H232*'Scoring System'!$B$6,IF(D232="MID",H232*'Scoring System'!$B$7,IF(D232="ATT",H232*'Scoring System'!$B$8,0))))+ IF(AND(OR(D232="GK",D232="DEF"),J232&gt;=3),1*'Scoring System'!$B$9,0)+ (I232*'Scoring System'!$B$10)+ (K232*'Scoring System'!$B$11)+ (M232*'Scoring System'!$B$12)+ (L232*'Scoring System'!$B$13)+ (O232*'Scoring System'!$B$14)+ (Q232*'Scoring System'!$B$15)+ (R232*'Scoring System'!$B$16)</f>
        <v>1</v>
      </c>
      <c r="AB232" s="72" t="b">
        <f>IFERROR(match(C232,'Match Day Fees'!$B$2:$B$999,0),0)=0</f>
        <v>0</v>
      </c>
      <c r="AC232" s="73">
        <f t="shared" si="1"/>
        <v>0</v>
      </c>
      <c r="AD232" s="3" t="str">
        <f>VLOOKUP(D232,'Position Lookup'!A:B,1,FALSE)</f>
        <v>DEF</v>
      </c>
    </row>
    <row r="233" ht="17.25" customHeight="1">
      <c r="A233" s="10">
        <v>45164.0</v>
      </c>
      <c r="B233" s="1" t="s">
        <v>222</v>
      </c>
      <c r="C233" s="3" t="s">
        <v>258</v>
      </c>
      <c r="D233" s="3" t="s">
        <v>10</v>
      </c>
      <c r="E233" s="5">
        <v>3.0</v>
      </c>
      <c r="G233" s="3" t="s">
        <v>224</v>
      </c>
      <c r="I233" s="3">
        <v>1.0</v>
      </c>
      <c r="J233" s="5">
        <v>4.0</v>
      </c>
      <c r="N233" s="3" t="b">
        <v>0</v>
      </c>
      <c r="R233" s="3">
        <v>0.0</v>
      </c>
      <c r="T233" s="3">
        <v>5.0</v>
      </c>
      <c r="U233" s="2"/>
      <c r="V233" s="2"/>
      <c r="W233" s="70"/>
      <c r="X233" s="71"/>
      <c r="AA233" s="2">
        <f>2+ (P233*'Scoring System'!$B$3)+ (IF(OR(D233="DEF",D233="GK"),N233*'Scoring System'!$B$4,IF(D233="MID",N233*'Scoring System'!$B$5,0)))+ (IF(OR(D233="DEF",D233="GK"),H233*'Scoring System'!$B$6,IF(D233="MID",H233*'Scoring System'!$B$7,IF(D233="ATT",H233*'Scoring System'!$B$8,0))))+ IF(AND(OR(D233="GK",D233="DEF"),J233&gt;=3),1*'Scoring System'!$B$9,0)+ (I233*'Scoring System'!$B$10)+ (K233*'Scoring System'!$B$11)+ (M233*'Scoring System'!$B$12)+ (L233*'Scoring System'!$B$13)+ (O233*'Scoring System'!$B$14)+ (Q233*'Scoring System'!$B$15)+ (R233*'Scoring System'!$B$16)</f>
        <v>5</v>
      </c>
      <c r="AB233" s="72" t="b">
        <f>IFERROR(match(C233,'Match Day Fees'!$B$2:$B$999,0),0)=0</f>
        <v>0</v>
      </c>
      <c r="AC233" s="73">
        <f t="shared" si="1"/>
        <v>0</v>
      </c>
      <c r="AD233" s="3" t="str">
        <f>VLOOKUP(D233,'Position Lookup'!A:B,1,FALSE)</f>
        <v>MID</v>
      </c>
    </row>
    <row r="234" ht="17.25" customHeight="1">
      <c r="A234" s="10">
        <v>45164.0</v>
      </c>
      <c r="B234" s="1" t="s">
        <v>222</v>
      </c>
      <c r="C234" s="3" t="s">
        <v>112</v>
      </c>
      <c r="D234" s="3" t="s">
        <v>10</v>
      </c>
      <c r="E234" s="5">
        <v>3.0</v>
      </c>
      <c r="G234" s="3" t="s">
        <v>224</v>
      </c>
      <c r="I234" s="3">
        <v>1.0</v>
      </c>
      <c r="J234" s="5">
        <v>4.0</v>
      </c>
      <c r="N234" s="3" t="b">
        <v>0</v>
      </c>
      <c r="R234" s="3">
        <v>0.0</v>
      </c>
      <c r="T234" s="3">
        <v>10.0</v>
      </c>
      <c r="U234" s="2"/>
      <c r="V234" s="2"/>
      <c r="W234" s="70"/>
      <c r="X234" s="71"/>
      <c r="AA234" s="2">
        <f>2+ (P234*'Scoring System'!$B$3)+ (IF(OR(D234="DEF",D234="GK"),N234*'Scoring System'!$B$4,IF(D234="MID",N234*'Scoring System'!$B$5,0)))+ (IF(OR(D234="DEF",D234="GK"),H234*'Scoring System'!$B$6,IF(D234="MID",H234*'Scoring System'!$B$7,IF(D234="ATT",H234*'Scoring System'!$B$8,0))))+ IF(AND(OR(D234="GK",D234="DEF"),J234&gt;=3),1*'Scoring System'!$B$9,0)+ (I234*'Scoring System'!$B$10)+ (K234*'Scoring System'!$B$11)+ (M234*'Scoring System'!$B$12)+ (L234*'Scoring System'!$B$13)+ (O234*'Scoring System'!$B$14)+ (Q234*'Scoring System'!$B$15)+ (R234*'Scoring System'!$B$16)</f>
        <v>5</v>
      </c>
      <c r="AB234" s="72" t="b">
        <f>IFERROR(match(C234,'Match Day Fees'!$B$2:$B$999,0),0)=0</f>
        <v>0</v>
      </c>
      <c r="AC234" s="73">
        <f t="shared" si="1"/>
        <v>0</v>
      </c>
      <c r="AD234" s="3" t="str">
        <f>VLOOKUP(D234,'Position Lookup'!A:B,1,FALSE)</f>
        <v>MID</v>
      </c>
    </row>
    <row r="235" ht="17.25" customHeight="1">
      <c r="A235" s="10">
        <v>45164.0</v>
      </c>
      <c r="B235" s="1" t="s">
        <v>222</v>
      </c>
      <c r="C235" s="3" t="s">
        <v>295</v>
      </c>
      <c r="D235" s="3" t="s">
        <v>10</v>
      </c>
      <c r="E235" s="5">
        <v>3.0</v>
      </c>
      <c r="G235" s="3" t="s">
        <v>224</v>
      </c>
      <c r="J235" s="5">
        <v>4.0</v>
      </c>
      <c r="N235" s="3" t="b">
        <v>0</v>
      </c>
      <c r="R235" s="3">
        <v>0.0</v>
      </c>
      <c r="T235" s="3">
        <v>10.0</v>
      </c>
      <c r="U235" s="2"/>
      <c r="V235" s="2"/>
      <c r="W235" s="70"/>
      <c r="X235" s="71"/>
      <c r="AA235" s="2">
        <f>2+ (P235*'Scoring System'!$B$3)+ (IF(OR(D235="DEF",D235="GK"),N235*'Scoring System'!$B$4,IF(D235="MID",N235*'Scoring System'!$B$5,0)))+ (IF(OR(D235="DEF",D235="GK"),H235*'Scoring System'!$B$6,IF(D235="MID",H235*'Scoring System'!$B$7,IF(D235="ATT",H235*'Scoring System'!$B$8,0))))+ IF(AND(OR(D235="GK",D235="DEF"),J235&gt;=3),1*'Scoring System'!$B$9,0)+ (I235*'Scoring System'!$B$10)+ (K235*'Scoring System'!$B$11)+ (M235*'Scoring System'!$B$12)+ (L235*'Scoring System'!$B$13)+ (O235*'Scoring System'!$B$14)+ (Q235*'Scoring System'!$B$15)+ (R235*'Scoring System'!$B$16)</f>
        <v>2</v>
      </c>
      <c r="AB235" s="72" t="b">
        <f>IFERROR(match(C235,'Match Day Fees'!$B$2:$B$999,0),0)=0</f>
        <v>0</v>
      </c>
      <c r="AC235" s="73">
        <f t="shared" si="1"/>
        <v>0</v>
      </c>
      <c r="AD235" s="3" t="str">
        <f>VLOOKUP(D235,'Position Lookup'!A:B,1,FALSE)</f>
        <v>MID</v>
      </c>
    </row>
    <row r="236" ht="17.25" customHeight="1">
      <c r="A236" s="10">
        <v>45164.0</v>
      </c>
      <c r="B236" s="1" t="s">
        <v>222</v>
      </c>
      <c r="C236" s="3" t="s">
        <v>151</v>
      </c>
      <c r="D236" s="3" t="s">
        <v>10</v>
      </c>
      <c r="E236" s="5">
        <v>3.0</v>
      </c>
      <c r="G236" s="3" t="s">
        <v>224</v>
      </c>
      <c r="H236" s="3">
        <v>1.0</v>
      </c>
      <c r="J236" s="5">
        <v>4.0</v>
      </c>
      <c r="N236" s="3" t="b">
        <v>0</v>
      </c>
      <c r="R236" s="3">
        <v>0.0</v>
      </c>
      <c r="T236" s="3">
        <v>5.0</v>
      </c>
      <c r="U236" s="2"/>
      <c r="V236" s="2"/>
      <c r="W236" s="70"/>
      <c r="X236" s="71"/>
      <c r="AA236" s="2">
        <f>2+ (P236*'Scoring System'!$B$3)+ (IF(OR(D236="DEF",D236="GK"),N236*'Scoring System'!$B$4,IF(D236="MID",N236*'Scoring System'!$B$5,0)))+ (IF(OR(D236="DEF",D236="GK"),H236*'Scoring System'!$B$6,IF(D236="MID",H236*'Scoring System'!$B$7,IF(D236="ATT",H236*'Scoring System'!$B$8,0))))+ IF(AND(OR(D236="GK",D236="DEF"),J236&gt;=3),1*'Scoring System'!$B$9,0)+ (I236*'Scoring System'!$B$10)+ (K236*'Scoring System'!$B$11)+ (M236*'Scoring System'!$B$12)+ (L236*'Scoring System'!$B$13)+ (O236*'Scoring System'!$B$14)+ (Q236*'Scoring System'!$B$15)+ (R236*'Scoring System'!$B$16)</f>
        <v>7</v>
      </c>
      <c r="AB236" s="72" t="b">
        <f>IFERROR(match(C236,'Match Day Fees'!$B$2:$B$999,0),0)=0</f>
        <v>0</v>
      </c>
      <c r="AC236" s="73">
        <f t="shared" si="1"/>
        <v>0</v>
      </c>
      <c r="AD236" s="3" t="str">
        <f>VLOOKUP(D236,'Position Lookup'!A:B,1,FALSE)</f>
        <v>MID</v>
      </c>
    </row>
    <row r="237" ht="17.25" customHeight="1">
      <c r="A237" s="10">
        <v>45164.0</v>
      </c>
      <c r="B237" s="1" t="s">
        <v>222</v>
      </c>
      <c r="C237" s="3" t="s">
        <v>130</v>
      </c>
      <c r="D237" s="3" t="s">
        <v>10</v>
      </c>
      <c r="E237" s="5">
        <v>3.0</v>
      </c>
      <c r="G237" s="3" t="s">
        <v>224</v>
      </c>
      <c r="H237" s="3">
        <v>1.0</v>
      </c>
      <c r="J237" s="5">
        <v>4.0</v>
      </c>
      <c r="N237" s="3" t="b">
        <v>0</v>
      </c>
      <c r="R237" s="3">
        <v>0.0</v>
      </c>
      <c r="T237" s="3">
        <v>10.0</v>
      </c>
      <c r="U237" s="2"/>
      <c r="V237" s="2"/>
      <c r="W237" s="70"/>
      <c r="X237" s="71"/>
      <c r="AA237" s="2">
        <f>2+ (P237*'Scoring System'!$B$3)+ (IF(OR(D237="DEF",D237="GK"),N237*'Scoring System'!$B$4,IF(D237="MID",N237*'Scoring System'!$B$5,0)))+ (IF(OR(D237="DEF",D237="GK"),H237*'Scoring System'!$B$6,IF(D237="MID",H237*'Scoring System'!$B$7,IF(D237="ATT",H237*'Scoring System'!$B$8,0))))+ IF(AND(OR(D237="GK",D237="DEF"),J237&gt;=3),1*'Scoring System'!$B$9,0)+ (I237*'Scoring System'!$B$10)+ (K237*'Scoring System'!$B$11)+ (M237*'Scoring System'!$B$12)+ (L237*'Scoring System'!$B$13)+ (O237*'Scoring System'!$B$14)+ (Q237*'Scoring System'!$B$15)+ (R237*'Scoring System'!$B$16)</f>
        <v>7</v>
      </c>
      <c r="AB237" s="72" t="b">
        <f>IFERROR(match(C237,'Match Day Fees'!$B$2:$B$999,0),0)=0</f>
        <v>0</v>
      </c>
      <c r="AC237" s="73">
        <f t="shared" si="1"/>
        <v>0</v>
      </c>
      <c r="AD237" s="3" t="str">
        <f>VLOOKUP(D237,'Position Lookup'!A:B,1,FALSE)</f>
        <v>MID</v>
      </c>
    </row>
    <row r="238" ht="17.25" customHeight="1">
      <c r="A238" s="10">
        <v>45164.0</v>
      </c>
      <c r="B238" s="1" t="s">
        <v>222</v>
      </c>
      <c r="C238" s="3" t="s">
        <v>79</v>
      </c>
      <c r="D238" s="3" t="s">
        <v>9</v>
      </c>
      <c r="E238" s="5">
        <v>3.0</v>
      </c>
      <c r="G238" s="3" t="s">
        <v>224</v>
      </c>
      <c r="H238" s="3">
        <v>2.0</v>
      </c>
      <c r="J238" s="5">
        <v>4.0</v>
      </c>
      <c r="N238" s="3" t="b">
        <v>0</v>
      </c>
      <c r="R238" s="3">
        <v>0.0</v>
      </c>
      <c r="T238" s="3">
        <v>10.0</v>
      </c>
      <c r="U238" s="2"/>
      <c r="V238" s="2"/>
      <c r="W238" s="70"/>
      <c r="X238" s="71"/>
      <c r="AA238" s="2">
        <f>2+ (P238*'Scoring System'!$B$3)+ (IF(OR(D238="DEF",D238="GK"),N238*'Scoring System'!$B$4,IF(D238="MID",N238*'Scoring System'!$B$5,0)))+ (IF(OR(D238="DEF",D238="GK"),H238*'Scoring System'!$B$6,IF(D238="MID",H238*'Scoring System'!$B$7,IF(D238="ATT",H238*'Scoring System'!$B$8,0))))+ IF(AND(OR(D238="GK",D238="DEF"),J238&gt;=3),1*'Scoring System'!$B$9,0)+ (I238*'Scoring System'!$B$10)+ (K238*'Scoring System'!$B$11)+ (M238*'Scoring System'!$B$12)+ (L238*'Scoring System'!$B$13)+ (O238*'Scoring System'!$B$14)+ (Q238*'Scoring System'!$B$15)+ (R238*'Scoring System'!$B$16)</f>
        <v>10</v>
      </c>
      <c r="AB238" s="72" t="b">
        <f>IFERROR(match(C238,'Match Day Fees'!$B$2:$B$999,0),0)=0</f>
        <v>0</v>
      </c>
      <c r="AC238" s="73">
        <f t="shared" si="1"/>
        <v>0</v>
      </c>
      <c r="AD238" s="3" t="str">
        <f>VLOOKUP(D238,'Position Lookup'!A:B,1,FALSE)</f>
        <v>ATT</v>
      </c>
    </row>
    <row r="239" ht="17.25" customHeight="1">
      <c r="A239" s="10">
        <v>45164.0</v>
      </c>
      <c r="B239" s="1" t="s">
        <v>222</v>
      </c>
      <c r="C239" s="3" t="s">
        <v>273</v>
      </c>
      <c r="D239" s="3" t="s">
        <v>11</v>
      </c>
      <c r="E239" s="5">
        <v>3.0</v>
      </c>
      <c r="G239" s="3" t="s">
        <v>224</v>
      </c>
      <c r="J239" s="5">
        <v>4.0</v>
      </c>
      <c r="N239" s="3" t="b">
        <v>0</v>
      </c>
      <c r="R239" s="3">
        <v>0.0</v>
      </c>
      <c r="T239" s="3">
        <v>10.0</v>
      </c>
      <c r="U239" s="2"/>
      <c r="V239" s="2"/>
      <c r="W239" s="70"/>
      <c r="X239" s="71"/>
      <c r="AA239" s="2">
        <f>2+ (P239*'Scoring System'!$B$3)+ (IF(OR(D239="DEF",D239="GK"),N239*'Scoring System'!$B$4,IF(D239="MID",N239*'Scoring System'!$B$5,0)))+ (IF(OR(D239="DEF",D239="GK"),H239*'Scoring System'!$B$6,IF(D239="MID",H239*'Scoring System'!$B$7,IF(D239="ATT",H239*'Scoring System'!$B$8,0))))+ IF(AND(OR(D239="GK",D239="DEF"),J239&gt;=3),1*'Scoring System'!$B$9,0)+ (I239*'Scoring System'!$B$10)+ (K239*'Scoring System'!$B$11)+ (M239*'Scoring System'!$B$12)+ (L239*'Scoring System'!$B$13)+ (O239*'Scoring System'!$B$14)+ (Q239*'Scoring System'!$B$15)+ (R239*'Scoring System'!$B$16)</f>
        <v>1</v>
      </c>
      <c r="AB239" s="72" t="b">
        <f>IFERROR(match(C239,'Match Day Fees'!$B$2:$B$999,0),0)=0</f>
        <v>0</v>
      </c>
      <c r="AC239" s="73">
        <f t="shared" si="1"/>
        <v>0</v>
      </c>
      <c r="AD239" s="3" t="str">
        <f>VLOOKUP(D239,'Position Lookup'!A:B,1,FALSE)</f>
        <v>DEF</v>
      </c>
    </row>
    <row r="240" ht="17.25" customHeight="1">
      <c r="A240" s="10">
        <v>45164.0</v>
      </c>
      <c r="B240" s="1" t="s">
        <v>222</v>
      </c>
      <c r="C240" s="3" t="s">
        <v>280</v>
      </c>
      <c r="D240" s="3" t="s">
        <v>9</v>
      </c>
      <c r="E240" s="5">
        <v>3.0</v>
      </c>
      <c r="G240" s="3" t="s">
        <v>224</v>
      </c>
      <c r="J240" s="5">
        <v>4.0</v>
      </c>
      <c r="N240" s="3" t="b">
        <v>0</v>
      </c>
      <c r="R240" s="3">
        <v>0.0</v>
      </c>
      <c r="T240" s="3">
        <v>10.0</v>
      </c>
      <c r="U240" s="2"/>
      <c r="V240" s="2"/>
      <c r="W240" s="70"/>
      <c r="X240" s="71"/>
      <c r="AA240" s="2">
        <f>2+ (P240*'Scoring System'!$B$3)+ (IF(OR(D240="DEF",D240="GK"),N240*'Scoring System'!$B$4,IF(D240="MID",N240*'Scoring System'!$B$5,0)))+ (IF(OR(D240="DEF",D240="GK"),H240*'Scoring System'!$B$6,IF(D240="MID",H240*'Scoring System'!$B$7,IF(D240="ATT",H240*'Scoring System'!$B$8,0))))+ IF(AND(OR(D240="GK",D240="DEF"),J240&gt;=3),1*'Scoring System'!$B$9,0)+ (I240*'Scoring System'!$B$10)+ (K240*'Scoring System'!$B$11)+ (M240*'Scoring System'!$B$12)+ (L240*'Scoring System'!$B$13)+ (O240*'Scoring System'!$B$14)+ (Q240*'Scoring System'!$B$15)+ (R240*'Scoring System'!$B$16)</f>
        <v>2</v>
      </c>
      <c r="AB240" s="72" t="b">
        <f>IFERROR(match(C240,'Match Day Fees'!$B$2:$B$999,0),0)=0</f>
        <v>0</v>
      </c>
      <c r="AC240" s="73">
        <f t="shared" si="1"/>
        <v>0</v>
      </c>
      <c r="AD240" s="3" t="str">
        <f>VLOOKUP(D240,'Position Lookup'!A:B,1,FALSE)</f>
        <v>ATT</v>
      </c>
    </row>
    <row r="241" ht="17.25" customHeight="1">
      <c r="A241" s="10">
        <v>45164.0</v>
      </c>
      <c r="B241" s="1" t="s">
        <v>222</v>
      </c>
      <c r="C241" s="3" t="s">
        <v>78</v>
      </c>
      <c r="D241" s="3" t="s">
        <v>10</v>
      </c>
      <c r="E241" s="5">
        <v>3.0</v>
      </c>
      <c r="G241" s="3" t="s">
        <v>224</v>
      </c>
      <c r="H241" s="3">
        <v>1.0</v>
      </c>
      <c r="I241" s="3">
        <v>1.0</v>
      </c>
      <c r="J241" s="5">
        <v>4.0</v>
      </c>
      <c r="N241" s="3" t="b">
        <v>0</v>
      </c>
      <c r="R241" s="3">
        <v>1.0</v>
      </c>
      <c r="T241" s="3">
        <v>10.0</v>
      </c>
      <c r="U241" s="2"/>
      <c r="V241" s="2"/>
      <c r="W241" s="70"/>
      <c r="X241" s="71"/>
      <c r="AA241" s="2">
        <f>2+ (P241*'Scoring System'!$B$3)+ (IF(OR(D241="DEF",D241="GK"),N241*'Scoring System'!$B$4,IF(D241="MID",N241*'Scoring System'!$B$5,0)))+ (IF(OR(D241="DEF",D241="GK"),H241*'Scoring System'!$B$6,IF(D241="MID",H241*'Scoring System'!$B$7,IF(D241="ATT",H241*'Scoring System'!$B$8,0))))+ IF(AND(OR(D241="GK",D241="DEF"),J241&gt;=3),1*'Scoring System'!$B$9,0)+ (I241*'Scoring System'!$B$10)+ (K241*'Scoring System'!$B$11)+ (M241*'Scoring System'!$B$12)+ (L241*'Scoring System'!$B$13)+ (O241*'Scoring System'!$B$14)+ (Q241*'Scoring System'!$B$15)+ (R241*'Scoring System'!$B$16)</f>
        <v>15</v>
      </c>
      <c r="AB241" s="72" t="b">
        <f>IFERROR(match(C241,'Match Day Fees'!$B$2:$B$999,0),0)=0</f>
        <v>0</v>
      </c>
      <c r="AC241" s="73">
        <f t="shared" si="1"/>
        <v>0</v>
      </c>
      <c r="AD241" s="3" t="str">
        <f>VLOOKUP(D241,'Position Lookup'!A:B,1,FALSE)</f>
        <v>MID</v>
      </c>
    </row>
    <row r="242" ht="17.25" customHeight="1">
      <c r="A242" s="10">
        <v>45164.0</v>
      </c>
      <c r="B242" s="1" t="s">
        <v>222</v>
      </c>
      <c r="C242" s="3" t="s">
        <v>106</v>
      </c>
      <c r="D242" s="3" t="s">
        <v>8</v>
      </c>
      <c r="E242" s="5">
        <v>5.0</v>
      </c>
      <c r="G242" s="3" t="s">
        <v>230</v>
      </c>
      <c r="J242" s="5">
        <v>3.0</v>
      </c>
      <c r="N242" s="3" t="b">
        <v>0</v>
      </c>
      <c r="R242" s="3">
        <v>0.0</v>
      </c>
      <c r="S242" s="3" t="b">
        <v>1</v>
      </c>
      <c r="T242" s="3">
        <v>0.0</v>
      </c>
      <c r="U242" s="2"/>
      <c r="V242" s="2"/>
      <c r="W242" s="70"/>
      <c r="X242" s="71"/>
      <c r="AA242" s="2">
        <f>2+ (P242*'Scoring System'!$B$3)+ (IF(OR(D242="DEF",D242="GK"),N242*'Scoring System'!$B$4,IF(D242="MID",N242*'Scoring System'!$B$5,0)))+ (IF(OR(D242="DEF",D242="GK"),H242*'Scoring System'!$B$6,IF(D242="MID",H242*'Scoring System'!$B$7,IF(D242="ATT",H242*'Scoring System'!$B$8,0))))+ IF(AND(OR(D242="GK",D242="DEF"),J242&gt;=3),1*'Scoring System'!$B$9,0)+ (I242*'Scoring System'!$B$10)+ (K242*'Scoring System'!$B$11)+ (M242*'Scoring System'!$B$12)+ (L242*'Scoring System'!$B$13)+ (O242*'Scoring System'!$B$14)+ (Q242*'Scoring System'!$B$15)+ (R242*'Scoring System'!$B$16)</f>
        <v>1</v>
      </c>
      <c r="AB242" s="72" t="b">
        <f>IFERROR(match(C242,'Match Day Fees'!$B$2:$B$999,0),0)=0</f>
        <v>0</v>
      </c>
      <c r="AC242" s="73">
        <f t="shared" si="1"/>
        <v>0</v>
      </c>
      <c r="AD242" s="3" t="str">
        <f>VLOOKUP(D242,'Position Lookup'!A:B,1,FALSE)</f>
        <v>GK</v>
      </c>
    </row>
    <row r="243" ht="17.25" customHeight="1">
      <c r="A243" s="10">
        <v>45164.0</v>
      </c>
      <c r="B243" s="1" t="s">
        <v>222</v>
      </c>
      <c r="C243" s="3" t="s">
        <v>133</v>
      </c>
      <c r="D243" s="3" t="s">
        <v>11</v>
      </c>
      <c r="E243" s="5">
        <v>5.0</v>
      </c>
      <c r="G243" s="3" t="s">
        <v>230</v>
      </c>
      <c r="J243" s="5">
        <v>3.0</v>
      </c>
      <c r="N243" s="3" t="b">
        <v>0</v>
      </c>
      <c r="R243" s="3">
        <v>0.0</v>
      </c>
      <c r="T243" s="3">
        <v>10.0</v>
      </c>
      <c r="U243" s="2"/>
      <c r="V243" s="2"/>
      <c r="W243" s="70"/>
      <c r="X243" s="71"/>
      <c r="AA243" s="2">
        <f>2+ (P243*'Scoring System'!$B$3)+ (IF(OR(D243="DEF",D243="GK"),N243*'Scoring System'!$B$4,IF(D243="MID",N243*'Scoring System'!$B$5,0)))+ (IF(OR(D243="DEF",D243="GK"),H243*'Scoring System'!$B$6,IF(D243="MID",H243*'Scoring System'!$B$7,IF(D243="ATT",H243*'Scoring System'!$B$8,0))))+ IF(AND(OR(D243="GK",D243="DEF"),J243&gt;=3),1*'Scoring System'!$B$9,0)+ (I243*'Scoring System'!$B$10)+ (K243*'Scoring System'!$B$11)+ (M243*'Scoring System'!$B$12)+ (L243*'Scoring System'!$B$13)+ (O243*'Scoring System'!$B$14)+ (Q243*'Scoring System'!$B$15)+ (R243*'Scoring System'!$B$16)</f>
        <v>1</v>
      </c>
      <c r="AB243" s="72" t="b">
        <f>IFERROR(match(C243,'Match Day Fees'!$B$2:$B$999,0),0)=0</f>
        <v>0</v>
      </c>
      <c r="AC243" s="73">
        <f t="shared" si="1"/>
        <v>0</v>
      </c>
      <c r="AD243" s="3" t="str">
        <f>VLOOKUP(D243,'Position Lookup'!A:B,1,FALSE)</f>
        <v>DEF</v>
      </c>
    </row>
    <row r="244" ht="17.25" customHeight="1">
      <c r="A244" s="10">
        <v>45164.0</v>
      </c>
      <c r="B244" s="1" t="s">
        <v>222</v>
      </c>
      <c r="C244" s="3" t="s">
        <v>248</v>
      </c>
      <c r="D244" s="3" t="s">
        <v>11</v>
      </c>
      <c r="E244" s="5">
        <v>5.0</v>
      </c>
      <c r="G244" s="3" t="s">
        <v>230</v>
      </c>
      <c r="J244" s="5">
        <v>3.0</v>
      </c>
      <c r="N244" s="3" t="b">
        <v>0</v>
      </c>
      <c r="R244" s="3">
        <v>0.0</v>
      </c>
      <c r="T244" s="3">
        <v>5.0</v>
      </c>
      <c r="U244" s="2"/>
      <c r="V244" s="2"/>
      <c r="W244" s="70"/>
      <c r="X244" s="71"/>
      <c r="AA244" s="2">
        <f>2+ (P244*'Scoring System'!$B$3)+ (IF(OR(D244="DEF",D244="GK"),N244*'Scoring System'!$B$4,IF(D244="MID",N244*'Scoring System'!$B$5,0)))+ (IF(OR(D244="DEF",D244="GK"),H244*'Scoring System'!$B$6,IF(D244="MID",H244*'Scoring System'!$B$7,IF(D244="ATT",H244*'Scoring System'!$B$8,0))))+ IF(AND(OR(D244="GK",D244="DEF"),J244&gt;=3),1*'Scoring System'!$B$9,0)+ (I244*'Scoring System'!$B$10)+ (K244*'Scoring System'!$B$11)+ (M244*'Scoring System'!$B$12)+ (L244*'Scoring System'!$B$13)+ (O244*'Scoring System'!$B$14)+ (Q244*'Scoring System'!$B$15)+ (R244*'Scoring System'!$B$16)</f>
        <v>1</v>
      </c>
      <c r="AB244" s="72" t="b">
        <f>IFERROR(match(C244,'Match Day Fees'!$B$2:$B$999,0),0)=0</f>
        <v>0</v>
      </c>
      <c r="AC244" s="73">
        <f t="shared" si="1"/>
        <v>0</v>
      </c>
      <c r="AD244" s="3" t="str">
        <f>VLOOKUP(D244,'Position Lookup'!A:B,1,FALSE)</f>
        <v>DEF</v>
      </c>
    </row>
    <row r="245" ht="17.25" customHeight="1">
      <c r="A245" s="10">
        <v>45164.0</v>
      </c>
      <c r="B245" s="1" t="s">
        <v>222</v>
      </c>
      <c r="C245" s="3" t="s">
        <v>154</v>
      </c>
      <c r="D245" s="3" t="s">
        <v>11</v>
      </c>
      <c r="E245" s="5">
        <v>5.0</v>
      </c>
      <c r="G245" s="3" t="s">
        <v>230</v>
      </c>
      <c r="J245" s="5">
        <v>3.0</v>
      </c>
      <c r="N245" s="3" t="b">
        <v>0</v>
      </c>
      <c r="R245" s="3">
        <v>0.0</v>
      </c>
      <c r="T245" s="3">
        <v>10.0</v>
      </c>
      <c r="U245" s="2"/>
      <c r="V245" s="2"/>
      <c r="W245" s="70"/>
      <c r="X245" s="71"/>
      <c r="AA245" s="2">
        <f>2+ (P245*'Scoring System'!$B$3)+ (IF(OR(D245="DEF",D245="GK"),N245*'Scoring System'!$B$4,IF(D245="MID",N245*'Scoring System'!$B$5,0)))+ (IF(OR(D245="DEF",D245="GK"),H245*'Scoring System'!$B$6,IF(D245="MID",H245*'Scoring System'!$B$7,IF(D245="ATT",H245*'Scoring System'!$B$8,0))))+ IF(AND(OR(D245="GK",D245="DEF"),J245&gt;=3),1*'Scoring System'!$B$9,0)+ (I245*'Scoring System'!$B$10)+ (K245*'Scoring System'!$B$11)+ (M245*'Scoring System'!$B$12)+ (L245*'Scoring System'!$B$13)+ (O245*'Scoring System'!$B$14)+ (Q245*'Scoring System'!$B$15)+ (R245*'Scoring System'!$B$16)</f>
        <v>1</v>
      </c>
      <c r="AB245" s="72" t="b">
        <f>IFERROR(match(C245,'Match Day Fees'!$B$2:$B$999,0),0)=0</f>
        <v>0</v>
      </c>
      <c r="AC245" s="73">
        <f t="shared" si="1"/>
        <v>0</v>
      </c>
      <c r="AD245" s="3" t="str">
        <f>VLOOKUP(D245,'Position Lookup'!A:B,1,FALSE)</f>
        <v>DEF</v>
      </c>
    </row>
    <row r="246" ht="17.25" customHeight="1">
      <c r="A246" s="10">
        <v>45164.0</v>
      </c>
      <c r="B246" s="1" t="s">
        <v>222</v>
      </c>
      <c r="C246" s="3" t="s">
        <v>84</v>
      </c>
      <c r="D246" s="3" t="s">
        <v>11</v>
      </c>
      <c r="E246" s="5">
        <v>5.0</v>
      </c>
      <c r="G246" s="3" t="s">
        <v>230</v>
      </c>
      <c r="I246" s="3">
        <v>1.0</v>
      </c>
      <c r="J246" s="5">
        <v>3.0</v>
      </c>
      <c r="N246" s="3" t="b">
        <v>0</v>
      </c>
      <c r="R246" s="3">
        <v>0.0</v>
      </c>
      <c r="T246" s="3">
        <v>5.0</v>
      </c>
      <c r="U246" s="2"/>
      <c r="V246" s="2"/>
      <c r="W246" s="70"/>
      <c r="X246" s="71"/>
      <c r="AA246" s="2">
        <f>2+ (P246*'Scoring System'!$B$3)+ (IF(OR(D246="DEF",D246="GK"),N246*'Scoring System'!$B$4,IF(D246="MID",N246*'Scoring System'!$B$5,0)))+ (IF(OR(D246="DEF",D246="GK"),H246*'Scoring System'!$B$6,IF(D246="MID",H246*'Scoring System'!$B$7,IF(D246="ATT",H246*'Scoring System'!$B$8,0))))+ IF(AND(OR(D246="GK",D246="DEF"),J246&gt;=3),1*'Scoring System'!$B$9,0)+ (I246*'Scoring System'!$B$10)+ (K246*'Scoring System'!$B$11)+ (M246*'Scoring System'!$B$12)+ (L246*'Scoring System'!$B$13)+ (O246*'Scoring System'!$B$14)+ (Q246*'Scoring System'!$B$15)+ (R246*'Scoring System'!$B$16)</f>
        <v>4</v>
      </c>
      <c r="AB246" s="72" t="b">
        <f>IFERROR(match(C246,'Match Day Fees'!$B$2:$B$999,0),0)=0</f>
        <v>0</v>
      </c>
      <c r="AC246" s="73">
        <f t="shared" si="1"/>
        <v>0</v>
      </c>
      <c r="AD246" s="3" t="str">
        <f>VLOOKUP(D246,'Position Lookup'!A:B,1,FALSE)</f>
        <v>DEF</v>
      </c>
    </row>
    <row r="247" ht="17.25" customHeight="1">
      <c r="A247" s="10">
        <v>45164.0</v>
      </c>
      <c r="B247" s="1" t="s">
        <v>222</v>
      </c>
      <c r="C247" s="3" t="s">
        <v>117</v>
      </c>
      <c r="D247" s="3" t="s">
        <v>10</v>
      </c>
      <c r="E247" s="5">
        <v>5.0</v>
      </c>
      <c r="G247" s="3" t="s">
        <v>230</v>
      </c>
      <c r="J247" s="5">
        <v>3.0</v>
      </c>
      <c r="N247" s="3" t="b">
        <v>0</v>
      </c>
      <c r="R247" s="3">
        <v>0.0</v>
      </c>
      <c r="T247" s="3">
        <v>10.0</v>
      </c>
      <c r="U247" s="2"/>
      <c r="V247" s="2"/>
      <c r="W247" s="70"/>
      <c r="X247" s="71"/>
      <c r="AA247" s="2">
        <f>2+ (P247*'Scoring System'!$B$3)+ (IF(OR(D247="DEF",D247="GK"),N247*'Scoring System'!$B$4,IF(D247="MID",N247*'Scoring System'!$B$5,0)))+ (IF(OR(D247="DEF",D247="GK"),H247*'Scoring System'!$B$6,IF(D247="MID",H247*'Scoring System'!$B$7,IF(D247="ATT",H247*'Scoring System'!$B$8,0))))+ IF(AND(OR(D247="GK",D247="DEF"),J247&gt;=3),1*'Scoring System'!$B$9,0)+ (I247*'Scoring System'!$B$10)+ (K247*'Scoring System'!$B$11)+ (M247*'Scoring System'!$B$12)+ (L247*'Scoring System'!$B$13)+ (O247*'Scoring System'!$B$14)+ (Q247*'Scoring System'!$B$15)+ (R247*'Scoring System'!$B$16)</f>
        <v>2</v>
      </c>
      <c r="AB247" s="72" t="b">
        <f>IFERROR(match(C247,'Match Day Fees'!$B$2:$B$999,0),0)=0</f>
        <v>0</v>
      </c>
      <c r="AC247" s="73">
        <f t="shared" si="1"/>
        <v>0</v>
      </c>
      <c r="AD247" s="3" t="str">
        <f>VLOOKUP(D247,'Position Lookup'!A:B,1,FALSE)</f>
        <v>MID</v>
      </c>
    </row>
    <row r="248" ht="17.25" customHeight="1">
      <c r="A248" s="10">
        <v>45164.0</v>
      </c>
      <c r="B248" s="1" t="s">
        <v>222</v>
      </c>
      <c r="C248" s="3" t="s">
        <v>282</v>
      </c>
      <c r="D248" s="3" t="s">
        <v>10</v>
      </c>
      <c r="E248" s="5">
        <v>5.0</v>
      </c>
      <c r="G248" s="3" t="s">
        <v>230</v>
      </c>
      <c r="J248" s="5">
        <v>3.0</v>
      </c>
      <c r="N248" s="3" t="b">
        <v>0</v>
      </c>
      <c r="R248" s="3">
        <v>0.0</v>
      </c>
      <c r="T248" s="3">
        <v>10.0</v>
      </c>
      <c r="U248" s="2"/>
      <c r="V248" s="2"/>
      <c r="W248" s="70"/>
      <c r="X248" s="71"/>
      <c r="AA248" s="2">
        <f>2+ (P248*'Scoring System'!$B$3)+ (IF(OR(D248="DEF",D248="GK"),N248*'Scoring System'!$B$4,IF(D248="MID",N248*'Scoring System'!$B$5,0)))+ (IF(OR(D248="DEF",D248="GK"),H248*'Scoring System'!$B$6,IF(D248="MID",H248*'Scoring System'!$B$7,IF(D248="ATT",H248*'Scoring System'!$B$8,0))))+ IF(AND(OR(D248="GK",D248="DEF"),J248&gt;=3),1*'Scoring System'!$B$9,0)+ (I248*'Scoring System'!$B$10)+ (K248*'Scoring System'!$B$11)+ (M248*'Scoring System'!$B$12)+ (L248*'Scoring System'!$B$13)+ (O248*'Scoring System'!$B$14)+ (Q248*'Scoring System'!$B$15)+ (R248*'Scoring System'!$B$16)</f>
        <v>2</v>
      </c>
      <c r="AB248" s="72" t="b">
        <f>IFERROR(match(C248,'Match Day Fees'!$B$2:$B$999,0),0)=0</f>
        <v>0</v>
      </c>
      <c r="AC248" s="73">
        <f t="shared" si="1"/>
        <v>0</v>
      </c>
      <c r="AD248" s="3" t="str">
        <f>VLOOKUP(D248,'Position Lookup'!A:B,1,FALSE)</f>
        <v>MID</v>
      </c>
    </row>
    <row r="249" ht="17.25" customHeight="1">
      <c r="A249" s="10">
        <v>45164.0</v>
      </c>
      <c r="B249" s="1" t="s">
        <v>222</v>
      </c>
      <c r="C249" s="3" t="s">
        <v>269</v>
      </c>
      <c r="D249" s="3" t="s">
        <v>10</v>
      </c>
      <c r="E249" s="5">
        <v>5.0</v>
      </c>
      <c r="G249" s="3" t="s">
        <v>230</v>
      </c>
      <c r="J249" s="5">
        <v>3.0</v>
      </c>
      <c r="N249" s="3" t="b">
        <v>0</v>
      </c>
      <c r="R249" s="3">
        <v>0.0</v>
      </c>
      <c r="T249" s="3">
        <v>5.0</v>
      </c>
      <c r="U249" s="2"/>
      <c r="V249" s="2"/>
      <c r="W249" s="70"/>
      <c r="X249" s="71"/>
      <c r="AA249" s="2">
        <f>2+ (P249*'Scoring System'!$B$3)+ (IF(OR(D249="DEF",D249="GK"),N249*'Scoring System'!$B$4,IF(D249="MID",N249*'Scoring System'!$B$5,0)))+ (IF(OR(D249="DEF",D249="GK"),H249*'Scoring System'!$B$6,IF(D249="MID",H249*'Scoring System'!$B$7,IF(D249="ATT",H249*'Scoring System'!$B$8,0))))+ IF(AND(OR(D249="GK",D249="DEF"),J249&gt;=3),1*'Scoring System'!$B$9,0)+ (I249*'Scoring System'!$B$10)+ (K249*'Scoring System'!$B$11)+ (M249*'Scoring System'!$B$12)+ (L249*'Scoring System'!$B$13)+ (O249*'Scoring System'!$B$14)+ (Q249*'Scoring System'!$B$15)+ (R249*'Scoring System'!$B$16)</f>
        <v>2</v>
      </c>
      <c r="AB249" s="72" t="b">
        <f>IFERROR(match(C249,'Match Day Fees'!$B$2:$B$999,0),0)=0</f>
        <v>0</v>
      </c>
      <c r="AC249" s="73">
        <f t="shared" si="1"/>
        <v>0</v>
      </c>
      <c r="AD249" s="3" t="str">
        <f>VLOOKUP(D249,'Position Lookup'!A:B,1,FALSE)</f>
        <v>MID</v>
      </c>
    </row>
    <row r="250" ht="17.25" customHeight="1">
      <c r="A250" s="10">
        <v>45164.0</v>
      </c>
      <c r="B250" s="1" t="s">
        <v>222</v>
      </c>
      <c r="C250" s="3" t="s">
        <v>72</v>
      </c>
      <c r="D250" s="3" t="s">
        <v>10</v>
      </c>
      <c r="E250" s="5">
        <v>5.0</v>
      </c>
      <c r="G250" s="3" t="s">
        <v>230</v>
      </c>
      <c r="J250" s="5">
        <v>3.0</v>
      </c>
      <c r="N250" s="3" t="b">
        <v>0</v>
      </c>
      <c r="R250" s="3">
        <v>0.0</v>
      </c>
      <c r="T250" s="3">
        <v>10.0</v>
      </c>
      <c r="U250" s="2"/>
      <c r="V250" s="2"/>
      <c r="W250" s="70"/>
      <c r="X250" s="71"/>
      <c r="AA250" s="2">
        <f>2+ (P250*'Scoring System'!$B$3)+ (IF(OR(D250="DEF",D250="GK"),N250*'Scoring System'!$B$4,IF(D250="MID",N250*'Scoring System'!$B$5,0)))+ (IF(OR(D250="DEF",D250="GK"),H250*'Scoring System'!$B$6,IF(D250="MID",H250*'Scoring System'!$B$7,IF(D250="ATT",H250*'Scoring System'!$B$8,0))))+ IF(AND(OR(D250="GK",D250="DEF"),J250&gt;=3),1*'Scoring System'!$B$9,0)+ (I250*'Scoring System'!$B$10)+ (K250*'Scoring System'!$B$11)+ (M250*'Scoring System'!$B$12)+ (L250*'Scoring System'!$B$13)+ (O250*'Scoring System'!$B$14)+ (Q250*'Scoring System'!$B$15)+ (R250*'Scoring System'!$B$16)</f>
        <v>2</v>
      </c>
      <c r="AB250" s="72" t="b">
        <f>IFERROR(match(C250,'Match Day Fees'!$B$2:$B$999,0),0)=0</f>
        <v>0</v>
      </c>
      <c r="AC250" s="73">
        <f t="shared" si="1"/>
        <v>0</v>
      </c>
      <c r="AD250" s="3" t="str">
        <f>VLOOKUP(D250,'Position Lookup'!A:B,1,FALSE)</f>
        <v>MID</v>
      </c>
    </row>
    <row r="251" ht="17.25" customHeight="1">
      <c r="A251" s="10">
        <v>45164.0</v>
      </c>
      <c r="B251" s="1" t="s">
        <v>222</v>
      </c>
      <c r="C251" s="3" t="s">
        <v>263</v>
      </c>
      <c r="D251" s="3" t="s">
        <v>10</v>
      </c>
      <c r="E251" s="5">
        <v>5.0</v>
      </c>
      <c r="G251" s="3" t="s">
        <v>230</v>
      </c>
      <c r="J251" s="5">
        <v>3.0</v>
      </c>
      <c r="N251" s="3" t="b">
        <v>0</v>
      </c>
      <c r="R251" s="3">
        <v>0.0</v>
      </c>
      <c r="T251" s="3">
        <v>10.0</v>
      </c>
      <c r="U251" s="2"/>
      <c r="V251" s="2"/>
      <c r="W251" s="70"/>
      <c r="X251" s="71"/>
      <c r="AA251" s="2">
        <f>2+ (P251*'Scoring System'!$B$3)+ (IF(OR(D251="DEF",D251="GK"),N251*'Scoring System'!$B$4,IF(D251="MID",N251*'Scoring System'!$B$5,0)))+ (IF(OR(D251="DEF",D251="GK"),H251*'Scoring System'!$B$6,IF(D251="MID",H251*'Scoring System'!$B$7,IF(D251="ATT",H251*'Scoring System'!$B$8,0))))+ IF(AND(OR(D251="GK",D251="DEF"),J251&gt;=3),1*'Scoring System'!$B$9,0)+ (I251*'Scoring System'!$B$10)+ (K251*'Scoring System'!$B$11)+ (M251*'Scoring System'!$B$12)+ (L251*'Scoring System'!$B$13)+ (O251*'Scoring System'!$B$14)+ (Q251*'Scoring System'!$B$15)+ (R251*'Scoring System'!$B$16)</f>
        <v>2</v>
      </c>
      <c r="AB251" s="72" t="b">
        <f>IFERROR(match(C251,'Match Day Fees'!$B$2:$B$999,0),0)=0</f>
        <v>0</v>
      </c>
      <c r="AC251" s="73">
        <f t="shared" si="1"/>
        <v>0</v>
      </c>
      <c r="AD251" s="3" t="str">
        <f>VLOOKUP(D251,'Position Lookup'!A:B,1,FALSE)</f>
        <v>MID</v>
      </c>
    </row>
    <row r="252" ht="17.25" customHeight="1">
      <c r="A252" s="10">
        <v>45164.0</v>
      </c>
      <c r="B252" s="1" t="s">
        <v>222</v>
      </c>
      <c r="C252" s="3" t="s">
        <v>124</v>
      </c>
      <c r="D252" s="3" t="s">
        <v>9</v>
      </c>
      <c r="E252" s="5">
        <v>5.0</v>
      </c>
      <c r="G252" s="3" t="s">
        <v>230</v>
      </c>
      <c r="H252" s="3">
        <v>1.0</v>
      </c>
      <c r="J252" s="5">
        <v>3.0</v>
      </c>
      <c r="N252" s="3" t="b">
        <v>0</v>
      </c>
      <c r="R252" s="3">
        <v>1.0</v>
      </c>
      <c r="T252" s="3">
        <v>10.0</v>
      </c>
      <c r="U252" s="2"/>
      <c r="V252" s="2"/>
      <c r="W252" s="70"/>
      <c r="X252" s="71"/>
      <c r="AA252" s="2">
        <f>2+ (P252*'Scoring System'!$B$3)+ (IF(OR(D252="DEF",D252="GK"),N252*'Scoring System'!$B$4,IF(D252="MID",N252*'Scoring System'!$B$5,0)))+ (IF(OR(D252="DEF",D252="GK"),H252*'Scoring System'!$B$6,IF(D252="MID",H252*'Scoring System'!$B$7,IF(D252="ATT",H252*'Scoring System'!$B$8,0))))+ IF(AND(OR(D252="GK",D252="DEF"),J252&gt;=3),1*'Scoring System'!$B$9,0)+ (I252*'Scoring System'!$B$10)+ (K252*'Scoring System'!$B$11)+ (M252*'Scoring System'!$B$12)+ (L252*'Scoring System'!$B$13)+ (O252*'Scoring System'!$B$14)+ (Q252*'Scoring System'!$B$15)+ (R252*'Scoring System'!$B$16)</f>
        <v>11</v>
      </c>
      <c r="AB252" s="72" t="b">
        <f>IFERROR(match(C252,'Match Day Fees'!$B$2:$B$999,0),0)=0</f>
        <v>0</v>
      </c>
      <c r="AC252" s="73">
        <f t="shared" si="1"/>
        <v>0</v>
      </c>
      <c r="AD252" s="3" t="str">
        <f>VLOOKUP(D252,'Position Lookup'!A:B,1,FALSE)</f>
        <v>ATT</v>
      </c>
    </row>
    <row r="253" ht="17.25" customHeight="1">
      <c r="A253" s="10">
        <v>45164.0</v>
      </c>
      <c r="B253" s="1" t="s">
        <v>222</v>
      </c>
      <c r="C253" s="3" t="s">
        <v>296</v>
      </c>
      <c r="E253" s="5">
        <v>5.0</v>
      </c>
      <c r="G253" s="3" t="s">
        <v>230</v>
      </c>
      <c r="J253" s="5">
        <v>3.0</v>
      </c>
      <c r="N253" s="3" t="b">
        <v>0</v>
      </c>
      <c r="R253" s="3">
        <v>0.0</v>
      </c>
      <c r="T253" s="3">
        <v>10.0</v>
      </c>
      <c r="U253" s="2"/>
      <c r="V253" s="2"/>
      <c r="W253" s="70"/>
      <c r="X253" s="71"/>
      <c r="AA253" s="2">
        <f>2+ (P253*'Scoring System'!$B$3)+ (IF(OR(D253="DEF",D253="GK"),N253*'Scoring System'!$B$4,IF(D253="MID",N253*'Scoring System'!$B$5,0)))+ (IF(OR(D253="DEF",D253="GK"),H253*'Scoring System'!$B$6,IF(D253="MID",H253*'Scoring System'!$B$7,IF(D253="ATT",H253*'Scoring System'!$B$8,0))))+ IF(AND(OR(D253="GK",D253="DEF"),J253&gt;=3),1*'Scoring System'!$B$9,0)+ (I253*'Scoring System'!$B$10)+ (K253*'Scoring System'!$B$11)+ (M253*'Scoring System'!$B$12)+ (L253*'Scoring System'!$B$13)+ (O253*'Scoring System'!$B$14)+ (Q253*'Scoring System'!$B$15)+ (R253*'Scoring System'!$B$16)</f>
        <v>2</v>
      </c>
      <c r="AB253" s="72" t="b">
        <f>IFERROR(match(C253,'Match Day Fees'!$B$2:$B$999,0),0)=0</f>
        <v>0</v>
      </c>
      <c r="AC253" s="73">
        <f t="shared" si="1"/>
        <v>0</v>
      </c>
      <c r="AD253" s="3" t="str">
        <f>VLOOKUP(D253,'Position Lookup'!A:B,1,FALSE)</f>
        <v>#N/A</v>
      </c>
    </row>
    <row r="254" ht="17.25" customHeight="1">
      <c r="A254" s="10">
        <v>45164.0</v>
      </c>
      <c r="B254" s="1" t="s">
        <v>222</v>
      </c>
      <c r="C254" s="3" t="s">
        <v>228</v>
      </c>
      <c r="D254" s="3" t="s">
        <v>8</v>
      </c>
      <c r="E254" s="5">
        <v>6.0</v>
      </c>
      <c r="G254" s="3" t="s">
        <v>230</v>
      </c>
      <c r="J254" s="5">
        <v>2.0</v>
      </c>
      <c r="N254" s="3" t="b">
        <v>0</v>
      </c>
      <c r="R254" s="3">
        <v>0.0</v>
      </c>
      <c r="T254" s="3">
        <v>10.0</v>
      </c>
      <c r="U254" s="2"/>
      <c r="V254" s="2"/>
      <c r="W254" s="70"/>
      <c r="X254" s="71"/>
      <c r="AA254" s="2">
        <f>2+ (P254*'Scoring System'!$B$3)+ (IF(OR(D254="DEF",D254="GK"),N254*'Scoring System'!$B$4,IF(D254="MID",N254*'Scoring System'!$B$5,0)))+ (IF(OR(D254="DEF",D254="GK"),H254*'Scoring System'!$B$6,IF(D254="MID",H254*'Scoring System'!$B$7,IF(D254="ATT",H254*'Scoring System'!$B$8,0))))+ IF(AND(OR(D254="GK",D254="DEF"),J254&gt;=3),1*'Scoring System'!$B$9,0)+ (I254*'Scoring System'!$B$10)+ (K254*'Scoring System'!$B$11)+ (M254*'Scoring System'!$B$12)+ (L254*'Scoring System'!$B$13)+ (O254*'Scoring System'!$B$14)+ (Q254*'Scoring System'!$B$15)+ (R254*'Scoring System'!$B$16)</f>
        <v>2</v>
      </c>
      <c r="AB254" s="72" t="b">
        <f>IFERROR(match(C254,'Match Day Fees'!$B$2:$B$999,0),0)=0</f>
        <v>0</v>
      </c>
      <c r="AC254" s="73">
        <f t="shared" si="1"/>
        <v>0</v>
      </c>
      <c r="AD254" s="3" t="str">
        <f>VLOOKUP(D254,'Position Lookup'!A:B,1,FALSE)</f>
        <v>GK</v>
      </c>
    </row>
    <row r="255" ht="17.25" customHeight="1">
      <c r="A255" s="10">
        <v>45164.0</v>
      </c>
      <c r="B255" s="1" t="s">
        <v>222</v>
      </c>
      <c r="C255" s="3" t="s">
        <v>98</v>
      </c>
      <c r="D255" s="3" t="s">
        <v>11</v>
      </c>
      <c r="E255" s="5">
        <v>6.0</v>
      </c>
      <c r="G255" s="3" t="s">
        <v>230</v>
      </c>
      <c r="I255" s="3">
        <v>1.0</v>
      </c>
      <c r="J255" s="5">
        <v>2.0</v>
      </c>
      <c r="N255" s="3" t="b">
        <v>0</v>
      </c>
      <c r="R255" s="3">
        <v>0.0</v>
      </c>
      <c r="T255" s="3">
        <v>10.0</v>
      </c>
      <c r="U255" s="2"/>
      <c r="V255" s="2"/>
      <c r="W255" s="70"/>
      <c r="X255" s="71"/>
      <c r="AA255" s="2">
        <f>2+ (P255*'Scoring System'!$B$3)+ (IF(OR(D255="DEF",D255="GK"),N255*'Scoring System'!$B$4,IF(D255="MID",N255*'Scoring System'!$B$5,0)))+ (IF(OR(D255="DEF",D255="GK"),H255*'Scoring System'!$B$6,IF(D255="MID",H255*'Scoring System'!$B$7,IF(D255="ATT",H255*'Scoring System'!$B$8,0))))+ IF(AND(OR(D255="GK",D255="DEF"),J255&gt;=3),1*'Scoring System'!$B$9,0)+ (I255*'Scoring System'!$B$10)+ (K255*'Scoring System'!$B$11)+ (M255*'Scoring System'!$B$12)+ (L255*'Scoring System'!$B$13)+ (O255*'Scoring System'!$B$14)+ (Q255*'Scoring System'!$B$15)+ (R255*'Scoring System'!$B$16)</f>
        <v>5</v>
      </c>
      <c r="AB255" s="72" t="b">
        <f>IFERROR(match(C255,'Match Day Fees'!$B$2:$B$999,0),0)=0</f>
        <v>0</v>
      </c>
      <c r="AC255" s="73">
        <f t="shared" si="1"/>
        <v>0</v>
      </c>
      <c r="AD255" s="3" t="str">
        <f>VLOOKUP(D255,'Position Lookup'!A:B,1,FALSE)</f>
        <v>DEF</v>
      </c>
    </row>
    <row r="256" ht="17.25" customHeight="1">
      <c r="A256" s="10">
        <v>45164.0</v>
      </c>
      <c r="B256" s="1" t="s">
        <v>222</v>
      </c>
      <c r="C256" s="3" t="s">
        <v>99</v>
      </c>
      <c r="D256" s="3" t="s">
        <v>11</v>
      </c>
      <c r="E256" s="5">
        <v>6.0</v>
      </c>
      <c r="G256" s="3" t="s">
        <v>230</v>
      </c>
      <c r="J256" s="5">
        <v>2.0</v>
      </c>
      <c r="N256" s="3" t="b">
        <v>0</v>
      </c>
      <c r="R256" s="3">
        <v>0.0</v>
      </c>
      <c r="T256" s="3">
        <v>10.0</v>
      </c>
      <c r="U256" s="2"/>
      <c r="V256" s="2"/>
      <c r="W256" s="70"/>
      <c r="X256" s="71"/>
      <c r="AA256" s="2">
        <f>2+ (P256*'Scoring System'!$B$3)+ (IF(OR(D256="DEF",D256="GK"),N256*'Scoring System'!$B$4,IF(D256="MID",N256*'Scoring System'!$B$5,0)))+ (IF(OR(D256="DEF",D256="GK"),H256*'Scoring System'!$B$6,IF(D256="MID",H256*'Scoring System'!$B$7,IF(D256="ATT",H256*'Scoring System'!$B$8,0))))+ IF(AND(OR(D256="GK",D256="DEF"),J256&gt;=3),1*'Scoring System'!$B$9,0)+ (I256*'Scoring System'!$B$10)+ (K256*'Scoring System'!$B$11)+ (M256*'Scoring System'!$B$12)+ (L256*'Scoring System'!$B$13)+ (O256*'Scoring System'!$B$14)+ (Q256*'Scoring System'!$B$15)+ (R256*'Scoring System'!$B$16)</f>
        <v>2</v>
      </c>
      <c r="AB256" s="72" t="b">
        <f>IFERROR(match(C256,'Match Day Fees'!$B$2:$B$999,0),0)=0</f>
        <v>0</v>
      </c>
      <c r="AC256" s="73">
        <f t="shared" si="1"/>
        <v>0</v>
      </c>
      <c r="AD256" s="3" t="str">
        <f>VLOOKUP(D256,'Position Lookup'!A:B,1,FALSE)</f>
        <v>DEF</v>
      </c>
    </row>
    <row r="257" ht="17.25" customHeight="1">
      <c r="A257" s="10">
        <v>45164.0</v>
      </c>
      <c r="B257" s="1" t="s">
        <v>222</v>
      </c>
      <c r="C257" s="3" t="s">
        <v>97</v>
      </c>
      <c r="D257" s="3" t="s">
        <v>10</v>
      </c>
      <c r="E257" s="5">
        <v>6.0</v>
      </c>
      <c r="G257" s="3" t="s">
        <v>230</v>
      </c>
      <c r="J257" s="5">
        <v>2.0</v>
      </c>
      <c r="N257" s="3" t="b">
        <v>0</v>
      </c>
      <c r="R257" s="3">
        <v>0.0</v>
      </c>
      <c r="T257" s="3">
        <v>5.0</v>
      </c>
      <c r="U257" s="2"/>
      <c r="V257" s="2"/>
      <c r="W257" s="70"/>
      <c r="X257" s="71"/>
      <c r="AA257" s="2">
        <f>2+ (P257*'Scoring System'!$B$3)+ (IF(OR(D257="DEF",D257="GK"),N257*'Scoring System'!$B$4,IF(D257="MID",N257*'Scoring System'!$B$5,0)))+ (IF(OR(D257="DEF",D257="GK"),H257*'Scoring System'!$B$6,IF(D257="MID",H257*'Scoring System'!$B$7,IF(D257="ATT",H257*'Scoring System'!$B$8,0))))+ IF(AND(OR(D257="GK",D257="DEF"),J257&gt;=3),1*'Scoring System'!$B$9,0)+ (I257*'Scoring System'!$B$10)+ (K257*'Scoring System'!$B$11)+ (M257*'Scoring System'!$B$12)+ (L257*'Scoring System'!$B$13)+ (O257*'Scoring System'!$B$14)+ (Q257*'Scoring System'!$B$15)+ (R257*'Scoring System'!$B$16)</f>
        <v>2</v>
      </c>
      <c r="AB257" s="72" t="b">
        <f>IFERROR(match(C257,'Match Day Fees'!$B$2:$B$999,0),0)=0</f>
        <v>0</v>
      </c>
      <c r="AC257" s="73">
        <f t="shared" si="1"/>
        <v>0</v>
      </c>
      <c r="AD257" s="3" t="str">
        <f>VLOOKUP(D257,'Position Lookup'!A:B,1,FALSE)</f>
        <v>MID</v>
      </c>
    </row>
    <row r="258" ht="17.25" customHeight="1">
      <c r="A258" s="10">
        <v>45164.0</v>
      </c>
      <c r="B258" s="1" t="s">
        <v>222</v>
      </c>
      <c r="C258" s="3" t="s">
        <v>108</v>
      </c>
      <c r="D258" s="3" t="s">
        <v>11</v>
      </c>
      <c r="E258" s="5">
        <v>6.0</v>
      </c>
      <c r="G258" s="3" t="s">
        <v>230</v>
      </c>
      <c r="J258" s="5">
        <v>2.0</v>
      </c>
      <c r="N258" s="3" t="b">
        <v>0</v>
      </c>
      <c r="R258" s="3">
        <v>0.0</v>
      </c>
      <c r="T258" s="3">
        <v>10.0</v>
      </c>
      <c r="U258" s="2"/>
      <c r="V258" s="2"/>
      <c r="W258" s="70"/>
      <c r="X258" s="71"/>
      <c r="AA258" s="2">
        <f>2+ (P258*'Scoring System'!$B$3)+ (IF(OR(D258="DEF",D258="GK"),N258*'Scoring System'!$B$4,IF(D258="MID",N258*'Scoring System'!$B$5,0)))+ (IF(OR(D258="DEF",D258="GK"),H258*'Scoring System'!$B$6,IF(D258="MID",H258*'Scoring System'!$B$7,IF(D258="ATT",H258*'Scoring System'!$B$8,0))))+ IF(AND(OR(D258="GK",D258="DEF"),J258&gt;=3),1*'Scoring System'!$B$9,0)+ (I258*'Scoring System'!$B$10)+ (K258*'Scoring System'!$B$11)+ (M258*'Scoring System'!$B$12)+ (L258*'Scoring System'!$B$13)+ (O258*'Scoring System'!$B$14)+ (Q258*'Scoring System'!$B$15)+ (R258*'Scoring System'!$B$16)</f>
        <v>2</v>
      </c>
      <c r="AB258" s="72" t="b">
        <f>IFERROR(match(C258,'Match Day Fees'!$B$2:$B$999,0),0)=0</f>
        <v>0</v>
      </c>
      <c r="AC258" s="73">
        <f t="shared" si="1"/>
        <v>0</v>
      </c>
      <c r="AD258" s="3" t="str">
        <f>VLOOKUP(D258,'Position Lookup'!A:B,1,FALSE)</f>
        <v>DEF</v>
      </c>
    </row>
    <row r="259" ht="17.25" customHeight="1">
      <c r="A259" s="10">
        <v>45164.0</v>
      </c>
      <c r="B259" s="1" t="s">
        <v>222</v>
      </c>
      <c r="C259" s="3" t="s">
        <v>231</v>
      </c>
      <c r="D259" s="3" t="s">
        <v>11</v>
      </c>
      <c r="E259" s="5">
        <v>6.0</v>
      </c>
      <c r="G259" s="3" t="s">
        <v>230</v>
      </c>
      <c r="J259" s="5">
        <v>2.0</v>
      </c>
      <c r="N259" s="3" t="b">
        <v>0</v>
      </c>
      <c r="R259" s="3">
        <v>0.0</v>
      </c>
      <c r="S259" s="3" t="b">
        <v>1</v>
      </c>
      <c r="T259" s="5">
        <v>0.0</v>
      </c>
      <c r="U259" s="2"/>
      <c r="V259" s="2"/>
      <c r="W259" s="70"/>
      <c r="X259" s="71"/>
      <c r="AA259" s="2">
        <f>2+ (P259*'Scoring System'!$B$3)+ (IF(OR(D259="DEF",D259="GK"),N259*'Scoring System'!$B$4,IF(D259="MID",N259*'Scoring System'!$B$5,0)))+ (IF(OR(D259="DEF",D259="GK"),H259*'Scoring System'!$B$6,IF(D259="MID",H259*'Scoring System'!$B$7,IF(D259="ATT",H259*'Scoring System'!$B$8,0))))+ IF(AND(OR(D259="GK",D259="DEF"),J259&gt;=3),1*'Scoring System'!$B$9,0)+ (I259*'Scoring System'!$B$10)+ (K259*'Scoring System'!$B$11)+ (M259*'Scoring System'!$B$12)+ (L259*'Scoring System'!$B$13)+ (O259*'Scoring System'!$B$14)+ (Q259*'Scoring System'!$B$15)+ (R259*'Scoring System'!$B$16)</f>
        <v>2</v>
      </c>
      <c r="AB259" s="72" t="b">
        <f>IFERROR(match(C259,'Match Day Fees'!$B$2:$B$999,0),0)=0</f>
        <v>0</v>
      </c>
      <c r="AC259" s="73">
        <f t="shared" si="1"/>
        <v>0</v>
      </c>
      <c r="AD259" s="3" t="str">
        <f>VLOOKUP(D259,'Position Lookup'!A:B,1,FALSE)</f>
        <v>DEF</v>
      </c>
    </row>
    <row r="260" ht="17.25" customHeight="1">
      <c r="A260" s="10">
        <v>45164.0</v>
      </c>
      <c r="B260" s="1" t="s">
        <v>222</v>
      </c>
      <c r="C260" s="3" t="s">
        <v>90</v>
      </c>
      <c r="D260" s="3" t="s">
        <v>10</v>
      </c>
      <c r="E260" s="5">
        <v>6.0</v>
      </c>
      <c r="G260" s="3" t="s">
        <v>230</v>
      </c>
      <c r="J260" s="5">
        <v>2.0</v>
      </c>
      <c r="N260" s="3" t="b">
        <v>0</v>
      </c>
      <c r="R260" s="3">
        <v>0.0</v>
      </c>
      <c r="T260" s="3">
        <v>10.0</v>
      </c>
      <c r="U260" s="2"/>
      <c r="V260" s="2"/>
      <c r="W260" s="70"/>
      <c r="X260" s="71"/>
      <c r="AA260" s="2">
        <f>2+ (P260*'Scoring System'!$B$3)+ (IF(OR(D260="DEF",D260="GK"),N260*'Scoring System'!$B$4,IF(D260="MID",N260*'Scoring System'!$B$5,0)))+ (IF(OR(D260="DEF",D260="GK"),H260*'Scoring System'!$B$6,IF(D260="MID",H260*'Scoring System'!$B$7,IF(D260="ATT",H260*'Scoring System'!$B$8,0))))+ IF(AND(OR(D260="GK",D260="DEF"),J260&gt;=3),1*'Scoring System'!$B$9,0)+ (I260*'Scoring System'!$B$10)+ (K260*'Scoring System'!$B$11)+ (M260*'Scoring System'!$B$12)+ (L260*'Scoring System'!$B$13)+ (O260*'Scoring System'!$B$14)+ (Q260*'Scoring System'!$B$15)+ (R260*'Scoring System'!$B$16)</f>
        <v>2</v>
      </c>
      <c r="AB260" s="72" t="b">
        <f>IFERROR(match(C260,'Match Day Fees'!$B$2:$B$999,0),0)=0</f>
        <v>0</v>
      </c>
      <c r="AC260" s="73">
        <f t="shared" si="1"/>
        <v>0</v>
      </c>
      <c r="AD260" s="3" t="str">
        <f>VLOOKUP(D260,'Position Lookup'!A:B,1,FALSE)</f>
        <v>MID</v>
      </c>
    </row>
    <row r="261" ht="17.25" customHeight="1">
      <c r="A261" s="10">
        <v>45164.0</v>
      </c>
      <c r="B261" s="1" t="s">
        <v>222</v>
      </c>
      <c r="C261" s="3" t="s">
        <v>232</v>
      </c>
      <c r="D261" s="3" t="s">
        <v>10</v>
      </c>
      <c r="E261" s="5">
        <v>6.0</v>
      </c>
      <c r="G261" s="3" t="s">
        <v>230</v>
      </c>
      <c r="J261" s="5">
        <v>2.0</v>
      </c>
      <c r="N261" s="3" t="b">
        <v>0</v>
      </c>
      <c r="R261" s="3">
        <v>1.0</v>
      </c>
      <c r="T261" s="3">
        <v>10.0</v>
      </c>
      <c r="U261" s="2"/>
      <c r="V261" s="2"/>
      <c r="W261" s="70"/>
      <c r="X261" s="71"/>
      <c r="AA261" s="2">
        <f>2+ (P261*'Scoring System'!$B$3)+ (IF(OR(D261="DEF",D261="GK"),N261*'Scoring System'!$B$4,IF(D261="MID",N261*'Scoring System'!$B$5,0)))+ (IF(OR(D261="DEF",D261="GK"),H261*'Scoring System'!$B$6,IF(D261="MID",H261*'Scoring System'!$B$7,IF(D261="ATT",H261*'Scoring System'!$B$8,0))))+ IF(AND(OR(D261="GK",D261="DEF"),J261&gt;=3),1*'Scoring System'!$B$9,0)+ (I261*'Scoring System'!$B$10)+ (K261*'Scoring System'!$B$11)+ (M261*'Scoring System'!$B$12)+ (L261*'Scoring System'!$B$13)+ (O261*'Scoring System'!$B$14)+ (Q261*'Scoring System'!$B$15)+ (R261*'Scoring System'!$B$16)</f>
        <v>7</v>
      </c>
      <c r="AB261" s="72" t="b">
        <f>IFERROR(match(C261,'Match Day Fees'!$B$2:$B$999,0),0)=0</f>
        <v>0</v>
      </c>
      <c r="AC261" s="73">
        <f t="shared" si="1"/>
        <v>0</v>
      </c>
      <c r="AD261" s="3" t="str">
        <f>VLOOKUP(D261,'Position Lookup'!A:B,1,FALSE)</f>
        <v>MID</v>
      </c>
    </row>
    <row r="262" ht="17.25" customHeight="1">
      <c r="A262" s="10">
        <v>45164.0</v>
      </c>
      <c r="B262" s="1" t="s">
        <v>222</v>
      </c>
      <c r="C262" s="5" t="s">
        <v>297</v>
      </c>
      <c r="D262" s="3" t="s">
        <v>10</v>
      </c>
      <c r="E262" s="5">
        <v>6.0</v>
      </c>
      <c r="G262" s="3" t="s">
        <v>230</v>
      </c>
      <c r="J262" s="5">
        <v>2.0</v>
      </c>
      <c r="N262" s="3" t="b">
        <v>0</v>
      </c>
      <c r="R262" s="3">
        <v>0.0</v>
      </c>
      <c r="T262" s="3">
        <v>5.0</v>
      </c>
      <c r="U262" s="2"/>
      <c r="V262" s="2"/>
      <c r="W262" s="70"/>
      <c r="X262" s="71"/>
      <c r="AA262" s="2">
        <f>2+ (P262*'Scoring System'!$B$3)+ (IF(OR(D262="DEF",D262="GK"),N262*'Scoring System'!$B$4,IF(D262="MID",N262*'Scoring System'!$B$5,0)))+ (IF(OR(D262="DEF",D262="GK"),H262*'Scoring System'!$B$6,IF(D262="MID",H262*'Scoring System'!$B$7,IF(D262="ATT",H262*'Scoring System'!$B$8,0))))+ IF(AND(OR(D262="GK",D262="DEF"),J262&gt;=3),1*'Scoring System'!$B$9,0)+ (I262*'Scoring System'!$B$10)+ (K262*'Scoring System'!$B$11)+ (M262*'Scoring System'!$B$12)+ (L262*'Scoring System'!$B$13)+ (O262*'Scoring System'!$B$14)+ (Q262*'Scoring System'!$B$15)+ (R262*'Scoring System'!$B$16)</f>
        <v>2</v>
      </c>
      <c r="AB262" s="72" t="b">
        <f>IFERROR(match(C262,'Match Day Fees'!$B$2:$B$999,0),0)=0</f>
        <v>0</v>
      </c>
      <c r="AC262" s="73">
        <f t="shared" si="1"/>
        <v>0</v>
      </c>
      <c r="AD262" s="3" t="str">
        <f>VLOOKUP(D262,'Position Lookup'!A:B,1,FALSE)</f>
        <v>MID</v>
      </c>
    </row>
    <row r="263" ht="17.25" customHeight="1">
      <c r="A263" s="10">
        <v>45164.0</v>
      </c>
      <c r="B263" s="1" t="s">
        <v>222</v>
      </c>
      <c r="C263" s="3" t="s">
        <v>141</v>
      </c>
      <c r="D263" s="3" t="s">
        <v>10</v>
      </c>
      <c r="E263" s="5">
        <v>6.0</v>
      </c>
      <c r="G263" s="3" t="s">
        <v>230</v>
      </c>
      <c r="J263" s="5">
        <v>2.0</v>
      </c>
      <c r="N263" s="3" t="b">
        <v>0</v>
      </c>
      <c r="R263" s="3">
        <v>0.0</v>
      </c>
      <c r="T263" s="3">
        <v>5.0</v>
      </c>
      <c r="U263" s="2"/>
      <c r="V263" s="2"/>
      <c r="W263" s="70"/>
      <c r="X263" s="71"/>
      <c r="AA263" s="2">
        <f>2+ (P263*'Scoring System'!$B$3)+ (IF(OR(D263="DEF",D263="GK"),N263*'Scoring System'!$B$4,IF(D263="MID",N263*'Scoring System'!$B$5,0)))+ (IF(OR(D263="DEF",D263="GK"),H263*'Scoring System'!$B$6,IF(D263="MID",H263*'Scoring System'!$B$7,IF(D263="ATT",H263*'Scoring System'!$B$8,0))))+ IF(AND(OR(D263="GK",D263="DEF"),J263&gt;=3),1*'Scoring System'!$B$9,0)+ (I263*'Scoring System'!$B$10)+ (K263*'Scoring System'!$B$11)+ (M263*'Scoring System'!$B$12)+ (L263*'Scoring System'!$B$13)+ (O263*'Scoring System'!$B$14)+ (Q263*'Scoring System'!$B$15)+ (R263*'Scoring System'!$B$16)</f>
        <v>2</v>
      </c>
      <c r="AB263" s="72" t="b">
        <f>IFERROR(match(C263,'Match Day Fees'!$B$2:$B$999,0),0)=0</f>
        <v>0</v>
      </c>
      <c r="AC263" s="73">
        <f t="shared" si="1"/>
        <v>0</v>
      </c>
      <c r="AD263" s="3" t="str">
        <f>VLOOKUP(D263,'Position Lookup'!A:B,1,FALSE)</f>
        <v>MID</v>
      </c>
    </row>
    <row r="264" ht="17.25" customHeight="1">
      <c r="A264" s="10">
        <v>45164.0</v>
      </c>
      <c r="B264" s="1" t="s">
        <v>222</v>
      </c>
      <c r="C264" s="3" t="s">
        <v>234</v>
      </c>
      <c r="D264" s="3" t="s">
        <v>9</v>
      </c>
      <c r="E264" s="5">
        <v>6.0</v>
      </c>
      <c r="G264" s="3" t="s">
        <v>230</v>
      </c>
      <c r="J264" s="5">
        <v>2.0</v>
      </c>
      <c r="N264" s="3" t="b">
        <v>0</v>
      </c>
      <c r="R264" s="3">
        <v>0.0</v>
      </c>
      <c r="T264" s="3">
        <v>10.0</v>
      </c>
      <c r="U264" s="2"/>
      <c r="V264" s="2"/>
      <c r="W264" s="70"/>
      <c r="X264" s="71"/>
      <c r="AA264" s="2">
        <f>2+ (P264*'Scoring System'!$B$3)+ (IF(OR(D264="DEF",D264="GK"),N264*'Scoring System'!$B$4,IF(D264="MID",N264*'Scoring System'!$B$5,0)))+ (IF(OR(D264="DEF",D264="GK"),H264*'Scoring System'!$B$6,IF(D264="MID",H264*'Scoring System'!$B$7,IF(D264="ATT",H264*'Scoring System'!$B$8,0))))+ IF(AND(OR(D264="GK",D264="DEF"),J264&gt;=3),1*'Scoring System'!$B$9,0)+ (I264*'Scoring System'!$B$10)+ (K264*'Scoring System'!$B$11)+ (M264*'Scoring System'!$B$12)+ (L264*'Scoring System'!$B$13)+ (O264*'Scoring System'!$B$14)+ (Q264*'Scoring System'!$B$15)+ (R264*'Scoring System'!$B$16)</f>
        <v>2</v>
      </c>
      <c r="AB264" s="72" t="b">
        <f>IFERROR(match(C264,'Match Day Fees'!$B$2:$B$999,0),0)=0</f>
        <v>0</v>
      </c>
      <c r="AC264" s="73">
        <f t="shared" si="1"/>
        <v>0</v>
      </c>
      <c r="AD264" s="3" t="str">
        <f>VLOOKUP(D264,'Position Lookup'!A:B,1,FALSE)</f>
        <v>ATT</v>
      </c>
    </row>
    <row r="265" ht="17.25" customHeight="1">
      <c r="A265" s="10">
        <v>45164.0</v>
      </c>
      <c r="B265" s="1" t="s">
        <v>222</v>
      </c>
      <c r="C265" s="3" t="s">
        <v>70</v>
      </c>
      <c r="D265" s="3" t="s">
        <v>9</v>
      </c>
      <c r="E265" s="5">
        <v>6.0</v>
      </c>
      <c r="G265" s="3" t="s">
        <v>230</v>
      </c>
      <c r="J265" s="5">
        <v>2.0</v>
      </c>
      <c r="N265" s="3" t="b">
        <v>0</v>
      </c>
      <c r="R265" s="3">
        <v>0.0</v>
      </c>
      <c r="T265" s="3">
        <v>10.0</v>
      </c>
      <c r="U265" s="2"/>
      <c r="V265" s="2"/>
      <c r="W265" s="70"/>
      <c r="X265" s="71"/>
      <c r="AA265" s="2">
        <f>2+ (P265*'Scoring System'!$B$3)+ (IF(OR(D265="DEF",D265="GK"),N265*'Scoring System'!$B$4,IF(D265="MID",N265*'Scoring System'!$B$5,0)))+ (IF(OR(D265="DEF",D265="GK"),H265*'Scoring System'!$B$6,IF(D265="MID",H265*'Scoring System'!$B$7,IF(D265="ATT",H265*'Scoring System'!$B$8,0))))+ IF(AND(OR(D265="GK",D265="DEF"),J265&gt;=3),1*'Scoring System'!$B$9,0)+ (I265*'Scoring System'!$B$10)+ (K265*'Scoring System'!$B$11)+ (M265*'Scoring System'!$B$12)+ (L265*'Scoring System'!$B$13)+ (O265*'Scoring System'!$B$14)+ (Q265*'Scoring System'!$B$15)+ (R265*'Scoring System'!$B$16)</f>
        <v>2</v>
      </c>
      <c r="AB265" s="72" t="b">
        <f>IFERROR(match(C265,'Match Day Fees'!$B$2:$B$999,0),0)=0</f>
        <v>0</v>
      </c>
      <c r="AC265" s="73">
        <f t="shared" si="1"/>
        <v>0</v>
      </c>
      <c r="AD265" s="3" t="str">
        <f>VLOOKUP(D265,'Position Lookup'!A:B,1,FALSE)</f>
        <v>ATT</v>
      </c>
    </row>
    <row r="266" ht="17.25" customHeight="1">
      <c r="A266" s="10">
        <v>45164.0</v>
      </c>
      <c r="B266" s="1" t="s">
        <v>222</v>
      </c>
      <c r="C266" s="3" t="s">
        <v>298</v>
      </c>
      <c r="D266" s="3" t="s">
        <v>11</v>
      </c>
      <c r="E266" s="5">
        <v>6.0</v>
      </c>
      <c r="G266" s="3" t="s">
        <v>230</v>
      </c>
      <c r="J266" s="5">
        <v>2.0</v>
      </c>
      <c r="N266" s="3" t="b">
        <v>0</v>
      </c>
      <c r="R266" s="3">
        <v>0.0</v>
      </c>
      <c r="T266" s="3">
        <v>10.0</v>
      </c>
      <c r="U266" s="2"/>
      <c r="V266" s="2"/>
      <c r="W266" s="70"/>
      <c r="X266" s="71"/>
      <c r="AA266" s="2">
        <f>2+ (P266*'Scoring System'!$B$3)+ (IF(OR(D266="DEF",D266="GK"),N266*'Scoring System'!$B$4,IF(D266="MID",N266*'Scoring System'!$B$5,0)))+ (IF(OR(D266="DEF",D266="GK"),H266*'Scoring System'!$B$6,IF(D266="MID",H266*'Scoring System'!$B$7,IF(D266="ATT",H266*'Scoring System'!$B$8,0))))+ IF(AND(OR(D266="GK",D266="DEF"),J266&gt;=3),1*'Scoring System'!$B$9,0)+ (I266*'Scoring System'!$B$10)+ (K266*'Scoring System'!$B$11)+ (M266*'Scoring System'!$B$12)+ (L266*'Scoring System'!$B$13)+ (O266*'Scoring System'!$B$14)+ (Q266*'Scoring System'!$B$15)+ (R266*'Scoring System'!$B$16)</f>
        <v>2</v>
      </c>
      <c r="AB266" s="72" t="b">
        <f>IFERROR(match(C266,'Match Day Fees'!$B$2:$B$999,0),0)=0</f>
        <v>0</v>
      </c>
      <c r="AC266" s="73">
        <f t="shared" si="1"/>
        <v>0</v>
      </c>
      <c r="AD266" s="3" t="str">
        <f>VLOOKUP(D266,'Position Lookup'!A:B,1,FALSE)</f>
        <v>DEF</v>
      </c>
    </row>
    <row r="267" ht="17.25" customHeight="1">
      <c r="A267" s="10">
        <v>45164.0</v>
      </c>
      <c r="B267" s="1" t="s">
        <v>222</v>
      </c>
      <c r="C267" s="3" t="s">
        <v>299</v>
      </c>
      <c r="D267" s="3" t="s">
        <v>9</v>
      </c>
      <c r="E267" s="5">
        <v>6.0</v>
      </c>
      <c r="G267" s="3" t="s">
        <v>230</v>
      </c>
      <c r="H267" s="3">
        <v>1.0</v>
      </c>
      <c r="J267" s="5">
        <v>2.0</v>
      </c>
      <c r="N267" s="3" t="b">
        <v>0</v>
      </c>
      <c r="R267" s="3">
        <v>0.0</v>
      </c>
      <c r="T267" s="3">
        <v>5.0</v>
      </c>
      <c r="U267" s="2"/>
      <c r="V267" s="2"/>
      <c r="W267" s="70"/>
      <c r="X267" s="71"/>
      <c r="AA267" s="2">
        <f>2+ (P267*'Scoring System'!$B$3)+ (IF(OR(D267="DEF",D267="GK"),N267*'Scoring System'!$B$4,IF(D267="MID",N267*'Scoring System'!$B$5,0)))+ (IF(OR(D267="DEF",D267="GK"),H267*'Scoring System'!$B$6,IF(D267="MID",H267*'Scoring System'!$B$7,IF(D267="ATT",H267*'Scoring System'!$B$8,0))))+ IF(AND(OR(D267="GK",D267="DEF"),J267&gt;=3),1*'Scoring System'!$B$9,0)+ (I267*'Scoring System'!$B$10)+ (K267*'Scoring System'!$B$11)+ (M267*'Scoring System'!$B$12)+ (L267*'Scoring System'!$B$13)+ (O267*'Scoring System'!$B$14)+ (Q267*'Scoring System'!$B$15)+ (R267*'Scoring System'!$B$16)</f>
        <v>6</v>
      </c>
      <c r="AB267" s="72" t="b">
        <f>IFERROR(match(C267,'Match Day Fees'!$B$2:$B$999,0),0)=0</f>
        <v>0</v>
      </c>
      <c r="AC267" s="73">
        <f t="shared" si="1"/>
        <v>0</v>
      </c>
      <c r="AD267" s="3" t="str">
        <f>VLOOKUP(D267,'Position Lookup'!A:B,1,FALSE)</f>
        <v>ATT</v>
      </c>
    </row>
    <row r="268" ht="17.25" customHeight="1">
      <c r="A268" s="10">
        <v>45164.0</v>
      </c>
      <c r="B268" s="1" t="s">
        <v>222</v>
      </c>
      <c r="C268" s="3" t="s">
        <v>259</v>
      </c>
      <c r="D268" s="3" t="s">
        <v>8</v>
      </c>
      <c r="E268" s="5">
        <v>4.0</v>
      </c>
      <c r="G268" s="3" t="s">
        <v>224</v>
      </c>
      <c r="J268" s="5">
        <v>2.0</v>
      </c>
      <c r="N268" s="3" t="b">
        <v>0</v>
      </c>
      <c r="R268" s="3">
        <v>0.0</v>
      </c>
      <c r="T268" s="3">
        <v>10.0</v>
      </c>
      <c r="U268" s="2"/>
      <c r="V268" s="2"/>
      <c r="W268" s="70"/>
      <c r="X268" s="71"/>
      <c r="AA268" s="2">
        <f>2+ (P268*'Scoring System'!$B$3)+ (IF(OR(D268="DEF",D268="GK"),N268*'Scoring System'!$B$4,IF(D268="MID",N268*'Scoring System'!$B$5,0)))+ (IF(OR(D268="DEF",D268="GK"),H268*'Scoring System'!$B$6,IF(D268="MID",H268*'Scoring System'!$B$7,IF(D268="ATT",H268*'Scoring System'!$B$8,0))))+ IF(AND(OR(D268="GK",D268="DEF"),J268&gt;=3),1*'Scoring System'!$B$9,0)+ (I268*'Scoring System'!$B$10)+ (K268*'Scoring System'!$B$11)+ (M268*'Scoring System'!$B$12)+ (L268*'Scoring System'!$B$13)+ (O268*'Scoring System'!$B$14)+ (Q268*'Scoring System'!$B$15)+ (R268*'Scoring System'!$B$16)</f>
        <v>2</v>
      </c>
      <c r="AB268" s="72" t="b">
        <f>IFERROR(match(C268,'Match Day Fees'!$B$2:$B$999,0),0)=0</f>
        <v>0</v>
      </c>
      <c r="AC268" s="73">
        <f t="shared" si="1"/>
        <v>0</v>
      </c>
      <c r="AD268" s="3" t="str">
        <f>VLOOKUP(D268,'Position Lookup'!A:B,1,FALSE)</f>
        <v>GK</v>
      </c>
    </row>
    <row r="269" ht="17.25" customHeight="1">
      <c r="A269" s="10">
        <v>45164.0</v>
      </c>
      <c r="B269" s="1" t="s">
        <v>222</v>
      </c>
      <c r="C269" s="3" t="s">
        <v>126</v>
      </c>
      <c r="D269" s="3" t="s">
        <v>11</v>
      </c>
      <c r="E269" s="5">
        <v>4.0</v>
      </c>
      <c r="G269" s="3" t="s">
        <v>224</v>
      </c>
      <c r="J269" s="5">
        <v>2.0</v>
      </c>
      <c r="N269" s="3" t="b">
        <v>0</v>
      </c>
      <c r="R269" s="3">
        <v>0.0</v>
      </c>
      <c r="T269" s="5">
        <v>5.0</v>
      </c>
      <c r="U269" s="2"/>
      <c r="V269" s="2"/>
      <c r="W269" s="70"/>
      <c r="X269" s="71"/>
      <c r="AA269" s="2">
        <f>2+ (P269*'Scoring System'!$B$3)+ (IF(OR(D269="DEF",D269="GK"),N269*'Scoring System'!$B$4,IF(D269="MID",N269*'Scoring System'!$B$5,0)))+ (IF(OR(D269="DEF",D269="GK"),H269*'Scoring System'!$B$6,IF(D269="MID",H269*'Scoring System'!$B$7,IF(D269="ATT",H269*'Scoring System'!$B$8,0))))+ IF(AND(OR(D269="GK",D269="DEF"),J269&gt;=3),1*'Scoring System'!$B$9,0)+ (I269*'Scoring System'!$B$10)+ (K269*'Scoring System'!$B$11)+ (M269*'Scoring System'!$B$12)+ (L269*'Scoring System'!$B$13)+ (O269*'Scoring System'!$B$14)+ (Q269*'Scoring System'!$B$15)+ (R269*'Scoring System'!$B$16)</f>
        <v>2</v>
      </c>
      <c r="AB269" s="72" t="b">
        <f>IFERROR(match(C269,'Match Day Fees'!$B$2:$B$999,0),0)=0</f>
        <v>0</v>
      </c>
      <c r="AC269" s="73">
        <f t="shared" si="1"/>
        <v>0</v>
      </c>
      <c r="AD269" s="3" t="str">
        <f>VLOOKUP(D269,'Position Lookup'!A:B,1,FALSE)</f>
        <v>DEF</v>
      </c>
    </row>
    <row r="270" ht="17.25" customHeight="1">
      <c r="A270" s="10">
        <v>45164.0</v>
      </c>
      <c r="B270" s="1" t="s">
        <v>222</v>
      </c>
      <c r="C270" s="3" t="s">
        <v>256</v>
      </c>
      <c r="D270" s="3" t="s">
        <v>11</v>
      </c>
      <c r="E270" s="5">
        <v>4.0</v>
      </c>
      <c r="G270" s="3" t="s">
        <v>224</v>
      </c>
      <c r="J270" s="5">
        <v>2.0</v>
      </c>
      <c r="N270" s="3" t="b">
        <v>0</v>
      </c>
      <c r="R270" s="3">
        <v>0.0</v>
      </c>
      <c r="T270" s="3">
        <v>5.0</v>
      </c>
      <c r="U270" s="2"/>
      <c r="V270" s="2"/>
      <c r="W270" s="70"/>
      <c r="X270" s="71"/>
      <c r="AA270" s="2">
        <f>2+ (P270*'Scoring System'!$B$3)+ (IF(OR(D270="DEF",D270="GK"),N270*'Scoring System'!$B$4,IF(D270="MID",N270*'Scoring System'!$B$5,0)))+ (IF(OR(D270="DEF",D270="GK"),H270*'Scoring System'!$B$6,IF(D270="MID",H270*'Scoring System'!$B$7,IF(D270="ATT",H270*'Scoring System'!$B$8,0))))+ IF(AND(OR(D270="GK",D270="DEF"),J270&gt;=3),1*'Scoring System'!$B$9,0)+ (I270*'Scoring System'!$B$10)+ (K270*'Scoring System'!$B$11)+ (M270*'Scoring System'!$B$12)+ (L270*'Scoring System'!$B$13)+ (O270*'Scoring System'!$B$14)+ (Q270*'Scoring System'!$B$15)+ (R270*'Scoring System'!$B$16)</f>
        <v>2</v>
      </c>
      <c r="AB270" s="72" t="b">
        <f>IFERROR(match(C270,'Match Day Fees'!$B$2:$B$999,0),0)=0</f>
        <v>0</v>
      </c>
      <c r="AC270" s="73">
        <f t="shared" si="1"/>
        <v>0</v>
      </c>
      <c r="AD270" s="3" t="str">
        <f>VLOOKUP(D270,'Position Lookup'!A:B,1,FALSE)</f>
        <v>DEF</v>
      </c>
    </row>
    <row r="271" ht="17.25" customHeight="1">
      <c r="A271" s="10">
        <v>45164.0</v>
      </c>
      <c r="B271" s="1" t="s">
        <v>222</v>
      </c>
      <c r="C271" s="3" t="s">
        <v>83</v>
      </c>
      <c r="D271" s="3" t="s">
        <v>11</v>
      </c>
      <c r="E271" s="5">
        <v>4.0</v>
      </c>
      <c r="G271" s="3" t="s">
        <v>224</v>
      </c>
      <c r="J271" s="5">
        <v>2.0</v>
      </c>
      <c r="N271" s="3" t="b">
        <v>0</v>
      </c>
      <c r="R271" s="3">
        <v>0.0</v>
      </c>
      <c r="T271" s="3">
        <v>10.0</v>
      </c>
      <c r="U271" s="2"/>
      <c r="V271" s="2"/>
      <c r="W271" s="70"/>
      <c r="X271" s="71"/>
      <c r="AA271" s="2">
        <f>2+ (P271*'Scoring System'!$B$3)+ (IF(OR(D271="DEF",D271="GK"),N271*'Scoring System'!$B$4,IF(D271="MID",N271*'Scoring System'!$B$5,0)))+ (IF(OR(D271="DEF",D271="GK"),H271*'Scoring System'!$B$6,IF(D271="MID",H271*'Scoring System'!$B$7,IF(D271="ATT",H271*'Scoring System'!$B$8,0))))+ IF(AND(OR(D271="GK",D271="DEF"),J271&gt;=3),1*'Scoring System'!$B$9,0)+ (I271*'Scoring System'!$B$10)+ (K271*'Scoring System'!$B$11)+ (M271*'Scoring System'!$B$12)+ (L271*'Scoring System'!$B$13)+ (O271*'Scoring System'!$B$14)+ (Q271*'Scoring System'!$B$15)+ (R271*'Scoring System'!$B$16)</f>
        <v>2</v>
      </c>
      <c r="AB271" s="72" t="b">
        <f>IFERROR(match(C271,'Match Day Fees'!$B$2:$B$999,0),0)=0</f>
        <v>0</v>
      </c>
      <c r="AC271" s="73">
        <f t="shared" si="1"/>
        <v>0</v>
      </c>
      <c r="AD271" s="3" t="str">
        <f>VLOOKUP(D271,'Position Lookup'!A:B,1,FALSE)</f>
        <v>DEF</v>
      </c>
    </row>
    <row r="272" ht="17.25" customHeight="1">
      <c r="A272" s="10">
        <v>45164.0</v>
      </c>
      <c r="B272" s="1" t="s">
        <v>222</v>
      </c>
      <c r="C272" s="3" t="s">
        <v>41</v>
      </c>
      <c r="D272" s="3" t="s">
        <v>11</v>
      </c>
      <c r="E272" s="5">
        <v>4.0</v>
      </c>
      <c r="G272" s="3" t="s">
        <v>224</v>
      </c>
      <c r="J272" s="5">
        <v>2.0</v>
      </c>
      <c r="N272" s="3" t="b">
        <v>0</v>
      </c>
      <c r="R272" s="3">
        <v>0.0</v>
      </c>
      <c r="T272" s="5">
        <v>10.0</v>
      </c>
      <c r="U272" s="2"/>
      <c r="V272" s="2"/>
      <c r="W272" s="70"/>
      <c r="X272" s="71"/>
      <c r="AA272" s="2">
        <f>2+ (P272*'Scoring System'!$B$3)+ (IF(OR(D272="DEF",D272="GK"),N272*'Scoring System'!$B$4,IF(D272="MID",N272*'Scoring System'!$B$5,0)))+ (IF(OR(D272="DEF",D272="GK"),H272*'Scoring System'!$B$6,IF(D272="MID",H272*'Scoring System'!$B$7,IF(D272="ATT",H272*'Scoring System'!$B$8,0))))+ IF(AND(OR(D272="GK",D272="DEF"),J272&gt;=3),1*'Scoring System'!$B$9,0)+ (I272*'Scoring System'!$B$10)+ (K272*'Scoring System'!$B$11)+ (M272*'Scoring System'!$B$12)+ (L272*'Scoring System'!$B$13)+ (O272*'Scoring System'!$B$14)+ (Q272*'Scoring System'!$B$15)+ (R272*'Scoring System'!$B$16)</f>
        <v>2</v>
      </c>
      <c r="AB272" s="72" t="b">
        <f>IFERROR(match(C272,'Match Day Fees'!$B$2:$B$999,0),0)=0</f>
        <v>0</v>
      </c>
      <c r="AC272" s="73">
        <f t="shared" si="1"/>
        <v>0</v>
      </c>
      <c r="AD272" s="3" t="str">
        <f>VLOOKUP(D272,'Position Lookup'!A:B,1,FALSE)</f>
        <v>DEF</v>
      </c>
    </row>
    <row r="273" ht="17.25" customHeight="1">
      <c r="A273" s="10">
        <v>45164.0</v>
      </c>
      <c r="B273" s="1" t="s">
        <v>222</v>
      </c>
      <c r="C273" s="3" t="s">
        <v>119</v>
      </c>
      <c r="D273" s="3" t="s">
        <v>10</v>
      </c>
      <c r="E273" s="5">
        <v>4.0</v>
      </c>
      <c r="G273" s="3" t="s">
        <v>224</v>
      </c>
      <c r="H273" s="3">
        <v>2.0</v>
      </c>
      <c r="J273" s="5">
        <v>2.0</v>
      </c>
      <c r="N273" s="3" t="b">
        <v>0</v>
      </c>
      <c r="R273" s="3">
        <v>0.0</v>
      </c>
      <c r="T273" s="5">
        <v>10.0</v>
      </c>
      <c r="U273" s="2"/>
      <c r="V273" s="2"/>
      <c r="W273" s="70"/>
      <c r="X273" s="71"/>
      <c r="AA273" s="2">
        <f>2+ (P273*'Scoring System'!$B$3)+ (IF(OR(D273="DEF",D273="GK"),N273*'Scoring System'!$B$4,IF(D273="MID",N273*'Scoring System'!$B$5,0)))+ (IF(OR(D273="DEF",D273="GK"),H273*'Scoring System'!$B$6,IF(D273="MID",H273*'Scoring System'!$B$7,IF(D273="ATT",H273*'Scoring System'!$B$8,0))))+ IF(AND(OR(D273="GK",D273="DEF"),J273&gt;=3),1*'Scoring System'!$B$9,0)+ (I273*'Scoring System'!$B$10)+ (K273*'Scoring System'!$B$11)+ (M273*'Scoring System'!$B$12)+ (L273*'Scoring System'!$B$13)+ (O273*'Scoring System'!$B$14)+ (Q273*'Scoring System'!$B$15)+ (R273*'Scoring System'!$B$16)</f>
        <v>12</v>
      </c>
      <c r="AB273" s="72" t="b">
        <f>IFERROR(match(C273,'Match Day Fees'!$B$2:$B$999,0),0)=0</f>
        <v>0</v>
      </c>
      <c r="AC273" s="73">
        <f t="shared" si="1"/>
        <v>0</v>
      </c>
      <c r="AD273" s="3" t="str">
        <f>VLOOKUP(D273,'Position Lookup'!A:B,1,FALSE)</f>
        <v>MID</v>
      </c>
    </row>
    <row r="274" ht="17.25" customHeight="1">
      <c r="A274" s="10">
        <v>45164.0</v>
      </c>
      <c r="B274" s="1" t="s">
        <v>222</v>
      </c>
      <c r="C274" s="3" t="s">
        <v>136</v>
      </c>
      <c r="D274" s="3" t="s">
        <v>10</v>
      </c>
      <c r="E274" s="5">
        <v>4.0</v>
      </c>
      <c r="G274" s="3" t="s">
        <v>224</v>
      </c>
      <c r="H274" s="3">
        <v>1.0</v>
      </c>
      <c r="J274" s="5">
        <v>2.0</v>
      </c>
      <c r="N274" s="3" t="b">
        <v>0</v>
      </c>
      <c r="R274" s="3">
        <v>0.0</v>
      </c>
      <c r="S274" s="3" t="b">
        <v>1</v>
      </c>
      <c r="T274" s="3">
        <v>0.0</v>
      </c>
      <c r="U274" s="2"/>
      <c r="V274" s="2"/>
      <c r="W274" s="70"/>
      <c r="X274" s="71"/>
      <c r="AA274" s="2">
        <f>2+ (P274*'Scoring System'!$B$3)+ (IF(OR(D274="DEF",D274="GK"),N274*'Scoring System'!$B$4,IF(D274="MID",N274*'Scoring System'!$B$5,0)))+ (IF(OR(D274="DEF",D274="GK"),H274*'Scoring System'!$B$6,IF(D274="MID",H274*'Scoring System'!$B$7,IF(D274="ATT",H274*'Scoring System'!$B$8,0))))+ IF(AND(OR(D274="GK",D274="DEF"),J274&gt;=3),1*'Scoring System'!$B$9,0)+ (I274*'Scoring System'!$B$10)+ (K274*'Scoring System'!$B$11)+ (M274*'Scoring System'!$B$12)+ (L274*'Scoring System'!$B$13)+ (O274*'Scoring System'!$B$14)+ (Q274*'Scoring System'!$B$15)+ (R274*'Scoring System'!$B$16)</f>
        <v>7</v>
      </c>
      <c r="AB274" s="72" t="b">
        <f>IFERROR(match(C274,'Match Day Fees'!$B$2:$B$999,0),0)=0</f>
        <v>0</v>
      </c>
      <c r="AC274" s="73">
        <f t="shared" si="1"/>
        <v>0</v>
      </c>
      <c r="AD274" s="3" t="str">
        <f>VLOOKUP(D274,'Position Lookup'!A:B,1,FALSE)</f>
        <v>MID</v>
      </c>
    </row>
    <row r="275" ht="17.25" customHeight="1">
      <c r="A275" s="10">
        <v>45164.0</v>
      </c>
      <c r="B275" s="1" t="s">
        <v>222</v>
      </c>
      <c r="C275" s="3" t="s">
        <v>92</v>
      </c>
      <c r="D275" s="3" t="s">
        <v>10</v>
      </c>
      <c r="E275" s="5">
        <v>4.0</v>
      </c>
      <c r="G275" s="3" t="s">
        <v>224</v>
      </c>
      <c r="H275" s="3">
        <v>1.0</v>
      </c>
      <c r="J275" s="5">
        <v>2.0</v>
      </c>
      <c r="N275" s="3" t="b">
        <v>0</v>
      </c>
      <c r="R275" s="3">
        <v>0.0</v>
      </c>
      <c r="T275" s="5">
        <v>10.0</v>
      </c>
      <c r="U275" s="2"/>
      <c r="V275" s="2"/>
      <c r="W275" s="70"/>
      <c r="X275" s="71"/>
      <c r="AA275" s="2">
        <f>2+ (P275*'Scoring System'!$B$3)+ (IF(OR(D275="DEF",D275="GK"),N275*'Scoring System'!$B$4,IF(D275="MID",N275*'Scoring System'!$B$5,0)))+ (IF(OR(D275="DEF",D275="GK"),H275*'Scoring System'!$B$6,IF(D275="MID",H275*'Scoring System'!$B$7,IF(D275="ATT",H275*'Scoring System'!$B$8,0))))+ IF(AND(OR(D275="GK",D275="DEF"),J275&gt;=3),1*'Scoring System'!$B$9,0)+ (I275*'Scoring System'!$B$10)+ (K275*'Scoring System'!$B$11)+ (M275*'Scoring System'!$B$12)+ (L275*'Scoring System'!$B$13)+ (O275*'Scoring System'!$B$14)+ (Q275*'Scoring System'!$B$15)+ (R275*'Scoring System'!$B$16)</f>
        <v>7</v>
      </c>
      <c r="AB275" s="72" t="b">
        <f>IFERROR(match(C275,'Match Day Fees'!$B$2:$B$999,0),0)=0</f>
        <v>0</v>
      </c>
      <c r="AC275" s="73">
        <f t="shared" si="1"/>
        <v>0</v>
      </c>
      <c r="AD275" s="3" t="str">
        <f>VLOOKUP(D275,'Position Lookup'!A:B,1,FALSE)</f>
        <v>MID</v>
      </c>
    </row>
    <row r="276" ht="17.25" customHeight="1">
      <c r="A276" s="10">
        <v>45164.0</v>
      </c>
      <c r="B276" s="1" t="s">
        <v>222</v>
      </c>
      <c r="C276" s="3" t="s">
        <v>262</v>
      </c>
      <c r="D276" s="3" t="s">
        <v>10</v>
      </c>
      <c r="E276" s="5">
        <v>4.0</v>
      </c>
      <c r="G276" s="3" t="s">
        <v>224</v>
      </c>
      <c r="H276" s="3">
        <v>2.0</v>
      </c>
      <c r="J276" s="5">
        <v>2.0</v>
      </c>
      <c r="N276" s="3" t="b">
        <v>0</v>
      </c>
      <c r="R276" s="3">
        <v>0.0</v>
      </c>
      <c r="T276" s="5">
        <v>5.0</v>
      </c>
      <c r="U276" s="2"/>
      <c r="V276" s="2"/>
      <c r="W276" s="70"/>
      <c r="X276" s="71"/>
      <c r="AA276" s="2">
        <f>2+ (P276*'Scoring System'!$B$3)+ (IF(OR(D276="DEF",D276="GK"),N276*'Scoring System'!$B$4,IF(D276="MID",N276*'Scoring System'!$B$5,0)))+ (IF(OR(D276="DEF",D276="GK"),H276*'Scoring System'!$B$6,IF(D276="MID",H276*'Scoring System'!$B$7,IF(D276="ATT",H276*'Scoring System'!$B$8,0))))+ IF(AND(OR(D276="GK",D276="DEF"),J276&gt;=3),1*'Scoring System'!$B$9,0)+ (I276*'Scoring System'!$B$10)+ (K276*'Scoring System'!$B$11)+ (M276*'Scoring System'!$B$12)+ (L276*'Scoring System'!$B$13)+ (O276*'Scoring System'!$B$14)+ (Q276*'Scoring System'!$B$15)+ (R276*'Scoring System'!$B$16)</f>
        <v>12</v>
      </c>
      <c r="AB276" s="72" t="b">
        <f>IFERROR(match(C276,'Match Day Fees'!$B$2:$B$999,0),0)=0</f>
        <v>0</v>
      </c>
      <c r="AC276" s="73">
        <f t="shared" si="1"/>
        <v>0</v>
      </c>
      <c r="AD276" s="3" t="str">
        <f>VLOOKUP(D276,'Position Lookup'!A:B,1,FALSE)</f>
        <v>MID</v>
      </c>
    </row>
    <row r="277" ht="17.25" customHeight="1">
      <c r="A277" s="10">
        <v>45164.0</v>
      </c>
      <c r="B277" s="1" t="s">
        <v>222</v>
      </c>
      <c r="C277" s="3" t="s">
        <v>105</v>
      </c>
      <c r="D277" s="3" t="s">
        <v>9</v>
      </c>
      <c r="E277" s="5">
        <v>4.0</v>
      </c>
      <c r="G277" s="3" t="s">
        <v>224</v>
      </c>
      <c r="H277" s="3">
        <v>3.0</v>
      </c>
      <c r="J277" s="5">
        <v>2.0</v>
      </c>
      <c r="N277" s="3" t="b">
        <v>0</v>
      </c>
      <c r="R277" s="3">
        <v>1.0</v>
      </c>
      <c r="T277" s="5">
        <v>10.0</v>
      </c>
      <c r="U277" s="2"/>
      <c r="V277" s="2"/>
      <c r="W277" s="70"/>
      <c r="X277" s="71"/>
      <c r="AA277" s="2">
        <f>2+ (P277*'Scoring System'!$B$3)+ (IF(OR(D277="DEF",D277="GK"),N277*'Scoring System'!$B$4,IF(D277="MID",N277*'Scoring System'!$B$5,0)))+ (IF(OR(D277="DEF",D277="GK"),H277*'Scoring System'!$B$6,IF(D277="MID",H277*'Scoring System'!$B$7,IF(D277="ATT",H277*'Scoring System'!$B$8,0))))+ IF(AND(OR(D277="GK",D277="DEF"),J277&gt;=3),1*'Scoring System'!$B$9,0)+ (I277*'Scoring System'!$B$10)+ (K277*'Scoring System'!$B$11)+ (M277*'Scoring System'!$B$12)+ (L277*'Scoring System'!$B$13)+ (O277*'Scoring System'!$B$14)+ (Q277*'Scoring System'!$B$15)+ (R277*'Scoring System'!$B$16)</f>
        <v>19</v>
      </c>
      <c r="AB277" s="72" t="b">
        <f>IFERROR(match(C277,'Match Day Fees'!$B$2:$B$999,0),0)=0</f>
        <v>0</v>
      </c>
      <c r="AC277" s="73">
        <f t="shared" si="1"/>
        <v>0</v>
      </c>
      <c r="AD277" s="3" t="str">
        <f>VLOOKUP(D277,'Position Lookup'!A:B,1,FALSE)</f>
        <v>ATT</v>
      </c>
    </row>
    <row r="278" ht="17.25" customHeight="1">
      <c r="A278" s="10">
        <v>45164.0</v>
      </c>
      <c r="B278" s="1" t="s">
        <v>222</v>
      </c>
      <c r="C278" s="3" t="s">
        <v>55</v>
      </c>
      <c r="D278" s="3" t="s">
        <v>9</v>
      </c>
      <c r="E278" s="5">
        <v>4.0</v>
      </c>
      <c r="G278" s="3" t="s">
        <v>224</v>
      </c>
      <c r="J278" s="5">
        <v>2.0</v>
      </c>
      <c r="N278" s="3" t="b">
        <v>0</v>
      </c>
      <c r="R278" s="3">
        <v>0.0</v>
      </c>
      <c r="T278" s="5">
        <v>10.0</v>
      </c>
      <c r="U278" s="2"/>
      <c r="V278" s="2"/>
      <c r="W278" s="70"/>
      <c r="X278" s="71"/>
      <c r="AA278" s="2">
        <f>2+ (P278*'Scoring System'!$B$3)+ (IF(OR(D278="DEF",D278="GK"),N278*'Scoring System'!$B$4,IF(D278="MID",N278*'Scoring System'!$B$5,0)))+ (IF(OR(D278="DEF",D278="GK"),H278*'Scoring System'!$B$6,IF(D278="MID",H278*'Scoring System'!$B$7,IF(D278="ATT",H278*'Scoring System'!$B$8,0))))+ IF(AND(OR(D278="GK",D278="DEF"),J278&gt;=3),1*'Scoring System'!$B$9,0)+ (I278*'Scoring System'!$B$10)+ (K278*'Scoring System'!$B$11)+ (M278*'Scoring System'!$B$12)+ (L278*'Scoring System'!$B$13)+ (O278*'Scoring System'!$B$14)+ (Q278*'Scoring System'!$B$15)+ (R278*'Scoring System'!$B$16)</f>
        <v>2</v>
      </c>
      <c r="AB278" s="72" t="b">
        <f>IFERROR(match(C278,'Match Day Fees'!$B$2:$B$999,0),0)=0</f>
        <v>0</v>
      </c>
      <c r="AC278" s="73">
        <f t="shared" si="1"/>
        <v>0</v>
      </c>
      <c r="AD278" s="3" t="str">
        <f>VLOOKUP(D278,'Position Lookup'!A:B,1,FALSE)</f>
        <v>ATT</v>
      </c>
    </row>
    <row r="279" ht="17.25" customHeight="1">
      <c r="A279" s="10">
        <v>45164.0</v>
      </c>
      <c r="B279" s="1" t="s">
        <v>222</v>
      </c>
      <c r="C279" s="3" t="s">
        <v>45</v>
      </c>
      <c r="E279" s="5">
        <v>4.0</v>
      </c>
      <c r="G279" s="3" t="s">
        <v>224</v>
      </c>
      <c r="H279" s="3">
        <v>2.0</v>
      </c>
      <c r="J279" s="5">
        <v>2.0</v>
      </c>
      <c r="N279" s="3" t="b">
        <v>0</v>
      </c>
      <c r="R279" s="3">
        <v>0.0</v>
      </c>
      <c r="T279" s="5">
        <v>10.0</v>
      </c>
      <c r="U279" s="2"/>
      <c r="V279" s="2"/>
      <c r="W279" s="70"/>
      <c r="X279" s="71"/>
      <c r="AA279" s="2">
        <f>2+ (P279*'Scoring System'!$B$3)+ (IF(OR(D279="DEF",D279="GK"),N279*'Scoring System'!$B$4,IF(D279="MID",N279*'Scoring System'!$B$5,0)))+ (IF(OR(D279="DEF",D279="GK"),H279*'Scoring System'!$B$6,IF(D279="MID",H279*'Scoring System'!$B$7,IF(D279="ATT",H279*'Scoring System'!$B$8,0))))+ IF(AND(OR(D279="GK",D279="DEF"),J279&gt;=3),1*'Scoring System'!$B$9,0)+ (I279*'Scoring System'!$B$10)+ (K279*'Scoring System'!$B$11)+ (M279*'Scoring System'!$B$12)+ (L279*'Scoring System'!$B$13)+ (O279*'Scoring System'!$B$14)+ (Q279*'Scoring System'!$B$15)+ (R279*'Scoring System'!$B$16)</f>
        <v>2</v>
      </c>
      <c r="AB279" s="72" t="b">
        <f>IFERROR(match(C279,'Match Day Fees'!$B$2:$B$999,0),0)=0</f>
        <v>0</v>
      </c>
      <c r="AC279" s="73">
        <f t="shared" si="1"/>
        <v>0</v>
      </c>
      <c r="AD279" s="3" t="str">
        <f>VLOOKUP(D279,'Position Lookup'!A:B,1,FALSE)</f>
        <v>#N/A</v>
      </c>
    </row>
    <row r="280" ht="17.25" customHeight="1">
      <c r="A280" s="10">
        <v>45164.0</v>
      </c>
      <c r="B280" s="1" t="s">
        <v>222</v>
      </c>
      <c r="C280" s="3" t="s">
        <v>266</v>
      </c>
      <c r="E280" s="5">
        <v>4.0</v>
      </c>
      <c r="G280" s="3" t="s">
        <v>224</v>
      </c>
      <c r="H280" s="3">
        <v>2.0</v>
      </c>
      <c r="J280" s="5">
        <v>2.0</v>
      </c>
      <c r="N280" s="3" t="b">
        <v>0</v>
      </c>
      <c r="R280" s="3">
        <v>0.0</v>
      </c>
      <c r="T280" s="5">
        <v>10.0</v>
      </c>
      <c r="U280" s="2"/>
      <c r="V280" s="2"/>
      <c r="W280" s="70"/>
      <c r="X280" s="71"/>
      <c r="AA280" s="2">
        <f>2+ (P280*'Scoring System'!$B$3)+ (IF(OR(D280="DEF",D280="GK"),N280*'Scoring System'!$B$4,IF(D280="MID",N280*'Scoring System'!$B$5,0)))+ (IF(OR(D280="DEF",D280="GK"),H280*'Scoring System'!$B$6,IF(D280="MID",H280*'Scoring System'!$B$7,IF(D280="ATT",H280*'Scoring System'!$B$8,0))))+ IF(AND(OR(D280="GK",D280="DEF"),J280&gt;=3),1*'Scoring System'!$B$9,0)+ (I280*'Scoring System'!$B$10)+ (K280*'Scoring System'!$B$11)+ (M280*'Scoring System'!$B$12)+ (L280*'Scoring System'!$B$13)+ (O280*'Scoring System'!$B$14)+ (Q280*'Scoring System'!$B$15)+ (R280*'Scoring System'!$B$16)</f>
        <v>2</v>
      </c>
      <c r="AB280" s="72" t="b">
        <f>IFERROR(match(C280,'Match Day Fees'!$B$2:$B$999,0),0)=0</f>
        <v>0</v>
      </c>
      <c r="AC280" s="73">
        <f t="shared" si="1"/>
        <v>0</v>
      </c>
      <c r="AD280" s="3" t="str">
        <f>VLOOKUP(D280,'Position Lookup'!A:B,1,FALSE)</f>
        <v>#N/A</v>
      </c>
    </row>
    <row r="281" ht="17.25" customHeight="1">
      <c r="A281" s="31">
        <v>45171.0</v>
      </c>
      <c r="B281" s="1" t="s">
        <v>222</v>
      </c>
      <c r="C281" s="3" t="s">
        <v>38</v>
      </c>
      <c r="D281" s="3" t="s">
        <v>8</v>
      </c>
      <c r="E281" s="5">
        <v>1.0</v>
      </c>
      <c r="F281" s="3" t="s">
        <v>300</v>
      </c>
      <c r="G281" s="3" t="s">
        <v>224</v>
      </c>
      <c r="J281" s="5">
        <v>1.0</v>
      </c>
      <c r="N281" s="3" t="b">
        <v>0</v>
      </c>
      <c r="R281" s="3">
        <v>0.0</v>
      </c>
      <c r="T281" s="3">
        <v>10.0</v>
      </c>
      <c r="U281" s="2"/>
      <c r="V281" s="2"/>
      <c r="W281" s="70"/>
      <c r="X281" s="71"/>
      <c r="AA281" s="2">
        <f>2+ (P281*'Scoring System'!$B$3)+ (IF(OR(D281="DEF",D281="GK"),N281*'Scoring System'!$B$4,IF(D281="MID",N281*'Scoring System'!$B$5,0)))+ (IF(OR(D281="DEF",D281="GK"),H281*'Scoring System'!$B$6,IF(D281="MID",H281*'Scoring System'!$B$7,IF(D281="ATT",H281*'Scoring System'!$B$8,0))))+ IF(AND(OR(D281="GK",D281="DEF"),J281&gt;=3),1*'Scoring System'!$B$9,0)+ (I281*'Scoring System'!$B$10)+ (K281*'Scoring System'!$B$11)+ (M281*'Scoring System'!$B$12)+ (L281*'Scoring System'!$B$13)+ (O281*'Scoring System'!$B$14)+ (Q281*'Scoring System'!$B$15)+ (R281*'Scoring System'!$B$16)</f>
        <v>2</v>
      </c>
      <c r="AB281" s="72" t="b">
        <f>IFERROR(match(C281,'Match Day Fees'!$B$2:$B$999,0),0)=0</f>
        <v>0</v>
      </c>
      <c r="AC281" s="73">
        <f t="shared" si="1"/>
        <v>0</v>
      </c>
      <c r="AD281" s="3" t="str">
        <f>VLOOKUP(D281,'Position Lookup'!A:B,1,FALSE)</f>
        <v>GK</v>
      </c>
    </row>
    <row r="282" ht="17.25" customHeight="1">
      <c r="A282" s="31">
        <v>45171.0</v>
      </c>
      <c r="B282" s="1" t="s">
        <v>222</v>
      </c>
      <c r="C282" s="3" t="s">
        <v>76</v>
      </c>
      <c r="D282" s="3" t="s">
        <v>11</v>
      </c>
      <c r="E282" s="5">
        <v>1.0</v>
      </c>
      <c r="F282" s="3" t="s">
        <v>300</v>
      </c>
      <c r="G282" s="3" t="s">
        <v>224</v>
      </c>
      <c r="J282" s="5">
        <v>1.0</v>
      </c>
      <c r="N282" s="3" t="b">
        <v>0</v>
      </c>
      <c r="R282" s="3">
        <v>0.0</v>
      </c>
      <c r="T282" s="3">
        <v>10.0</v>
      </c>
      <c r="U282" s="2"/>
      <c r="V282" s="2"/>
      <c r="W282" s="70"/>
      <c r="X282" s="71"/>
      <c r="AA282" s="2">
        <f>2+ (P282*'Scoring System'!$B$3)+ (IF(OR(D282="DEF",D282="GK"),N282*'Scoring System'!$B$4,IF(D282="MID",N282*'Scoring System'!$B$5,0)))+ (IF(OR(D282="DEF",D282="GK"),H282*'Scoring System'!$B$6,IF(D282="MID",H282*'Scoring System'!$B$7,IF(D282="ATT",H282*'Scoring System'!$B$8,0))))+ IF(AND(OR(D282="GK",D282="DEF"),J282&gt;=3),1*'Scoring System'!$B$9,0)+ (I282*'Scoring System'!$B$10)+ (K282*'Scoring System'!$B$11)+ (M282*'Scoring System'!$B$12)+ (L282*'Scoring System'!$B$13)+ (O282*'Scoring System'!$B$14)+ (Q282*'Scoring System'!$B$15)+ (R282*'Scoring System'!$B$16)</f>
        <v>2</v>
      </c>
      <c r="AB282" s="72" t="b">
        <f>IFERROR(match(C282,'Match Day Fees'!$B$2:$B$999,0),0)=0</f>
        <v>0</v>
      </c>
      <c r="AC282" s="73">
        <f t="shared" si="1"/>
        <v>0</v>
      </c>
      <c r="AD282" s="3" t="str">
        <f>VLOOKUP(D282,'Position Lookup'!A:B,1,FALSE)</f>
        <v>DEF</v>
      </c>
    </row>
    <row r="283" ht="17.25" customHeight="1">
      <c r="A283" s="31">
        <v>45171.0</v>
      </c>
      <c r="B283" s="1" t="s">
        <v>222</v>
      </c>
      <c r="C283" s="3" t="s">
        <v>69</v>
      </c>
      <c r="D283" s="3" t="s">
        <v>11</v>
      </c>
      <c r="E283" s="5">
        <v>1.0</v>
      </c>
      <c r="F283" s="3" t="s">
        <v>300</v>
      </c>
      <c r="G283" s="3" t="s">
        <v>224</v>
      </c>
      <c r="J283" s="5">
        <v>1.0</v>
      </c>
      <c r="N283" s="3" t="b">
        <v>0</v>
      </c>
      <c r="R283" s="3">
        <v>0.0</v>
      </c>
      <c r="T283" s="3">
        <v>10.0</v>
      </c>
      <c r="U283" s="2"/>
      <c r="V283" s="2"/>
      <c r="W283" s="70"/>
      <c r="X283" s="71"/>
      <c r="AA283" s="2">
        <f>2+ (P283*'Scoring System'!$B$3)+ (IF(OR(D283="DEF",D283="GK"),N283*'Scoring System'!$B$4,IF(D283="MID",N283*'Scoring System'!$B$5,0)))+ (IF(OR(D283="DEF",D283="GK"),H283*'Scoring System'!$B$6,IF(D283="MID",H283*'Scoring System'!$B$7,IF(D283="ATT",H283*'Scoring System'!$B$8,0))))+ IF(AND(OR(D283="GK",D283="DEF"),J283&gt;=3),1*'Scoring System'!$B$9,0)+ (I283*'Scoring System'!$B$10)+ (K283*'Scoring System'!$B$11)+ (M283*'Scoring System'!$B$12)+ (L283*'Scoring System'!$B$13)+ (O283*'Scoring System'!$B$14)+ (Q283*'Scoring System'!$B$15)+ (R283*'Scoring System'!$B$16)</f>
        <v>2</v>
      </c>
      <c r="AB283" s="72" t="b">
        <f>IFERROR(match(C283,'Match Day Fees'!$B$2:$B$999,0),0)=0</f>
        <v>0</v>
      </c>
      <c r="AC283" s="73">
        <f t="shared" si="1"/>
        <v>0</v>
      </c>
      <c r="AD283" s="3" t="str">
        <f>VLOOKUP(D283,'Position Lookup'!A:B,1,FALSE)</f>
        <v>DEF</v>
      </c>
    </row>
    <row r="284" ht="17.25" customHeight="1">
      <c r="A284" s="31">
        <v>45171.0</v>
      </c>
      <c r="B284" s="1" t="s">
        <v>222</v>
      </c>
      <c r="C284" s="3" t="s">
        <v>67</v>
      </c>
      <c r="D284" s="3" t="s">
        <v>11</v>
      </c>
      <c r="E284" s="5">
        <v>1.0</v>
      </c>
      <c r="F284" s="3" t="s">
        <v>300</v>
      </c>
      <c r="G284" s="3" t="s">
        <v>224</v>
      </c>
      <c r="J284" s="5">
        <v>1.0</v>
      </c>
      <c r="N284" s="3" t="b">
        <v>0</v>
      </c>
      <c r="R284" s="3">
        <v>0.0</v>
      </c>
      <c r="T284" s="3">
        <v>10.0</v>
      </c>
      <c r="U284" s="2"/>
      <c r="V284" s="2"/>
      <c r="W284" s="70"/>
      <c r="X284" s="71"/>
      <c r="AA284" s="2">
        <f>2+ (P284*'Scoring System'!$B$3)+ (IF(OR(D284="DEF",D284="GK"),N284*'Scoring System'!$B$4,IF(D284="MID",N284*'Scoring System'!$B$5,0)))+ (IF(OR(D284="DEF",D284="GK"),H284*'Scoring System'!$B$6,IF(D284="MID",H284*'Scoring System'!$B$7,IF(D284="ATT",H284*'Scoring System'!$B$8,0))))+ IF(AND(OR(D284="GK",D284="DEF"),J284&gt;=3),1*'Scoring System'!$B$9,0)+ (I284*'Scoring System'!$B$10)+ (K284*'Scoring System'!$B$11)+ (M284*'Scoring System'!$B$12)+ (L284*'Scoring System'!$B$13)+ (O284*'Scoring System'!$B$14)+ (Q284*'Scoring System'!$B$15)+ (R284*'Scoring System'!$B$16)</f>
        <v>2</v>
      </c>
      <c r="AB284" s="72" t="b">
        <f>IFERROR(match(C284,'Match Day Fees'!$B$2:$B$999,0),0)=0</f>
        <v>0</v>
      </c>
      <c r="AC284" s="73">
        <f t="shared" si="1"/>
        <v>0</v>
      </c>
      <c r="AD284" s="3" t="str">
        <f>VLOOKUP(D284,'Position Lookup'!A:B,1,FALSE)</f>
        <v>DEF</v>
      </c>
    </row>
    <row r="285" ht="17.25" customHeight="1">
      <c r="A285" s="31">
        <v>45171.0</v>
      </c>
      <c r="B285" s="1" t="s">
        <v>222</v>
      </c>
      <c r="C285" s="3" t="s">
        <v>107</v>
      </c>
      <c r="D285" s="3" t="s">
        <v>11</v>
      </c>
      <c r="E285" s="5">
        <v>1.0</v>
      </c>
      <c r="F285" s="3" t="s">
        <v>300</v>
      </c>
      <c r="G285" s="3" t="s">
        <v>224</v>
      </c>
      <c r="J285" s="5">
        <v>1.0</v>
      </c>
      <c r="N285" s="3" t="b">
        <v>0</v>
      </c>
      <c r="R285" s="3">
        <v>0.0</v>
      </c>
      <c r="T285" s="3">
        <v>10.0</v>
      </c>
      <c r="U285" s="2"/>
      <c r="V285" s="2"/>
      <c r="W285" s="70"/>
      <c r="X285" s="71"/>
      <c r="AA285" s="2">
        <f>2+ (P285*'Scoring System'!$B$3)+ (IF(OR(D285="DEF",D285="GK"),N285*'Scoring System'!$B$4,IF(D285="MID",N285*'Scoring System'!$B$5,0)))+ (IF(OR(D285="DEF",D285="GK"),H285*'Scoring System'!$B$6,IF(D285="MID",H285*'Scoring System'!$B$7,IF(D285="ATT",H285*'Scoring System'!$B$8,0))))+ IF(AND(OR(D285="GK",D285="DEF"),J285&gt;=3),1*'Scoring System'!$B$9,0)+ (I285*'Scoring System'!$B$10)+ (K285*'Scoring System'!$B$11)+ (M285*'Scoring System'!$B$12)+ (L285*'Scoring System'!$B$13)+ (O285*'Scoring System'!$B$14)+ (Q285*'Scoring System'!$B$15)+ (R285*'Scoring System'!$B$16)</f>
        <v>2</v>
      </c>
      <c r="AB285" s="72" t="b">
        <f>IFERROR(match(C285,'Match Day Fees'!$B$2:$B$999,0),0)=0</f>
        <v>0</v>
      </c>
      <c r="AC285" s="73">
        <f t="shared" si="1"/>
        <v>0</v>
      </c>
      <c r="AD285" s="3" t="str">
        <f>VLOOKUP(D285,'Position Lookup'!A:B,1,FALSE)</f>
        <v>DEF</v>
      </c>
    </row>
    <row r="286" ht="17.25" customHeight="1">
      <c r="A286" s="31">
        <v>45171.0</v>
      </c>
      <c r="B286" s="1" t="s">
        <v>222</v>
      </c>
      <c r="C286" s="3" t="s">
        <v>93</v>
      </c>
      <c r="D286" s="3" t="s">
        <v>10</v>
      </c>
      <c r="E286" s="5">
        <v>1.0</v>
      </c>
      <c r="F286" s="3" t="s">
        <v>300</v>
      </c>
      <c r="G286" s="3" t="s">
        <v>224</v>
      </c>
      <c r="J286" s="5">
        <v>1.0</v>
      </c>
      <c r="N286" s="3" t="b">
        <v>0</v>
      </c>
      <c r="R286" s="3">
        <v>0.0</v>
      </c>
      <c r="T286" s="5">
        <v>0.0</v>
      </c>
      <c r="U286" s="2"/>
      <c r="V286" s="2"/>
      <c r="W286" s="70"/>
      <c r="X286" s="71"/>
      <c r="AA286" s="2">
        <f>2+ (P286*'Scoring System'!$B$3)+ (IF(OR(D286="DEF",D286="GK"),N286*'Scoring System'!$B$4,IF(D286="MID",N286*'Scoring System'!$B$5,0)))+ (IF(OR(D286="DEF",D286="GK"),H286*'Scoring System'!$B$6,IF(D286="MID",H286*'Scoring System'!$B$7,IF(D286="ATT",H286*'Scoring System'!$B$8,0))))+ IF(AND(OR(D286="GK",D286="DEF"),J286&gt;=3),1*'Scoring System'!$B$9,0)+ (I286*'Scoring System'!$B$10)+ (K286*'Scoring System'!$B$11)+ (M286*'Scoring System'!$B$12)+ (L286*'Scoring System'!$B$13)+ (O286*'Scoring System'!$B$14)+ (Q286*'Scoring System'!$B$15)+ (R286*'Scoring System'!$B$16)</f>
        <v>2</v>
      </c>
      <c r="AB286" s="72" t="b">
        <f>IFERROR(match(C286,'Match Day Fees'!$B$2:$B$999,0),0)=0</f>
        <v>0</v>
      </c>
      <c r="AC286" s="73">
        <f t="shared" si="1"/>
        <v>0</v>
      </c>
      <c r="AD286" s="3" t="str">
        <f>VLOOKUP(D286,'Position Lookup'!A:B,1,FALSE)</f>
        <v>MID</v>
      </c>
    </row>
    <row r="287" ht="17.25" customHeight="1">
      <c r="A287" s="31">
        <v>45171.0</v>
      </c>
      <c r="B287" s="1" t="s">
        <v>222</v>
      </c>
      <c r="C287" s="3" t="s">
        <v>85</v>
      </c>
      <c r="D287" s="3" t="s">
        <v>10</v>
      </c>
      <c r="E287" s="5">
        <v>1.0</v>
      </c>
      <c r="F287" s="3" t="s">
        <v>300</v>
      </c>
      <c r="G287" s="3" t="s">
        <v>224</v>
      </c>
      <c r="H287" s="3">
        <v>1.0</v>
      </c>
      <c r="J287" s="5">
        <v>1.0</v>
      </c>
      <c r="N287" s="3" t="b">
        <v>0</v>
      </c>
      <c r="R287" s="3">
        <v>0.0</v>
      </c>
      <c r="T287" s="3">
        <v>10.0</v>
      </c>
      <c r="U287" s="2"/>
      <c r="V287" s="2"/>
      <c r="W287" s="70"/>
      <c r="X287" s="71"/>
      <c r="AA287" s="2">
        <f>2+ (P287*'Scoring System'!$B$3)+ (IF(OR(D287="DEF",D287="GK"),N287*'Scoring System'!$B$4,IF(D287="MID",N287*'Scoring System'!$B$5,0)))+ (IF(OR(D287="DEF",D287="GK"),H287*'Scoring System'!$B$6,IF(D287="MID",H287*'Scoring System'!$B$7,IF(D287="ATT",H287*'Scoring System'!$B$8,0))))+ IF(AND(OR(D287="GK",D287="DEF"),J287&gt;=3),1*'Scoring System'!$B$9,0)+ (I287*'Scoring System'!$B$10)+ (K287*'Scoring System'!$B$11)+ (M287*'Scoring System'!$B$12)+ (L287*'Scoring System'!$B$13)+ (O287*'Scoring System'!$B$14)+ (Q287*'Scoring System'!$B$15)+ (R287*'Scoring System'!$B$16)</f>
        <v>7</v>
      </c>
      <c r="AB287" s="72" t="b">
        <f>IFERROR(match(C287,'Match Day Fees'!$B$2:$B$999,0),0)=0</f>
        <v>0</v>
      </c>
      <c r="AC287" s="73">
        <f t="shared" si="1"/>
        <v>0</v>
      </c>
      <c r="AD287" s="3" t="str">
        <f>VLOOKUP(D287,'Position Lookup'!A:B,1,FALSE)</f>
        <v>MID</v>
      </c>
    </row>
    <row r="288" ht="17.25" customHeight="1">
      <c r="A288" s="31">
        <v>45171.0</v>
      </c>
      <c r="B288" s="1" t="s">
        <v>222</v>
      </c>
      <c r="C288" s="3" t="s">
        <v>137</v>
      </c>
      <c r="D288" s="3" t="s">
        <v>10</v>
      </c>
      <c r="E288" s="5">
        <v>1.0</v>
      </c>
      <c r="F288" s="3" t="s">
        <v>300</v>
      </c>
      <c r="G288" s="3" t="s">
        <v>224</v>
      </c>
      <c r="J288" s="5">
        <v>1.0</v>
      </c>
      <c r="N288" s="3" t="b">
        <v>0</v>
      </c>
      <c r="R288" s="3">
        <v>0.0</v>
      </c>
      <c r="T288" s="3">
        <v>10.0</v>
      </c>
      <c r="U288" s="2"/>
      <c r="V288" s="2"/>
      <c r="W288" s="70"/>
      <c r="X288" s="71"/>
      <c r="AA288" s="2">
        <f>2+ (P288*'Scoring System'!$B$3)+ (IF(OR(D288="DEF",D288="GK"),N288*'Scoring System'!$B$4,IF(D288="MID",N288*'Scoring System'!$B$5,0)))+ (IF(OR(D288="DEF",D288="GK"),H288*'Scoring System'!$B$6,IF(D288="MID",H288*'Scoring System'!$B$7,IF(D288="ATT",H288*'Scoring System'!$B$8,0))))+ IF(AND(OR(D288="GK",D288="DEF"),J288&gt;=3),1*'Scoring System'!$B$9,0)+ (I288*'Scoring System'!$B$10)+ (K288*'Scoring System'!$B$11)+ (M288*'Scoring System'!$B$12)+ (L288*'Scoring System'!$B$13)+ (O288*'Scoring System'!$B$14)+ (Q288*'Scoring System'!$B$15)+ (R288*'Scoring System'!$B$16)</f>
        <v>2</v>
      </c>
      <c r="AB288" s="72" t="b">
        <f>IFERROR(match(C288,'Match Day Fees'!$B$2:$B$999,0),0)=0</f>
        <v>0</v>
      </c>
      <c r="AC288" s="73">
        <f t="shared" si="1"/>
        <v>0</v>
      </c>
      <c r="AD288" s="3" t="str">
        <f>VLOOKUP(D288,'Position Lookup'!A:B,1,FALSE)</f>
        <v>MID</v>
      </c>
    </row>
    <row r="289" ht="17.25" customHeight="1">
      <c r="A289" s="31">
        <v>45171.0</v>
      </c>
      <c r="B289" s="1" t="s">
        <v>222</v>
      </c>
      <c r="C289" s="3" t="s">
        <v>60</v>
      </c>
      <c r="D289" s="3" t="s">
        <v>10</v>
      </c>
      <c r="E289" s="5">
        <v>1.0</v>
      </c>
      <c r="F289" s="3" t="s">
        <v>300</v>
      </c>
      <c r="G289" s="3" t="s">
        <v>224</v>
      </c>
      <c r="H289" s="3">
        <v>1.0</v>
      </c>
      <c r="J289" s="5">
        <v>1.0</v>
      </c>
      <c r="N289" s="3" t="b">
        <v>0</v>
      </c>
      <c r="R289" s="3">
        <v>1.0</v>
      </c>
      <c r="T289" s="3">
        <v>10.0</v>
      </c>
      <c r="U289" s="2"/>
      <c r="V289" s="2"/>
      <c r="W289" s="70"/>
      <c r="X289" s="71"/>
      <c r="AA289" s="2">
        <f>2+ (P289*'Scoring System'!$B$3)+ (IF(OR(D289="DEF",D289="GK"),N289*'Scoring System'!$B$4,IF(D289="MID",N289*'Scoring System'!$B$5,0)))+ (IF(OR(D289="DEF",D289="GK"),H289*'Scoring System'!$B$6,IF(D289="MID",H289*'Scoring System'!$B$7,IF(D289="ATT",H289*'Scoring System'!$B$8,0))))+ IF(AND(OR(D289="GK",D289="DEF"),J289&gt;=3),1*'Scoring System'!$B$9,0)+ (I289*'Scoring System'!$B$10)+ (K289*'Scoring System'!$B$11)+ (M289*'Scoring System'!$B$12)+ (L289*'Scoring System'!$B$13)+ (O289*'Scoring System'!$B$14)+ (Q289*'Scoring System'!$B$15)+ (R289*'Scoring System'!$B$16)</f>
        <v>12</v>
      </c>
      <c r="AB289" s="72" t="b">
        <f>IFERROR(match(C289,'Match Day Fees'!$B$2:$B$999,0),0)=0</f>
        <v>0</v>
      </c>
      <c r="AC289" s="73">
        <f t="shared" si="1"/>
        <v>0</v>
      </c>
      <c r="AD289" s="3" t="str">
        <f>VLOOKUP(D289,'Position Lookup'!A:B,1,FALSE)</f>
        <v>MID</v>
      </c>
    </row>
    <row r="290" ht="17.25" customHeight="1">
      <c r="A290" s="31">
        <v>45171.0</v>
      </c>
      <c r="B290" s="1" t="s">
        <v>222</v>
      </c>
      <c r="C290" s="3" t="s">
        <v>96</v>
      </c>
      <c r="D290" s="3" t="s">
        <v>10</v>
      </c>
      <c r="E290" s="5">
        <v>1.0</v>
      </c>
      <c r="F290" s="3" t="s">
        <v>300</v>
      </c>
      <c r="G290" s="3" t="s">
        <v>224</v>
      </c>
      <c r="J290" s="5">
        <v>1.0</v>
      </c>
      <c r="N290" s="3" t="b">
        <v>0</v>
      </c>
      <c r="R290" s="3">
        <v>0.0</v>
      </c>
      <c r="T290" s="3">
        <v>5.0</v>
      </c>
      <c r="U290" s="2"/>
      <c r="V290" s="2"/>
      <c r="W290" s="70"/>
      <c r="X290" s="71"/>
      <c r="AA290" s="2">
        <f>2+ (P290*'Scoring System'!$B$3)+ (IF(OR(D290="DEF",D290="GK"),N290*'Scoring System'!$B$4,IF(D290="MID",N290*'Scoring System'!$B$5,0)))+ (IF(OR(D290="DEF",D290="GK"),H290*'Scoring System'!$B$6,IF(D290="MID",H290*'Scoring System'!$B$7,IF(D290="ATT",H290*'Scoring System'!$B$8,0))))+ IF(AND(OR(D290="GK",D290="DEF"),J290&gt;=3),1*'Scoring System'!$B$9,0)+ (I290*'Scoring System'!$B$10)+ (K290*'Scoring System'!$B$11)+ (M290*'Scoring System'!$B$12)+ (L290*'Scoring System'!$B$13)+ (O290*'Scoring System'!$B$14)+ (Q290*'Scoring System'!$B$15)+ (R290*'Scoring System'!$B$16)</f>
        <v>2</v>
      </c>
      <c r="AB290" s="72" t="b">
        <f>IFERROR(match(C290,'Match Day Fees'!$B$2:$B$999,0),0)=0</f>
        <v>0</v>
      </c>
      <c r="AC290" s="73">
        <f t="shared" si="1"/>
        <v>0</v>
      </c>
      <c r="AD290" s="3" t="str">
        <f>VLOOKUP(D290,'Position Lookup'!A:B,1,FALSE)</f>
        <v>MID</v>
      </c>
    </row>
    <row r="291" ht="17.25" customHeight="1">
      <c r="A291" s="31">
        <v>45171.0</v>
      </c>
      <c r="B291" s="1" t="s">
        <v>222</v>
      </c>
      <c r="C291" s="3" t="s">
        <v>47</v>
      </c>
      <c r="D291" s="3" t="s">
        <v>9</v>
      </c>
      <c r="E291" s="5">
        <v>1.0</v>
      </c>
      <c r="F291" s="3" t="s">
        <v>300</v>
      </c>
      <c r="G291" s="3" t="s">
        <v>224</v>
      </c>
      <c r="H291" s="3">
        <v>1.0</v>
      </c>
      <c r="I291" s="3">
        <v>1.0</v>
      </c>
      <c r="J291" s="5">
        <v>1.0</v>
      </c>
      <c r="N291" s="3" t="b">
        <v>0</v>
      </c>
      <c r="R291" s="3">
        <v>0.0</v>
      </c>
      <c r="T291" s="3">
        <v>10.0</v>
      </c>
      <c r="U291" s="2"/>
      <c r="V291" s="2"/>
      <c r="W291" s="70"/>
      <c r="X291" s="71"/>
      <c r="AA291" s="2">
        <f>2+ (P291*'Scoring System'!$B$3)+ (IF(OR(D291="DEF",D291="GK"),N291*'Scoring System'!$B$4,IF(D291="MID",N291*'Scoring System'!$B$5,0)))+ (IF(OR(D291="DEF",D291="GK"),H291*'Scoring System'!$B$6,IF(D291="MID",H291*'Scoring System'!$B$7,IF(D291="ATT",H291*'Scoring System'!$B$8,0))))+ IF(AND(OR(D291="GK",D291="DEF"),J291&gt;=3),1*'Scoring System'!$B$9,0)+ (I291*'Scoring System'!$B$10)+ (K291*'Scoring System'!$B$11)+ (M291*'Scoring System'!$B$12)+ (L291*'Scoring System'!$B$13)+ (O291*'Scoring System'!$B$14)+ (Q291*'Scoring System'!$B$15)+ (R291*'Scoring System'!$B$16)</f>
        <v>9</v>
      </c>
      <c r="AB291" s="72" t="b">
        <f>IFERROR(match(C291,'Match Day Fees'!$B$2:$B$999,0),0)=0</f>
        <v>0</v>
      </c>
      <c r="AC291" s="73">
        <f t="shared" si="1"/>
        <v>0</v>
      </c>
      <c r="AD291" s="3" t="str">
        <f>VLOOKUP(D291,'Position Lookup'!A:B,1,FALSE)</f>
        <v>ATT</v>
      </c>
    </row>
    <row r="292" ht="17.25" customHeight="1">
      <c r="A292" s="31">
        <v>45171.0</v>
      </c>
      <c r="B292" s="1" t="s">
        <v>222</v>
      </c>
      <c r="C292" s="3" t="s">
        <v>62</v>
      </c>
      <c r="D292" s="3" t="s">
        <v>9</v>
      </c>
      <c r="E292" s="5">
        <v>1.0</v>
      </c>
      <c r="F292" s="3" t="s">
        <v>300</v>
      </c>
      <c r="G292" s="3" t="s">
        <v>224</v>
      </c>
      <c r="I292" s="3">
        <v>1.0</v>
      </c>
      <c r="J292" s="5">
        <v>1.0</v>
      </c>
      <c r="N292" s="3" t="b">
        <v>0</v>
      </c>
      <c r="R292" s="3">
        <v>0.0</v>
      </c>
      <c r="T292" s="3">
        <v>5.0</v>
      </c>
      <c r="U292" s="2"/>
      <c r="V292" s="2"/>
      <c r="W292" s="70"/>
      <c r="X292" s="71"/>
      <c r="AA292" s="2">
        <f>2+ (P292*'Scoring System'!$B$3)+ (IF(OR(D292="DEF",D292="GK"),N292*'Scoring System'!$B$4,IF(D292="MID",N292*'Scoring System'!$B$5,0)))+ (IF(OR(D292="DEF",D292="GK"),H292*'Scoring System'!$B$6,IF(D292="MID",H292*'Scoring System'!$B$7,IF(D292="ATT",H292*'Scoring System'!$B$8,0))))+ IF(AND(OR(D292="GK",D292="DEF"),J292&gt;=3),1*'Scoring System'!$B$9,0)+ (I292*'Scoring System'!$B$10)+ (K292*'Scoring System'!$B$11)+ (M292*'Scoring System'!$B$12)+ (L292*'Scoring System'!$B$13)+ (O292*'Scoring System'!$B$14)+ (Q292*'Scoring System'!$B$15)+ (R292*'Scoring System'!$B$16)</f>
        <v>5</v>
      </c>
      <c r="AB292" s="72" t="b">
        <f>IFERROR(match(C292,'Match Day Fees'!$B$2:$B$999,0),0)=0</f>
        <v>0</v>
      </c>
      <c r="AC292" s="73">
        <f t="shared" si="1"/>
        <v>0</v>
      </c>
      <c r="AD292" s="3" t="str">
        <f>VLOOKUP(D292,'Position Lookup'!A:B,1,FALSE)</f>
        <v>ATT</v>
      </c>
    </row>
    <row r="293" ht="17.25" customHeight="1">
      <c r="A293" s="31">
        <v>45171.0</v>
      </c>
      <c r="B293" s="1" t="s">
        <v>222</v>
      </c>
      <c r="C293" s="3" t="s">
        <v>272</v>
      </c>
      <c r="D293" s="3" t="s">
        <v>10</v>
      </c>
      <c r="E293" s="5">
        <v>1.0</v>
      </c>
      <c r="F293" s="3" t="s">
        <v>300</v>
      </c>
      <c r="G293" s="3" t="s">
        <v>224</v>
      </c>
      <c r="I293" s="3">
        <v>1.0</v>
      </c>
      <c r="J293" s="5">
        <v>1.0</v>
      </c>
      <c r="N293" s="3" t="b">
        <v>0</v>
      </c>
      <c r="R293" s="3">
        <v>0.0</v>
      </c>
      <c r="T293" s="3">
        <v>5.0</v>
      </c>
      <c r="U293" s="2"/>
      <c r="V293" s="2"/>
      <c r="W293" s="70"/>
      <c r="X293" s="71"/>
      <c r="AA293" s="2">
        <f>2+ (P293*'Scoring System'!$B$3)+ (IF(OR(D293="DEF",D293="GK"),N293*'Scoring System'!$B$4,IF(D293="MID",N293*'Scoring System'!$B$5,0)))+ (IF(OR(D293="DEF",D293="GK"),H293*'Scoring System'!$B$6,IF(D293="MID",H293*'Scoring System'!$B$7,IF(D293="ATT",H293*'Scoring System'!$B$8,0))))+ IF(AND(OR(D293="GK",D293="DEF"),J293&gt;=3),1*'Scoring System'!$B$9,0)+ (I293*'Scoring System'!$B$10)+ (K293*'Scoring System'!$B$11)+ (M293*'Scoring System'!$B$12)+ (L293*'Scoring System'!$B$13)+ (O293*'Scoring System'!$B$14)+ (Q293*'Scoring System'!$B$15)+ (R293*'Scoring System'!$B$16)</f>
        <v>5</v>
      </c>
      <c r="AB293" s="72" t="b">
        <f>IFERROR(match(C293,'Match Day Fees'!$B$2:$B$999,0),0)=0</f>
        <v>0</v>
      </c>
      <c r="AC293" s="73">
        <f t="shared" si="1"/>
        <v>0</v>
      </c>
      <c r="AD293" s="3" t="str">
        <f>VLOOKUP(D293,'Position Lookup'!A:B,1,FALSE)</f>
        <v>MID</v>
      </c>
    </row>
    <row r="294" ht="17.25" customHeight="1">
      <c r="A294" s="31">
        <v>45171.0</v>
      </c>
      <c r="B294" s="1" t="s">
        <v>222</v>
      </c>
      <c r="C294" s="3" t="s">
        <v>274</v>
      </c>
      <c r="D294" s="3" t="s">
        <v>10</v>
      </c>
      <c r="E294" s="5">
        <v>1.0</v>
      </c>
      <c r="F294" s="3" t="s">
        <v>300</v>
      </c>
      <c r="G294" s="3" t="s">
        <v>224</v>
      </c>
      <c r="J294" s="5">
        <v>1.0</v>
      </c>
      <c r="N294" s="3" t="b">
        <v>0</v>
      </c>
      <c r="R294" s="3">
        <v>0.0</v>
      </c>
      <c r="T294" s="3">
        <v>5.0</v>
      </c>
      <c r="U294" s="2"/>
      <c r="V294" s="2"/>
      <c r="W294" s="70"/>
      <c r="X294" s="71"/>
      <c r="AA294" s="2">
        <f>2+ (P294*'Scoring System'!$B$3)+ (IF(OR(D294="DEF",D294="GK"),N294*'Scoring System'!$B$4,IF(D294="MID",N294*'Scoring System'!$B$5,0)))+ (IF(OR(D294="DEF",D294="GK"),H294*'Scoring System'!$B$6,IF(D294="MID",H294*'Scoring System'!$B$7,IF(D294="ATT",H294*'Scoring System'!$B$8,0))))+ IF(AND(OR(D294="GK",D294="DEF"),J294&gt;=3),1*'Scoring System'!$B$9,0)+ (I294*'Scoring System'!$B$10)+ (K294*'Scoring System'!$B$11)+ (M294*'Scoring System'!$B$12)+ (L294*'Scoring System'!$B$13)+ (O294*'Scoring System'!$B$14)+ (Q294*'Scoring System'!$B$15)+ (R294*'Scoring System'!$B$16)</f>
        <v>2</v>
      </c>
      <c r="AB294" s="72" t="b">
        <f>IFERROR(match(C294,'Match Day Fees'!$B$2:$B$999,0),0)=0</f>
        <v>0</v>
      </c>
      <c r="AC294" s="73">
        <f t="shared" si="1"/>
        <v>0</v>
      </c>
      <c r="AD294" s="3" t="str">
        <f>VLOOKUP(D294,'Position Lookup'!A:B,1,FALSE)</f>
        <v>MID</v>
      </c>
    </row>
    <row r="295" ht="17.25" customHeight="1">
      <c r="A295" s="31">
        <v>45171.0</v>
      </c>
      <c r="B295" s="1" t="s">
        <v>222</v>
      </c>
      <c r="C295" s="3" t="s">
        <v>228</v>
      </c>
      <c r="D295" s="3" t="s">
        <v>8</v>
      </c>
      <c r="E295" s="5">
        <v>6.0</v>
      </c>
      <c r="F295" s="3" t="s">
        <v>301</v>
      </c>
      <c r="G295" s="3" t="s">
        <v>230</v>
      </c>
      <c r="J295" s="5">
        <v>5.0</v>
      </c>
      <c r="N295" s="3" t="b">
        <v>0</v>
      </c>
      <c r="R295" s="3">
        <v>0.0</v>
      </c>
      <c r="T295" s="3">
        <v>10.0</v>
      </c>
      <c r="U295" s="2"/>
      <c r="V295" s="2"/>
      <c r="W295" s="70"/>
      <c r="X295" s="71"/>
      <c r="AA295" s="2">
        <f>2+ (P295*'Scoring System'!$B$3)+ (IF(OR(D295="DEF",D295="GK"),N295*'Scoring System'!$B$4,IF(D295="MID",N295*'Scoring System'!$B$5,0)))+ (IF(OR(D295="DEF",D295="GK"),H295*'Scoring System'!$B$6,IF(D295="MID",H295*'Scoring System'!$B$7,IF(D295="ATT",H295*'Scoring System'!$B$8,0))))+ IF(AND(OR(D295="GK",D295="DEF"),J295&gt;=3),1*'Scoring System'!$B$9,0)+ (I295*'Scoring System'!$B$10)+ (K295*'Scoring System'!$B$11)+ (M295*'Scoring System'!$B$12)+ (L295*'Scoring System'!$B$13)+ (O295*'Scoring System'!$B$14)+ (Q295*'Scoring System'!$B$15)+ (R295*'Scoring System'!$B$16)</f>
        <v>1</v>
      </c>
      <c r="AB295" s="72" t="b">
        <f>IFERROR(match(C295,'Match Day Fees'!$B$2:$B$999,0),0)=0</f>
        <v>0</v>
      </c>
      <c r="AC295" s="73">
        <f t="shared" si="1"/>
        <v>0</v>
      </c>
      <c r="AD295" s="3" t="str">
        <f>VLOOKUP(D295,'Position Lookup'!A:B,1,FALSE)</f>
        <v>GK</v>
      </c>
    </row>
    <row r="296" ht="17.25" customHeight="1">
      <c r="A296" s="31">
        <v>45171.0</v>
      </c>
      <c r="B296" s="1" t="s">
        <v>222</v>
      </c>
      <c r="C296" s="3" t="s">
        <v>231</v>
      </c>
      <c r="D296" s="3" t="s">
        <v>11</v>
      </c>
      <c r="E296" s="5">
        <v>6.0</v>
      </c>
      <c r="F296" s="3" t="s">
        <v>301</v>
      </c>
      <c r="G296" s="3" t="s">
        <v>230</v>
      </c>
      <c r="J296" s="5">
        <v>5.0</v>
      </c>
      <c r="N296" s="3" t="b">
        <v>0</v>
      </c>
      <c r="R296" s="3">
        <v>0.0</v>
      </c>
      <c r="T296" s="3">
        <v>10.0</v>
      </c>
      <c r="U296" s="2"/>
      <c r="V296" s="2"/>
      <c r="W296" s="70"/>
      <c r="X296" s="71"/>
      <c r="AA296" s="2">
        <f>2+ (P296*'Scoring System'!$B$3)+ (IF(OR(D296="DEF",D296="GK"),N296*'Scoring System'!$B$4,IF(D296="MID",N296*'Scoring System'!$B$5,0)))+ (IF(OR(D296="DEF",D296="GK"),H296*'Scoring System'!$B$6,IF(D296="MID",H296*'Scoring System'!$B$7,IF(D296="ATT",H296*'Scoring System'!$B$8,0))))+ IF(AND(OR(D296="GK",D296="DEF"),J296&gt;=3),1*'Scoring System'!$B$9,0)+ (I296*'Scoring System'!$B$10)+ (K296*'Scoring System'!$B$11)+ (M296*'Scoring System'!$B$12)+ (L296*'Scoring System'!$B$13)+ (O296*'Scoring System'!$B$14)+ (Q296*'Scoring System'!$B$15)+ (R296*'Scoring System'!$B$16)</f>
        <v>1</v>
      </c>
      <c r="AB296" s="72" t="b">
        <f>IFERROR(match(C296,'Match Day Fees'!$B$2:$B$999,0),0)=0</f>
        <v>0</v>
      </c>
      <c r="AC296" s="73">
        <f t="shared" si="1"/>
        <v>0</v>
      </c>
      <c r="AD296" s="3" t="str">
        <f>VLOOKUP(D296,'Position Lookup'!A:B,1,FALSE)</f>
        <v>DEF</v>
      </c>
    </row>
    <row r="297" ht="17.25" customHeight="1">
      <c r="A297" s="31">
        <v>45171.0</v>
      </c>
      <c r="B297" s="1" t="s">
        <v>222</v>
      </c>
      <c r="C297" s="3" t="s">
        <v>226</v>
      </c>
      <c r="D297" s="3" t="s">
        <v>11</v>
      </c>
      <c r="E297" s="5">
        <v>6.0</v>
      </c>
      <c r="F297" s="3" t="s">
        <v>301</v>
      </c>
      <c r="G297" s="3" t="s">
        <v>230</v>
      </c>
      <c r="J297" s="5">
        <v>5.0</v>
      </c>
      <c r="N297" s="3" t="b">
        <v>0</v>
      </c>
      <c r="R297" s="3">
        <v>0.0</v>
      </c>
      <c r="T297" s="3">
        <v>10.0</v>
      </c>
      <c r="U297" s="2"/>
      <c r="V297" s="2"/>
      <c r="W297" s="70"/>
      <c r="X297" s="71"/>
      <c r="AA297" s="2">
        <f>2+ (P297*'Scoring System'!$B$3)+ (IF(OR(D297="DEF",D297="GK"),N297*'Scoring System'!$B$4,IF(D297="MID",N297*'Scoring System'!$B$5,0)))+ (IF(OR(D297="DEF",D297="GK"),H297*'Scoring System'!$B$6,IF(D297="MID",H297*'Scoring System'!$B$7,IF(D297="ATT",H297*'Scoring System'!$B$8,0))))+ IF(AND(OR(D297="GK",D297="DEF"),J297&gt;=3),1*'Scoring System'!$B$9,0)+ (I297*'Scoring System'!$B$10)+ (K297*'Scoring System'!$B$11)+ (M297*'Scoring System'!$B$12)+ (L297*'Scoring System'!$B$13)+ (O297*'Scoring System'!$B$14)+ (Q297*'Scoring System'!$B$15)+ (R297*'Scoring System'!$B$16)</f>
        <v>1</v>
      </c>
      <c r="AB297" s="72" t="b">
        <f>IFERROR(match(C297,'Match Day Fees'!$B$2:$B$999,0),0)=0</f>
        <v>0</v>
      </c>
      <c r="AC297" s="73">
        <f t="shared" si="1"/>
        <v>0</v>
      </c>
      <c r="AD297" s="3" t="str">
        <f>VLOOKUP(D297,'Position Lookup'!A:B,1,FALSE)</f>
        <v>DEF</v>
      </c>
    </row>
    <row r="298" ht="17.25" customHeight="1">
      <c r="A298" s="31">
        <v>45171.0</v>
      </c>
      <c r="B298" s="1" t="s">
        <v>222</v>
      </c>
      <c r="C298" s="3" t="s">
        <v>287</v>
      </c>
      <c r="D298" s="3" t="s">
        <v>11</v>
      </c>
      <c r="E298" s="5">
        <v>6.0</v>
      </c>
      <c r="F298" s="3" t="s">
        <v>301</v>
      </c>
      <c r="G298" s="3" t="s">
        <v>230</v>
      </c>
      <c r="J298" s="5">
        <v>5.0</v>
      </c>
      <c r="N298" s="3" t="b">
        <v>0</v>
      </c>
      <c r="R298" s="3">
        <v>0.0</v>
      </c>
      <c r="T298" s="3">
        <v>10.0</v>
      </c>
      <c r="U298" s="2"/>
      <c r="V298" s="2"/>
      <c r="W298" s="70"/>
      <c r="X298" s="71"/>
      <c r="AA298" s="2">
        <f>2+ (P298*'Scoring System'!$B$3)+ (IF(OR(D298="DEF",D298="GK"),N298*'Scoring System'!$B$4,IF(D298="MID",N298*'Scoring System'!$B$5,0)))+ (IF(OR(D298="DEF",D298="GK"),H298*'Scoring System'!$B$6,IF(D298="MID",H298*'Scoring System'!$B$7,IF(D298="ATT",H298*'Scoring System'!$B$8,0))))+ IF(AND(OR(D298="GK",D298="DEF"),J298&gt;=3),1*'Scoring System'!$B$9,0)+ (I298*'Scoring System'!$B$10)+ (K298*'Scoring System'!$B$11)+ (M298*'Scoring System'!$B$12)+ (L298*'Scoring System'!$B$13)+ (O298*'Scoring System'!$B$14)+ (Q298*'Scoring System'!$B$15)+ (R298*'Scoring System'!$B$16)</f>
        <v>1</v>
      </c>
      <c r="AB298" s="72" t="b">
        <f>IFERROR(match(C298,'Match Day Fees'!$B$2:$B$999,0),0)=0</f>
        <v>0</v>
      </c>
      <c r="AC298" s="73">
        <f t="shared" si="1"/>
        <v>0</v>
      </c>
      <c r="AD298" s="3" t="str">
        <f>VLOOKUP(D298,'Position Lookup'!A:B,1,FALSE)</f>
        <v>DEF</v>
      </c>
    </row>
    <row r="299" ht="17.25" customHeight="1">
      <c r="A299" s="31">
        <v>45171.0</v>
      </c>
      <c r="B299" s="1" t="s">
        <v>222</v>
      </c>
      <c r="C299" s="3" t="s">
        <v>84</v>
      </c>
      <c r="D299" s="3" t="s">
        <v>11</v>
      </c>
      <c r="E299" s="5">
        <v>6.0</v>
      </c>
      <c r="F299" s="3" t="s">
        <v>301</v>
      </c>
      <c r="G299" s="3" t="s">
        <v>230</v>
      </c>
      <c r="J299" s="5">
        <v>5.0</v>
      </c>
      <c r="N299" s="3" t="b">
        <v>0</v>
      </c>
      <c r="R299" s="3">
        <v>0.0</v>
      </c>
      <c r="T299" s="3">
        <v>5.0</v>
      </c>
      <c r="U299" s="2"/>
      <c r="V299" s="2"/>
      <c r="W299" s="70"/>
      <c r="X299" s="71"/>
      <c r="AA299" s="2">
        <f>2+ (P299*'Scoring System'!$B$3)+ (IF(OR(D299="DEF",D299="GK"),N299*'Scoring System'!$B$4,IF(D299="MID",N299*'Scoring System'!$B$5,0)))+ (IF(OR(D299="DEF",D299="GK"),H299*'Scoring System'!$B$6,IF(D299="MID",H299*'Scoring System'!$B$7,IF(D299="ATT",H299*'Scoring System'!$B$8,0))))+ IF(AND(OR(D299="GK",D299="DEF"),J299&gt;=3),1*'Scoring System'!$B$9,0)+ (I299*'Scoring System'!$B$10)+ (K299*'Scoring System'!$B$11)+ (M299*'Scoring System'!$B$12)+ (L299*'Scoring System'!$B$13)+ (O299*'Scoring System'!$B$14)+ (Q299*'Scoring System'!$B$15)+ (R299*'Scoring System'!$B$16)</f>
        <v>1</v>
      </c>
      <c r="AB299" s="72" t="b">
        <f>IFERROR(match(C299,'Match Day Fees'!$B$2:$B$999,0),0)=0</f>
        <v>0</v>
      </c>
      <c r="AC299" s="73">
        <f t="shared" si="1"/>
        <v>0</v>
      </c>
      <c r="AD299" s="3" t="str">
        <f>VLOOKUP(D299,'Position Lookup'!A:B,1,FALSE)</f>
        <v>DEF</v>
      </c>
    </row>
    <row r="300" ht="17.25" customHeight="1">
      <c r="A300" s="31">
        <v>45171.0</v>
      </c>
      <c r="B300" s="1" t="s">
        <v>222</v>
      </c>
      <c r="C300" s="3" t="s">
        <v>302</v>
      </c>
      <c r="D300" s="3" t="s">
        <v>10</v>
      </c>
      <c r="E300" s="5">
        <v>6.0</v>
      </c>
      <c r="F300" s="3" t="s">
        <v>301</v>
      </c>
      <c r="G300" s="3" t="s">
        <v>230</v>
      </c>
      <c r="J300" s="5">
        <v>5.0</v>
      </c>
      <c r="N300" s="3" t="b">
        <v>0</v>
      </c>
      <c r="R300" s="3">
        <v>0.0</v>
      </c>
      <c r="T300" s="3">
        <v>10.0</v>
      </c>
      <c r="U300" s="2"/>
      <c r="V300" s="2"/>
      <c r="W300" s="70"/>
      <c r="X300" s="71"/>
      <c r="AA300" s="2">
        <f>2+ (P300*'Scoring System'!$B$3)+ (IF(OR(D300="DEF",D300="GK"),N300*'Scoring System'!$B$4,IF(D300="MID",N300*'Scoring System'!$B$5,0)))+ (IF(OR(D300="DEF",D300="GK"),H300*'Scoring System'!$B$6,IF(D300="MID",H300*'Scoring System'!$B$7,IF(D300="ATT",H300*'Scoring System'!$B$8,0))))+ IF(AND(OR(D300="GK",D300="DEF"),J300&gt;=3),1*'Scoring System'!$B$9,0)+ (I300*'Scoring System'!$B$10)+ (K300*'Scoring System'!$B$11)+ (M300*'Scoring System'!$B$12)+ (L300*'Scoring System'!$B$13)+ (O300*'Scoring System'!$B$14)+ (Q300*'Scoring System'!$B$15)+ (R300*'Scoring System'!$B$16)</f>
        <v>2</v>
      </c>
      <c r="AB300" s="72" t="b">
        <f>IFERROR(match(C300,'Match Day Fees'!$B$2:$B$999,0),0)=0</f>
        <v>0</v>
      </c>
      <c r="AC300" s="73">
        <f t="shared" si="1"/>
        <v>0</v>
      </c>
      <c r="AD300" s="3" t="str">
        <f>VLOOKUP(D300,'Position Lookup'!A:B,1,FALSE)</f>
        <v>MID</v>
      </c>
    </row>
    <row r="301" ht="17.25" customHeight="1">
      <c r="A301" s="31">
        <v>45171.0</v>
      </c>
      <c r="B301" s="1" t="s">
        <v>222</v>
      </c>
      <c r="C301" s="3" t="s">
        <v>147</v>
      </c>
      <c r="D301" s="3" t="s">
        <v>10</v>
      </c>
      <c r="E301" s="5">
        <v>6.0</v>
      </c>
      <c r="F301" s="3" t="s">
        <v>301</v>
      </c>
      <c r="G301" s="3" t="s">
        <v>230</v>
      </c>
      <c r="J301" s="5">
        <v>5.0</v>
      </c>
      <c r="N301" s="3" t="b">
        <v>0</v>
      </c>
      <c r="R301" s="3">
        <v>0.0</v>
      </c>
      <c r="T301" s="3">
        <v>5.0</v>
      </c>
      <c r="U301" s="2"/>
      <c r="V301" s="2"/>
      <c r="W301" s="70"/>
      <c r="X301" s="71"/>
      <c r="AA301" s="2">
        <f>2+ (P301*'Scoring System'!$B$3)+ (IF(OR(D301="DEF",D301="GK"),N301*'Scoring System'!$B$4,IF(D301="MID",N301*'Scoring System'!$B$5,0)))+ (IF(OR(D301="DEF",D301="GK"),H301*'Scoring System'!$B$6,IF(D301="MID",H301*'Scoring System'!$B$7,IF(D301="ATT",H301*'Scoring System'!$B$8,0))))+ IF(AND(OR(D301="GK",D301="DEF"),J301&gt;=3),1*'Scoring System'!$B$9,0)+ (I301*'Scoring System'!$B$10)+ (K301*'Scoring System'!$B$11)+ (M301*'Scoring System'!$B$12)+ (L301*'Scoring System'!$B$13)+ (O301*'Scoring System'!$B$14)+ (Q301*'Scoring System'!$B$15)+ (R301*'Scoring System'!$B$16)</f>
        <v>2</v>
      </c>
      <c r="AB301" s="72" t="b">
        <f>IFERROR(match(C301,'Match Day Fees'!$B$2:$B$999,0),0)=0</f>
        <v>0</v>
      </c>
      <c r="AC301" s="73">
        <f t="shared" si="1"/>
        <v>0</v>
      </c>
      <c r="AD301" s="3" t="str">
        <f>VLOOKUP(D301,'Position Lookup'!A:B,1,FALSE)</f>
        <v>MID</v>
      </c>
    </row>
    <row r="302" ht="17.25" customHeight="1">
      <c r="A302" s="31">
        <v>45171.0</v>
      </c>
      <c r="B302" s="1" t="s">
        <v>222</v>
      </c>
      <c r="C302" s="3" t="s">
        <v>117</v>
      </c>
      <c r="D302" s="3" t="s">
        <v>10</v>
      </c>
      <c r="E302" s="5">
        <v>6.0</v>
      </c>
      <c r="F302" s="3" t="s">
        <v>301</v>
      </c>
      <c r="G302" s="3" t="s">
        <v>230</v>
      </c>
      <c r="J302" s="5">
        <v>5.0</v>
      </c>
      <c r="N302" s="3" t="b">
        <v>0</v>
      </c>
      <c r="R302" s="3">
        <v>0.0</v>
      </c>
      <c r="T302" s="3">
        <v>10.0</v>
      </c>
      <c r="U302" s="2"/>
      <c r="V302" s="2"/>
      <c r="W302" s="70"/>
      <c r="X302" s="71"/>
      <c r="AA302" s="2">
        <f>2+ (P302*'Scoring System'!$B$3)+ (IF(OR(D302="DEF",D302="GK"),N302*'Scoring System'!$B$4,IF(D302="MID",N302*'Scoring System'!$B$5,0)))+ (IF(OR(D302="DEF",D302="GK"),H302*'Scoring System'!$B$6,IF(D302="MID",H302*'Scoring System'!$B$7,IF(D302="ATT",H302*'Scoring System'!$B$8,0))))+ IF(AND(OR(D302="GK",D302="DEF"),J302&gt;=3),1*'Scoring System'!$B$9,0)+ (I302*'Scoring System'!$B$10)+ (K302*'Scoring System'!$B$11)+ (M302*'Scoring System'!$B$12)+ (L302*'Scoring System'!$B$13)+ (O302*'Scoring System'!$B$14)+ (Q302*'Scoring System'!$B$15)+ (R302*'Scoring System'!$B$16)</f>
        <v>2</v>
      </c>
      <c r="AB302" s="72" t="b">
        <f>IFERROR(match(C302,'Match Day Fees'!$B$2:$B$999,0),0)=0</f>
        <v>0</v>
      </c>
      <c r="AC302" s="73">
        <f t="shared" si="1"/>
        <v>0</v>
      </c>
      <c r="AD302" s="3" t="str">
        <f>VLOOKUP(D302,'Position Lookup'!A:B,1,FALSE)</f>
        <v>MID</v>
      </c>
    </row>
    <row r="303" ht="17.25" customHeight="1">
      <c r="A303" s="31">
        <v>45171.0</v>
      </c>
      <c r="B303" s="1" t="s">
        <v>222</v>
      </c>
      <c r="C303" s="3" t="s">
        <v>99</v>
      </c>
      <c r="D303" s="3" t="s">
        <v>10</v>
      </c>
      <c r="E303" s="5">
        <v>6.0</v>
      </c>
      <c r="F303" s="3" t="s">
        <v>301</v>
      </c>
      <c r="G303" s="3" t="s">
        <v>230</v>
      </c>
      <c r="J303" s="5">
        <v>5.0</v>
      </c>
      <c r="N303" s="3" t="b">
        <v>0</v>
      </c>
      <c r="R303" s="3">
        <v>0.0</v>
      </c>
      <c r="S303" s="3" t="b">
        <v>1</v>
      </c>
      <c r="T303" s="3">
        <v>0.0</v>
      </c>
      <c r="U303" s="2"/>
      <c r="V303" s="2"/>
      <c r="W303" s="70"/>
      <c r="X303" s="71"/>
      <c r="AA303" s="2">
        <f>2+ (P303*'Scoring System'!$B$3)+ (IF(OR(D303="DEF",D303="GK"),N303*'Scoring System'!$B$4,IF(D303="MID",N303*'Scoring System'!$B$5,0)))+ (IF(OR(D303="DEF",D303="GK"),H303*'Scoring System'!$B$6,IF(D303="MID",H303*'Scoring System'!$B$7,IF(D303="ATT",H303*'Scoring System'!$B$8,0))))+ IF(AND(OR(D303="GK",D303="DEF"),J303&gt;=3),1*'Scoring System'!$B$9,0)+ (I303*'Scoring System'!$B$10)+ (K303*'Scoring System'!$B$11)+ (M303*'Scoring System'!$B$12)+ (L303*'Scoring System'!$B$13)+ (O303*'Scoring System'!$B$14)+ (Q303*'Scoring System'!$B$15)+ (R303*'Scoring System'!$B$16)</f>
        <v>2</v>
      </c>
      <c r="AB303" s="72" t="b">
        <f>IFERROR(match(C303,'Match Day Fees'!$B$2:$B$999,0),0)=0</f>
        <v>0</v>
      </c>
      <c r="AC303" s="73">
        <f t="shared" si="1"/>
        <v>0</v>
      </c>
      <c r="AD303" s="3" t="str">
        <f>VLOOKUP(D303,'Position Lookup'!A:B,1,FALSE)</f>
        <v>MID</v>
      </c>
    </row>
    <row r="304" ht="17.25" customHeight="1">
      <c r="A304" s="31">
        <v>45171.0</v>
      </c>
      <c r="B304" s="1" t="s">
        <v>222</v>
      </c>
      <c r="C304" s="3" t="s">
        <v>282</v>
      </c>
      <c r="D304" s="3" t="s">
        <v>10</v>
      </c>
      <c r="E304" s="5">
        <v>6.0</v>
      </c>
      <c r="F304" s="3" t="s">
        <v>301</v>
      </c>
      <c r="G304" s="3" t="s">
        <v>230</v>
      </c>
      <c r="J304" s="5">
        <v>5.0</v>
      </c>
      <c r="N304" s="3" t="b">
        <v>0</v>
      </c>
      <c r="R304" s="3">
        <v>0.0</v>
      </c>
      <c r="T304" s="3">
        <v>10.0</v>
      </c>
      <c r="U304" s="2"/>
      <c r="V304" s="2"/>
      <c r="W304" s="70"/>
      <c r="X304" s="71"/>
      <c r="AA304" s="2">
        <f>2+ (P304*'Scoring System'!$B$3)+ (IF(OR(D304="DEF",D304="GK"),N304*'Scoring System'!$B$4,IF(D304="MID",N304*'Scoring System'!$B$5,0)))+ (IF(OR(D304="DEF",D304="GK"),H304*'Scoring System'!$B$6,IF(D304="MID",H304*'Scoring System'!$B$7,IF(D304="ATT",H304*'Scoring System'!$B$8,0))))+ IF(AND(OR(D304="GK",D304="DEF"),J304&gt;=3),1*'Scoring System'!$B$9,0)+ (I304*'Scoring System'!$B$10)+ (K304*'Scoring System'!$B$11)+ (M304*'Scoring System'!$B$12)+ (L304*'Scoring System'!$B$13)+ (O304*'Scoring System'!$B$14)+ (Q304*'Scoring System'!$B$15)+ (R304*'Scoring System'!$B$16)</f>
        <v>2</v>
      </c>
      <c r="AB304" s="72" t="b">
        <f>IFERROR(match(C304,'Match Day Fees'!$B$2:$B$999,0),0)=0</f>
        <v>0</v>
      </c>
      <c r="AC304" s="73">
        <f t="shared" si="1"/>
        <v>0</v>
      </c>
      <c r="AD304" s="3" t="str">
        <f>VLOOKUP(D304,'Position Lookup'!A:B,1,FALSE)</f>
        <v>MID</v>
      </c>
    </row>
    <row r="305" ht="17.25" customHeight="1">
      <c r="A305" s="31">
        <v>45171.0</v>
      </c>
      <c r="B305" s="1" t="s">
        <v>222</v>
      </c>
      <c r="C305" s="3" t="s">
        <v>70</v>
      </c>
      <c r="D305" s="3" t="s">
        <v>9</v>
      </c>
      <c r="E305" s="5">
        <v>6.0</v>
      </c>
      <c r="F305" s="3" t="s">
        <v>301</v>
      </c>
      <c r="G305" s="3" t="s">
        <v>230</v>
      </c>
      <c r="J305" s="5">
        <v>5.0</v>
      </c>
      <c r="N305" s="3" t="b">
        <v>0</v>
      </c>
      <c r="R305" s="3">
        <v>0.0</v>
      </c>
      <c r="T305" s="3">
        <v>10.0</v>
      </c>
      <c r="U305" s="2"/>
      <c r="V305" s="2"/>
      <c r="W305" s="70"/>
      <c r="X305" s="71"/>
      <c r="AA305" s="2">
        <f>2+ (P305*'Scoring System'!$B$3)+ (IF(OR(D305="DEF",D305="GK"),N305*'Scoring System'!$B$4,IF(D305="MID",N305*'Scoring System'!$B$5,0)))+ (IF(OR(D305="DEF",D305="GK"),H305*'Scoring System'!$B$6,IF(D305="MID",H305*'Scoring System'!$B$7,IF(D305="ATT",H305*'Scoring System'!$B$8,0))))+ IF(AND(OR(D305="GK",D305="DEF"),J305&gt;=3),1*'Scoring System'!$B$9,0)+ (I305*'Scoring System'!$B$10)+ (K305*'Scoring System'!$B$11)+ (M305*'Scoring System'!$B$12)+ (L305*'Scoring System'!$B$13)+ (O305*'Scoring System'!$B$14)+ (Q305*'Scoring System'!$B$15)+ (R305*'Scoring System'!$B$16)</f>
        <v>2</v>
      </c>
      <c r="AB305" s="72" t="b">
        <f>IFERROR(match(C305,'Match Day Fees'!$B$2:$B$999,0),0)=0</f>
        <v>0</v>
      </c>
      <c r="AC305" s="73">
        <f t="shared" si="1"/>
        <v>0</v>
      </c>
      <c r="AD305" s="3" t="str">
        <f>VLOOKUP(D305,'Position Lookup'!A:B,1,FALSE)</f>
        <v>ATT</v>
      </c>
    </row>
    <row r="306" ht="17.25" customHeight="1">
      <c r="A306" s="31">
        <v>45171.0</v>
      </c>
      <c r="B306" s="1" t="s">
        <v>222</v>
      </c>
      <c r="C306" s="3" t="s">
        <v>72</v>
      </c>
      <c r="D306" s="3" t="s">
        <v>10</v>
      </c>
      <c r="E306" s="5">
        <v>6.0</v>
      </c>
      <c r="F306" s="3" t="s">
        <v>301</v>
      </c>
      <c r="G306" s="3" t="s">
        <v>230</v>
      </c>
      <c r="J306" s="5">
        <v>5.0</v>
      </c>
      <c r="N306" s="3" t="b">
        <v>0</v>
      </c>
      <c r="R306" s="3">
        <v>0.0</v>
      </c>
      <c r="T306" s="3">
        <v>10.0</v>
      </c>
      <c r="U306" s="2"/>
      <c r="V306" s="2"/>
      <c r="W306" s="70"/>
      <c r="X306" s="71"/>
      <c r="AA306" s="2">
        <f>2+ (P306*'Scoring System'!$B$3)+ (IF(OR(D306="DEF",D306="GK"),N306*'Scoring System'!$B$4,IF(D306="MID",N306*'Scoring System'!$B$5,0)))+ (IF(OR(D306="DEF",D306="GK"),H306*'Scoring System'!$B$6,IF(D306="MID",H306*'Scoring System'!$B$7,IF(D306="ATT",H306*'Scoring System'!$B$8,0))))+ IF(AND(OR(D306="GK",D306="DEF"),J306&gt;=3),1*'Scoring System'!$B$9,0)+ (I306*'Scoring System'!$B$10)+ (K306*'Scoring System'!$B$11)+ (M306*'Scoring System'!$B$12)+ (L306*'Scoring System'!$B$13)+ (O306*'Scoring System'!$B$14)+ (Q306*'Scoring System'!$B$15)+ (R306*'Scoring System'!$B$16)</f>
        <v>2</v>
      </c>
      <c r="AB306" s="72" t="b">
        <f>IFERROR(match(C306,'Match Day Fees'!$B$2:$B$999,0),0)=0</f>
        <v>0</v>
      </c>
      <c r="AC306" s="73">
        <f t="shared" si="1"/>
        <v>0</v>
      </c>
      <c r="AD306" s="3" t="str">
        <f>VLOOKUP(D306,'Position Lookup'!A:B,1,FALSE)</f>
        <v>MID</v>
      </c>
    </row>
    <row r="307" ht="17.25" customHeight="1">
      <c r="A307" s="31">
        <v>45171.0</v>
      </c>
      <c r="B307" s="1" t="s">
        <v>222</v>
      </c>
      <c r="C307" s="3" t="s">
        <v>108</v>
      </c>
      <c r="D307" s="3" t="s">
        <v>10</v>
      </c>
      <c r="E307" s="5">
        <v>6.0</v>
      </c>
      <c r="F307" s="3" t="s">
        <v>301</v>
      </c>
      <c r="G307" s="3" t="s">
        <v>230</v>
      </c>
      <c r="J307" s="5">
        <v>5.0</v>
      </c>
      <c r="N307" s="3" t="b">
        <v>0</v>
      </c>
      <c r="R307" s="3">
        <v>1.0</v>
      </c>
      <c r="T307" s="3">
        <v>10.0</v>
      </c>
      <c r="U307" s="2"/>
      <c r="V307" s="2"/>
      <c r="W307" s="70"/>
      <c r="X307" s="71"/>
      <c r="AA307" s="2">
        <f>2+ (P307*'Scoring System'!$B$3)+ (IF(OR(D307="DEF",D307="GK"),N307*'Scoring System'!$B$4,IF(D307="MID",N307*'Scoring System'!$B$5,0)))+ (IF(OR(D307="DEF",D307="GK"),H307*'Scoring System'!$B$6,IF(D307="MID",H307*'Scoring System'!$B$7,IF(D307="ATT",H307*'Scoring System'!$B$8,0))))+ IF(AND(OR(D307="GK",D307="DEF"),J307&gt;=3),1*'Scoring System'!$B$9,0)+ (I307*'Scoring System'!$B$10)+ (K307*'Scoring System'!$B$11)+ (M307*'Scoring System'!$B$12)+ (L307*'Scoring System'!$B$13)+ (O307*'Scoring System'!$B$14)+ (Q307*'Scoring System'!$B$15)+ (R307*'Scoring System'!$B$16)</f>
        <v>7</v>
      </c>
      <c r="AB307" s="72" t="b">
        <f>IFERROR(match(C307,'Match Day Fees'!$B$2:$B$999,0),0)=0</f>
        <v>0</v>
      </c>
      <c r="AC307" s="73">
        <f t="shared" si="1"/>
        <v>0</v>
      </c>
      <c r="AD307" s="3" t="str">
        <f>VLOOKUP(D307,'Position Lookup'!A:B,1,FALSE)</f>
        <v>MID</v>
      </c>
    </row>
    <row r="308" ht="17.25" customHeight="1">
      <c r="A308" s="31">
        <v>45171.0</v>
      </c>
      <c r="B308" s="1" t="s">
        <v>222</v>
      </c>
      <c r="C308" s="3" t="s">
        <v>234</v>
      </c>
      <c r="D308" s="3" t="s">
        <v>10</v>
      </c>
      <c r="E308" s="5">
        <v>6.0</v>
      </c>
      <c r="F308" s="3" t="s">
        <v>301</v>
      </c>
      <c r="G308" s="3" t="s">
        <v>230</v>
      </c>
      <c r="J308" s="5">
        <v>5.0</v>
      </c>
      <c r="N308" s="3" t="b">
        <v>0</v>
      </c>
      <c r="R308" s="3">
        <v>0.0</v>
      </c>
      <c r="T308" s="3">
        <v>10.0</v>
      </c>
      <c r="U308" s="2"/>
      <c r="V308" s="2"/>
      <c r="W308" s="70"/>
      <c r="X308" s="71"/>
      <c r="AA308" s="2">
        <f>2+ (P308*'Scoring System'!$B$3)+ (IF(OR(D308="DEF",D308="GK"),N308*'Scoring System'!$B$4,IF(D308="MID",N308*'Scoring System'!$B$5,0)))+ (IF(OR(D308="DEF",D308="GK"),H308*'Scoring System'!$B$6,IF(D308="MID",H308*'Scoring System'!$B$7,IF(D308="ATT",H308*'Scoring System'!$B$8,0))))+ IF(AND(OR(D308="GK",D308="DEF"),J308&gt;=3),1*'Scoring System'!$B$9,0)+ (I308*'Scoring System'!$B$10)+ (K308*'Scoring System'!$B$11)+ (M308*'Scoring System'!$B$12)+ (L308*'Scoring System'!$B$13)+ (O308*'Scoring System'!$B$14)+ (Q308*'Scoring System'!$B$15)+ (R308*'Scoring System'!$B$16)</f>
        <v>2</v>
      </c>
      <c r="AB308" s="72" t="b">
        <f>IFERROR(match(C308,'Match Day Fees'!$B$2:$B$999,0),0)=0</f>
        <v>0</v>
      </c>
      <c r="AC308" s="73">
        <f t="shared" si="1"/>
        <v>0</v>
      </c>
      <c r="AD308" s="3" t="str">
        <f>VLOOKUP(D308,'Position Lookup'!A:B,1,FALSE)</f>
        <v>MID</v>
      </c>
    </row>
    <row r="309" ht="17.25" customHeight="1">
      <c r="A309" s="31">
        <v>45171.0</v>
      </c>
      <c r="B309" s="1" t="s">
        <v>222</v>
      </c>
      <c r="C309" s="3" t="s">
        <v>236</v>
      </c>
      <c r="D309" s="3" t="s">
        <v>9</v>
      </c>
      <c r="E309" s="5">
        <v>6.0</v>
      </c>
      <c r="F309" s="3" t="s">
        <v>301</v>
      </c>
      <c r="G309" s="3" t="s">
        <v>230</v>
      </c>
      <c r="J309" s="5">
        <v>5.0</v>
      </c>
      <c r="N309" s="3" t="b">
        <v>0</v>
      </c>
      <c r="R309" s="3">
        <v>0.0</v>
      </c>
      <c r="T309" s="3">
        <v>5.0</v>
      </c>
      <c r="U309" s="2"/>
      <c r="V309" s="2"/>
      <c r="W309" s="70"/>
      <c r="X309" s="71"/>
      <c r="AA309" s="2">
        <f>2+ (P309*'Scoring System'!$B$3)+ (IF(OR(D309="DEF",D309="GK"),N309*'Scoring System'!$B$4,IF(D309="MID",N309*'Scoring System'!$B$5,0)))+ (IF(OR(D309="DEF",D309="GK"),H309*'Scoring System'!$B$6,IF(D309="MID",H309*'Scoring System'!$B$7,IF(D309="ATT",H309*'Scoring System'!$B$8,0))))+ IF(AND(OR(D309="GK",D309="DEF"),J309&gt;=3),1*'Scoring System'!$B$9,0)+ (I309*'Scoring System'!$B$10)+ (K309*'Scoring System'!$B$11)+ (M309*'Scoring System'!$B$12)+ (L309*'Scoring System'!$B$13)+ (O309*'Scoring System'!$B$14)+ (Q309*'Scoring System'!$B$15)+ (R309*'Scoring System'!$B$16)</f>
        <v>2</v>
      </c>
      <c r="AB309" s="72" t="b">
        <f>IFERROR(match(C309,'Match Day Fees'!$B$2:$B$999,0),0)=0</f>
        <v>0</v>
      </c>
      <c r="AC309" s="73">
        <f t="shared" si="1"/>
        <v>0</v>
      </c>
      <c r="AD309" s="3" t="str">
        <f>VLOOKUP(D309,'Position Lookup'!A:B,1,FALSE)</f>
        <v>ATT</v>
      </c>
    </row>
    <row r="310" ht="17.25" customHeight="1">
      <c r="A310" s="31">
        <v>45171.0</v>
      </c>
      <c r="B310" s="1" t="s">
        <v>222</v>
      </c>
      <c r="C310" s="3" t="s">
        <v>106</v>
      </c>
      <c r="D310" s="3" t="s">
        <v>8</v>
      </c>
      <c r="E310" s="5">
        <v>4.0</v>
      </c>
      <c r="F310" s="3" t="s">
        <v>303</v>
      </c>
      <c r="G310" s="3" t="s">
        <v>230</v>
      </c>
      <c r="J310" s="5">
        <v>5.0</v>
      </c>
      <c r="N310" s="3" t="b">
        <v>0</v>
      </c>
      <c r="R310" s="3">
        <v>1.0</v>
      </c>
      <c r="T310" s="3">
        <v>10.0</v>
      </c>
      <c r="U310" s="2"/>
      <c r="V310" s="2"/>
      <c r="W310" s="70"/>
      <c r="X310" s="71"/>
      <c r="AA310" s="2">
        <f>2+ (P310*'Scoring System'!$B$3)+ (IF(OR(D310="DEF",D310="GK"),N310*'Scoring System'!$B$4,IF(D310="MID",N310*'Scoring System'!$B$5,0)))+ (IF(OR(D310="DEF",D310="GK"),H310*'Scoring System'!$B$6,IF(D310="MID",H310*'Scoring System'!$B$7,IF(D310="ATT",H310*'Scoring System'!$B$8,0))))+ IF(AND(OR(D310="GK",D310="DEF"),J310&gt;=3),1*'Scoring System'!$B$9,0)+ (I310*'Scoring System'!$B$10)+ (K310*'Scoring System'!$B$11)+ (M310*'Scoring System'!$B$12)+ (L310*'Scoring System'!$B$13)+ (O310*'Scoring System'!$B$14)+ (Q310*'Scoring System'!$B$15)+ (R310*'Scoring System'!$B$16)</f>
        <v>6</v>
      </c>
      <c r="AB310" s="72" t="b">
        <f>IFERROR(match(C310,'Match Day Fees'!$B$2:$B$999,0),0)=0</f>
        <v>0</v>
      </c>
      <c r="AC310" s="73">
        <f t="shared" si="1"/>
        <v>0</v>
      </c>
      <c r="AD310" s="3" t="str">
        <f>VLOOKUP(D310,'Position Lookup'!A:B,1,FALSE)</f>
        <v>GK</v>
      </c>
    </row>
    <row r="311" ht="17.25" customHeight="1">
      <c r="A311" s="31">
        <v>45171.0</v>
      </c>
      <c r="B311" s="1" t="s">
        <v>222</v>
      </c>
      <c r="C311" s="3" t="s">
        <v>126</v>
      </c>
      <c r="D311" s="3" t="s">
        <v>11</v>
      </c>
      <c r="E311" s="5">
        <v>4.0</v>
      </c>
      <c r="F311" s="3" t="s">
        <v>303</v>
      </c>
      <c r="G311" s="3" t="s">
        <v>230</v>
      </c>
      <c r="J311" s="5">
        <v>5.0</v>
      </c>
      <c r="N311" s="3" t="b">
        <v>0</v>
      </c>
      <c r="R311" s="3">
        <v>0.0</v>
      </c>
      <c r="T311" s="3">
        <v>5.0</v>
      </c>
      <c r="U311" s="2"/>
      <c r="V311" s="2"/>
      <c r="W311" s="70"/>
      <c r="X311" s="71"/>
      <c r="AA311" s="2">
        <f>2+ (P311*'Scoring System'!$B$3)+ (IF(OR(D311="DEF",D311="GK"),N311*'Scoring System'!$B$4,IF(D311="MID",N311*'Scoring System'!$B$5,0)))+ (IF(OR(D311="DEF",D311="GK"),H311*'Scoring System'!$B$6,IF(D311="MID",H311*'Scoring System'!$B$7,IF(D311="ATT",H311*'Scoring System'!$B$8,0))))+ IF(AND(OR(D311="GK",D311="DEF"),J311&gt;=3),1*'Scoring System'!$B$9,0)+ (I311*'Scoring System'!$B$10)+ (K311*'Scoring System'!$B$11)+ (M311*'Scoring System'!$B$12)+ (L311*'Scoring System'!$B$13)+ (O311*'Scoring System'!$B$14)+ (Q311*'Scoring System'!$B$15)+ (R311*'Scoring System'!$B$16)</f>
        <v>1</v>
      </c>
      <c r="AB311" s="72" t="b">
        <f>IFERROR(match(C311,'Match Day Fees'!$B$2:$B$999,0),0)=0</f>
        <v>0</v>
      </c>
      <c r="AC311" s="73">
        <f t="shared" si="1"/>
        <v>0</v>
      </c>
      <c r="AD311" s="3" t="str">
        <f>VLOOKUP(D311,'Position Lookup'!A:B,1,FALSE)</f>
        <v>DEF</v>
      </c>
    </row>
    <row r="312" ht="17.25" customHeight="1">
      <c r="A312" s="31">
        <v>45171.0</v>
      </c>
      <c r="B312" s="1" t="s">
        <v>222</v>
      </c>
      <c r="C312" s="3" t="s">
        <v>116</v>
      </c>
      <c r="D312" s="3" t="s">
        <v>11</v>
      </c>
      <c r="E312" s="5">
        <v>4.0</v>
      </c>
      <c r="F312" s="3" t="s">
        <v>303</v>
      </c>
      <c r="G312" s="3" t="s">
        <v>230</v>
      </c>
      <c r="J312" s="5">
        <v>5.0</v>
      </c>
      <c r="N312" s="3" t="b">
        <v>0</v>
      </c>
      <c r="R312" s="3">
        <v>0.0</v>
      </c>
      <c r="T312" s="3">
        <v>10.0</v>
      </c>
      <c r="U312" s="2"/>
      <c r="V312" s="2"/>
      <c r="W312" s="70"/>
      <c r="X312" s="71"/>
      <c r="AA312" s="2">
        <f>2+ (P312*'Scoring System'!$B$3)+ (IF(OR(D312="DEF",D312="GK"),N312*'Scoring System'!$B$4,IF(D312="MID",N312*'Scoring System'!$B$5,0)))+ (IF(OR(D312="DEF",D312="GK"),H312*'Scoring System'!$B$6,IF(D312="MID",H312*'Scoring System'!$B$7,IF(D312="ATT",H312*'Scoring System'!$B$8,0))))+ IF(AND(OR(D312="GK",D312="DEF"),J312&gt;=3),1*'Scoring System'!$B$9,0)+ (I312*'Scoring System'!$B$10)+ (K312*'Scoring System'!$B$11)+ (M312*'Scoring System'!$B$12)+ (L312*'Scoring System'!$B$13)+ (O312*'Scoring System'!$B$14)+ (Q312*'Scoring System'!$B$15)+ (R312*'Scoring System'!$B$16)</f>
        <v>1</v>
      </c>
      <c r="AB312" s="72" t="b">
        <f>IFERROR(match(C312,'Match Day Fees'!$B$2:$B$999,0),0)=0</f>
        <v>0</v>
      </c>
      <c r="AC312" s="73">
        <f t="shared" si="1"/>
        <v>0</v>
      </c>
      <c r="AD312" s="3" t="str">
        <f>VLOOKUP(D312,'Position Lookup'!A:B,1,FALSE)</f>
        <v>DEF</v>
      </c>
    </row>
    <row r="313" ht="17.25" customHeight="1">
      <c r="A313" s="31">
        <v>45171.0</v>
      </c>
      <c r="B313" s="1" t="s">
        <v>222</v>
      </c>
      <c r="C313" s="3" t="s">
        <v>304</v>
      </c>
      <c r="D313" s="3" t="s">
        <v>11</v>
      </c>
      <c r="E313" s="5">
        <v>4.0</v>
      </c>
      <c r="F313" s="3" t="s">
        <v>303</v>
      </c>
      <c r="G313" s="3" t="s">
        <v>230</v>
      </c>
      <c r="J313" s="5">
        <v>5.0</v>
      </c>
      <c r="N313" s="3" t="b">
        <v>0</v>
      </c>
      <c r="R313" s="3">
        <v>0.0</v>
      </c>
      <c r="T313" s="3">
        <v>10.0</v>
      </c>
      <c r="U313" s="2"/>
      <c r="V313" s="2"/>
      <c r="W313" s="70"/>
      <c r="X313" s="71"/>
      <c r="AA313" s="2">
        <f>2+ (P313*'Scoring System'!$B$3)+ (IF(OR(D313="DEF",D313="GK"),N313*'Scoring System'!$B$4,IF(D313="MID",N313*'Scoring System'!$B$5,0)))+ (IF(OR(D313="DEF",D313="GK"),H313*'Scoring System'!$B$6,IF(D313="MID",H313*'Scoring System'!$B$7,IF(D313="ATT",H313*'Scoring System'!$B$8,0))))+ IF(AND(OR(D313="GK",D313="DEF"),J313&gt;=3),1*'Scoring System'!$B$9,0)+ (I313*'Scoring System'!$B$10)+ (K313*'Scoring System'!$B$11)+ (M313*'Scoring System'!$B$12)+ (L313*'Scoring System'!$B$13)+ (O313*'Scoring System'!$B$14)+ (Q313*'Scoring System'!$B$15)+ (R313*'Scoring System'!$B$16)</f>
        <v>1</v>
      </c>
      <c r="AB313" s="72" t="b">
        <f>IFERROR(match(C313,'Match Day Fees'!$B$2:$B$999,0),0)=0</f>
        <v>0</v>
      </c>
      <c r="AC313" s="73">
        <f t="shared" si="1"/>
        <v>0</v>
      </c>
      <c r="AD313" s="3" t="str">
        <f>VLOOKUP(D313,'Position Lookup'!A:B,1,FALSE)</f>
        <v>DEF</v>
      </c>
    </row>
    <row r="314" ht="17.25" customHeight="1">
      <c r="A314" s="31">
        <v>45171.0</v>
      </c>
      <c r="B314" s="1" t="s">
        <v>222</v>
      </c>
      <c r="C314" s="3" t="s">
        <v>248</v>
      </c>
      <c r="D314" s="3" t="s">
        <v>11</v>
      </c>
      <c r="E314" s="5">
        <v>4.0</v>
      </c>
      <c r="F314" s="3" t="s">
        <v>303</v>
      </c>
      <c r="G314" s="3" t="s">
        <v>230</v>
      </c>
      <c r="J314" s="5">
        <v>5.0</v>
      </c>
      <c r="N314" s="3" t="b">
        <v>0</v>
      </c>
      <c r="R314" s="3">
        <v>0.0</v>
      </c>
      <c r="T314" s="3">
        <v>5.0</v>
      </c>
      <c r="U314" s="2"/>
      <c r="V314" s="2"/>
      <c r="W314" s="70"/>
      <c r="X314" s="71"/>
      <c r="AA314" s="2">
        <f>2+ (P314*'Scoring System'!$B$3)+ (IF(OR(D314="DEF",D314="GK"),N314*'Scoring System'!$B$4,IF(D314="MID",N314*'Scoring System'!$B$5,0)))+ (IF(OR(D314="DEF",D314="GK"),H314*'Scoring System'!$B$6,IF(D314="MID",H314*'Scoring System'!$B$7,IF(D314="ATT",H314*'Scoring System'!$B$8,0))))+ IF(AND(OR(D314="GK",D314="DEF"),J314&gt;=3),1*'Scoring System'!$B$9,0)+ (I314*'Scoring System'!$B$10)+ (K314*'Scoring System'!$B$11)+ (M314*'Scoring System'!$B$12)+ (L314*'Scoring System'!$B$13)+ (O314*'Scoring System'!$B$14)+ (Q314*'Scoring System'!$B$15)+ (R314*'Scoring System'!$B$16)</f>
        <v>1</v>
      </c>
      <c r="AB314" s="72" t="b">
        <f>IFERROR(match(C314,'Match Day Fees'!$B$2:$B$999,0),0)=0</f>
        <v>0</v>
      </c>
      <c r="AC314" s="73">
        <f t="shared" si="1"/>
        <v>0</v>
      </c>
      <c r="AD314" s="3" t="str">
        <f>VLOOKUP(D314,'Position Lookup'!A:B,1,FALSE)</f>
        <v>DEF</v>
      </c>
    </row>
    <row r="315" ht="17.25" customHeight="1">
      <c r="A315" s="31">
        <v>45171.0</v>
      </c>
      <c r="B315" s="1" t="s">
        <v>222</v>
      </c>
      <c r="C315" s="3" t="s">
        <v>136</v>
      </c>
      <c r="D315" s="3" t="s">
        <v>10</v>
      </c>
      <c r="E315" s="5">
        <v>4.0</v>
      </c>
      <c r="F315" s="3" t="s">
        <v>303</v>
      </c>
      <c r="G315" s="3" t="s">
        <v>230</v>
      </c>
      <c r="J315" s="5">
        <v>5.0</v>
      </c>
      <c r="N315" s="3" t="b">
        <v>0</v>
      </c>
      <c r="R315" s="3">
        <v>0.0</v>
      </c>
      <c r="S315" s="3" t="b">
        <v>1</v>
      </c>
      <c r="T315" s="3">
        <v>0.0</v>
      </c>
      <c r="U315" s="2"/>
      <c r="V315" s="2"/>
      <c r="W315" s="70"/>
      <c r="X315" s="71"/>
      <c r="AA315" s="2">
        <f>2+ (P315*'Scoring System'!$B$3)+ (IF(OR(D315="DEF",D315="GK"),N315*'Scoring System'!$B$4,IF(D315="MID",N315*'Scoring System'!$B$5,0)))+ (IF(OR(D315="DEF",D315="GK"),H315*'Scoring System'!$B$6,IF(D315="MID",H315*'Scoring System'!$B$7,IF(D315="ATT",H315*'Scoring System'!$B$8,0))))+ IF(AND(OR(D315="GK",D315="DEF"),J315&gt;=3),1*'Scoring System'!$B$9,0)+ (I315*'Scoring System'!$B$10)+ (K315*'Scoring System'!$B$11)+ (M315*'Scoring System'!$B$12)+ (L315*'Scoring System'!$B$13)+ (O315*'Scoring System'!$B$14)+ (Q315*'Scoring System'!$B$15)+ (R315*'Scoring System'!$B$16)</f>
        <v>2</v>
      </c>
      <c r="AB315" s="72" t="b">
        <f>IFERROR(match(C315,'Match Day Fees'!$B$2:$B$999,0),0)=0</f>
        <v>0</v>
      </c>
      <c r="AC315" s="73">
        <f t="shared" si="1"/>
        <v>0</v>
      </c>
      <c r="AD315" s="3" t="str">
        <f>VLOOKUP(D315,'Position Lookup'!A:B,1,FALSE)</f>
        <v>MID</v>
      </c>
    </row>
    <row r="316" ht="17.25" customHeight="1">
      <c r="A316" s="31">
        <v>45171.0</v>
      </c>
      <c r="B316" s="1" t="s">
        <v>222</v>
      </c>
      <c r="C316" s="3" t="s">
        <v>94</v>
      </c>
      <c r="D316" s="3" t="s">
        <v>10</v>
      </c>
      <c r="E316" s="5">
        <v>4.0</v>
      </c>
      <c r="F316" s="3" t="s">
        <v>303</v>
      </c>
      <c r="G316" s="3" t="s">
        <v>230</v>
      </c>
      <c r="H316" s="3">
        <v>1.0</v>
      </c>
      <c r="J316" s="5">
        <v>5.0</v>
      </c>
      <c r="N316" s="3" t="b">
        <v>0</v>
      </c>
      <c r="R316" s="3">
        <v>0.0</v>
      </c>
      <c r="T316" s="3">
        <v>10.0</v>
      </c>
      <c r="U316" s="2"/>
      <c r="V316" s="2"/>
      <c r="W316" s="70"/>
      <c r="X316" s="71"/>
      <c r="AA316" s="2">
        <f>2+ (P316*'Scoring System'!$B$3)+ (IF(OR(D316="DEF",D316="GK"),N316*'Scoring System'!$B$4,IF(D316="MID",N316*'Scoring System'!$B$5,0)))+ (IF(OR(D316="DEF",D316="GK"),H316*'Scoring System'!$B$6,IF(D316="MID",H316*'Scoring System'!$B$7,IF(D316="ATT",H316*'Scoring System'!$B$8,0))))+ IF(AND(OR(D316="GK",D316="DEF"),J316&gt;=3),1*'Scoring System'!$B$9,0)+ (I316*'Scoring System'!$B$10)+ (K316*'Scoring System'!$B$11)+ (M316*'Scoring System'!$B$12)+ (L316*'Scoring System'!$B$13)+ (O316*'Scoring System'!$B$14)+ (Q316*'Scoring System'!$B$15)+ (R316*'Scoring System'!$B$16)</f>
        <v>7</v>
      </c>
      <c r="AB316" s="72" t="b">
        <f>IFERROR(match(C316,'Match Day Fees'!$B$2:$B$999,0),0)=0</f>
        <v>0</v>
      </c>
      <c r="AC316" s="73">
        <f t="shared" si="1"/>
        <v>0</v>
      </c>
      <c r="AD316" s="3" t="str">
        <f>VLOOKUP(D316,'Position Lookup'!A:B,1,FALSE)</f>
        <v>MID</v>
      </c>
    </row>
    <row r="317" ht="17.25" customHeight="1">
      <c r="A317" s="31">
        <v>45171.0</v>
      </c>
      <c r="B317" s="1" t="s">
        <v>222</v>
      </c>
      <c r="C317" s="3" t="s">
        <v>45</v>
      </c>
      <c r="D317" s="3" t="s">
        <v>10</v>
      </c>
      <c r="E317" s="5">
        <v>4.0</v>
      </c>
      <c r="F317" s="3" t="s">
        <v>303</v>
      </c>
      <c r="G317" s="3" t="s">
        <v>230</v>
      </c>
      <c r="H317" s="3">
        <v>1.0</v>
      </c>
      <c r="J317" s="5">
        <v>5.0</v>
      </c>
      <c r="N317" s="3" t="b">
        <v>0</v>
      </c>
      <c r="R317" s="3">
        <v>0.0</v>
      </c>
      <c r="T317" s="3">
        <v>10.0</v>
      </c>
      <c r="U317" s="2"/>
      <c r="V317" s="2"/>
      <c r="W317" s="70"/>
      <c r="X317" s="71"/>
      <c r="AA317" s="2">
        <f>2+ (P317*'Scoring System'!$B$3)+ (IF(OR(D317="DEF",D317="GK"),N317*'Scoring System'!$B$4,IF(D317="MID",N317*'Scoring System'!$B$5,0)))+ (IF(OR(D317="DEF",D317="GK"),H317*'Scoring System'!$B$6,IF(D317="MID",H317*'Scoring System'!$B$7,IF(D317="ATT",H317*'Scoring System'!$B$8,0))))+ IF(AND(OR(D317="GK",D317="DEF"),J317&gt;=3),1*'Scoring System'!$B$9,0)+ (I317*'Scoring System'!$B$10)+ (K317*'Scoring System'!$B$11)+ (M317*'Scoring System'!$B$12)+ (L317*'Scoring System'!$B$13)+ (O317*'Scoring System'!$B$14)+ (Q317*'Scoring System'!$B$15)+ (R317*'Scoring System'!$B$16)</f>
        <v>7</v>
      </c>
      <c r="AB317" s="72" t="b">
        <f>IFERROR(match(C317,'Match Day Fees'!$B$2:$B$999,0),0)=0</f>
        <v>0</v>
      </c>
      <c r="AC317" s="73">
        <f t="shared" si="1"/>
        <v>0</v>
      </c>
      <c r="AD317" s="3" t="str">
        <f>VLOOKUP(D317,'Position Lookup'!A:B,1,FALSE)</f>
        <v>MID</v>
      </c>
    </row>
    <row r="318" ht="17.25" customHeight="1">
      <c r="A318" s="31">
        <v>45171.0</v>
      </c>
      <c r="B318" s="1" t="s">
        <v>222</v>
      </c>
      <c r="C318" s="3" t="s">
        <v>266</v>
      </c>
      <c r="D318" s="3" t="s">
        <v>10</v>
      </c>
      <c r="E318" s="5">
        <v>4.0</v>
      </c>
      <c r="F318" s="3" t="s">
        <v>303</v>
      </c>
      <c r="G318" s="3" t="s">
        <v>230</v>
      </c>
      <c r="J318" s="5">
        <v>5.0</v>
      </c>
      <c r="N318" s="3" t="b">
        <v>0</v>
      </c>
      <c r="R318" s="3">
        <v>0.0</v>
      </c>
      <c r="T318" s="3">
        <v>10.0</v>
      </c>
      <c r="U318" s="2"/>
      <c r="V318" s="2"/>
      <c r="W318" s="70"/>
      <c r="X318" s="71"/>
      <c r="AA318" s="2">
        <f>2+ (P318*'Scoring System'!$B$3)+ (IF(OR(D318="DEF",D318="GK"),N318*'Scoring System'!$B$4,IF(D318="MID",N318*'Scoring System'!$B$5,0)))+ (IF(OR(D318="DEF",D318="GK"),H318*'Scoring System'!$B$6,IF(D318="MID",H318*'Scoring System'!$B$7,IF(D318="ATT",H318*'Scoring System'!$B$8,0))))+ IF(AND(OR(D318="GK",D318="DEF"),J318&gt;=3),1*'Scoring System'!$B$9,0)+ (I318*'Scoring System'!$B$10)+ (K318*'Scoring System'!$B$11)+ (M318*'Scoring System'!$B$12)+ (L318*'Scoring System'!$B$13)+ (O318*'Scoring System'!$B$14)+ (Q318*'Scoring System'!$B$15)+ (R318*'Scoring System'!$B$16)</f>
        <v>2</v>
      </c>
      <c r="AB318" s="72" t="b">
        <f>IFERROR(match(C318,'Match Day Fees'!$B$2:$B$999,0),0)=0</f>
        <v>0</v>
      </c>
      <c r="AC318" s="73">
        <f t="shared" si="1"/>
        <v>0</v>
      </c>
      <c r="AD318" s="3" t="str">
        <f>VLOOKUP(D318,'Position Lookup'!A:B,1,FALSE)</f>
        <v>MID</v>
      </c>
    </row>
    <row r="319" ht="17.25" customHeight="1">
      <c r="A319" s="31">
        <v>45171.0</v>
      </c>
      <c r="B319" s="1" t="s">
        <v>222</v>
      </c>
      <c r="C319" s="3" t="s">
        <v>124</v>
      </c>
      <c r="D319" s="3" t="s">
        <v>10</v>
      </c>
      <c r="E319" s="5">
        <v>4.0</v>
      </c>
      <c r="F319" s="3" t="s">
        <v>303</v>
      </c>
      <c r="G319" s="3" t="s">
        <v>230</v>
      </c>
      <c r="H319" s="3">
        <v>1.0</v>
      </c>
      <c r="J319" s="5">
        <v>5.0</v>
      </c>
      <c r="N319" s="3" t="b">
        <v>0</v>
      </c>
      <c r="R319" s="3">
        <v>0.0</v>
      </c>
      <c r="T319" s="3">
        <v>10.0</v>
      </c>
      <c r="U319" s="2"/>
      <c r="V319" s="2"/>
      <c r="W319" s="70"/>
      <c r="X319" s="71"/>
      <c r="AA319" s="2">
        <f>2+ (P319*'Scoring System'!$B$3)+ (IF(OR(D319="DEF",D319="GK"),N319*'Scoring System'!$B$4,IF(D319="MID",N319*'Scoring System'!$B$5,0)))+ (IF(OR(D319="DEF",D319="GK"),H319*'Scoring System'!$B$6,IF(D319="MID",H319*'Scoring System'!$B$7,IF(D319="ATT",H319*'Scoring System'!$B$8,0))))+ IF(AND(OR(D319="GK",D319="DEF"),J319&gt;=3),1*'Scoring System'!$B$9,0)+ (I319*'Scoring System'!$B$10)+ (K319*'Scoring System'!$B$11)+ (M319*'Scoring System'!$B$12)+ (L319*'Scoring System'!$B$13)+ (O319*'Scoring System'!$B$14)+ (Q319*'Scoring System'!$B$15)+ (R319*'Scoring System'!$B$16)</f>
        <v>7</v>
      </c>
      <c r="AB319" s="72" t="b">
        <f>IFERROR(match(C319,'Match Day Fees'!$B$2:$B$999,0),0)=0</f>
        <v>0</v>
      </c>
      <c r="AC319" s="73">
        <f t="shared" si="1"/>
        <v>0</v>
      </c>
      <c r="AD319" s="3" t="str">
        <f>VLOOKUP(D319,'Position Lookup'!A:B,1,FALSE)</f>
        <v>MID</v>
      </c>
    </row>
    <row r="320" ht="17.25" customHeight="1">
      <c r="A320" s="31">
        <v>45171.0</v>
      </c>
      <c r="B320" s="1" t="s">
        <v>222</v>
      </c>
      <c r="C320" s="3" t="s">
        <v>237</v>
      </c>
      <c r="D320" s="3" t="s">
        <v>9</v>
      </c>
      <c r="E320" s="5">
        <v>4.0</v>
      </c>
      <c r="F320" s="3" t="s">
        <v>303</v>
      </c>
      <c r="G320" s="3" t="s">
        <v>230</v>
      </c>
      <c r="J320" s="5">
        <v>5.0</v>
      </c>
      <c r="N320" s="3" t="b">
        <v>0</v>
      </c>
      <c r="R320" s="3">
        <v>0.0</v>
      </c>
      <c r="T320" s="3">
        <v>10.0</v>
      </c>
      <c r="U320" s="2"/>
      <c r="V320" s="2"/>
      <c r="W320" s="70"/>
      <c r="X320" s="71"/>
      <c r="AA320" s="2">
        <f>2+ (P320*'Scoring System'!$B$3)+ (IF(OR(D320="DEF",D320="GK"),N320*'Scoring System'!$B$4,IF(D320="MID",N320*'Scoring System'!$B$5,0)))+ (IF(OR(D320="DEF",D320="GK"),H320*'Scoring System'!$B$6,IF(D320="MID",H320*'Scoring System'!$B$7,IF(D320="ATT",H320*'Scoring System'!$B$8,0))))+ IF(AND(OR(D320="GK",D320="DEF"),J320&gt;=3),1*'Scoring System'!$B$9,0)+ (I320*'Scoring System'!$B$10)+ (K320*'Scoring System'!$B$11)+ (M320*'Scoring System'!$B$12)+ (L320*'Scoring System'!$B$13)+ (O320*'Scoring System'!$B$14)+ (Q320*'Scoring System'!$B$15)+ (R320*'Scoring System'!$B$16)</f>
        <v>2</v>
      </c>
      <c r="AB320" s="72" t="b">
        <f>IFERROR(match(C320,'Match Day Fees'!$B$2:$B$999,0),0)=0</f>
        <v>0</v>
      </c>
      <c r="AC320" s="73">
        <f t="shared" si="1"/>
        <v>0</v>
      </c>
      <c r="AD320" s="3" t="str">
        <f>VLOOKUP(D320,'Position Lookup'!A:B,1,FALSE)</f>
        <v>ATT</v>
      </c>
    </row>
    <row r="321" ht="17.25" customHeight="1">
      <c r="A321" s="31">
        <v>45171.0</v>
      </c>
      <c r="B321" s="1" t="s">
        <v>222</v>
      </c>
      <c r="C321" s="3" t="s">
        <v>127</v>
      </c>
      <c r="E321" s="5">
        <v>4.0</v>
      </c>
      <c r="F321" s="3" t="s">
        <v>303</v>
      </c>
      <c r="G321" s="3" t="s">
        <v>230</v>
      </c>
      <c r="J321" s="5">
        <v>5.0</v>
      </c>
      <c r="N321" s="3" t="b">
        <v>0</v>
      </c>
      <c r="R321" s="3">
        <v>0.0</v>
      </c>
      <c r="T321" s="3">
        <v>10.0</v>
      </c>
      <c r="U321" s="2"/>
      <c r="V321" s="2"/>
      <c r="W321" s="70"/>
      <c r="X321" s="71"/>
      <c r="AA321" s="2">
        <f>2+ (P321*'Scoring System'!$B$3)+ (IF(OR(D321="DEF",D321="GK"),N321*'Scoring System'!$B$4,IF(D321="MID",N321*'Scoring System'!$B$5,0)))+ (IF(OR(D321="DEF",D321="GK"),H321*'Scoring System'!$B$6,IF(D321="MID",H321*'Scoring System'!$B$7,IF(D321="ATT",H321*'Scoring System'!$B$8,0))))+ IF(AND(OR(D321="GK",D321="DEF"),J321&gt;=3),1*'Scoring System'!$B$9,0)+ (I321*'Scoring System'!$B$10)+ (K321*'Scoring System'!$B$11)+ (M321*'Scoring System'!$B$12)+ (L321*'Scoring System'!$B$13)+ (O321*'Scoring System'!$B$14)+ (Q321*'Scoring System'!$B$15)+ (R321*'Scoring System'!$B$16)</f>
        <v>2</v>
      </c>
      <c r="AB321" s="72" t="b">
        <f>IFERROR(match(C321,'Match Day Fees'!$B$2:$B$999,0),0)=0</f>
        <v>0</v>
      </c>
      <c r="AC321" s="73">
        <f t="shared" si="1"/>
        <v>0</v>
      </c>
      <c r="AD321" s="3" t="str">
        <f>VLOOKUP(D321,'Position Lookup'!A:B,1,FALSE)</f>
        <v>#N/A</v>
      </c>
    </row>
    <row r="322" ht="17.25" customHeight="1">
      <c r="A322" s="31">
        <v>45171.0</v>
      </c>
      <c r="B322" s="1" t="s">
        <v>222</v>
      </c>
      <c r="C322" s="3" t="s">
        <v>103</v>
      </c>
      <c r="E322" s="5">
        <v>4.0</v>
      </c>
      <c r="F322" s="3" t="s">
        <v>303</v>
      </c>
      <c r="G322" s="3" t="s">
        <v>230</v>
      </c>
      <c r="J322" s="5">
        <v>5.0</v>
      </c>
      <c r="N322" s="3" t="b">
        <v>0</v>
      </c>
      <c r="R322" s="3">
        <v>0.0</v>
      </c>
      <c r="T322" s="5">
        <v>5.0</v>
      </c>
      <c r="U322" s="2"/>
      <c r="V322" s="2"/>
      <c r="W322" s="70"/>
      <c r="X322" s="71"/>
      <c r="AA322" s="2">
        <f>2+ (P322*'Scoring System'!$B$3)+ (IF(OR(D322="DEF",D322="GK"),N322*'Scoring System'!$B$4,IF(D322="MID",N322*'Scoring System'!$B$5,0)))+ (IF(OR(D322="DEF",D322="GK"),H322*'Scoring System'!$B$6,IF(D322="MID",H322*'Scoring System'!$B$7,IF(D322="ATT",H322*'Scoring System'!$B$8,0))))+ IF(AND(OR(D322="GK",D322="DEF"),J322&gt;=3),1*'Scoring System'!$B$9,0)+ (I322*'Scoring System'!$B$10)+ (K322*'Scoring System'!$B$11)+ (M322*'Scoring System'!$B$12)+ (L322*'Scoring System'!$B$13)+ (O322*'Scoring System'!$B$14)+ (Q322*'Scoring System'!$B$15)+ (R322*'Scoring System'!$B$16)</f>
        <v>2</v>
      </c>
      <c r="AB322" s="72" t="b">
        <f>IFERROR(match(C322,'Match Day Fees'!$B$2:$B$999,0),0)=0</f>
        <v>0</v>
      </c>
      <c r="AC322" s="73">
        <f t="shared" si="1"/>
        <v>0</v>
      </c>
      <c r="AD322" s="3" t="str">
        <f>VLOOKUP(D322,'Position Lookup'!A:B,1,FALSE)</f>
        <v>#N/A</v>
      </c>
    </row>
    <row r="323" ht="17.25" customHeight="1">
      <c r="A323" s="31">
        <v>45171.0</v>
      </c>
      <c r="B323" s="1" t="s">
        <v>222</v>
      </c>
      <c r="C323" s="3" t="s">
        <v>270</v>
      </c>
      <c r="E323" s="5">
        <v>4.0</v>
      </c>
      <c r="F323" s="3" t="s">
        <v>303</v>
      </c>
      <c r="G323" s="3" t="s">
        <v>230</v>
      </c>
      <c r="J323" s="5">
        <v>5.0</v>
      </c>
      <c r="N323" s="3" t="b">
        <v>0</v>
      </c>
      <c r="R323" s="3">
        <v>0.0</v>
      </c>
      <c r="T323" s="3">
        <v>10.0</v>
      </c>
      <c r="U323" s="2"/>
      <c r="V323" s="2"/>
      <c r="W323" s="70"/>
      <c r="X323" s="71"/>
      <c r="AA323" s="2">
        <f>2+ (P323*'Scoring System'!$B$3)+ (IF(OR(D323="DEF",D323="GK"),N323*'Scoring System'!$B$4,IF(D323="MID",N323*'Scoring System'!$B$5,0)))+ (IF(OR(D323="DEF",D323="GK"),H323*'Scoring System'!$B$6,IF(D323="MID",H323*'Scoring System'!$B$7,IF(D323="ATT",H323*'Scoring System'!$B$8,0))))+ IF(AND(OR(D323="GK",D323="DEF"),J323&gt;=3),1*'Scoring System'!$B$9,0)+ (I323*'Scoring System'!$B$10)+ (K323*'Scoring System'!$B$11)+ (M323*'Scoring System'!$B$12)+ (L323*'Scoring System'!$B$13)+ (O323*'Scoring System'!$B$14)+ (Q323*'Scoring System'!$B$15)+ (R323*'Scoring System'!$B$16)</f>
        <v>2</v>
      </c>
      <c r="AB323" s="72" t="b">
        <f>IFERROR(match(C323,'Match Day Fees'!$B$2:$B$999,0),0)=0</f>
        <v>0</v>
      </c>
      <c r="AC323" s="73">
        <f t="shared" si="1"/>
        <v>0</v>
      </c>
      <c r="AD323" s="3" t="str">
        <f>VLOOKUP(D323,'Position Lookup'!A:B,1,FALSE)</f>
        <v>#N/A</v>
      </c>
    </row>
    <row r="324" ht="17.25" customHeight="1">
      <c r="A324" s="31">
        <v>45171.0</v>
      </c>
      <c r="B324" s="1" t="s">
        <v>222</v>
      </c>
      <c r="C324" s="3" t="s">
        <v>97</v>
      </c>
      <c r="E324" s="5">
        <v>4.0</v>
      </c>
      <c r="F324" s="3" t="s">
        <v>303</v>
      </c>
      <c r="G324" s="3" t="s">
        <v>230</v>
      </c>
      <c r="J324" s="5">
        <v>5.0</v>
      </c>
      <c r="N324" s="3" t="b">
        <v>0</v>
      </c>
      <c r="R324" s="3">
        <v>0.0</v>
      </c>
      <c r="T324" s="3">
        <v>5.0</v>
      </c>
      <c r="U324" s="2"/>
      <c r="V324" s="2"/>
      <c r="W324" s="70"/>
      <c r="X324" s="71"/>
      <c r="AA324" s="2">
        <f>2+ (P324*'Scoring System'!$B$3)+ (IF(OR(D324="DEF",D324="GK"),N324*'Scoring System'!$B$4,IF(D324="MID",N324*'Scoring System'!$B$5,0)))+ (IF(OR(D324="DEF",D324="GK"),H324*'Scoring System'!$B$6,IF(D324="MID",H324*'Scoring System'!$B$7,IF(D324="ATT",H324*'Scoring System'!$B$8,0))))+ IF(AND(OR(D324="GK",D324="DEF"),J324&gt;=3),1*'Scoring System'!$B$9,0)+ (I324*'Scoring System'!$B$10)+ (K324*'Scoring System'!$B$11)+ (M324*'Scoring System'!$B$12)+ (L324*'Scoring System'!$B$13)+ (O324*'Scoring System'!$B$14)+ (Q324*'Scoring System'!$B$15)+ (R324*'Scoring System'!$B$16)</f>
        <v>2</v>
      </c>
      <c r="AB324" s="72" t="b">
        <f>IFERROR(match(C324,'Match Day Fees'!$B$2:$B$999,0),0)=0</f>
        <v>0</v>
      </c>
      <c r="AC324" s="73">
        <f t="shared" si="1"/>
        <v>0</v>
      </c>
      <c r="AD324" s="3" t="str">
        <f>VLOOKUP(D324,'Position Lookup'!A:B,1,FALSE)</f>
        <v>#N/A</v>
      </c>
    </row>
    <row r="325" ht="17.25" customHeight="1">
      <c r="A325" s="31">
        <v>45171.0</v>
      </c>
      <c r="B325" s="1" t="s">
        <v>222</v>
      </c>
      <c r="C325" s="3" t="s">
        <v>278</v>
      </c>
      <c r="D325" s="3" t="s">
        <v>8</v>
      </c>
      <c r="E325" s="5">
        <v>2.0</v>
      </c>
      <c r="F325" s="3" t="s">
        <v>305</v>
      </c>
      <c r="G325" s="3" t="s">
        <v>224</v>
      </c>
      <c r="J325" s="5">
        <v>1.0</v>
      </c>
      <c r="N325" s="3" t="b">
        <v>0</v>
      </c>
      <c r="R325" s="3">
        <v>1.0</v>
      </c>
      <c r="T325" s="3">
        <v>10.0</v>
      </c>
      <c r="U325" s="2"/>
      <c r="V325" s="2"/>
      <c r="W325" s="70"/>
      <c r="X325" s="71"/>
      <c r="AA325" s="2">
        <f>2+ (P325*'Scoring System'!$B$3)+ (IF(OR(D325="DEF",D325="GK"),N325*'Scoring System'!$B$4,IF(D325="MID",N325*'Scoring System'!$B$5,0)))+ (IF(OR(D325="DEF",D325="GK"),H325*'Scoring System'!$B$6,IF(D325="MID",H325*'Scoring System'!$B$7,IF(D325="ATT",H325*'Scoring System'!$B$8,0))))+ IF(AND(OR(D325="GK",D325="DEF"),J325&gt;=3),1*'Scoring System'!$B$9,0)+ (I325*'Scoring System'!$B$10)+ (K325*'Scoring System'!$B$11)+ (M325*'Scoring System'!$B$12)+ (L325*'Scoring System'!$B$13)+ (O325*'Scoring System'!$B$14)+ (Q325*'Scoring System'!$B$15)+ (R325*'Scoring System'!$B$16)</f>
        <v>7</v>
      </c>
      <c r="AB325" s="72" t="b">
        <f>IFERROR(match(C325,'Match Day Fees'!$B$2:$B$999,0),0)=0</f>
        <v>0</v>
      </c>
      <c r="AC325" s="73">
        <f t="shared" si="1"/>
        <v>0</v>
      </c>
      <c r="AD325" s="3" t="str">
        <f>VLOOKUP(D325,'Position Lookup'!A:B,1,FALSE)</f>
        <v>GK</v>
      </c>
    </row>
    <row r="326" ht="17.25" customHeight="1">
      <c r="A326" s="31">
        <v>45171.0</v>
      </c>
      <c r="B326" s="1" t="s">
        <v>222</v>
      </c>
      <c r="C326" s="3" t="s">
        <v>104</v>
      </c>
      <c r="D326" s="3" t="s">
        <v>11</v>
      </c>
      <c r="E326" s="5">
        <v>2.0</v>
      </c>
      <c r="F326" s="3" t="s">
        <v>305</v>
      </c>
      <c r="G326" s="3" t="s">
        <v>224</v>
      </c>
      <c r="J326" s="5">
        <v>1.0</v>
      </c>
      <c r="N326" s="3" t="b">
        <v>0</v>
      </c>
      <c r="R326" s="3">
        <v>0.0</v>
      </c>
      <c r="T326" s="3">
        <v>5.0</v>
      </c>
      <c r="U326" s="2"/>
      <c r="V326" s="2"/>
      <c r="W326" s="70"/>
      <c r="X326" s="71"/>
      <c r="AA326" s="2">
        <f>2+ (P326*'Scoring System'!$B$3)+ (IF(OR(D326="DEF",D326="GK"),N326*'Scoring System'!$B$4,IF(D326="MID",N326*'Scoring System'!$B$5,0)))+ (IF(OR(D326="DEF",D326="GK"),H326*'Scoring System'!$B$6,IF(D326="MID",H326*'Scoring System'!$B$7,IF(D326="ATT",H326*'Scoring System'!$B$8,0))))+ IF(AND(OR(D326="GK",D326="DEF"),J326&gt;=3),1*'Scoring System'!$B$9,0)+ (I326*'Scoring System'!$B$10)+ (K326*'Scoring System'!$B$11)+ (M326*'Scoring System'!$B$12)+ (L326*'Scoring System'!$B$13)+ (O326*'Scoring System'!$B$14)+ (Q326*'Scoring System'!$B$15)+ (R326*'Scoring System'!$B$16)</f>
        <v>2</v>
      </c>
      <c r="AB326" s="72" t="b">
        <f>IFERROR(match(C326,'Match Day Fees'!$B$2:$B$999,0),0)=0</f>
        <v>0</v>
      </c>
      <c r="AC326" s="73">
        <f t="shared" si="1"/>
        <v>0</v>
      </c>
      <c r="AD326" s="3" t="str">
        <f>VLOOKUP(D326,'Position Lookup'!A:B,1,FALSE)</f>
        <v>DEF</v>
      </c>
    </row>
    <row r="327" ht="17.25" customHeight="1">
      <c r="A327" s="31">
        <v>45171.0</v>
      </c>
      <c r="B327" s="1" t="s">
        <v>222</v>
      </c>
      <c r="C327" s="3" t="s">
        <v>83</v>
      </c>
      <c r="D327" s="3" t="s">
        <v>11</v>
      </c>
      <c r="E327" s="5">
        <v>2.0</v>
      </c>
      <c r="F327" s="3" t="s">
        <v>305</v>
      </c>
      <c r="G327" s="3" t="s">
        <v>224</v>
      </c>
      <c r="J327" s="5">
        <v>1.0</v>
      </c>
      <c r="N327" s="3" t="b">
        <v>0</v>
      </c>
      <c r="R327" s="3">
        <v>0.0</v>
      </c>
      <c r="T327" s="3">
        <v>5.0</v>
      </c>
      <c r="U327" s="2"/>
      <c r="V327" s="2"/>
      <c r="W327" s="70"/>
      <c r="X327" s="71"/>
      <c r="AA327" s="2">
        <f>2+ (P327*'Scoring System'!$B$3)+ (IF(OR(D327="DEF",D327="GK"),N327*'Scoring System'!$B$4,IF(D327="MID",N327*'Scoring System'!$B$5,0)))+ (IF(OR(D327="DEF",D327="GK"),H327*'Scoring System'!$B$6,IF(D327="MID",H327*'Scoring System'!$B$7,IF(D327="ATT",H327*'Scoring System'!$B$8,0))))+ IF(AND(OR(D327="GK",D327="DEF"),J327&gt;=3),1*'Scoring System'!$B$9,0)+ (I327*'Scoring System'!$B$10)+ (K327*'Scoring System'!$B$11)+ (M327*'Scoring System'!$B$12)+ (L327*'Scoring System'!$B$13)+ (O327*'Scoring System'!$B$14)+ (Q327*'Scoring System'!$B$15)+ (R327*'Scoring System'!$B$16)</f>
        <v>2</v>
      </c>
      <c r="AB327" s="72" t="b">
        <f>IFERROR(match(C327,'Match Day Fees'!$B$2:$B$999,0),0)=0</f>
        <v>0</v>
      </c>
      <c r="AC327" s="73">
        <f t="shared" si="1"/>
        <v>0</v>
      </c>
      <c r="AD327" s="3" t="str">
        <f>VLOOKUP(D327,'Position Lookup'!A:B,1,FALSE)</f>
        <v>DEF</v>
      </c>
    </row>
    <row r="328" ht="17.25" customHeight="1">
      <c r="A328" s="31">
        <v>45171.0</v>
      </c>
      <c r="B328" s="1" t="s">
        <v>222</v>
      </c>
      <c r="C328" s="3" t="s">
        <v>239</v>
      </c>
      <c r="D328" s="3" t="s">
        <v>11</v>
      </c>
      <c r="E328" s="5">
        <v>2.0</v>
      </c>
      <c r="F328" s="3" t="s">
        <v>305</v>
      </c>
      <c r="G328" s="3" t="s">
        <v>224</v>
      </c>
      <c r="J328" s="5">
        <v>1.0</v>
      </c>
      <c r="N328" s="3" t="b">
        <v>0</v>
      </c>
      <c r="R328" s="3">
        <v>0.0</v>
      </c>
      <c r="T328" s="3">
        <v>5.0</v>
      </c>
      <c r="U328" s="2"/>
      <c r="V328" s="2"/>
      <c r="W328" s="70"/>
      <c r="X328" s="71"/>
      <c r="AA328" s="2">
        <f>2+ (P328*'Scoring System'!$B$3)+ (IF(OR(D328="DEF",D328="GK"),N328*'Scoring System'!$B$4,IF(D328="MID",N328*'Scoring System'!$B$5,0)))+ (IF(OR(D328="DEF",D328="GK"),H328*'Scoring System'!$B$6,IF(D328="MID",H328*'Scoring System'!$B$7,IF(D328="ATT",H328*'Scoring System'!$B$8,0))))+ IF(AND(OR(D328="GK",D328="DEF"),J328&gt;=3),1*'Scoring System'!$B$9,0)+ (I328*'Scoring System'!$B$10)+ (K328*'Scoring System'!$B$11)+ (M328*'Scoring System'!$B$12)+ (L328*'Scoring System'!$B$13)+ (O328*'Scoring System'!$B$14)+ (Q328*'Scoring System'!$B$15)+ (R328*'Scoring System'!$B$16)</f>
        <v>2</v>
      </c>
      <c r="AB328" s="72" t="b">
        <f>IFERROR(match(C328,'Match Day Fees'!$B$2:$B$999,0),0)=0</f>
        <v>0</v>
      </c>
      <c r="AC328" s="73">
        <f t="shared" si="1"/>
        <v>0</v>
      </c>
      <c r="AD328" s="3" t="str">
        <f>VLOOKUP(D328,'Position Lookup'!A:B,1,FALSE)</f>
        <v>DEF</v>
      </c>
    </row>
    <row r="329" ht="17.25" customHeight="1">
      <c r="A329" s="31">
        <v>45171.0</v>
      </c>
      <c r="B329" s="1" t="s">
        <v>222</v>
      </c>
      <c r="C329" s="3" t="s">
        <v>61</v>
      </c>
      <c r="D329" s="3" t="s">
        <v>11</v>
      </c>
      <c r="E329" s="5">
        <v>2.0</v>
      </c>
      <c r="F329" s="3" t="s">
        <v>305</v>
      </c>
      <c r="G329" s="3" t="s">
        <v>224</v>
      </c>
      <c r="J329" s="5">
        <v>1.0</v>
      </c>
      <c r="N329" s="3" t="b">
        <v>0</v>
      </c>
      <c r="R329" s="3">
        <v>0.0</v>
      </c>
      <c r="T329" s="3">
        <v>10.0</v>
      </c>
      <c r="U329" s="2"/>
      <c r="V329" s="2"/>
      <c r="W329" s="70"/>
      <c r="X329" s="71"/>
      <c r="AA329" s="2">
        <f>2+ (P329*'Scoring System'!$B$3)+ (IF(OR(D329="DEF",D329="GK"),N329*'Scoring System'!$B$4,IF(D329="MID",N329*'Scoring System'!$B$5,0)))+ (IF(OR(D329="DEF",D329="GK"),H329*'Scoring System'!$B$6,IF(D329="MID",H329*'Scoring System'!$B$7,IF(D329="ATT",H329*'Scoring System'!$B$8,0))))+ IF(AND(OR(D329="GK",D329="DEF"),J329&gt;=3),1*'Scoring System'!$B$9,0)+ (I329*'Scoring System'!$B$10)+ (K329*'Scoring System'!$B$11)+ (M329*'Scoring System'!$B$12)+ (L329*'Scoring System'!$B$13)+ (O329*'Scoring System'!$B$14)+ (Q329*'Scoring System'!$B$15)+ (R329*'Scoring System'!$B$16)</f>
        <v>2</v>
      </c>
      <c r="AB329" s="72" t="b">
        <f>IFERROR(match(C329,'Match Day Fees'!$B$2:$B$999,0),0)=0</f>
        <v>0</v>
      </c>
      <c r="AC329" s="73">
        <f t="shared" si="1"/>
        <v>0</v>
      </c>
      <c r="AD329" s="3" t="str">
        <f>VLOOKUP(D329,'Position Lookup'!A:B,1,FALSE)</f>
        <v>DEF</v>
      </c>
    </row>
    <row r="330" ht="17.25" customHeight="1">
      <c r="A330" s="31">
        <v>45171.0</v>
      </c>
      <c r="B330" s="1" t="s">
        <v>222</v>
      </c>
      <c r="C330" s="3" t="s">
        <v>78</v>
      </c>
      <c r="D330" s="3" t="s">
        <v>10</v>
      </c>
      <c r="E330" s="5">
        <v>2.0</v>
      </c>
      <c r="F330" s="3" t="s">
        <v>305</v>
      </c>
      <c r="G330" s="3" t="s">
        <v>224</v>
      </c>
      <c r="J330" s="5">
        <v>1.0</v>
      </c>
      <c r="N330" s="3" t="b">
        <v>0</v>
      </c>
      <c r="R330" s="3">
        <v>0.0</v>
      </c>
      <c r="T330" s="3">
        <v>10.0</v>
      </c>
      <c r="U330" s="2"/>
      <c r="V330" s="2"/>
      <c r="W330" s="70"/>
      <c r="X330" s="71"/>
      <c r="AA330" s="2">
        <f>2+ (P330*'Scoring System'!$B$3)+ (IF(OR(D330="DEF",D330="GK"),N330*'Scoring System'!$B$4,IF(D330="MID",N330*'Scoring System'!$B$5,0)))+ (IF(OR(D330="DEF",D330="GK"),H330*'Scoring System'!$B$6,IF(D330="MID",H330*'Scoring System'!$B$7,IF(D330="ATT",H330*'Scoring System'!$B$8,0))))+ IF(AND(OR(D330="GK",D330="DEF"),J330&gt;=3),1*'Scoring System'!$B$9,0)+ (I330*'Scoring System'!$B$10)+ (K330*'Scoring System'!$B$11)+ (M330*'Scoring System'!$B$12)+ (L330*'Scoring System'!$B$13)+ (O330*'Scoring System'!$B$14)+ (Q330*'Scoring System'!$B$15)+ (R330*'Scoring System'!$B$16)</f>
        <v>2</v>
      </c>
      <c r="AB330" s="72" t="b">
        <f>IFERROR(match(C330,'Match Day Fees'!$B$2:$B$999,0),0)=0</f>
        <v>0</v>
      </c>
      <c r="AC330" s="73">
        <f t="shared" si="1"/>
        <v>0</v>
      </c>
      <c r="AD330" s="3" t="str">
        <f>VLOOKUP(D330,'Position Lookup'!A:B,1,FALSE)</f>
        <v>MID</v>
      </c>
    </row>
    <row r="331" ht="17.25" customHeight="1">
      <c r="A331" s="31">
        <v>45171.0</v>
      </c>
      <c r="B331" s="1" t="s">
        <v>222</v>
      </c>
      <c r="C331" s="3" t="s">
        <v>92</v>
      </c>
      <c r="D331" s="3" t="s">
        <v>10</v>
      </c>
      <c r="E331" s="5">
        <v>2.0</v>
      </c>
      <c r="F331" s="3" t="s">
        <v>305</v>
      </c>
      <c r="G331" s="3" t="s">
        <v>224</v>
      </c>
      <c r="J331" s="5">
        <v>1.0</v>
      </c>
      <c r="N331" s="3" t="b">
        <v>0</v>
      </c>
      <c r="R331" s="3">
        <v>0.0</v>
      </c>
      <c r="S331" s="3" t="b">
        <v>1</v>
      </c>
      <c r="T331" s="3">
        <v>0.0</v>
      </c>
      <c r="U331" s="2"/>
      <c r="V331" s="2"/>
      <c r="W331" s="70"/>
      <c r="X331" s="71"/>
      <c r="AA331" s="2">
        <f>2+ (P331*'Scoring System'!$B$3)+ (IF(OR(D331="DEF",D331="GK"),N331*'Scoring System'!$B$4,IF(D331="MID",N331*'Scoring System'!$B$5,0)))+ (IF(OR(D331="DEF",D331="GK"),H331*'Scoring System'!$B$6,IF(D331="MID",H331*'Scoring System'!$B$7,IF(D331="ATT",H331*'Scoring System'!$B$8,0))))+ IF(AND(OR(D331="GK",D331="DEF"),J331&gt;=3),1*'Scoring System'!$B$9,0)+ (I331*'Scoring System'!$B$10)+ (K331*'Scoring System'!$B$11)+ (M331*'Scoring System'!$B$12)+ (L331*'Scoring System'!$B$13)+ (O331*'Scoring System'!$B$14)+ (Q331*'Scoring System'!$B$15)+ (R331*'Scoring System'!$B$16)</f>
        <v>2</v>
      </c>
      <c r="AB331" s="72" t="b">
        <f>IFERROR(match(C331,'Match Day Fees'!$B$2:$B$999,0),0)=0</f>
        <v>0</v>
      </c>
      <c r="AC331" s="73">
        <f t="shared" si="1"/>
        <v>0</v>
      </c>
      <c r="AD331" s="3" t="str">
        <f>VLOOKUP(D331,'Position Lookup'!A:B,1,FALSE)</f>
        <v>MID</v>
      </c>
    </row>
    <row r="332" ht="17.25" customHeight="1">
      <c r="A332" s="31">
        <v>45171.0</v>
      </c>
      <c r="B332" s="1" t="s">
        <v>222</v>
      </c>
      <c r="C332" s="3" t="s">
        <v>123</v>
      </c>
      <c r="D332" s="3" t="s">
        <v>10</v>
      </c>
      <c r="E332" s="5">
        <v>2.0</v>
      </c>
      <c r="F332" s="3" t="s">
        <v>305</v>
      </c>
      <c r="G332" s="3" t="s">
        <v>224</v>
      </c>
      <c r="J332" s="5">
        <v>1.0</v>
      </c>
      <c r="N332" s="3" t="b">
        <v>0</v>
      </c>
      <c r="R332" s="3">
        <v>0.0</v>
      </c>
      <c r="T332" s="3">
        <v>10.0</v>
      </c>
      <c r="U332" s="2"/>
      <c r="V332" s="2"/>
      <c r="W332" s="70"/>
      <c r="X332" s="71"/>
      <c r="AA332" s="2">
        <f>2+ (P332*'Scoring System'!$B$3)+ (IF(OR(D332="DEF",D332="GK"),N332*'Scoring System'!$B$4,IF(D332="MID",N332*'Scoring System'!$B$5,0)))+ (IF(OR(D332="DEF",D332="GK"),H332*'Scoring System'!$B$6,IF(D332="MID",H332*'Scoring System'!$B$7,IF(D332="ATT",H332*'Scoring System'!$B$8,0))))+ IF(AND(OR(D332="GK",D332="DEF"),J332&gt;=3),1*'Scoring System'!$B$9,0)+ (I332*'Scoring System'!$B$10)+ (K332*'Scoring System'!$B$11)+ (M332*'Scoring System'!$B$12)+ (L332*'Scoring System'!$B$13)+ (O332*'Scoring System'!$B$14)+ (Q332*'Scoring System'!$B$15)+ (R332*'Scoring System'!$B$16)</f>
        <v>2</v>
      </c>
      <c r="AB332" s="72" t="b">
        <f>IFERROR(match(C332,'Match Day Fees'!$B$2:$B$999,0),0)=0</f>
        <v>0</v>
      </c>
      <c r="AC332" s="73">
        <f t="shared" si="1"/>
        <v>0</v>
      </c>
      <c r="AD332" s="3" t="str">
        <f>VLOOKUP(D332,'Position Lookup'!A:B,1,FALSE)</f>
        <v>MID</v>
      </c>
    </row>
    <row r="333" ht="17.25" customHeight="1">
      <c r="A333" s="31">
        <v>45171.0</v>
      </c>
      <c r="B333" s="1" t="s">
        <v>222</v>
      </c>
      <c r="C333" s="3" t="s">
        <v>40</v>
      </c>
      <c r="D333" s="3" t="s">
        <v>10</v>
      </c>
      <c r="E333" s="5">
        <v>2.0</v>
      </c>
      <c r="F333" s="3" t="s">
        <v>305</v>
      </c>
      <c r="G333" s="3" t="s">
        <v>224</v>
      </c>
      <c r="J333" s="5">
        <v>1.0</v>
      </c>
      <c r="N333" s="3" t="b">
        <v>0</v>
      </c>
      <c r="R333" s="3">
        <v>0.0</v>
      </c>
      <c r="T333" s="3">
        <v>10.0</v>
      </c>
      <c r="U333" s="2"/>
      <c r="V333" s="2"/>
      <c r="W333" s="70"/>
      <c r="X333" s="71"/>
      <c r="AA333" s="2">
        <f>2+ (P333*'Scoring System'!$B$3)+ (IF(OR(D333="DEF",D333="GK"),N333*'Scoring System'!$B$4,IF(D333="MID",N333*'Scoring System'!$B$5,0)))+ (IF(OR(D333="DEF",D333="GK"),H333*'Scoring System'!$B$6,IF(D333="MID",H333*'Scoring System'!$B$7,IF(D333="ATT",H333*'Scoring System'!$B$8,0))))+ IF(AND(OR(D333="GK",D333="DEF"),J333&gt;=3),1*'Scoring System'!$B$9,0)+ (I333*'Scoring System'!$B$10)+ (K333*'Scoring System'!$B$11)+ (M333*'Scoring System'!$B$12)+ (L333*'Scoring System'!$B$13)+ (O333*'Scoring System'!$B$14)+ (Q333*'Scoring System'!$B$15)+ (R333*'Scoring System'!$B$16)</f>
        <v>2</v>
      </c>
      <c r="AB333" s="72" t="b">
        <f>IFERROR(match(C333,'Match Day Fees'!$B$2:$B$999,0),0)=0</f>
        <v>0</v>
      </c>
      <c r="AC333" s="73">
        <f t="shared" si="1"/>
        <v>0</v>
      </c>
      <c r="AD333" s="3" t="str">
        <f>VLOOKUP(D333,'Position Lookup'!A:B,1,FALSE)</f>
        <v>MID</v>
      </c>
    </row>
    <row r="334" ht="17.25" customHeight="1">
      <c r="A334" s="31">
        <v>45171.0</v>
      </c>
      <c r="B334" s="1" t="s">
        <v>222</v>
      </c>
      <c r="C334" s="3" t="s">
        <v>82</v>
      </c>
      <c r="D334" s="3" t="s">
        <v>9</v>
      </c>
      <c r="E334" s="5">
        <v>2.0</v>
      </c>
      <c r="F334" s="3" t="s">
        <v>305</v>
      </c>
      <c r="G334" s="3" t="s">
        <v>224</v>
      </c>
      <c r="J334" s="5">
        <v>1.0</v>
      </c>
      <c r="N334" s="3" t="b">
        <v>0</v>
      </c>
      <c r="R334" s="3">
        <v>0.0</v>
      </c>
      <c r="T334" s="3">
        <v>10.0</v>
      </c>
      <c r="U334" s="2"/>
      <c r="V334" s="2"/>
      <c r="W334" s="70"/>
      <c r="X334" s="71"/>
      <c r="AA334" s="2">
        <f>2+ (P334*'Scoring System'!$B$3)+ (IF(OR(D334="DEF",D334="GK"),N334*'Scoring System'!$B$4,IF(D334="MID",N334*'Scoring System'!$B$5,0)))+ (IF(OR(D334="DEF",D334="GK"),H334*'Scoring System'!$B$6,IF(D334="MID",H334*'Scoring System'!$B$7,IF(D334="ATT",H334*'Scoring System'!$B$8,0))))+ IF(AND(OR(D334="GK",D334="DEF"),J334&gt;=3),1*'Scoring System'!$B$9,0)+ (I334*'Scoring System'!$B$10)+ (K334*'Scoring System'!$B$11)+ (M334*'Scoring System'!$B$12)+ (L334*'Scoring System'!$B$13)+ (O334*'Scoring System'!$B$14)+ (Q334*'Scoring System'!$B$15)+ (R334*'Scoring System'!$B$16)</f>
        <v>2</v>
      </c>
      <c r="AB334" s="72" t="b">
        <f>IFERROR(match(C334,'Match Day Fees'!$B$2:$B$999,0),0)=0</f>
        <v>0</v>
      </c>
      <c r="AC334" s="73">
        <f t="shared" si="1"/>
        <v>0</v>
      </c>
      <c r="AD334" s="3" t="str">
        <f>VLOOKUP(D334,'Position Lookup'!A:B,1,FALSE)</f>
        <v>ATT</v>
      </c>
    </row>
    <row r="335" ht="17.25" customHeight="1">
      <c r="A335" s="31">
        <v>45171.0</v>
      </c>
      <c r="B335" s="1" t="s">
        <v>222</v>
      </c>
      <c r="C335" s="3" t="s">
        <v>41</v>
      </c>
      <c r="E335" s="5">
        <v>2.0</v>
      </c>
      <c r="F335" s="3" t="s">
        <v>305</v>
      </c>
      <c r="G335" s="3" t="s">
        <v>224</v>
      </c>
      <c r="J335" s="5">
        <v>1.0</v>
      </c>
      <c r="N335" s="3" t="b">
        <v>0</v>
      </c>
      <c r="R335" s="3">
        <v>0.0</v>
      </c>
      <c r="T335" s="3">
        <v>10.0</v>
      </c>
      <c r="U335" s="2"/>
      <c r="V335" s="2"/>
      <c r="W335" s="70"/>
      <c r="X335" s="71"/>
      <c r="AA335" s="2">
        <f>2+ (P335*'Scoring System'!$B$3)+ (IF(OR(D335="DEF",D335="GK"),N335*'Scoring System'!$B$4,IF(D335="MID",N335*'Scoring System'!$B$5,0)))+ (IF(OR(D335="DEF",D335="GK"),H335*'Scoring System'!$B$6,IF(D335="MID",H335*'Scoring System'!$B$7,IF(D335="ATT",H335*'Scoring System'!$B$8,0))))+ IF(AND(OR(D335="GK",D335="DEF"),J335&gt;=3),1*'Scoring System'!$B$9,0)+ (I335*'Scoring System'!$B$10)+ (K335*'Scoring System'!$B$11)+ (M335*'Scoring System'!$B$12)+ (L335*'Scoring System'!$B$13)+ (O335*'Scoring System'!$B$14)+ (Q335*'Scoring System'!$B$15)+ (R335*'Scoring System'!$B$16)</f>
        <v>2</v>
      </c>
      <c r="AB335" s="72" t="b">
        <f>IFERROR(match(C335,'Match Day Fees'!$B$2:$B$999,0),0)=0</f>
        <v>0</v>
      </c>
      <c r="AC335" s="73">
        <f t="shared" si="1"/>
        <v>0</v>
      </c>
      <c r="AD335" s="3" t="str">
        <f>VLOOKUP(D335,'Position Lookup'!A:B,1,FALSE)</f>
        <v>#N/A</v>
      </c>
    </row>
    <row r="336" ht="17.25" customHeight="1">
      <c r="A336" s="31">
        <v>45171.0</v>
      </c>
      <c r="B336" s="1" t="s">
        <v>222</v>
      </c>
      <c r="C336" s="3" t="s">
        <v>39</v>
      </c>
      <c r="E336" s="5">
        <v>2.0</v>
      </c>
      <c r="F336" s="3" t="s">
        <v>305</v>
      </c>
      <c r="G336" s="3" t="s">
        <v>224</v>
      </c>
      <c r="J336" s="5">
        <v>1.0</v>
      </c>
      <c r="N336" s="3" t="b">
        <v>0</v>
      </c>
      <c r="R336" s="3">
        <v>0.0</v>
      </c>
      <c r="T336" s="3">
        <v>10.0</v>
      </c>
      <c r="U336" s="2"/>
      <c r="V336" s="2"/>
      <c r="W336" s="70"/>
      <c r="X336" s="71"/>
      <c r="AA336" s="2">
        <f>2+ (P336*'Scoring System'!$B$3)+ (IF(OR(D336="DEF",D336="GK"),N336*'Scoring System'!$B$4,IF(D336="MID",N336*'Scoring System'!$B$5,0)))+ (IF(OR(D336="DEF",D336="GK"),H336*'Scoring System'!$B$6,IF(D336="MID",H336*'Scoring System'!$B$7,IF(D336="ATT",H336*'Scoring System'!$B$8,0))))+ IF(AND(OR(D336="GK",D336="DEF"),J336&gt;=3),1*'Scoring System'!$B$9,0)+ (I336*'Scoring System'!$B$10)+ (K336*'Scoring System'!$B$11)+ (M336*'Scoring System'!$B$12)+ (L336*'Scoring System'!$B$13)+ (O336*'Scoring System'!$B$14)+ (Q336*'Scoring System'!$B$15)+ (R336*'Scoring System'!$B$16)</f>
        <v>2</v>
      </c>
      <c r="AB336" s="72" t="b">
        <f>IFERROR(match(C336,'Match Day Fees'!$B$2:$B$999,0),0)=0</f>
        <v>0</v>
      </c>
      <c r="AC336" s="73">
        <f t="shared" si="1"/>
        <v>0</v>
      </c>
      <c r="AD336" s="3" t="str">
        <f>VLOOKUP(D336,'Position Lookup'!A:B,1,FALSE)</f>
        <v>#N/A</v>
      </c>
    </row>
    <row r="337" ht="17.25" customHeight="1">
      <c r="A337" s="31">
        <v>45171.0</v>
      </c>
      <c r="B337" s="1" t="s">
        <v>222</v>
      </c>
      <c r="C337" s="3" t="s">
        <v>56</v>
      </c>
      <c r="E337" s="5">
        <v>2.0</v>
      </c>
      <c r="F337" s="3" t="s">
        <v>305</v>
      </c>
      <c r="G337" s="3" t="s">
        <v>224</v>
      </c>
      <c r="J337" s="5">
        <v>1.0</v>
      </c>
      <c r="N337" s="3" t="b">
        <v>0</v>
      </c>
      <c r="R337" s="3">
        <v>0.0</v>
      </c>
      <c r="T337" s="3">
        <v>10.0</v>
      </c>
      <c r="U337" s="2"/>
      <c r="V337" s="2"/>
      <c r="W337" s="70"/>
      <c r="X337" s="71"/>
      <c r="AA337" s="2">
        <f>2+ (P337*'Scoring System'!$B$3)+ (IF(OR(D337="DEF",D337="GK"),N337*'Scoring System'!$B$4,IF(D337="MID",N337*'Scoring System'!$B$5,0)))+ (IF(OR(D337="DEF",D337="GK"),H337*'Scoring System'!$B$6,IF(D337="MID",H337*'Scoring System'!$B$7,IF(D337="ATT",H337*'Scoring System'!$B$8,0))))+ IF(AND(OR(D337="GK",D337="DEF"),J337&gt;=3),1*'Scoring System'!$B$9,0)+ (I337*'Scoring System'!$B$10)+ (K337*'Scoring System'!$B$11)+ (M337*'Scoring System'!$B$12)+ (L337*'Scoring System'!$B$13)+ (O337*'Scoring System'!$B$14)+ (Q337*'Scoring System'!$B$15)+ (R337*'Scoring System'!$B$16)</f>
        <v>2</v>
      </c>
      <c r="AB337" s="72" t="b">
        <f>IFERROR(match(C337,'Match Day Fees'!$B$2:$B$999,0),0)=0</f>
        <v>0</v>
      </c>
      <c r="AC337" s="73">
        <f t="shared" si="1"/>
        <v>0</v>
      </c>
      <c r="AD337" s="3" t="str">
        <f>VLOOKUP(D337,'Position Lookup'!A:B,1,FALSE)</f>
        <v>#N/A</v>
      </c>
    </row>
    <row r="338" ht="17.25" customHeight="1">
      <c r="A338" s="31">
        <v>45171.0</v>
      </c>
      <c r="B338" s="1" t="s">
        <v>222</v>
      </c>
      <c r="C338" s="3" t="s">
        <v>71</v>
      </c>
      <c r="E338" s="75">
        <v>2.0</v>
      </c>
      <c r="F338" s="3" t="s">
        <v>305</v>
      </c>
      <c r="G338" s="3" t="s">
        <v>224</v>
      </c>
      <c r="J338" s="5">
        <v>1.0</v>
      </c>
      <c r="N338" s="3" t="b">
        <v>0</v>
      </c>
      <c r="R338" s="3">
        <v>0.0</v>
      </c>
      <c r="T338" s="3">
        <v>5.0</v>
      </c>
      <c r="U338" s="2"/>
      <c r="V338" s="2"/>
      <c r="W338" s="70"/>
      <c r="X338" s="71"/>
      <c r="AA338" s="2">
        <f>2+ (P338*'Scoring System'!$B$3)+ (IF(OR(D338="DEF",D338="GK"),N338*'Scoring System'!$B$4,IF(D338="MID",N338*'Scoring System'!$B$5,0)))+ (IF(OR(D338="DEF",D338="GK"),H338*'Scoring System'!$B$6,IF(D338="MID",H338*'Scoring System'!$B$7,IF(D338="ATT",H338*'Scoring System'!$B$8,0))))+ IF(AND(OR(D338="GK",D338="DEF"),J338&gt;=3),1*'Scoring System'!$B$9,0)+ (I338*'Scoring System'!$B$10)+ (K338*'Scoring System'!$B$11)+ (M338*'Scoring System'!$B$12)+ (L338*'Scoring System'!$B$13)+ (O338*'Scoring System'!$B$14)+ (Q338*'Scoring System'!$B$15)+ (R338*'Scoring System'!$B$16)</f>
        <v>2</v>
      </c>
      <c r="AB338" s="72" t="b">
        <f>IFERROR(match(C338,'Match Day Fees'!$B$2:$B$999,0),0)=0</f>
        <v>0</v>
      </c>
      <c r="AC338" s="73">
        <f t="shared" si="1"/>
        <v>0</v>
      </c>
      <c r="AD338" s="3" t="str">
        <f>VLOOKUP(D338,'Position Lookup'!A:B,1,FALSE)</f>
        <v>#N/A</v>
      </c>
    </row>
    <row r="339" ht="17.25" customHeight="1">
      <c r="A339" s="31">
        <v>45171.0</v>
      </c>
      <c r="B339" s="1" t="s">
        <v>222</v>
      </c>
      <c r="C339" s="3" t="s">
        <v>254</v>
      </c>
      <c r="D339" s="3" t="s">
        <v>8</v>
      </c>
      <c r="E339" s="76">
        <v>3.0</v>
      </c>
      <c r="F339" s="3" t="s">
        <v>306</v>
      </c>
      <c r="G339" s="3" t="s">
        <v>230</v>
      </c>
      <c r="J339" s="5">
        <v>2.0</v>
      </c>
      <c r="N339" s="3" t="b">
        <v>0</v>
      </c>
      <c r="R339" s="3">
        <v>0.0</v>
      </c>
      <c r="T339" s="3">
        <v>10.0</v>
      </c>
      <c r="U339" s="2"/>
      <c r="V339" s="2"/>
      <c r="W339" s="70"/>
      <c r="X339" s="71"/>
      <c r="AA339" s="2">
        <f>2+ (P339*'Scoring System'!$B$3)+ (IF(OR(D339="DEF",D339="GK"),N339*'Scoring System'!$B$4,IF(D339="MID",N339*'Scoring System'!$B$5,0)))+ (IF(OR(D339="DEF",D339="GK"),H339*'Scoring System'!$B$6,IF(D339="MID",H339*'Scoring System'!$B$7,IF(D339="ATT",H339*'Scoring System'!$B$8,0))))+ IF(AND(OR(D339="GK",D339="DEF"),J339&gt;=3),1*'Scoring System'!$B$9,0)+ (I339*'Scoring System'!$B$10)+ (K339*'Scoring System'!$B$11)+ (M339*'Scoring System'!$B$12)+ (L339*'Scoring System'!$B$13)+ (O339*'Scoring System'!$B$14)+ (Q339*'Scoring System'!$B$15)+ (R339*'Scoring System'!$B$16)</f>
        <v>2</v>
      </c>
      <c r="AB339" s="72" t="b">
        <f>IFERROR(match(C339,'Match Day Fees'!$B$2:$B$999,0),0)=0</f>
        <v>0</v>
      </c>
      <c r="AC339" s="73">
        <f t="shared" si="1"/>
        <v>0</v>
      </c>
      <c r="AD339" s="3" t="str">
        <f>VLOOKUP(D339,'Position Lookup'!A:B,1,FALSE)</f>
        <v>GK</v>
      </c>
    </row>
    <row r="340" ht="17.25" customHeight="1">
      <c r="A340" s="31">
        <v>45171.0</v>
      </c>
      <c r="B340" s="1" t="s">
        <v>222</v>
      </c>
      <c r="C340" s="3" t="s">
        <v>133</v>
      </c>
      <c r="D340" s="3" t="s">
        <v>11</v>
      </c>
      <c r="E340" s="5">
        <v>3.0</v>
      </c>
      <c r="F340" s="3" t="s">
        <v>306</v>
      </c>
      <c r="G340" s="3" t="s">
        <v>230</v>
      </c>
      <c r="J340" s="5">
        <v>2.0</v>
      </c>
      <c r="N340" s="3" t="b">
        <v>0</v>
      </c>
      <c r="R340" s="3">
        <v>0.0</v>
      </c>
      <c r="T340" s="3">
        <v>10.0</v>
      </c>
      <c r="U340" s="2"/>
      <c r="V340" s="2"/>
      <c r="W340" s="70"/>
      <c r="X340" s="71"/>
      <c r="AA340" s="2">
        <f>2+ (P340*'Scoring System'!$B$3)+ (IF(OR(D340="DEF",D340="GK"),N340*'Scoring System'!$B$4,IF(D340="MID",N340*'Scoring System'!$B$5,0)))+ (IF(OR(D340="DEF",D340="GK"),H340*'Scoring System'!$B$6,IF(D340="MID",H340*'Scoring System'!$B$7,IF(D340="ATT",H340*'Scoring System'!$B$8,0))))+ IF(AND(OR(D340="GK",D340="DEF"),J340&gt;=3),1*'Scoring System'!$B$9,0)+ (I340*'Scoring System'!$B$10)+ (K340*'Scoring System'!$B$11)+ (M340*'Scoring System'!$B$12)+ (L340*'Scoring System'!$B$13)+ (O340*'Scoring System'!$B$14)+ (Q340*'Scoring System'!$B$15)+ (R340*'Scoring System'!$B$16)</f>
        <v>2</v>
      </c>
      <c r="AB340" s="72" t="b">
        <f>IFERROR(match(C340,'Match Day Fees'!$B$2:$B$999,0),0)=0</f>
        <v>0</v>
      </c>
      <c r="AC340" s="73">
        <f t="shared" si="1"/>
        <v>0</v>
      </c>
      <c r="AD340" s="3" t="str">
        <f>VLOOKUP(D340,'Position Lookup'!A:B,1,FALSE)</f>
        <v>DEF</v>
      </c>
    </row>
    <row r="341" ht="17.25" customHeight="1">
      <c r="A341" s="31">
        <v>45171.0</v>
      </c>
      <c r="B341" s="1" t="s">
        <v>222</v>
      </c>
      <c r="C341" s="3" t="s">
        <v>307</v>
      </c>
      <c r="D341" s="3" t="s">
        <v>11</v>
      </c>
      <c r="E341" s="5">
        <v>3.0</v>
      </c>
      <c r="F341" s="3" t="s">
        <v>306</v>
      </c>
      <c r="G341" s="3" t="s">
        <v>230</v>
      </c>
      <c r="J341" s="5">
        <v>2.0</v>
      </c>
      <c r="K341" s="3">
        <v>1.0</v>
      </c>
      <c r="N341" s="3" t="b">
        <v>0</v>
      </c>
      <c r="R341" s="3">
        <v>0.0</v>
      </c>
      <c r="T341" s="3">
        <v>10.0</v>
      </c>
      <c r="U341" s="2"/>
      <c r="V341" s="2"/>
      <c r="W341" s="70"/>
      <c r="X341" s="71"/>
      <c r="AA341" s="2">
        <f>2+ (P341*'Scoring System'!$B$3)+ (IF(OR(D341="DEF",D341="GK"),N341*'Scoring System'!$B$4,IF(D341="MID",N341*'Scoring System'!$B$5,0)))+ (IF(OR(D341="DEF",D341="GK"),H341*'Scoring System'!$B$6,IF(D341="MID",H341*'Scoring System'!$B$7,IF(D341="ATT",H341*'Scoring System'!$B$8,0))))+ IF(AND(OR(D341="GK",D341="DEF"),J341&gt;=3),1*'Scoring System'!$B$9,0)+ (I341*'Scoring System'!$B$10)+ (K341*'Scoring System'!$B$11)+ (M341*'Scoring System'!$B$12)+ (L341*'Scoring System'!$B$13)+ (O341*'Scoring System'!$B$14)+ (Q341*'Scoring System'!$B$15)+ (R341*'Scoring System'!$B$16)</f>
        <v>1</v>
      </c>
      <c r="AB341" s="72" t="b">
        <f>IFERROR(match(C341,'Match Day Fees'!$B$2:$B$999,0),0)=0</f>
        <v>0</v>
      </c>
      <c r="AC341" s="73">
        <f t="shared" si="1"/>
        <v>0</v>
      </c>
      <c r="AD341" s="3" t="str">
        <f>VLOOKUP(D341,'Position Lookup'!A:B,1,FALSE)</f>
        <v>DEF</v>
      </c>
    </row>
    <row r="342" ht="17.25" customHeight="1">
      <c r="A342" s="31">
        <v>45171.0</v>
      </c>
      <c r="B342" s="1" t="s">
        <v>222</v>
      </c>
      <c r="C342" s="3" t="s">
        <v>295</v>
      </c>
      <c r="D342" s="3" t="s">
        <v>11</v>
      </c>
      <c r="E342" s="5">
        <v>3.0</v>
      </c>
      <c r="F342" s="3" t="s">
        <v>306</v>
      </c>
      <c r="G342" s="3" t="s">
        <v>230</v>
      </c>
      <c r="J342" s="5">
        <v>2.0</v>
      </c>
      <c r="N342" s="3" t="b">
        <v>0</v>
      </c>
      <c r="R342" s="3">
        <v>0.0</v>
      </c>
      <c r="T342" s="3">
        <v>10.0</v>
      </c>
      <c r="U342" s="2"/>
      <c r="V342" s="2"/>
      <c r="W342" s="70"/>
      <c r="X342" s="71"/>
      <c r="AA342" s="2">
        <f>2+ (P342*'Scoring System'!$B$3)+ (IF(OR(D342="DEF",D342="GK"),N342*'Scoring System'!$B$4,IF(D342="MID",N342*'Scoring System'!$B$5,0)))+ (IF(OR(D342="DEF",D342="GK"),H342*'Scoring System'!$B$6,IF(D342="MID",H342*'Scoring System'!$B$7,IF(D342="ATT",H342*'Scoring System'!$B$8,0))))+ IF(AND(OR(D342="GK",D342="DEF"),J342&gt;=3),1*'Scoring System'!$B$9,0)+ (I342*'Scoring System'!$B$10)+ (K342*'Scoring System'!$B$11)+ (M342*'Scoring System'!$B$12)+ (L342*'Scoring System'!$B$13)+ (O342*'Scoring System'!$B$14)+ (Q342*'Scoring System'!$B$15)+ (R342*'Scoring System'!$B$16)</f>
        <v>2</v>
      </c>
      <c r="AB342" s="72" t="b">
        <f>IFERROR(match(C342,'Match Day Fees'!$B$2:$B$999,0),0)=0</f>
        <v>0</v>
      </c>
      <c r="AC342" s="73">
        <f t="shared" si="1"/>
        <v>0</v>
      </c>
      <c r="AD342" s="3" t="str">
        <f>VLOOKUP(D342,'Position Lookup'!A:B,1,FALSE)</f>
        <v>DEF</v>
      </c>
    </row>
    <row r="343" ht="17.25" customHeight="1">
      <c r="A343" s="31">
        <v>45171.0</v>
      </c>
      <c r="B343" s="1" t="s">
        <v>222</v>
      </c>
      <c r="C343" s="3" t="s">
        <v>149</v>
      </c>
      <c r="D343" s="3" t="s">
        <v>11</v>
      </c>
      <c r="E343" s="5">
        <v>3.0</v>
      </c>
      <c r="F343" s="3" t="s">
        <v>306</v>
      </c>
      <c r="G343" s="3" t="s">
        <v>230</v>
      </c>
      <c r="J343" s="5">
        <v>2.0</v>
      </c>
      <c r="N343" s="3" t="b">
        <v>0</v>
      </c>
      <c r="R343" s="3">
        <v>0.0</v>
      </c>
      <c r="T343" s="3">
        <v>10.0</v>
      </c>
      <c r="U343" s="2"/>
      <c r="V343" s="2"/>
      <c r="W343" s="70"/>
      <c r="X343" s="71"/>
      <c r="AA343" s="2">
        <f>2+ (P343*'Scoring System'!$B$3)+ (IF(OR(D343="DEF",D343="GK"),N343*'Scoring System'!$B$4,IF(D343="MID",N343*'Scoring System'!$B$5,0)))+ (IF(OR(D343="DEF",D343="GK"),H343*'Scoring System'!$B$6,IF(D343="MID",H343*'Scoring System'!$B$7,IF(D343="ATT",H343*'Scoring System'!$B$8,0))))+ IF(AND(OR(D343="GK",D343="DEF"),J343&gt;=3),1*'Scoring System'!$B$9,0)+ (I343*'Scoring System'!$B$10)+ (K343*'Scoring System'!$B$11)+ (M343*'Scoring System'!$B$12)+ (L343*'Scoring System'!$B$13)+ (O343*'Scoring System'!$B$14)+ (Q343*'Scoring System'!$B$15)+ (R343*'Scoring System'!$B$16)</f>
        <v>2</v>
      </c>
      <c r="AB343" s="72" t="b">
        <f>IFERROR(match(C343,'Match Day Fees'!$B$2:$B$999,0),0)=0</f>
        <v>0</v>
      </c>
      <c r="AC343" s="73">
        <f t="shared" si="1"/>
        <v>0</v>
      </c>
      <c r="AD343" s="3" t="str">
        <f>VLOOKUP(D343,'Position Lookup'!A:B,1,FALSE)</f>
        <v>DEF</v>
      </c>
    </row>
    <row r="344" ht="17.25" customHeight="1">
      <c r="A344" s="31">
        <v>45171.0</v>
      </c>
      <c r="B344" s="1" t="s">
        <v>222</v>
      </c>
      <c r="C344" s="3" t="s">
        <v>227</v>
      </c>
      <c r="D344" s="3" t="s">
        <v>10</v>
      </c>
      <c r="E344" s="5">
        <v>3.0</v>
      </c>
      <c r="F344" s="3" t="s">
        <v>306</v>
      </c>
      <c r="G344" s="3" t="s">
        <v>230</v>
      </c>
      <c r="J344" s="5">
        <v>2.0</v>
      </c>
      <c r="N344" s="3" t="b">
        <v>0</v>
      </c>
      <c r="R344" s="3">
        <v>0.0</v>
      </c>
      <c r="T344" s="3">
        <v>10.0</v>
      </c>
      <c r="U344" s="2"/>
      <c r="V344" s="2"/>
      <c r="W344" s="70"/>
      <c r="X344" s="71"/>
      <c r="AA344" s="2">
        <f>2+ (P344*'Scoring System'!$B$3)+ (IF(OR(D344="DEF",D344="GK"),N344*'Scoring System'!$B$4,IF(D344="MID",N344*'Scoring System'!$B$5,0)))+ (IF(OR(D344="DEF",D344="GK"),H344*'Scoring System'!$B$6,IF(D344="MID",H344*'Scoring System'!$B$7,IF(D344="ATT",H344*'Scoring System'!$B$8,0))))+ IF(AND(OR(D344="GK",D344="DEF"),J344&gt;=3),1*'Scoring System'!$B$9,0)+ (I344*'Scoring System'!$B$10)+ (K344*'Scoring System'!$B$11)+ (M344*'Scoring System'!$B$12)+ (L344*'Scoring System'!$B$13)+ (O344*'Scoring System'!$B$14)+ (Q344*'Scoring System'!$B$15)+ (R344*'Scoring System'!$B$16)</f>
        <v>2</v>
      </c>
      <c r="AB344" s="72" t="b">
        <f>IFERROR(match(C344,'Match Day Fees'!$B$2:$B$999,0),0)=0</f>
        <v>0</v>
      </c>
      <c r="AC344" s="73">
        <f t="shared" si="1"/>
        <v>0</v>
      </c>
      <c r="AD344" s="3" t="str">
        <f>VLOOKUP(D344,'Position Lookup'!A:B,1,FALSE)</f>
        <v>MID</v>
      </c>
    </row>
    <row r="345" ht="17.25" customHeight="1">
      <c r="A345" s="31">
        <v>45171.0</v>
      </c>
      <c r="B345" s="1" t="s">
        <v>222</v>
      </c>
      <c r="C345" s="3" t="s">
        <v>86</v>
      </c>
      <c r="D345" s="3" t="s">
        <v>10</v>
      </c>
      <c r="E345" s="5">
        <v>3.0</v>
      </c>
      <c r="F345" s="3" t="s">
        <v>306</v>
      </c>
      <c r="G345" s="3" t="s">
        <v>230</v>
      </c>
      <c r="I345" s="3">
        <v>1.0</v>
      </c>
      <c r="J345" s="5">
        <v>2.0</v>
      </c>
      <c r="N345" s="3" t="b">
        <v>0</v>
      </c>
      <c r="R345" s="3">
        <v>1.0</v>
      </c>
      <c r="T345" s="3">
        <v>10.0</v>
      </c>
      <c r="U345" s="2"/>
      <c r="V345" s="2"/>
      <c r="W345" s="70"/>
      <c r="X345" s="71"/>
      <c r="AA345" s="2">
        <f>2+ (P345*'Scoring System'!$B$3)+ (IF(OR(D345="DEF",D345="GK"),N345*'Scoring System'!$B$4,IF(D345="MID",N345*'Scoring System'!$B$5,0)))+ (IF(OR(D345="DEF",D345="GK"),H345*'Scoring System'!$B$6,IF(D345="MID",H345*'Scoring System'!$B$7,IF(D345="ATT",H345*'Scoring System'!$B$8,0))))+ IF(AND(OR(D345="GK",D345="DEF"),J345&gt;=3),1*'Scoring System'!$B$9,0)+ (I345*'Scoring System'!$B$10)+ (K345*'Scoring System'!$B$11)+ (M345*'Scoring System'!$B$12)+ (L345*'Scoring System'!$B$13)+ (O345*'Scoring System'!$B$14)+ (Q345*'Scoring System'!$B$15)+ (R345*'Scoring System'!$B$16)</f>
        <v>10</v>
      </c>
      <c r="AB345" s="72" t="b">
        <f>IFERROR(match(C345,'Match Day Fees'!$B$2:$B$999,0),0)=0</f>
        <v>0</v>
      </c>
      <c r="AC345" s="73">
        <f t="shared" si="1"/>
        <v>0</v>
      </c>
      <c r="AD345" s="3" t="str">
        <f>VLOOKUP(D345,'Position Lookup'!A:B,1,FALSE)</f>
        <v>MID</v>
      </c>
    </row>
    <row r="346" ht="17.25" customHeight="1">
      <c r="A346" s="31">
        <v>45171.0</v>
      </c>
      <c r="B346" s="1" t="s">
        <v>222</v>
      </c>
      <c r="C346" s="3" t="s">
        <v>150</v>
      </c>
      <c r="D346" s="3" t="s">
        <v>10</v>
      </c>
      <c r="E346" s="5">
        <v>3.0</v>
      </c>
      <c r="F346" s="3" t="s">
        <v>306</v>
      </c>
      <c r="G346" s="3" t="s">
        <v>230</v>
      </c>
      <c r="J346" s="5">
        <v>2.0</v>
      </c>
      <c r="N346" s="3" t="b">
        <v>0</v>
      </c>
      <c r="R346" s="3">
        <v>0.0</v>
      </c>
      <c r="T346" s="3">
        <v>10.0</v>
      </c>
      <c r="U346" s="2"/>
      <c r="V346" s="2"/>
      <c r="W346" s="70"/>
      <c r="X346" s="71"/>
      <c r="AA346" s="2">
        <f>2+ (P346*'Scoring System'!$B$3)+ (IF(OR(D346="DEF",D346="GK"),N346*'Scoring System'!$B$4,IF(D346="MID",N346*'Scoring System'!$B$5,0)))+ (IF(OR(D346="DEF",D346="GK"),H346*'Scoring System'!$B$6,IF(D346="MID",H346*'Scoring System'!$B$7,IF(D346="ATT",H346*'Scoring System'!$B$8,0))))+ IF(AND(OR(D346="GK",D346="DEF"),J346&gt;=3),1*'Scoring System'!$B$9,0)+ (I346*'Scoring System'!$B$10)+ (K346*'Scoring System'!$B$11)+ (M346*'Scoring System'!$B$12)+ (L346*'Scoring System'!$B$13)+ (O346*'Scoring System'!$B$14)+ (Q346*'Scoring System'!$B$15)+ (R346*'Scoring System'!$B$16)</f>
        <v>2</v>
      </c>
      <c r="AB346" s="72" t="b">
        <f>IFERROR(match(C346,'Match Day Fees'!$B$2:$B$999,0),0)=0</f>
        <v>0</v>
      </c>
      <c r="AC346" s="73">
        <f t="shared" si="1"/>
        <v>0</v>
      </c>
      <c r="AD346" s="3" t="str">
        <f>VLOOKUP(D346,'Position Lookup'!A:B,1,FALSE)</f>
        <v>MID</v>
      </c>
    </row>
    <row r="347" ht="17.25" customHeight="1">
      <c r="A347" s="31">
        <v>45171.0</v>
      </c>
      <c r="B347" s="1" t="s">
        <v>222</v>
      </c>
      <c r="C347" s="3" t="s">
        <v>258</v>
      </c>
      <c r="D347" s="3" t="s">
        <v>10</v>
      </c>
      <c r="E347" s="5">
        <v>3.0</v>
      </c>
      <c r="F347" s="3" t="s">
        <v>306</v>
      </c>
      <c r="G347" s="3" t="s">
        <v>230</v>
      </c>
      <c r="J347" s="5">
        <v>2.0</v>
      </c>
      <c r="N347" s="3" t="b">
        <v>0</v>
      </c>
      <c r="R347" s="3">
        <v>0.0</v>
      </c>
      <c r="S347" s="3" t="b">
        <v>1</v>
      </c>
      <c r="T347" s="3">
        <v>0.0</v>
      </c>
      <c r="U347" s="2"/>
      <c r="V347" s="2"/>
      <c r="W347" s="70"/>
      <c r="X347" s="71"/>
      <c r="AA347" s="2">
        <f>2+ (P347*'Scoring System'!$B$3)+ (IF(OR(D347="DEF",D347="GK"),N347*'Scoring System'!$B$4,IF(D347="MID",N347*'Scoring System'!$B$5,0)))+ (IF(OR(D347="DEF",D347="GK"),H347*'Scoring System'!$B$6,IF(D347="MID",H347*'Scoring System'!$B$7,IF(D347="ATT",H347*'Scoring System'!$B$8,0))))+ IF(AND(OR(D347="GK",D347="DEF"),J347&gt;=3),1*'Scoring System'!$B$9,0)+ (I347*'Scoring System'!$B$10)+ (K347*'Scoring System'!$B$11)+ (M347*'Scoring System'!$B$12)+ (L347*'Scoring System'!$B$13)+ (O347*'Scoring System'!$B$14)+ (Q347*'Scoring System'!$B$15)+ (R347*'Scoring System'!$B$16)</f>
        <v>2</v>
      </c>
      <c r="AB347" s="72" t="b">
        <f>IFERROR(match(C347,'Match Day Fees'!$B$2:$B$999,0),0)=0</f>
        <v>0</v>
      </c>
      <c r="AC347" s="73">
        <f t="shared" si="1"/>
        <v>0</v>
      </c>
      <c r="AD347" s="3" t="str">
        <f>VLOOKUP(D347,'Position Lookup'!A:B,1,FALSE)</f>
        <v>MID</v>
      </c>
    </row>
    <row r="348" ht="17.25" customHeight="1">
      <c r="A348" s="31">
        <v>45171.0</v>
      </c>
      <c r="B348" s="1" t="s">
        <v>222</v>
      </c>
      <c r="C348" s="3" t="s">
        <v>280</v>
      </c>
      <c r="D348" s="3" t="s">
        <v>10</v>
      </c>
      <c r="E348" s="5">
        <v>3.0</v>
      </c>
      <c r="F348" s="3" t="s">
        <v>306</v>
      </c>
      <c r="G348" s="3" t="s">
        <v>230</v>
      </c>
      <c r="J348" s="5">
        <v>2.0</v>
      </c>
      <c r="N348" s="3" t="b">
        <v>0</v>
      </c>
      <c r="R348" s="3">
        <v>0.0</v>
      </c>
      <c r="T348" s="3">
        <v>10.0</v>
      </c>
      <c r="U348" s="2"/>
      <c r="V348" s="2"/>
      <c r="W348" s="70"/>
      <c r="X348" s="71"/>
      <c r="AA348" s="2">
        <f>2+ (P348*'Scoring System'!$B$3)+ (IF(OR(D348="DEF",D348="GK"),N348*'Scoring System'!$B$4,IF(D348="MID",N348*'Scoring System'!$B$5,0)))+ (IF(OR(D348="DEF",D348="GK"),H348*'Scoring System'!$B$6,IF(D348="MID",H348*'Scoring System'!$B$7,IF(D348="ATT",H348*'Scoring System'!$B$8,0))))+ IF(AND(OR(D348="GK",D348="DEF"),J348&gt;=3),1*'Scoring System'!$B$9,0)+ (I348*'Scoring System'!$B$10)+ (K348*'Scoring System'!$B$11)+ (M348*'Scoring System'!$B$12)+ (L348*'Scoring System'!$B$13)+ (O348*'Scoring System'!$B$14)+ (Q348*'Scoring System'!$B$15)+ (R348*'Scoring System'!$B$16)</f>
        <v>2</v>
      </c>
      <c r="AB348" s="72" t="b">
        <f>IFERROR(match(C348,'Match Day Fees'!$B$2:$B$999,0),0)=0</f>
        <v>0</v>
      </c>
      <c r="AC348" s="73">
        <f t="shared" si="1"/>
        <v>0</v>
      </c>
      <c r="AD348" s="3" t="str">
        <f>VLOOKUP(D348,'Position Lookup'!A:B,1,FALSE)</f>
        <v>MID</v>
      </c>
    </row>
    <row r="349" ht="17.25" customHeight="1">
      <c r="A349" s="31">
        <v>45171.0</v>
      </c>
      <c r="B349" s="1" t="s">
        <v>222</v>
      </c>
      <c r="C349" s="3" t="s">
        <v>74</v>
      </c>
      <c r="D349" s="3" t="s">
        <v>9</v>
      </c>
      <c r="E349" s="5">
        <v>3.0</v>
      </c>
      <c r="F349" s="3" t="s">
        <v>306</v>
      </c>
      <c r="G349" s="3" t="s">
        <v>230</v>
      </c>
      <c r="H349" s="3">
        <v>1.0</v>
      </c>
      <c r="J349" s="5">
        <v>2.0</v>
      </c>
      <c r="N349" s="3" t="b">
        <v>0</v>
      </c>
      <c r="R349" s="3">
        <v>0.0</v>
      </c>
      <c r="T349" s="3">
        <v>10.0</v>
      </c>
      <c r="U349" s="2"/>
      <c r="V349" s="2"/>
      <c r="W349" s="70"/>
      <c r="X349" s="71"/>
      <c r="AA349" s="2">
        <f>2+ (P349*'Scoring System'!$B$3)+ (IF(OR(D349="DEF",D349="GK"),N349*'Scoring System'!$B$4,IF(D349="MID",N349*'Scoring System'!$B$5,0)))+ (IF(OR(D349="DEF",D349="GK"),H349*'Scoring System'!$B$6,IF(D349="MID",H349*'Scoring System'!$B$7,IF(D349="ATT",H349*'Scoring System'!$B$8,0))))+ IF(AND(OR(D349="GK",D349="DEF"),J349&gt;=3),1*'Scoring System'!$B$9,0)+ (I349*'Scoring System'!$B$10)+ (K349*'Scoring System'!$B$11)+ (M349*'Scoring System'!$B$12)+ (L349*'Scoring System'!$B$13)+ (O349*'Scoring System'!$B$14)+ (Q349*'Scoring System'!$B$15)+ (R349*'Scoring System'!$B$16)</f>
        <v>6</v>
      </c>
      <c r="AB349" s="72" t="b">
        <f>IFERROR(match(C349,'Match Day Fees'!$B$2:$B$999,0),0)=0</f>
        <v>0</v>
      </c>
      <c r="AC349" s="73">
        <f t="shared" si="1"/>
        <v>0</v>
      </c>
      <c r="AD349" s="3" t="str">
        <f>VLOOKUP(D349,'Position Lookup'!A:B,1,FALSE)</f>
        <v>ATT</v>
      </c>
    </row>
    <row r="350" ht="17.25" customHeight="1">
      <c r="A350" s="31">
        <v>45171.0</v>
      </c>
      <c r="B350" s="1" t="s">
        <v>222</v>
      </c>
      <c r="C350" s="3" t="s">
        <v>112</v>
      </c>
      <c r="E350" s="5">
        <v>3.0</v>
      </c>
      <c r="F350" s="3" t="s">
        <v>306</v>
      </c>
      <c r="G350" s="3" t="s">
        <v>230</v>
      </c>
      <c r="J350" s="5">
        <v>2.0</v>
      </c>
      <c r="N350" s="3" t="b">
        <v>0</v>
      </c>
      <c r="R350" s="3">
        <v>0.0</v>
      </c>
      <c r="T350" s="3">
        <v>10.0</v>
      </c>
      <c r="U350" s="2"/>
      <c r="V350" s="2"/>
      <c r="W350" s="70"/>
      <c r="X350" s="71"/>
      <c r="AA350" s="2">
        <f>2+ (P350*'Scoring System'!$B$3)+ (IF(OR(D350="DEF",D350="GK"),N350*'Scoring System'!$B$4,IF(D350="MID",N350*'Scoring System'!$B$5,0)))+ (IF(OR(D350="DEF",D350="GK"),H350*'Scoring System'!$B$6,IF(D350="MID",H350*'Scoring System'!$B$7,IF(D350="ATT",H350*'Scoring System'!$B$8,0))))+ IF(AND(OR(D350="GK",D350="DEF"),J350&gt;=3),1*'Scoring System'!$B$9,0)+ (I350*'Scoring System'!$B$10)+ (K350*'Scoring System'!$B$11)+ (M350*'Scoring System'!$B$12)+ (L350*'Scoring System'!$B$13)+ (O350*'Scoring System'!$B$14)+ (Q350*'Scoring System'!$B$15)+ (R350*'Scoring System'!$B$16)</f>
        <v>2</v>
      </c>
      <c r="AB350" s="72" t="b">
        <f>IFERROR(match(C350,'Match Day Fees'!$B$2:$B$999,0),0)=0</f>
        <v>0</v>
      </c>
      <c r="AC350" s="73">
        <f t="shared" si="1"/>
        <v>0</v>
      </c>
      <c r="AD350" s="3" t="str">
        <f>VLOOKUP(D350,'Position Lookup'!A:B,1,FALSE)</f>
        <v>#N/A</v>
      </c>
    </row>
    <row r="351" ht="17.25" customHeight="1">
      <c r="A351" s="31">
        <v>45171.0</v>
      </c>
      <c r="B351" s="1" t="s">
        <v>222</v>
      </c>
      <c r="C351" s="3" t="s">
        <v>308</v>
      </c>
      <c r="E351" s="5">
        <v>3.0</v>
      </c>
      <c r="F351" s="3" t="s">
        <v>306</v>
      </c>
      <c r="G351" s="3" t="s">
        <v>230</v>
      </c>
      <c r="J351" s="5">
        <v>2.0</v>
      </c>
      <c r="N351" s="3" t="b">
        <v>0</v>
      </c>
      <c r="R351" s="3">
        <v>0.0</v>
      </c>
      <c r="T351" s="3">
        <v>10.0</v>
      </c>
      <c r="U351" s="2"/>
      <c r="V351" s="2"/>
      <c r="W351" s="70"/>
      <c r="X351" s="71"/>
      <c r="AA351" s="2">
        <f>2+ (P351*'Scoring System'!$B$3)+ (IF(OR(D351="DEF",D351="GK"),N351*'Scoring System'!$B$4,IF(D351="MID",N351*'Scoring System'!$B$5,0)))+ (IF(OR(D351="DEF",D351="GK"),H351*'Scoring System'!$B$6,IF(D351="MID",H351*'Scoring System'!$B$7,IF(D351="ATT",H351*'Scoring System'!$B$8,0))))+ IF(AND(OR(D351="GK",D351="DEF"),J351&gt;=3),1*'Scoring System'!$B$9,0)+ (I351*'Scoring System'!$B$10)+ (K351*'Scoring System'!$B$11)+ (M351*'Scoring System'!$B$12)+ (L351*'Scoring System'!$B$13)+ (O351*'Scoring System'!$B$14)+ (Q351*'Scoring System'!$B$15)+ (R351*'Scoring System'!$B$16)</f>
        <v>2</v>
      </c>
      <c r="AB351" s="72" t="b">
        <f>IFERROR(match(C351,'Match Day Fees'!$B$2:$B$999,0),0)=0</f>
        <v>0</v>
      </c>
      <c r="AC351" s="73">
        <f t="shared" si="1"/>
        <v>0</v>
      </c>
      <c r="AD351" s="3" t="str">
        <f>VLOOKUP(D351,'Position Lookup'!A:B,1,FALSE)</f>
        <v>#N/A</v>
      </c>
    </row>
    <row r="352" ht="17.25" customHeight="1">
      <c r="A352" s="31">
        <v>45178.0</v>
      </c>
      <c r="B352" s="5" t="s">
        <v>309</v>
      </c>
      <c r="C352" s="3" t="s">
        <v>53</v>
      </c>
      <c r="D352" s="3" t="s">
        <v>8</v>
      </c>
      <c r="E352" s="5">
        <v>1.0</v>
      </c>
      <c r="F352" s="3" t="s">
        <v>300</v>
      </c>
      <c r="G352" s="3" t="s">
        <v>224</v>
      </c>
      <c r="J352" s="5">
        <v>0.0</v>
      </c>
      <c r="N352" s="3" t="b">
        <v>1</v>
      </c>
      <c r="R352" s="3">
        <v>0.0</v>
      </c>
      <c r="T352" s="3">
        <v>10.0</v>
      </c>
      <c r="U352" s="2">
        <v>7.5</v>
      </c>
      <c r="V352" s="2" t="s">
        <v>310</v>
      </c>
      <c r="W352" s="70" t="s">
        <v>311</v>
      </c>
      <c r="X352" s="71" t="s">
        <v>312</v>
      </c>
      <c r="Y352" s="3">
        <v>1.0</v>
      </c>
      <c r="Z352" s="3">
        <v>0.0</v>
      </c>
      <c r="AA352" s="2">
        <f>2+ (P352*'Scoring System'!$B$3)+ (IF(OR(D352="DEF",D352="GK"),N352*'Scoring System'!$B$4,IF(D352="MID",N352*'Scoring System'!$B$5,0)))+ (IF(OR(D352="DEF",D352="GK"),H352*'Scoring System'!$B$6,IF(D352="MID",H352*'Scoring System'!$B$7,IF(D352="ATT",H352*'Scoring System'!$B$8,0))))+ IF(AND(OR(D352="GK",D352="DEF"),J352&gt;=3),1*'Scoring System'!$B$9,0)+ (I352*'Scoring System'!$B$10)+ (K352*'Scoring System'!$B$11)+ (M352*'Scoring System'!$B$12)+ (L352*'Scoring System'!$B$13)+ (O352*'Scoring System'!$B$14)+ (Q352*'Scoring System'!$B$15)+ (R352*'Scoring System'!$B$16)</f>
        <v>8</v>
      </c>
      <c r="AB352" s="72" t="b">
        <f>IFERROR(match(C352,'Match Day Fees'!$B$2:$B$999,0),0)=0</f>
        <v>0</v>
      </c>
      <c r="AC352" s="73">
        <f t="shared" si="1"/>
        <v>0</v>
      </c>
      <c r="AD352" s="3" t="str">
        <f>VLOOKUP(D352,'Position Lookup'!A:B,1,FALSE)</f>
        <v>GK</v>
      </c>
    </row>
    <row r="353" ht="17.25" customHeight="1">
      <c r="A353" s="31">
        <v>45178.0</v>
      </c>
      <c r="B353" s="5" t="s">
        <v>309</v>
      </c>
      <c r="C353" s="3" t="s">
        <v>68</v>
      </c>
      <c r="D353" s="3" t="s">
        <v>11</v>
      </c>
      <c r="E353" s="5">
        <v>1.0</v>
      </c>
      <c r="F353" s="3" t="s">
        <v>300</v>
      </c>
      <c r="G353" s="3" t="s">
        <v>224</v>
      </c>
      <c r="J353" s="5">
        <v>0.0</v>
      </c>
      <c r="N353" s="3" t="b">
        <v>1</v>
      </c>
      <c r="R353" s="3">
        <v>0.0</v>
      </c>
      <c r="T353" s="3">
        <v>10.0</v>
      </c>
      <c r="U353" s="2">
        <v>8.5</v>
      </c>
      <c r="V353" s="2" t="s">
        <v>313</v>
      </c>
      <c r="W353" s="70" t="s">
        <v>311</v>
      </c>
      <c r="X353" s="71" t="s">
        <v>312</v>
      </c>
      <c r="Y353" s="3">
        <v>1.0</v>
      </c>
      <c r="Z353" s="3">
        <v>0.0</v>
      </c>
      <c r="AA353" s="2">
        <f>2+ (P353*'Scoring System'!$B$3)+ (IF(OR(D353="DEF",D353="GK"),N353*'Scoring System'!$B$4,IF(D353="MID",N353*'Scoring System'!$B$5,0)))+ (IF(OR(D353="DEF",D353="GK"),H353*'Scoring System'!$B$6,IF(D353="MID",H353*'Scoring System'!$B$7,IF(D353="ATT",H353*'Scoring System'!$B$8,0))))+ IF(AND(OR(D353="GK",D353="DEF"),J353&gt;=3),1*'Scoring System'!$B$9,0)+ (I353*'Scoring System'!$B$10)+ (K353*'Scoring System'!$B$11)+ (M353*'Scoring System'!$B$12)+ (L353*'Scoring System'!$B$13)+ (O353*'Scoring System'!$B$14)+ (Q353*'Scoring System'!$B$15)+ (R353*'Scoring System'!$B$16)</f>
        <v>8</v>
      </c>
      <c r="AB353" s="72" t="b">
        <f>IFERROR(match(C353,'Match Day Fees'!$B$2:$B$999,0),0)=0</f>
        <v>0</v>
      </c>
      <c r="AC353" s="73">
        <f t="shared" si="1"/>
        <v>0</v>
      </c>
      <c r="AD353" s="3" t="str">
        <f>VLOOKUP(D353,'Position Lookup'!A:B,1,FALSE)</f>
        <v>DEF</v>
      </c>
    </row>
    <row r="354" ht="17.25" customHeight="1">
      <c r="A354" s="31">
        <v>45178.0</v>
      </c>
      <c r="B354" s="5" t="s">
        <v>309</v>
      </c>
      <c r="C354" s="3" t="s">
        <v>69</v>
      </c>
      <c r="D354" s="3" t="s">
        <v>11</v>
      </c>
      <c r="E354" s="5">
        <v>1.0</v>
      </c>
      <c r="F354" s="3" t="s">
        <v>300</v>
      </c>
      <c r="G354" s="3" t="s">
        <v>224</v>
      </c>
      <c r="J354" s="5">
        <v>0.0</v>
      </c>
      <c r="N354" s="3" t="b">
        <v>1</v>
      </c>
      <c r="R354" s="3">
        <v>0.0</v>
      </c>
      <c r="T354" s="3">
        <v>10.0</v>
      </c>
      <c r="U354" s="2">
        <v>8.0</v>
      </c>
      <c r="V354" s="2" t="s">
        <v>314</v>
      </c>
      <c r="W354" s="70" t="s">
        <v>311</v>
      </c>
      <c r="X354" s="71" t="s">
        <v>312</v>
      </c>
      <c r="Y354" s="3">
        <v>1.0</v>
      </c>
      <c r="Z354" s="3">
        <v>0.0</v>
      </c>
      <c r="AA354" s="2">
        <f>2+ (P354*'Scoring System'!$B$3)+ (IF(OR(D354="DEF",D354="GK"),N354*'Scoring System'!$B$4,IF(D354="MID",N354*'Scoring System'!$B$5,0)))+ (IF(OR(D354="DEF",D354="GK"),H354*'Scoring System'!$B$6,IF(D354="MID",H354*'Scoring System'!$B$7,IF(D354="ATT",H354*'Scoring System'!$B$8,0))))+ IF(AND(OR(D354="GK",D354="DEF"),J354&gt;=3),1*'Scoring System'!$B$9,0)+ (I354*'Scoring System'!$B$10)+ (K354*'Scoring System'!$B$11)+ (M354*'Scoring System'!$B$12)+ (L354*'Scoring System'!$B$13)+ (O354*'Scoring System'!$B$14)+ (Q354*'Scoring System'!$B$15)+ (R354*'Scoring System'!$B$16)</f>
        <v>8</v>
      </c>
      <c r="AB354" s="72" t="b">
        <f>IFERROR(match(C354,'Match Day Fees'!$B$2:$B$999,0),0)=0</f>
        <v>0</v>
      </c>
      <c r="AC354" s="73">
        <f t="shared" si="1"/>
        <v>0</v>
      </c>
      <c r="AD354" s="3" t="str">
        <f>VLOOKUP(D354,'Position Lookup'!A:B,1,FALSE)</f>
        <v>DEF</v>
      </c>
    </row>
    <row r="355" ht="17.25" customHeight="1">
      <c r="A355" s="31">
        <v>45178.0</v>
      </c>
      <c r="B355" s="5" t="s">
        <v>309</v>
      </c>
      <c r="C355" s="3" t="s">
        <v>76</v>
      </c>
      <c r="D355" s="3" t="s">
        <v>11</v>
      </c>
      <c r="E355" s="5">
        <v>1.0</v>
      </c>
      <c r="F355" s="3" t="s">
        <v>300</v>
      </c>
      <c r="G355" s="3" t="s">
        <v>224</v>
      </c>
      <c r="J355" s="5">
        <v>0.0</v>
      </c>
      <c r="N355" s="3" t="b">
        <v>1</v>
      </c>
      <c r="R355" s="3">
        <v>0.0</v>
      </c>
      <c r="T355" s="3">
        <v>10.0</v>
      </c>
      <c r="U355" s="2">
        <v>7.0</v>
      </c>
      <c r="V355" s="2" t="s">
        <v>315</v>
      </c>
      <c r="W355" s="70" t="s">
        <v>311</v>
      </c>
      <c r="X355" s="71" t="s">
        <v>312</v>
      </c>
      <c r="Y355" s="3">
        <v>1.0</v>
      </c>
      <c r="Z355" s="3">
        <v>0.0</v>
      </c>
      <c r="AA355" s="2">
        <f>2+ (P355*'Scoring System'!$B$3)+ (IF(OR(D355="DEF",D355="GK"),N355*'Scoring System'!$B$4,IF(D355="MID",N355*'Scoring System'!$B$5,0)))+ (IF(OR(D355="DEF",D355="GK"),H355*'Scoring System'!$B$6,IF(D355="MID",H355*'Scoring System'!$B$7,IF(D355="ATT",H355*'Scoring System'!$B$8,0))))+ IF(AND(OR(D355="GK",D355="DEF"),J355&gt;=3),1*'Scoring System'!$B$9,0)+ (I355*'Scoring System'!$B$10)+ (K355*'Scoring System'!$B$11)+ (M355*'Scoring System'!$B$12)+ (L355*'Scoring System'!$B$13)+ (O355*'Scoring System'!$B$14)+ (Q355*'Scoring System'!$B$15)+ (R355*'Scoring System'!$B$16)</f>
        <v>8</v>
      </c>
      <c r="AB355" s="72" t="b">
        <f>IFERROR(match(C355,'Match Day Fees'!$B$2:$B$999,0),0)=0</f>
        <v>0</v>
      </c>
      <c r="AC355" s="73">
        <f t="shared" si="1"/>
        <v>0</v>
      </c>
      <c r="AD355" s="3" t="str">
        <f>VLOOKUP(D355,'Position Lookup'!A:B,1,FALSE)</f>
        <v>DEF</v>
      </c>
    </row>
    <row r="356" ht="17.25" customHeight="1">
      <c r="A356" s="31">
        <v>45178.0</v>
      </c>
      <c r="B356" s="5" t="s">
        <v>309</v>
      </c>
      <c r="C356" s="3" t="s">
        <v>67</v>
      </c>
      <c r="D356" s="3" t="s">
        <v>11</v>
      </c>
      <c r="E356" s="5">
        <v>1.0</v>
      </c>
      <c r="F356" s="3" t="s">
        <v>300</v>
      </c>
      <c r="G356" s="3" t="s">
        <v>224</v>
      </c>
      <c r="I356" s="3">
        <v>1.0</v>
      </c>
      <c r="J356" s="5">
        <v>0.0</v>
      </c>
      <c r="N356" s="3" t="b">
        <v>1</v>
      </c>
      <c r="R356" s="3">
        <v>0.0</v>
      </c>
      <c r="T356" s="3">
        <v>10.0</v>
      </c>
      <c r="U356" s="2">
        <v>8.5</v>
      </c>
      <c r="V356" s="2" t="s">
        <v>316</v>
      </c>
      <c r="W356" s="70" t="s">
        <v>311</v>
      </c>
      <c r="X356" s="71" t="s">
        <v>312</v>
      </c>
      <c r="Y356" s="3">
        <v>1.0</v>
      </c>
      <c r="Z356" s="3">
        <v>0.0</v>
      </c>
      <c r="AA356" s="2">
        <f>2+ (P356*'Scoring System'!$B$3)+ (IF(OR(D356="DEF",D356="GK"),N356*'Scoring System'!$B$4,IF(D356="MID",N356*'Scoring System'!$B$5,0)))+ (IF(OR(D356="DEF",D356="GK"),H356*'Scoring System'!$B$6,IF(D356="MID",H356*'Scoring System'!$B$7,IF(D356="ATT",H356*'Scoring System'!$B$8,0))))+ IF(AND(OR(D356="GK",D356="DEF"),J356&gt;=3),1*'Scoring System'!$B$9,0)+ (I356*'Scoring System'!$B$10)+ (K356*'Scoring System'!$B$11)+ (M356*'Scoring System'!$B$12)+ (L356*'Scoring System'!$B$13)+ (O356*'Scoring System'!$B$14)+ (Q356*'Scoring System'!$B$15)+ (R356*'Scoring System'!$B$16)</f>
        <v>11</v>
      </c>
      <c r="AB356" s="72" t="b">
        <f>IFERROR(match(C356,'Match Day Fees'!$B$2:$B$999,0),0)=0</f>
        <v>0</v>
      </c>
      <c r="AC356" s="73">
        <f t="shared" si="1"/>
        <v>0</v>
      </c>
      <c r="AD356" s="3" t="str">
        <f>VLOOKUP(D356,'Position Lookup'!A:B,1,FALSE)</f>
        <v>DEF</v>
      </c>
    </row>
    <row r="357" ht="17.25" customHeight="1">
      <c r="A357" s="31">
        <v>45178.0</v>
      </c>
      <c r="B357" s="5" t="s">
        <v>309</v>
      </c>
      <c r="C357" s="3" t="s">
        <v>107</v>
      </c>
      <c r="D357" s="3" t="s">
        <v>11</v>
      </c>
      <c r="E357" s="5">
        <v>1.0</v>
      </c>
      <c r="F357" s="3" t="s">
        <v>300</v>
      </c>
      <c r="G357" s="3" t="s">
        <v>224</v>
      </c>
      <c r="J357" s="5">
        <v>0.0</v>
      </c>
      <c r="N357" s="3" t="b">
        <v>1</v>
      </c>
      <c r="R357" s="3">
        <v>0.0</v>
      </c>
      <c r="T357" s="3">
        <v>10.0</v>
      </c>
      <c r="U357" s="2">
        <v>8.0</v>
      </c>
      <c r="V357" s="2" t="s">
        <v>317</v>
      </c>
      <c r="W357" s="70" t="s">
        <v>311</v>
      </c>
      <c r="X357" s="71" t="s">
        <v>312</v>
      </c>
      <c r="Y357" s="3">
        <v>1.0</v>
      </c>
      <c r="Z357" s="3">
        <v>0.0</v>
      </c>
      <c r="AA357" s="2">
        <f>2+ (P357*'Scoring System'!$B$3)+ (IF(OR(D357="DEF",D357="GK"),N357*'Scoring System'!$B$4,IF(D357="MID",N357*'Scoring System'!$B$5,0)))+ (IF(OR(D357="DEF",D357="GK"),H357*'Scoring System'!$B$6,IF(D357="MID",H357*'Scoring System'!$B$7,IF(D357="ATT",H357*'Scoring System'!$B$8,0))))+ IF(AND(OR(D357="GK",D357="DEF"),J357&gt;=3),1*'Scoring System'!$B$9,0)+ (I357*'Scoring System'!$B$10)+ (K357*'Scoring System'!$B$11)+ (M357*'Scoring System'!$B$12)+ (L357*'Scoring System'!$B$13)+ (O357*'Scoring System'!$B$14)+ (Q357*'Scoring System'!$B$15)+ (R357*'Scoring System'!$B$16)</f>
        <v>8</v>
      </c>
      <c r="AB357" s="72" t="b">
        <f>IFERROR(match(C357,'Match Day Fees'!$B$2:$B$999,0),0)=0</f>
        <v>0</v>
      </c>
      <c r="AC357" s="73">
        <f t="shared" si="1"/>
        <v>0</v>
      </c>
      <c r="AD357" s="3" t="str">
        <f>VLOOKUP(D357,'Position Lookup'!A:B,1,FALSE)</f>
        <v>DEF</v>
      </c>
    </row>
    <row r="358" ht="17.25" customHeight="1">
      <c r="A358" s="31">
        <v>45178.0</v>
      </c>
      <c r="B358" s="5" t="s">
        <v>309</v>
      </c>
      <c r="C358" s="3" t="s">
        <v>85</v>
      </c>
      <c r="D358" s="5" t="s">
        <v>10</v>
      </c>
      <c r="E358" s="5">
        <v>1.0</v>
      </c>
      <c r="F358" s="3" t="s">
        <v>300</v>
      </c>
      <c r="G358" s="3" t="s">
        <v>224</v>
      </c>
      <c r="J358" s="5">
        <v>0.0</v>
      </c>
      <c r="N358" s="3" t="b">
        <v>1</v>
      </c>
      <c r="R358" s="3">
        <v>0.0</v>
      </c>
      <c r="T358" s="3">
        <v>10.0</v>
      </c>
      <c r="U358" s="2">
        <v>7.5</v>
      </c>
      <c r="V358" s="2" t="s">
        <v>318</v>
      </c>
      <c r="W358" s="70" t="s">
        <v>311</v>
      </c>
      <c r="X358" s="71" t="s">
        <v>312</v>
      </c>
      <c r="Y358" s="3">
        <v>1.0</v>
      </c>
      <c r="Z358" s="3">
        <v>0.0</v>
      </c>
      <c r="AA358" s="2">
        <f>2+ (P358*'Scoring System'!$B$3)+ (IF(OR(D358="DEF",D358="GK"),N358*'Scoring System'!$B$4,IF(D358="MID",N358*'Scoring System'!$B$5,0)))+ (IF(OR(D358="DEF",D358="GK"),H358*'Scoring System'!$B$6,IF(D358="MID",H358*'Scoring System'!$B$7,IF(D358="ATT",H358*'Scoring System'!$B$8,0))))+ IF(AND(OR(D358="GK",D358="DEF"),J358&gt;=3),1*'Scoring System'!$B$9,0)+ (I358*'Scoring System'!$B$10)+ (K358*'Scoring System'!$B$11)+ (M358*'Scoring System'!$B$12)+ (L358*'Scoring System'!$B$13)+ (O358*'Scoring System'!$B$14)+ (Q358*'Scoring System'!$B$15)+ (R358*'Scoring System'!$B$16)</f>
        <v>4</v>
      </c>
      <c r="AB358" s="72" t="b">
        <f>IFERROR(match(C358,'Match Day Fees'!$B$2:$B$999,0),0)=0</f>
        <v>0</v>
      </c>
      <c r="AC358" s="73">
        <f t="shared" si="1"/>
        <v>0</v>
      </c>
      <c r="AD358" s="3" t="str">
        <f>VLOOKUP(D358,'Position Lookup'!A:B,1,FALSE)</f>
        <v>MID</v>
      </c>
    </row>
    <row r="359" ht="17.25" customHeight="1">
      <c r="A359" s="31">
        <v>45178.0</v>
      </c>
      <c r="B359" s="5" t="s">
        <v>309</v>
      </c>
      <c r="C359" s="3" t="s">
        <v>137</v>
      </c>
      <c r="D359" s="3" t="s">
        <v>10</v>
      </c>
      <c r="E359" s="5">
        <v>1.0</v>
      </c>
      <c r="F359" s="3" t="s">
        <v>300</v>
      </c>
      <c r="G359" s="3" t="s">
        <v>224</v>
      </c>
      <c r="J359" s="5">
        <v>0.0</v>
      </c>
      <c r="N359" s="3" t="b">
        <v>1</v>
      </c>
      <c r="R359" s="3">
        <v>0.0</v>
      </c>
      <c r="T359" s="3">
        <v>5.0</v>
      </c>
      <c r="U359" s="2">
        <v>6.0</v>
      </c>
      <c r="V359" s="2" t="s">
        <v>319</v>
      </c>
      <c r="W359" s="70" t="s">
        <v>311</v>
      </c>
      <c r="X359" s="71" t="s">
        <v>312</v>
      </c>
      <c r="Y359" s="3">
        <v>1.0</v>
      </c>
      <c r="Z359" s="3">
        <v>0.0</v>
      </c>
      <c r="AA359" s="2">
        <f>2+ (P359*'Scoring System'!$B$3)+ (IF(OR(D359="DEF",D359="GK"),N359*'Scoring System'!$B$4,IF(D359="MID",N359*'Scoring System'!$B$5,0)))+ (IF(OR(D359="DEF",D359="GK"),H359*'Scoring System'!$B$6,IF(D359="MID",H359*'Scoring System'!$B$7,IF(D359="ATT",H359*'Scoring System'!$B$8,0))))+ IF(AND(OR(D359="GK",D359="DEF"),J359&gt;=3),1*'Scoring System'!$B$9,0)+ (I359*'Scoring System'!$B$10)+ (K359*'Scoring System'!$B$11)+ (M359*'Scoring System'!$B$12)+ (L359*'Scoring System'!$B$13)+ (O359*'Scoring System'!$B$14)+ (Q359*'Scoring System'!$B$15)+ (R359*'Scoring System'!$B$16)</f>
        <v>4</v>
      </c>
      <c r="AB359" s="72" t="b">
        <f>IFERROR(match(C359,'Match Day Fees'!$B$2:$B$999,0),0)=0</f>
        <v>0</v>
      </c>
      <c r="AC359" s="73">
        <f t="shared" si="1"/>
        <v>0</v>
      </c>
      <c r="AD359" s="3" t="str">
        <f>VLOOKUP(D359,'Position Lookup'!A:B,1,FALSE)</f>
        <v>MID</v>
      </c>
    </row>
    <row r="360" ht="17.25" customHeight="1">
      <c r="A360" s="31">
        <v>45178.0</v>
      </c>
      <c r="B360" s="5" t="s">
        <v>309</v>
      </c>
      <c r="C360" s="3" t="s">
        <v>93</v>
      </c>
      <c r="D360" s="3" t="s">
        <v>10</v>
      </c>
      <c r="E360" s="5">
        <v>1.0</v>
      </c>
      <c r="F360" s="3" t="s">
        <v>300</v>
      </c>
      <c r="G360" s="3" t="s">
        <v>224</v>
      </c>
      <c r="J360" s="5">
        <v>0.0</v>
      </c>
      <c r="K360" s="3">
        <v>1.0</v>
      </c>
      <c r="N360" s="3" t="b">
        <v>1</v>
      </c>
      <c r="R360" s="3">
        <v>0.0</v>
      </c>
      <c r="T360" s="3">
        <v>5.0</v>
      </c>
      <c r="U360" s="2">
        <v>6.0</v>
      </c>
      <c r="V360" s="2" t="s">
        <v>320</v>
      </c>
      <c r="W360" s="70" t="s">
        <v>311</v>
      </c>
      <c r="X360" s="71" t="s">
        <v>312</v>
      </c>
      <c r="Y360" s="3">
        <v>1.0</v>
      </c>
      <c r="Z360" s="3">
        <v>0.0</v>
      </c>
      <c r="AA360" s="2">
        <f>2+ (P360*'Scoring System'!$B$3)+ (IF(OR(D360="DEF",D360="GK"),N360*'Scoring System'!$B$4,IF(D360="MID",N360*'Scoring System'!$B$5,0)))+ (IF(OR(D360="DEF",D360="GK"),H360*'Scoring System'!$B$6,IF(D360="MID",H360*'Scoring System'!$B$7,IF(D360="ATT",H360*'Scoring System'!$B$8,0))))+ IF(AND(OR(D360="GK",D360="DEF"),J360&gt;=3),1*'Scoring System'!$B$9,0)+ (I360*'Scoring System'!$B$10)+ (K360*'Scoring System'!$B$11)+ (M360*'Scoring System'!$B$12)+ (L360*'Scoring System'!$B$13)+ (O360*'Scoring System'!$B$14)+ (Q360*'Scoring System'!$B$15)+ (R360*'Scoring System'!$B$16)</f>
        <v>3</v>
      </c>
      <c r="AB360" s="72" t="b">
        <f>IFERROR(match(C360,'Match Day Fees'!$B$2:$B$999,0),0)=0</f>
        <v>0</v>
      </c>
      <c r="AC360" s="73">
        <f t="shared" si="1"/>
        <v>0</v>
      </c>
      <c r="AD360" s="3" t="str">
        <f>VLOOKUP(D360,'Position Lookup'!A:B,1,FALSE)</f>
        <v>MID</v>
      </c>
    </row>
    <row r="361" ht="17.25" customHeight="1">
      <c r="A361" s="31">
        <v>45178.0</v>
      </c>
      <c r="B361" s="5" t="s">
        <v>309</v>
      </c>
      <c r="C361" s="3" t="s">
        <v>96</v>
      </c>
      <c r="D361" s="3" t="s">
        <v>10</v>
      </c>
      <c r="E361" s="5">
        <v>1.0</v>
      </c>
      <c r="F361" s="3" t="s">
        <v>300</v>
      </c>
      <c r="G361" s="3" t="s">
        <v>224</v>
      </c>
      <c r="J361" s="5">
        <v>0.0</v>
      </c>
      <c r="N361" s="3" t="b">
        <v>1</v>
      </c>
      <c r="R361" s="3">
        <v>0.0</v>
      </c>
      <c r="T361" s="3">
        <v>10.0</v>
      </c>
      <c r="U361" s="2">
        <v>8.0</v>
      </c>
      <c r="V361" s="2" t="s">
        <v>321</v>
      </c>
      <c r="W361" s="70" t="s">
        <v>311</v>
      </c>
      <c r="X361" s="71" t="s">
        <v>312</v>
      </c>
      <c r="Y361" s="3">
        <v>1.0</v>
      </c>
      <c r="Z361" s="3">
        <v>0.0</v>
      </c>
      <c r="AA361" s="2">
        <f>2+ (P361*'Scoring System'!$B$3)+ (IF(OR(D361="DEF",D361="GK"),N361*'Scoring System'!$B$4,IF(D361="MID",N361*'Scoring System'!$B$5,0)))+ (IF(OR(D361="DEF",D361="GK"),H361*'Scoring System'!$B$6,IF(D361="MID",H361*'Scoring System'!$B$7,IF(D361="ATT",H361*'Scoring System'!$B$8,0))))+ IF(AND(OR(D361="GK",D361="DEF"),J361&gt;=3),1*'Scoring System'!$B$9,0)+ (I361*'Scoring System'!$B$10)+ (K361*'Scoring System'!$B$11)+ (M361*'Scoring System'!$B$12)+ (L361*'Scoring System'!$B$13)+ (O361*'Scoring System'!$B$14)+ (Q361*'Scoring System'!$B$15)+ (R361*'Scoring System'!$B$16)</f>
        <v>4</v>
      </c>
      <c r="AB361" s="72" t="b">
        <f>IFERROR(match(C361,'Match Day Fees'!$B$2:$B$999,0),0)=0</f>
        <v>0</v>
      </c>
      <c r="AC361" s="73">
        <f t="shared" si="1"/>
        <v>0</v>
      </c>
      <c r="AD361" s="3" t="str">
        <f>VLOOKUP(D361,'Position Lookup'!A:B,1,FALSE)</f>
        <v>MID</v>
      </c>
    </row>
    <row r="362" ht="17.25" customHeight="1">
      <c r="A362" s="31">
        <v>45178.0</v>
      </c>
      <c r="B362" s="5" t="s">
        <v>309</v>
      </c>
      <c r="C362" s="3" t="s">
        <v>47</v>
      </c>
      <c r="D362" s="3" t="s">
        <v>9</v>
      </c>
      <c r="E362" s="5">
        <v>1.0</v>
      </c>
      <c r="F362" s="3" t="s">
        <v>300</v>
      </c>
      <c r="G362" s="3" t="s">
        <v>224</v>
      </c>
      <c r="J362" s="5">
        <v>0.0</v>
      </c>
      <c r="K362" s="3">
        <v>1.0</v>
      </c>
      <c r="N362" s="3" t="b">
        <v>1</v>
      </c>
      <c r="R362" s="3">
        <v>0.0</v>
      </c>
      <c r="S362" s="3" t="b">
        <v>1</v>
      </c>
      <c r="T362" s="3">
        <v>0.0</v>
      </c>
      <c r="U362" s="2">
        <v>8.0</v>
      </c>
      <c r="V362" s="2" t="s">
        <v>322</v>
      </c>
      <c r="W362" s="70" t="s">
        <v>311</v>
      </c>
      <c r="X362" s="71" t="s">
        <v>312</v>
      </c>
      <c r="Y362" s="3">
        <v>1.0</v>
      </c>
      <c r="Z362" s="3">
        <v>0.0</v>
      </c>
      <c r="AA362" s="2">
        <f>2+ (P362*'Scoring System'!$B$3)+ (IF(OR(D362="DEF",D362="GK"),N362*'Scoring System'!$B$4,IF(D362="MID",N362*'Scoring System'!$B$5,0)))+ (IF(OR(D362="DEF",D362="GK"),H362*'Scoring System'!$B$6,IF(D362="MID",H362*'Scoring System'!$B$7,IF(D362="ATT",H362*'Scoring System'!$B$8,0))))+ IF(AND(OR(D362="GK",D362="DEF"),J362&gt;=3),1*'Scoring System'!$B$9,0)+ (I362*'Scoring System'!$B$10)+ (K362*'Scoring System'!$B$11)+ (M362*'Scoring System'!$B$12)+ (L362*'Scoring System'!$B$13)+ (O362*'Scoring System'!$B$14)+ (Q362*'Scoring System'!$B$15)+ (R362*'Scoring System'!$B$16)</f>
        <v>1</v>
      </c>
      <c r="AB362" s="72" t="b">
        <f>IFERROR(match(C362,'Match Day Fees'!$B$2:$B$999,0),0)=0</f>
        <v>0</v>
      </c>
      <c r="AC362" s="73">
        <f t="shared" si="1"/>
        <v>0</v>
      </c>
      <c r="AD362" s="3" t="str">
        <f>VLOOKUP(D362,'Position Lookup'!A:B,1,FALSE)</f>
        <v>ATT</v>
      </c>
    </row>
    <row r="363" ht="17.25" customHeight="1">
      <c r="A363" s="31">
        <v>45178.0</v>
      </c>
      <c r="B363" s="5" t="s">
        <v>309</v>
      </c>
      <c r="C363" s="3" t="s">
        <v>77</v>
      </c>
      <c r="D363" s="3" t="s">
        <v>10</v>
      </c>
      <c r="E363" s="5">
        <v>1.0</v>
      </c>
      <c r="F363" s="3" t="s">
        <v>300</v>
      </c>
      <c r="G363" s="3" t="s">
        <v>224</v>
      </c>
      <c r="J363" s="5">
        <v>0.0</v>
      </c>
      <c r="N363" s="3" t="b">
        <v>1</v>
      </c>
      <c r="R363" s="3">
        <v>0.0</v>
      </c>
      <c r="T363" s="3">
        <v>5.0</v>
      </c>
      <c r="U363" s="2">
        <v>8.5</v>
      </c>
      <c r="V363" s="2" t="s">
        <v>323</v>
      </c>
      <c r="W363" s="70" t="s">
        <v>311</v>
      </c>
      <c r="X363" s="71" t="s">
        <v>312</v>
      </c>
      <c r="Y363" s="3">
        <v>1.0</v>
      </c>
      <c r="Z363" s="3">
        <v>0.0</v>
      </c>
      <c r="AA363" s="2">
        <f>2+ (P363*'Scoring System'!$B$3)+ (IF(OR(D363="DEF",D363="GK"),N363*'Scoring System'!$B$4,IF(D363="MID",N363*'Scoring System'!$B$5,0)))+ (IF(OR(D363="DEF",D363="GK"),H363*'Scoring System'!$B$6,IF(D363="MID",H363*'Scoring System'!$B$7,IF(D363="ATT",H363*'Scoring System'!$B$8,0))))+ IF(AND(OR(D363="GK",D363="DEF"),J363&gt;=3),1*'Scoring System'!$B$9,0)+ (I363*'Scoring System'!$B$10)+ (K363*'Scoring System'!$B$11)+ (M363*'Scoring System'!$B$12)+ (L363*'Scoring System'!$B$13)+ (O363*'Scoring System'!$B$14)+ (Q363*'Scoring System'!$B$15)+ (R363*'Scoring System'!$B$16)</f>
        <v>4</v>
      </c>
      <c r="AB363" s="72" t="b">
        <f>IFERROR(match(C363,'Match Day Fees'!$B$2:$B$999,0),0)=0</f>
        <v>0</v>
      </c>
      <c r="AC363" s="73">
        <f t="shared" si="1"/>
        <v>0</v>
      </c>
      <c r="AD363" s="3" t="str">
        <f>VLOOKUP(D363,'Position Lookup'!A:B,1,FALSE)</f>
        <v>MID</v>
      </c>
    </row>
    <row r="364" ht="17.25" customHeight="1">
      <c r="A364" s="31">
        <v>45178.0</v>
      </c>
      <c r="B364" s="5" t="s">
        <v>309</v>
      </c>
      <c r="C364" s="3" t="s">
        <v>60</v>
      </c>
      <c r="D364" s="3" t="s">
        <v>10</v>
      </c>
      <c r="E364" s="5">
        <v>1.0</v>
      </c>
      <c r="F364" s="3" t="s">
        <v>300</v>
      </c>
      <c r="G364" s="3" t="s">
        <v>224</v>
      </c>
      <c r="H364" s="3">
        <v>1.0</v>
      </c>
      <c r="J364" s="5">
        <v>0.0</v>
      </c>
      <c r="N364" s="3" t="b">
        <v>1</v>
      </c>
      <c r="R364" s="3">
        <v>1.0</v>
      </c>
      <c r="T364" s="3">
        <v>5.0</v>
      </c>
      <c r="U364" s="2">
        <v>9.0</v>
      </c>
      <c r="V364" s="2" t="s">
        <v>324</v>
      </c>
      <c r="W364" s="70" t="s">
        <v>311</v>
      </c>
      <c r="X364" s="71" t="s">
        <v>312</v>
      </c>
      <c r="Y364" s="3">
        <v>1.0</v>
      </c>
      <c r="Z364" s="3">
        <v>0.0</v>
      </c>
      <c r="AA364" s="2">
        <f>2+ (P364*'Scoring System'!$B$3)+ (IF(OR(D364="DEF",D364="GK"),N364*'Scoring System'!$B$4,IF(D364="MID",N364*'Scoring System'!$B$5,0)))+ (IF(OR(D364="DEF",D364="GK"),H364*'Scoring System'!$B$6,IF(D364="MID",H364*'Scoring System'!$B$7,IF(D364="ATT",H364*'Scoring System'!$B$8,0))))+ IF(AND(OR(D364="GK",D364="DEF"),J364&gt;=3),1*'Scoring System'!$B$9,0)+ (I364*'Scoring System'!$B$10)+ (K364*'Scoring System'!$B$11)+ (M364*'Scoring System'!$B$12)+ (L364*'Scoring System'!$B$13)+ (O364*'Scoring System'!$B$14)+ (Q364*'Scoring System'!$B$15)+ (R364*'Scoring System'!$B$16)</f>
        <v>14</v>
      </c>
      <c r="AB364" s="72" t="b">
        <f>IFERROR(match(C364,'Match Day Fees'!$B$2:$B$999,0),0)=0</f>
        <v>0</v>
      </c>
      <c r="AC364" s="73">
        <f t="shared" si="1"/>
        <v>0</v>
      </c>
      <c r="AD364" s="3" t="str">
        <f>VLOOKUP(D364,'Position Lookup'!A:B,1,FALSE)</f>
        <v>MID</v>
      </c>
    </row>
    <row r="365" ht="17.25" customHeight="1">
      <c r="A365" s="31">
        <v>45178.0</v>
      </c>
      <c r="B365" s="5" t="s">
        <v>309</v>
      </c>
      <c r="C365" s="3" t="s">
        <v>75</v>
      </c>
      <c r="D365" s="3" t="s">
        <v>9</v>
      </c>
      <c r="E365" s="5">
        <v>1.0</v>
      </c>
      <c r="F365" s="3" t="s">
        <v>300</v>
      </c>
      <c r="G365" s="3" t="s">
        <v>224</v>
      </c>
      <c r="J365" s="5">
        <v>0.0</v>
      </c>
      <c r="N365" s="3" t="b">
        <v>1</v>
      </c>
      <c r="R365" s="3">
        <v>0.0</v>
      </c>
      <c r="T365" s="3">
        <v>5.0</v>
      </c>
      <c r="U365" s="2">
        <v>8.5</v>
      </c>
      <c r="V365" s="2" t="s">
        <v>325</v>
      </c>
      <c r="W365" s="70" t="s">
        <v>311</v>
      </c>
      <c r="X365" s="71" t="s">
        <v>312</v>
      </c>
      <c r="Y365" s="3">
        <v>1.0</v>
      </c>
      <c r="Z365" s="3">
        <v>0.0</v>
      </c>
      <c r="AA365" s="2">
        <f>2+ (P365*'Scoring System'!$B$3)+ (IF(OR(D365="DEF",D365="GK"),N365*'Scoring System'!$B$4,IF(D365="MID",N365*'Scoring System'!$B$5,0)))+ (IF(OR(D365="DEF",D365="GK"),H365*'Scoring System'!$B$6,IF(D365="MID",H365*'Scoring System'!$B$7,IF(D365="ATT",H365*'Scoring System'!$B$8,0))))+ IF(AND(OR(D365="GK",D365="DEF"),J365&gt;=3),1*'Scoring System'!$B$9,0)+ (I365*'Scoring System'!$B$10)+ (K365*'Scoring System'!$B$11)+ (M365*'Scoring System'!$B$12)+ (L365*'Scoring System'!$B$13)+ (O365*'Scoring System'!$B$14)+ (Q365*'Scoring System'!$B$15)+ (R365*'Scoring System'!$B$16)</f>
        <v>2</v>
      </c>
      <c r="AB365" s="72" t="b">
        <f>IFERROR(match(C365,'Match Day Fees'!$B$2:$B$999,0),0)=0</f>
        <v>0</v>
      </c>
      <c r="AC365" s="73">
        <f t="shared" si="1"/>
        <v>0</v>
      </c>
      <c r="AD365" s="3" t="str">
        <f>VLOOKUP(D365,'Position Lookup'!A:B,1,FALSE)</f>
        <v>ATT</v>
      </c>
    </row>
    <row r="366" ht="17.25" customHeight="1">
      <c r="A366" s="31">
        <v>45178.0</v>
      </c>
      <c r="B366" s="5" t="s">
        <v>309</v>
      </c>
      <c r="C366" s="3" t="s">
        <v>38</v>
      </c>
      <c r="D366" s="3" t="s">
        <v>8</v>
      </c>
      <c r="E366" s="5">
        <v>2.0</v>
      </c>
      <c r="F366" s="3" t="s">
        <v>305</v>
      </c>
      <c r="G366" s="3" t="s">
        <v>224</v>
      </c>
      <c r="J366" s="5">
        <v>1.0</v>
      </c>
      <c r="N366" s="3" t="b">
        <v>0</v>
      </c>
      <c r="R366" s="3">
        <v>0.0</v>
      </c>
      <c r="T366" s="3">
        <v>10.0</v>
      </c>
      <c r="U366" s="2">
        <v>8.0</v>
      </c>
      <c r="V366" s="2" t="s">
        <v>326</v>
      </c>
      <c r="W366" s="70" t="s">
        <v>327</v>
      </c>
      <c r="X366" s="71" t="s">
        <v>328</v>
      </c>
      <c r="Y366" s="3">
        <v>2.0</v>
      </c>
      <c r="Z366" s="3">
        <v>1.0</v>
      </c>
      <c r="AA366" s="2">
        <f>2+ (P366*'Scoring System'!$B$3)+ (IF(OR(D366="DEF",D366="GK"),N366*'Scoring System'!$B$4,IF(D366="MID",N366*'Scoring System'!$B$5,0)))+ (IF(OR(D366="DEF",D366="GK"),H366*'Scoring System'!$B$6,IF(D366="MID",H366*'Scoring System'!$B$7,IF(D366="ATT",H366*'Scoring System'!$B$8,0))))+ IF(AND(OR(D366="GK",D366="DEF"),J366&gt;=3),1*'Scoring System'!$B$9,0)+ (I366*'Scoring System'!$B$10)+ (K366*'Scoring System'!$B$11)+ (M366*'Scoring System'!$B$12)+ (L366*'Scoring System'!$B$13)+ (O366*'Scoring System'!$B$14)+ (Q366*'Scoring System'!$B$15)+ (R366*'Scoring System'!$B$16)</f>
        <v>2</v>
      </c>
      <c r="AB366" s="72" t="b">
        <f>IFERROR(match(C366,'Match Day Fees'!$B$2:$B$999,0),0)=0</f>
        <v>0</v>
      </c>
      <c r="AC366" s="73">
        <f t="shared" si="1"/>
        <v>0</v>
      </c>
      <c r="AD366" s="3" t="str">
        <f>VLOOKUP(D366,'Position Lookup'!A:B,1,FALSE)</f>
        <v>GK</v>
      </c>
    </row>
    <row r="367" ht="17.25" customHeight="1">
      <c r="A367" s="31">
        <v>45178.0</v>
      </c>
      <c r="B367" s="5" t="s">
        <v>309</v>
      </c>
      <c r="C367" s="3" t="s">
        <v>56</v>
      </c>
      <c r="D367" s="3" t="s">
        <v>11</v>
      </c>
      <c r="E367" s="5">
        <v>2.0</v>
      </c>
      <c r="F367" s="3" t="s">
        <v>305</v>
      </c>
      <c r="G367" s="3" t="s">
        <v>224</v>
      </c>
      <c r="J367" s="5">
        <v>1.0</v>
      </c>
      <c r="K367" s="3">
        <v>1.0</v>
      </c>
      <c r="N367" s="3" t="b">
        <v>0</v>
      </c>
      <c r="R367" s="3">
        <v>0.0</v>
      </c>
      <c r="T367" s="3">
        <v>10.0</v>
      </c>
      <c r="U367" s="2">
        <v>6.5</v>
      </c>
      <c r="V367" s="2" t="s">
        <v>329</v>
      </c>
      <c r="W367" s="70" t="s">
        <v>327</v>
      </c>
      <c r="X367" s="71" t="s">
        <v>328</v>
      </c>
      <c r="Y367" s="3">
        <v>2.0</v>
      </c>
      <c r="Z367" s="3">
        <v>1.0</v>
      </c>
      <c r="AA367" s="2">
        <f>2+ (P367*'Scoring System'!$B$3)+ (IF(OR(D367="DEF",D367="GK"),N367*'Scoring System'!$B$4,IF(D367="MID",N367*'Scoring System'!$B$5,0)))+ (IF(OR(D367="DEF",D367="GK"),H367*'Scoring System'!$B$6,IF(D367="MID",H367*'Scoring System'!$B$7,IF(D367="ATT",H367*'Scoring System'!$B$8,0))))+ IF(AND(OR(D367="GK",D367="DEF"),J367&gt;=3),1*'Scoring System'!$B$9,0)+ (I367*'Scoring System'!$B$10)+ (K367*'Scoring System'!$B$11)+ (M367*'Scoring System'!$B$12)+ (L367*'Scoring System'!$B$13)+ (O367*'Scoring System'!$B$14)+ (Q367*'Scoring System'!$B$15)+ (R367*'Scoring System'!$B$16)</f>
        <v>1</v>
      </c>
      <c r="AB367" s="72" t="b">
        <f>IFERROR(match(C367,'Match Day Fees'!$B$2:$B$999,0),0)=0</f>
        <v>0</v>
      </c>
      <c r="AC367" s="73">
        <f t="shared" si="1"/>
        <v>0</v>
      </c>
      <c r="AD367" s="3" t="str">
        <f>VLOOKUP(D367,'Position Lookup'!A:B,1,FALSE)</f>
        <v>DEF</v>
      </c>
    </row>
    <row r="368" ht="17.25" customHeight="1">
      <c r="A368" s="31">
        <v>45178.0</v>
      </c>
      <c r="B368" s="5" t="s">
        <v>309</v>
      </c>
      <c r="C368" s="3" t="s">
        <v>81</v>
      </c>
      <c r="D368" s="3" t="s">
        <v>11</v>
      </c>
      <c r="E368" s="5">
        <v>2.0</v>
      </c>
      <c r="F368" s="3" t="s">
        <v>305</v>
      </c>
      <c r="G368" s="3" t="s">
        <v>224</v>
      </c>
      <c r="J368" s="5">
        <v>1.0</v>
      </c>
      <c r="N368" s="3" t="b">
        <v>0</v>
      </c>
      <c r="R368" s="3">
        <v>0.0</v>
      </c>
      <c r="T368" s="3">
        <v>10.0</v>
      </c>
      <c r="U368" s="2">
        <v>7.0</v>
      </c>
      <c r="V368" s="2" t="s">
        <v>330</v>
      </c>
      <c r="W368" s="70" t="s">
        <v>327</v>
      </c>
      <c r="X368" s="71" t="s">
        <v>328</v>
      </c>
      <c r="Y368" s="3">
        <v>2.0</v>
      </c>
      <c r="Z368" s="3">
        <v>1.0</v>
      </c>
      <c r="AA368" s="2">
        <f>2+ (P368*'Scoring System'!$B$3)+ (IF(OR(D368="DEF",D368="GK"),N368*'Scoring System'!$B$4,IF(D368="MID",N368*'Scoring System'!$B$5,0)))+ (IF(OR(D368="DEF",D368="GK"),H368*'Scoring System'!$B$6,IF(D368="MID",H368*'Scoring System'!$B$7,IF(D368="ATT",H368*'Scoring System'!$B$8,0))))+ IF(AND(OR(D368="GK",D368="DEF"),J368&gt;=3),1*'Scoring System'!$B$9,0)+ (I368*'Scoring System'!$B$10)+ (K368*'Scoring System'!$B$11)+ (M368*'Scoring System'!$B$12)+ (L368*'Scoring System'!$B$13)+ (O368*'Scoring System'!$B$14)+ (Q368*'Scoring System'!$B$15)+ (R368*'Scoring System'!$B$16)</f>
        <v>2</v>
      </c>
      <c r="AB368" s="72" t="b">
        <f>IFERROR(match(C368,'Match Day Fees'!$B$2:$B$999,0),0)=0</f>
        <v>0</v>
      </c>
      <c r="AC368" s="73">
        <f t="shared" si="1"/>
        <v>0</v>
      </c>
      <c r="AD368" s="3" t="str">
        <f>VLOOKUP(D368,'Position Lookup'!A:B,1,FALSE)</f>
        <v>DEF</v>
      </c>
    </row>
    <row r="369" ht="17.25" customHeight="1">
      <c r="A369" s="31">
        <v>45178.0</v>
      </c>
      <c r="B369" s="5" t="s">
        <v>309</v>
      </c>
      <c r="C369" s="3" t="s">
        <v>239</v>
      </c>
      <c r="D369" s="3" t="s">
        <v>11</v>
      </c>
      <c r="E369" s="5">
        <v>2.0</v>
      </c>
      <c r="F369" s="3" t="s">
        <v>305</v>
      </c>
      <c r="G369" s="3" t="s">
        <v>224</v>
      </c>
      <c r="I369" s="3">
        <v>1.0</v>
      </c>
      <c r="J369" s="5">
        <v>1.0</v>
      </c>
      <c r="K369" s="3">
        <v>1.0</v>
      </c>
      <c r="N369" s="3" t="b">
        <v>0</v>
      </c>
      <c r="R369" s="3">
        <v>0.0</v>
      </c>
      <c r="T369" s="3">
        <v>5.0</v>
      </c>
      <c r="U369" s="2">
        <v>6.5</v>
      </c>
      <c r="V369" s="2" t="s">
        <v>331</v>
      </c>
      <c r="W369" s="70" t="s">
        <v>327</v>
      </c>
      <c r="X369" s="71" t="s">
        <v>328</v>
      </c>
      <c r="Y369" s="3">
        <v>2.0</v>
      </c>
      <c r="Z369" s="3">
        <v>1.0</v>
      </c>
      <c r="AA369" s="2">
        <f>2+ (P369*'Scoring System'!$B$3)+ (IF(OR(D369="DEF",D369="GK"),N369*'Scoring System'!$B$4,IF(D369="MID",N369*'Scoring System'!$B$5,0)))+ (IF(OR(D369="DEF",D369="GK"),H369*'Scoring System'!$B$6,IF(D369="MID",H369*'Scoring System'!$B$7,IF(D369="ATT",H369*'Scoring System'!$B$8,0))))+ IF(AND(OR(D369="GK",D369="DEF"),J369&gt;=3),1*'Scoring System'!$B$9,0)+ (I369*'Scoring System'!$B$10)+ (K369*'Scoring System'!$B$11)+ (M369*'Scoring System'!$B$12)+ (L369*'Scoring System'!$B$13)+ (O369*'Scoring System'!$B$14)+ (Q369*'Scoring System'!$B$15)+ (R369*'Scoring System'!$B$16)</f>
        <v>4</v>
      </c>
      <c r="AB369" s="72" t="b">
        <f>IFERROR(match(C369,'Match Day Fees'!$B$2:$B$999,0),0)=0</f>
        <v>0</v>
      </c>
      <c r="AC369" s="73">
        <f t="shared" si="1"/>
        <v>0</v>
      </c>
      <c r="AD369" s="3" t="str">
        <f>VLOOKUP(D369,'Position Lookup'!A:B,1,FALSE)</f>
        <v>DEF</v>
      </c>
    </row>
    <row r="370" ht="17.25" customHeight="1">
      <c r="A370" s="31">
        <v>45178.0</v>
      </c>
      <c r="B370" s="5" t="s">
        <v>309</v>
      </c>
      <c r="C370" s="3" t="s">
        <v>80</v>
      </c>
      <c r="D370" s="3" t="s">
        <v>11</v>
      </c>
      <c r="E370" s="5">
        <v>2.0</v>
      </c>
      <c r="F370" s="3" t="s">
        <v>305</v>
      </c>
      <c r="G370" s="3" t="s">
        <v>224</v>
      </c>
      <c r="J370" s="5">
        <v>1.0</v>
      </c>
      <c r="K370" s="3">
        <v>1.0</v>
      </c>
      <c r="N370" s="3" t="b">
        <v>0</v>
      </c>
      <c r="R370" s="3">
        <v>0.0</v>
      </c>
      <c r="T370" s="3">
        <v>5.0</v>
      </c>
      <c r="U370" s="2">
        <v>6.0</v>
      </c>
      <c r="V370" s="2" t="s">
        <v>332</v>
      </c>
      <c r="W370" s="70" t="s">
        <v>327</v>
      </c>
      <c r="X370" s="71" t="s">
        <v>328</v>
      </c>
      <c r="Y370" s="3">
        <v>2.0</v>
      </c>
      <c r="Z370" s="3">
        <v>1.0</v>
      </c>
      <c r="AA370" s="2">
        <f>2+ (P370*'Scoring System'!$B$3)+ (IF(OR(D370="DEF",D370="GK"),N370*'Scoring System'!$B$4,IF(D370="MID",N370*'Scoring System'!$B$5,0)))+ (IF(OR(D370="DEF",D370="GK"),H370*'Scoring System'!$B$6,IF(D370="MID",H370*'Scoring System'!$B$7,IF(D370="ATT",H370*'Scoring System'!$B$8,0))))+ IF(AND(OR(D370="GK",D370="DEF"),J370&gt;=3),1*'Scoring System'!$B$9,0)+ (I370*'Scoring System'!$B$10)+ (K370*'Scoring System'!$B$11)+ (M370*'Scoring System'!$B$12)+ (L370*'Scoring System'!$B$13)+ (O370*'Scoring System'!$B$14)+ (Q370*'Scoring System'!$B$15)+ (R370*'Scoring System'!$B$16)</f>
        <v>1</v>
      </c>
      <c r="AB370" s="72" t="b">
        <f>IFERROR(match(C370,'Match Day Fees'!$B$2:$B$999,0),0)=0</f>
        <v>0</v>
      </c>
      <c r="AC370" s="73">
        <f t="shared" si="1"/>
        <v>0</v>
      </c>
      <c r="AD370" s="3" t="str">
        <f>VLOOKUP(D370,'Position Lookup'!A:B,1,FALSE)</f>
        <v>DEF</v>
      </c>
    </row>
    <row r="371" ht="17.25" customHeight="1">
      <c r="A371" s="31">
        <v>45178.0</v>
      </c>
      <c r="B371" s="5" t="s">
        <v>309</v>
      </c>
      <c r="C371" s="3" t="s">
        <v>333</v>
      </c>
      <c r="D371" s="3" t="s">
        <v>10</v>
      </c>
      <c r="E371" s="5">
        <v>2.0</v>
      </c>
      <c r="F371" s="3" t="s">
        <v>305</v>
      </c>
      <c r="G371" s="3" t="s">
        <v>224</v>
      </c>
      <c r="J371" s="5">
        <v>1.0</v>
      </c>
      <c r="N371" s="3" t="b">
        <v>0</v>
      </c>
      <c r="R371" s="3">
        <v>0.0</v>
      </c>
      <c r="T371" s="3">
        <v>5.0</v>
      </c>
      <c r="U371" s="2">
        <v>6.5</v>
      </c>
      <c r="V371" s="2" t="s">
        <v>334</v>
      </c>
      <c r="W371" s="70" t="s">
        <v>327</v>
      </c>
      <c r="X371" s="71" t="s">
        <v>328</v>
      </c>
      <c r="Y371" s="3">
        <v>2.0</v>
      </c>
      <c r="Z371" s="3">
        <v>1.0</v>
      </c>
      <c r="AA371" s="2">
        <f>2+ (P371*'Scoring System'!$B$3)+ (IF(OR(D371="DEF",D371="GK"),N371*'Scoring System'!$B$4,IF(D371="MID",N371*'Scoring System'!$B$5,0)))+ (IF(OR(D371="DEF",D371="GK"),H371*'Scoring System'!$B$6,IF(D371="MID",H371*'Scoring System'!$B$7,IF(D371="ATT",H371*'Scoring System'!$B$8,0))))+ IF(AND(OR(D371="GK",D371="DEF"),J371&gt;=3),1*'Scoring System'!$B$9,0)+ (I371*'Scoring System'!$B$10)+ (K371*'Scoring System'!$B$11)+ (M371*'Scoring System'!$B$12)+ (L371*'Scoring System'!$B$13)+ (O371*'Scoring System'!$B$14)+ (Q371*'Scoring System'!$B$15)+ (R371*'Scoring System'!$B$16)</f>
        <v>2</v>
      </c>
      <c r="AB371" s="72" t="b">
        <f>IFERROR(match(C371,'Match Day Fees'!$B$2:$B$999,0),0)=0</f>
        <v>0</v>
      </c>
      <c r="AC371" s="73">
        <f t="shared" si="1"/>
        <v>0</v>
      </c>
      <c r="AD371" s="3" t="str">
        <f>VLOOKUP(D371,'Position Lookup'!A:B,1,FALSE)</f>
        <v>MID</v>
      </c>
    </row>
    <row r="372" ht="17.25" customHeight="1">
      <c r="A372" s="31">
        <v>45178.0</v>
      </c>
      <c r="B372" s="5" t="s">
        <v>309</v>
      </c>
      <c r="C372" s="3" t="s">
        <v>123</v>
      </c>
      <c r="D372" s="3" t="s">
        <v>10</v>
      </c>
      <c r="E372" s="5">
        <v>2.0</v>
      </c>
      <c r="F372" s="3" t="s">
        <v>305</v>
      </c>
      <c r="G372" s="3" t="s">
        <v>224</v>
      </c>
      <c r="J372" s="5">
        <v>1.0</v>
      </c>
      <c r="N372" s="3" t="b">
        <v>0</v>
      </c>
      <c r="R372" s="3">
        <v>0.0</v>
      </c>
      <c r="T372" s="3">
        <v>10.0</v>
      </c>
      <c r="U372" s="2">
        <v>6.5</v>
      </c>
      <c r="V372" s="2" t="s">
        <v>335</v>
      </c>
      <c r="W372" s="70" t="s">
        <v>327</v>
      </c>
      <c r="X372" s="71" t="s">
        <v>328</v>
      </c>
      <c r="Y372" s="3">
        <v>2.0</v>
      </c>
      <c r="Z372" s="3">
        <v>1.0</v>
      </c>
      <c r="AA372" s="2">
        <f>2+ (P372*'Scoring System'!$B$3)+ (IF(OR(D372="DEF",D372="GK"),N372*'Scoring System'!$B$4,IF(D372="MID",N372*'Scoring System'!$B$5,0)))+ (IF(OR(D372="DEF",D372="GK"),H372*'Scoring System'!$B$6,IF(D372="MID",H372*'Scoring System'!$B$7,IF(D372="ATT",H372*'Scoring System'!$B$8,0))))+ IF(AND(OR(D372="GK",D372="DEF"),J372&gt;=3),1*'Scoring System'!$B$9,0)+ (I372*'Scoring System'!$B$10)+ (K372*'Scoring System'!$B$11)+ (M372*'Scoring System'!$B$12)+ (L372*'Scoring System'!$B$13)+ (O372*'Scoring System'!$B$14)+ (Q372*'Scoring System'!$B$15)+ (R372*'Scoring System'!$B$16)</f>
        <v>2</v>
      </c>
      <c r="AB372" s="72" t="b">
        <f>IFERROR(match(C372,'Match Day Fees'!$B$2:$B$999,0),0)=0</f>
        <v>0</v>
      </c>
      <c r="AC372" s="73">
        <f t="shared" si="1"/>
        <v>0</v>
      </c>
      <c r="AD372" s="3" t="str">
        <f>VLOOKUP(D372,'Position Lookup'!A:B,1,FALSE)</f>
        <v>MID</v>
      </c>
    </row>
    <row r="373" ht="17.25" customHeight="1">
      <c r="A373" s="31">
        <v>45178.0</v>
      </c>
      <c r="B373" s="5" t="s">
        <v>309</v>
      </c>
      <c r="C373" s="3" t="s">
        <v>243</v>
      </c>
      <c r="D373" s="3" t="s">
        <v>10</v>
      </c>
      <c r="E373" s="5">
        <v>2.0</v>
      </c>
      <c r="F373" s="3" t="s">
        <v>305</v>
      </c>
      <c r="G373" s="3" t="s">
        <v>224</v>
      </c>
      <c r="J373" s="5">
        <v>1.0</v>
      </c>
      <c r="N373" s="3" t="b">
        <v>0</v>
      </c>
      <c r="R373" s="3">
        <v>0.0</v>
      </c>
      <c r="T373" s="3">
        <v>5.0</v>
      </c>
      <c r="U373" s="2">
        <v>7.0</v>
      </c>
      <c r="V373" s="2" t="s">
        <v>336</v>
      </c>
      <c r="W373" s="70" t="s">
        <v>327</v>
      </c>
      <c r="X373" s="71" t="s">
        <v>328</v>
      </c>
      <c r="Y373" s="3">
        <v>2.0</v>
      </c>
      <c r="Z373" s="3">
        <v>1.0</v>
      </c>
      <c r="AA373" s="2">
        <f>2+ (P373*'Scoring System'!$B$3)+ (IF(OR(D373="DEF",D373="GK"),N373*'Scoring System'!$B$4,IF(D373="MID",N373*'Scoring System'!$B$5,0)))+ (IF(OR(D373="DEF",D373="GK"),H373*'Scoring System'!$B$6,IF(D373="MID",H373*'Scoring System'!$B$7,IF(D373="ATT",H373*'Scoring System'!$B$8,0))))+ IF(AND(OR(D373="GK",D373="DEF"),J373&gt;=3),1*'Scoring System'!$B$9,0)+ (I373*'Scoring System'!$B$10)+ (K373*'Scoring System'!$B$11)+ (M373*'Scoring System'!$B$12)+ (L373*'Scoring System'!$B$13)+ (O373*'Scoring System'!$B$14)+ (Q373*'Scoring System'!$B$15)+ (R373*'Scoring System'!$B$16)</f>
        <v>2</v>
      </c>
      <c r="AB373" s="72" t="b">
        <f>IFERROR(match(C373,'Match Day Fees'!$B$2:$B$999,0),0)=0</f>
        <v>0</v>
      </c>
      <c r="AC373" s="73">
        <f t="shared" si="1"/>
        <v>0</v>
      </c>
      <c r="AD373" s="3" t="str">
        <f>VLOOKUP(D373,'Position Lookup'!A:B,1,FALSE)</f>
        <v>MID</v>
      </c>
    </row>
    <row r="374" ht="17.25" customHeight="1">
      <c r="A374" s="31">
        <v>45178.0</v>
      </c>
      <c r="B374" s="5" t="s">
        <v>309</v>
      </c>
      <c r="C374" s="3" t="s">
        <v>104</v>
      </c>
      <c r="D374" s="3" t="s">
        <v>10</v>
      </c>
      <c r="E374" s="5">
        <v>2.0</v>
      </c>
      <c r="F374" s="3" t="s">
        <v>305</v>
      </c>
      <c r="G374" s="3" t="s">
        <v>224</v>
      </c>
      <c r="J374" s="5">
        <v>1.0</v>
      </c>
      <c r="N374" s="3" t="b">
        <v>0</v>
      </c>
      <c r="R374" s="3">
        <v>0.0</v>
      </c>
      <c r="T374" s="3">
        <v>5.0</v>
      </c>
      <c r="U374" s="2">
        <v>7.0</v>
      </c>
      <c r="V374" s="2" t="s">
        <v>337</v>
      </c>
      <c r="W374" s="70" t="s">
        <v>327</v>
      </c>
      <c r="X374" s="71" t="s">
        <v>328</v>
      </c>
      <c r="Y374" s="3">
        <v>2.0</v>
      </c>
      <c r="Z374" s="3">
        <v>1.0</v>
      </c>
      <c r="AA374" s="2">
        <f>2+ (P374*'Scoring System'!$B$3)+ (IF(OR(D374="DEF",D374="GK"),N374*'Scoring System'!$B$4,IF(D374="MID",N374*'Scoring System'!$B$5,0)))+ (IF(OR(D374="DEF",D374="GK"),H374*'Scoring System'!$B$6,IF(D374="MID",H374*'Scoring System'!$B$7,IF(D374="ATT",H374*'Scoring System'!$B$8,0))))+ IF(AND(OR(D374="GK",D374="DEF"),J374&gt;=3),1*'Scoring System'!$B$9,0)+ (I374*'Scoring System'!$B$10)+ (K374*'Scoring System'!$B$11)+ (M374*'Scoring System'!$B$12)+ (L374*'Scoring System'!$B$13)+ (O374*'Scoring System'!$B$14)+ (Q374*'Scoring System'!$B$15)+ (R374*'Scoring System'!$B$16)</f>
        <v>2</v>
      </c>
      <c r="AB374" s="72" t="b">
        <f>IFERROR(match(C374,'Match Day Fees'!$B$2:$B$999,0),0)=0</f>
        <v>0</v>
      </c>
      <c r="AC374" s="73">
        <f t="shared" si="1"/>
        <v>0</v>
      </c>
      <c r="AD374" s="3" t="str">
        <f>VLOOKUP(D374,'Position Lookup'!A:B,1,FALSE)</f>
        <v>MID</v>
      </c>
    </row>
    <row r="375" ht="17.25" customHeight="1">
      <c r="A375" s="31">
        <v>45178.0</v>
      </c>
      <c r="B375" s="5" t="s">
        <v>309</v>
      </c>
      <c r="C375" s="3" t="s">
        <v>92</v>
      </c>
      <c r="D375" s="3" t="s">
        <v>9</v>
      </c>
      <c r="E375" s="5">
        <v>2.0</v>
      </c>
      <c r="F375" s="3" t="s">
        <v>305</v>
      </c>
      <c r="G375" s="3" t="s">
        <v>224</v>
      </c>
      <c r="I375" s="3">
        <v>1.0</v>
      </c>
      <c r="J375" s="5">
        <v>1.0</v>
      </c>
      <c r="N375" s="3" t="b">
        <v>0</v>
      </c>
      <c r="R375" s="3">
        <v>0.0</v>
      </c>
      <c r="S375" s="3" t="b">
        <v>1</v>
      </c>
      <c r="U375" s="2">
        <v>7.0</v>
      </c>
      <c r="V375" s="2"/>
      <c r="W375" s="70" t="s">
        <v>327</v>
      </c>
      <c r="X375" s="71" t="s">
        <v>328</v>
      </c>
      <c r="Y375" s="3">
        <v>2.0</v>
      </c>
      <c r="Z375" s="3">
        <v>1.0</v>
      </c>
      <c r="AA375" s="2">
        <f>2+ (P375*'Scoring System'!$B$3)+ (IF(OR(D375="DEF",D375="GK"),N375*'Scoring System'!$B$4,IF(D375="MID",N375*'Scoring System'!$B$5,0)))+ (IF(OR(D375="DEF",D375="GK"),H375*'Scoring System'!$B$6,IF(D375="MID",H375*'Scoring System'!$B$7,IF(D375="ATT",H375*'Scoring System'!$B$8,0))))+ IF(AND(OR(D375="GK",D375="DEF"),J375&gt;=3),1*'Scoring System'!$B$9,0)+ (I375*'Scoring System'!$B$10)+ (K375*'Scoring System'!$B$11)+ (M375*'Scoring System'!$B$12)+ (L375*'Scoring System'!$B$13)+ (O375*'Scoring System'!$B$14)+ (Q375*'Scoring System'!$B$15)+ (R375*'Scoring System'!$B$16)</f>
        <v>5</v>
      </c>
      <c r="AB375" s="72" t="b">
        <f>IFERROR(match(C375,'Match Day Fees'!$B$2:$B$999,0),0)=0</f>
        <v>0</v>
      </c>
      <c r="AC375" s="73">
        <f t="shared" si="1"/>
        <v>0</v>
      </c>
      <c r="AD375" s="3" t="str">
        <f>VLOOKUP(D375,'Position Lookup'!A:B,1,FALSE)</f>
        <v>ATT</v>
      </c>
    </row>
    <row r="376" ht="17.25" customHeight="1">
      <c r="A376" s="31">
        <v>45178.0</v>
      </c>
      <c r="B376" s="5" t="s">
        <v>309</v>
      </c>
      <c r="C376" s="3" t="s">
        <v>338</v>
      </c>
      <c r="D376" s="3" t="s">
        <v>11</v>
      </c>
      <c r="E376" s="5">
        <v>2.0</v>
      </c>
      <c r="F376" s="3" t="s">
        <v>305</v>
      </c>
      <c r="G376" s="3" t="s">
        <v>224</v>
      </c>
      <c r="J376" s="5">
        <v>1.0</v>
      </c>
      <c r="N376" s="3" t="b">
        <v>0</v>
      </c>
      <c r="R376" s="3">
        <v>0.0</v>
      </c>
      <c r="T376" s="3">
        <v>10.0</v>
      </c>
      <c r="U376" s="2">
        <v>7.0</v>
      </c>
      <c r="V376" s="2" t="s">
        <v>339</v>
      </c>
      <c r="W376" s="70" t="s">
        <v>327</v>
      </c>
      <c r="X376" s="71" t="s">
        <v>328</v>
      </c>
      <c r="Y376" s="3">
        <v>2.0</v>
      </c>
      <c r="Z376" s="3">
        <v>1.0</v>
      </c>
      <c r="AA376" s="2">
        <f>2+ (P376*'Scoring System'!$B$3)+ (IF(OR(D376="DEF",D376="GK"),N376*'Scoring System'!$B$4,IF(D376="MID",N376*'Scoring System'!$B$5,0)))+ (IF(OR(D376="DEF",D376="GK"),H376*'Scoring System'!$B$6,IF(D376="MID",H376*'Scoring System'!$B$7,IF(D376="ATT",H376*'Scoring System'!$B$8,0))))+ IF(AND(OR(D376="GK",D376="DEF"),J376&gt;=3),1*'Scoring System'!$B$9,0)+ (I376*'Scoring System'!$B$10)+ (K376*'Scoring System'!$B$11)+ (M376*'Scoring System'!$B$12)+ (L376*'Scoring System'!$B$13)+ (O376*'Scoring System'!$B$14)+ (Q376*'Scoring System'!$B$15)+ (R376*'Scoring System'!$B$16)</f>
        <v>2</v>
      </c>
      <c r="AB376" s="72" t="b">
        <f>IFERROR(match(C376,'Match Day Fees'!$B$2:$B$999,0),0)=0</f>
        <v>0</v>
      </c>
      <c r="AC376" s="73">
        <f t="shared" si="1"/>
        <v>0</v>
      </c>
      <c r="AD376" s="3" t="str">
        <f>VLOOKUP(D376,'Position Lookup'!A:B,1,FALSE)</f>
        <v>DEF</v>
      </c>
    </row>
    <row r="377" ht="17.25" customHeight="1">
      <c r="A377" s="31">
        <v>45178.0</v>
      </c>
      <c r="B377" s="5" t="s">
        <v>309</v>
      </c>
      <c r="C377" s="3" t="s">
        <v>82</v>
      </c>
      <c r="D377" s="3" t="s">
        <v>11</v>
      </c>
      <c r="E377" s="5">
        <v>2.0</v>
      </c>
      <c r="F377" s="3" t="s">
        <v>305</v>
      </c>
      <c r="G377" s="3" t="s">
        <v>224</v>
      </c>
      <c r="J377" s="5">
        <v>1.0</v>
      </c>
      <c r="N377" s="3" t="b">
        <v>0</v>
      </c>
      <c r="R377" s="3">
        <v>0.0</v>
      </c>
      <c r="T377" s="3">
        <v>10.0</v>
      </c>
      <c r="U377" s="2">
        <v>9.0</v>
      </c>
      <c r="V377" s="2" t="s">
        <v>340</v>
      </c>
      <c r="W377" s="70" t="s">
        <v>327</v>
      </c>
      <c r="X377" s="71" t="s">
        <v>328</v>
      </c>
      <c r="Y377" s="3">
        <v>2.0</v>
      </c>
      <c r="Z377" s="3">
        <v>1.0</v>
      </c>
      <c r="AA377" s="2">
        <f>2+ (P377*'Scoring System'!$B$3)+ (IF(OR(D377="DEF",D377="GK"),N377*'Scoring System'!$B$4,IF(D377="MID",N377*'Scoring System'!$B$5,0)))+ (IF(OR(D377="DEF",D377="GK"),H377*'Scoring System'!$B$6,IF(D377="MID",H377*'Scoring System'!$B$7,IF(D377="ATT",H377*'Scoring System'!$B$8,0))))+ IF(AND(OR(D377="GK",D377="DEF"),J377&gt;=3),1*'Scoring System'!$B$9,0)+ (I377*'Scoring System'!$B$10)+ (K377*'Scoring System'!$B$11)+ (M377*'Scoring System'!$B$12)+ (L377*'Scoring System'!$B$13)+ (O377*'Scoring System'!$B$14)+ (Q377*'Scoring System'!$B$15)+ (R377*'Scoring System'!$B$16)</f>
        <v>2</v>
      </c>
      <c r="AB377" s="72" t="b">
        <f>IFERROR(match(C377,'Match Day Fees'!$B$2:$B$999,0),0)=0</f>
        <v>0</v>
      </c>
      <c r="AC377" s="73">
        <f t="shared" si="1"/>
        <v>0</v>
      </c>
      <c r="AD377" s="3" t="str">
        <f>VLOOKUP(D377,'Position Lookup'!A:B,1,FALSE)</f>
        <v>DEF</v>
      </c>
    </row>
    <row r="378" ht="17.25" customHeight="1">
      <c r="A378" s="31">
        <v>45178.0</v>
      </c>
      <c r="B378" s="5" t="s">
        <v>309</v>
      </c>
      <c r="C378" s="3" t="s">
        <v>73</v>
      </c>
      <c r="D378" s="3" t="s">
        <v>9</v>
      </c>
      <c r="E378" s="5">
        <v>2.0</v>
      </c>
      <c r="F378" s="3" t="s">
        <v>305</v>
      </c>
      <c r="G378" s="3" t="s">
        <v>224</v>
      </c>
      <c r="H378" s="3">
        <v>2.0</v>
      </c>
      <c r="J378" s="5">
        <v>1.0</v>
      </c>
      <c r="K378" s="3">
        <v>0.0</v>
      </c>
      <c r="N378" s="3" t="b">
        <v>0</v>
      </c>
      <c r="R378" s="3">
        <v>1.0</v>
      </c>
      <c r="T378" s="3">
        <v>10.0</v>
      </c>
      <c r="U378" s="2"/>
      <c r="V378" s="2" t="s">
        <v>341</v>
      </c>
      <c r="W378" s="70" t="s">
        <v>327</v>
      </c>
      <c r="X378" s="71" t="s">
        <v>328</v>
      </c>
      <c r="Y378" s="3">
        <v>2.0</v>
      </c>
      <c r="Z378" s="3">
        <v>1.0</v>
      </c>
      <c r="AA378" s="2">
        <f>2+ (P378*'Scoring System'!$B$3)+ (IF(OR(D378="DEF",D378="GK"),N378*'Scoring System'!$B$4,IF(D378="MID",N378*'Scoring System'!$B$5,0)))+ (IF(OR(D378="DEF",D378="GK"),H378*'Scoring System'!$B$6,IF(D378="MID",H378*'Scoring System'!$B$7,IF(D378="ATT",H378*'Scoring System'!$B$8,0))))+ IF(AND(OR(D378="GK",D378="DEF"),J378&gt;=3),1*'Scoring System'!$B$9,0)+ (I378*'Scoring System'!$B$10)+ (K378*'Scoring System'!$B$11)+ (M378*'Scoring System'!$B$12)+ (L378*'Scoring System'!$B$13)+ (O378*'Scoring System'!$B$14)+ (Q378*'Scoring System'!$B$15)+ (R378*'Scoring System'!$B$16)</f>
        <v>15</v>
      </c>
      <c r="AB378" s="72" t="b">
        <f>IFERROR(match(C378,'Match Day Fees'!$B$2:$B$999,0),0)=0</f>
        <v>0</v>
      </c>
      <c r="AC378" s="73">
        <f t="shared" si="1"/>
        <v>0</v>
      </c>
      <c r="AD378" s="3" t="str">
        <f>VLOOKUP(D378,'Position Lookup'!A:B,1,FALSE)</f>
        <v>ATT</v>
      </c>
    </row>
    <row r="379" ht="17.25" customHeight="1">
      <c r="A379" s="31">
        <v>45178.0</v>
      </c>
      <c r="B379" s="5" t="s">
        <v>309</v>
      </c>
      <c r="C379" s="3" t="s">
        <v>118</v>
      </c>
      <c r="D379" s="3" t="s">
        <v>8</v>
      </c>
      <c r="E379" s="5">
        <v>3.0</v>
      </c>
      <c r="F379" s="3" t="s">
        <v>342</v>
      </c>
      <c r="G379" s="3" t="s">
        <v>224</v>
      </c>
      <c r="J379" s="5">
        <v>1.0</v>
      </c>
      <c r="N379" s="3" t="b">
        <v>0</v>
      </c>
      <c r="R379" s="3">
        <v>0.0</v>
      </c>
      <c r="T379" s="3">
        <v>10.0</v>
      </c>
      <c r="U379" s="2">
        <v>8.0</v>
      </c>
      <c r="V379" s="2" t="s">
        <v>343</v>
      </c>
      <c r="W379" s="70" t="s">
        <v>344</v>
      </c>
      <c r="X379" s="71" t="s">
        <v>345</v>
      </c>
      <c r="Y379" s="3">
        <v>3.0</v>
      </c>
      <c r="Z379" s="3">
        <v>1.0</v>
      </c>
      <c r="AA379" s="2">
        <f>2+ (P379*'Scoring System'!$B$3)+ (IF(OR(D379="DEF",D379="GK"),N379*'Scoring System'!$B$4,IF(D379="MID",N379*'Scoring System'!$B$5,0)))+ (IF(OR(D379="DEF",D379="GK"),H379*'Scoring System'!$B$6,IF(D379="MID",H379*'Scoring System'!$B$7,IF(D379="ATT",H379*'Scoring System'!$B$8,0))))+ IF(AND(OR(D379="GK",D379="DEF"),J379&gt;=3),1*'Scoring System'!$B$9,0)+ (I379*'Scoring System'!$B$10)+ (K379*'Scoring System'!$B$11)+ (M379*'Scoring System'!$B$12)+ (L379*'Scoring System'!$B$13)+ (O379*'Scoring System'!$B$14)+ (Q379*'Scoring System'!$B$15)+ (R379*'Scoring System'!$B$16)</f>
        <v>2</v>
      </c>
      <c r="AB379" s="72" t="b">
        <f>IFERROR(match(C379,'Match Day Fees'!$B$2:$B$999,0),0)=0</f>
        <v>0</v>
      </c>
      <c r="AC379" s="73">
        <f t="shared" si="1"/>
        <v>0</v>
      </c>
      <c r="AD379" s="3" t="str">
        <f>VLOOKUP(D379,'Position Lookup'!A:B,1,FALSE)</f>
        <v>GK</v>
      </c>
    </row>
    <row r="380" ht="17.25" customHeight="1">
      <c r="A380" s="31">
        <v>45178.0</v>
      </c>
      <c r="B380" s="5" t="s">
        <v>309</v>
      </c>
      <c r="C380" s="3" t="s">
        <v>149</v>
      </c>
      <c r="D380" s="3" t="s">
        <v>11</v>
      </c>
      <c r="E380" s="5">
        <v>3.0</v>
      </c>
      <c r="F380" s="3" t="s">
        <v>342</v>
      </c>
      <c r="G380" s="3" t="s">
        <v>224</v>
      </c>
      <c r="J380" s="5">
        <v>1.0</v>
      </c>
      <c r="N380" s="3" t="b">
        <v>0</v>
      </c>
      <c r="R380" s="3">
        <v>0.0</v>
      </c>
      <c r="T380" s="3">
        <v>10.0</v>
      </c>
      <c r="U380" s="2">
        <v>7.0</v>
      </c>
      <c r="V380" s="2" t="s">
        <v>346</v>
      </c>
      <c r="W380" s="70" t="s">
        <v>344</v>
      </c>
      <c r="X380" s="71" t="s">
        <v>345</v>
      </c>
      <c r="Y380" s="3">
        <v>3.0</v>
      </c>
      <c r="Z380" s="3">
        <v>1.0</v>
      </c>
      <c r="AA380" s="2">
        <f>2+ (P380*'Scoring System'!$B$3)+ (IF(OR(D380="DEF",D380="GK"),N380*'Scoring System'!$B$4,IF(D380="MID",N380*'Scoring System'!$B$5,0)))+ (IF(OR(D380="DEF",D380="GK"),H380*'Scoring System'!$B$6,IF(D380="MID",H380*'Scoring System'!$B$7,IF(D380="ATT",H380*'Scoring System'!$B$8,0))))+ IF(AND(OR(D380="GK",D380="DEF"),J380&gt;=3),1*'Scoring System'!$B$9,0)+ (I380*'Scoring System'!$B$10)+ (K380*'Scoring System'!$B$11)+ (M380*'Scoring System'!$B$12)+ (L380*'Scoring System'!$B$13)+ (O380*'Scoring System'!$B$14)+ (Q380*'Scoring System'!$B$15)+ (R380*'Scoring System'!$B$16)</f>
        <v>2</v>
      </c>
      <c r="AB380" s="72" t="b">
        <f>IFERROR(match(C380,'Match Day Fees'!$B$2:$B$999,0),0)=0</f>
        <v>0</v>
      </c>
      <c r="AC380" s="73">
        <f t="shared" si="1"/>
        <v>0</v>
      </c>
      <c r="AD380" s="3" t="str">
        <f>VLOOKUP(D380,'Position Lookup'!A:B,1,FALSE)</f>
        <v>DEF</v>
      </c>
    </row>
    <row r="381" ht="17.25" customHeight="1">
      <c r="A381" s="31">
        <v>45178.0</v>
      </c>
      <c r="B381" s="5" t="s">
        <v>309</v>
      </c>
      <c r="C381" s="3" t="s">
        <v>40</v>
      </c>
      <c r="D381" s="3" t="s">
        <v>11</v>
      </c>
      <c r="E381" s="5">
        <v>3.0</v>
      </c>
      <c r="F381" s="3" t="s">
        <v>342</v>
      </c>
      <c r="G381" s="3" t="s">
        <v>224</v>
      </c>
      <c r="J381" s="5">
        <v>1.0</v>
      </c>
      <c r="N381" s="3" t="b">
        <v>0</v>
      </c>
      <c r="R381" s="3">
        <v>0.0</v>
      </c>
      <c r="T381" s="3">
        <v>10.0</v>
      </c>
      <c r="U381" s="2">
        <v>8.0</v>
      </c>
      <c r="V381" s="2" t="s">
        <v>347</v>
      </c>
      <c r="W381" s="70" t="s">
        <v>344</v>
      </c>
      <c r="X381" s="71" t="s">
        <v>345</v>
      </c>
      <c r="Y381" s="3">
        <v>3.0</v>
      </c>
      <c r="Z381" s="3">
        <v>1.0</v>
      </c>
      <c r="AA381" s="2">
        <f>2+ (P381*'Scoring System'!$B$3)+ (IF(OR(D381="DEF",D381="GK"),N381*'Scoring System'!$B$4,IF(D381="MID",N381*'Scoring System'!$B$5,0)))+ (IF(OR(D381="DEF",D381="GK"),H381*'Scoring System'!$B$6,IF(D381="MID",H381*'Scoring System'!$B$7,IF(D381="ATT",H381*'Scoring System'!$B$8,0))))+ IF(AND(OR(D381="GK",D381="DEF"),J381&gt;=3),1*'Scoring System'!$B$9,0)+ (I381*'Scoring System'!$B$10)+ (K381*'Scoring System'!$B$11)+ (M381*'Scoring System'!$B$12)+ (L381*'Scoring System'!$B$13)+ (O381*'Scoring System'!$B$14)+ (Q381*'Scoring System'!$B$15)+ (R381*'Scoring System'!$B$16)</f>
        <v>2</v>
      </c>
      <c r="AB381" s="72" t="b">
        <f>IFERROR(match(C381,'Match Day Fees'!$B$2:$B$999,0),0)=0</f>
        <v>0</v>
      </c>
      <c r="AC381" s="73">
        <f t="shared" si="1"/>
        <v>0</v>
      </c>
      <c r="AD381" s="3" t="str">
        <f>VLOOKUP(D381,'Position Lookup'!A:B,1,FALSE)</f>
        <v>DEF</v>
      </c>
    </row>
    <row r="382" ht="17.25" customHeight="1">
      <c r="A382" s="31">
        <v>45178.0</v>
      </c>
      <c r="B382" s="5" t="s">
        <v>309</v>
      </c>
      <c r="C382" s="3" t="s">
        <v>265</v>
      </c>
      <c r="D382" s="3" t="s">
        <v>11</v>
      </c>
      <c r="E382" s="5">
        <v>3.0</v>
      </c>
      <c r="F382" s="3" t="s">
        <v>342</v>
      </c>
      <c r="G382" s="3" t="s">
        <v>224</v>
      </c>
      <c r="J382" s="5">
        <v>1.0</v>
      </c>
      <c r="N382" s="3" t="b">
        <v>0</v>
      </c>
      <c r="R382" s="3">
        <v>0.0</v>
      </c>
      <c r="T382" s="3">
        <v>5.0</v>
      </c>
      <c r="U382" s="2">
        <v>7.0</v>
      </c>
      <c r="V382" s="2" t="s">
        <v>348</v>
      </c>
      <c r="W382" s="70" t="s">
        <v>344</v>
      </c>
      <c r="X382" s="71" t="s">
        <v>345</v>
      </c>
      <c r="Y382" s="3">
        <v>3.0</v>
      </c>
      <c r="Z382" s="3">
        <v>1.0</v>
      </c>
      <c r="AA382" s="2">
        <f>2+ (P382*'Scoring System'!$B$3)+ (IF(OR(D382="DEF",D382="GK"),N382*'Scoring System'!$B$4,IF(D382="MID",N382*'Scoring System'!$B$5,0)))+ (IF(OR(D382="DEF",D382="GK"),H382*'Scoring System'!$B$6,IF(D382="MID",H382*'Scoring System'!$B$7,IF(D382="ATT",H382*'Scoring System'!$B$8,0))))+ IF(AND(OR(D382="GK",D382="DEF"),J382&gt;=3),1*'Scoring System'!$B$9,0)+ (I382*'Scoring System'!$B$10)+ (K382*'Scoring System'!$B$11)+ (M382*'Scoring System'!$B$12)+ (L382*'Scoring System'!$B$13)+ (O382*'Scoring System'!$B$14)+ (Q382*'Scoring System'!$B$15)+ (R382*'Scoring System'!$B$16)</f>
        <v>2</v>
      </c>
      <c r="AB382" s="72" t="b">
        <f>IFERROR(match(C382,'Match Day Fees'!$B$2:$B$999,0),0)=0</f>
        <v>0</v>
      </c>
      <c r="AC382" s="73">
        <f t="shared" si="1"/>
        <v>0</v>
      </c>
      <c r="AD382" s="3" t="str">
        <f>VLOOKUP(D382,'Position Lookup'!A:B,1,FALSE)</f>
        <v>DEF</v>
      </c>
    </row>
    <row r="383" ht="17.25" customHeight="1">
      <c r="A383" s="31">
        <v>45178.0</v>
      </c>
      <c r="B383" s="5" t="s">
        <v>309</v>
      </c>
      <c r="C383" s="3" t="s">
        <v>91</v>
      </c>
      <c r="D383" s="3" t="s">
        <v>11</v>
      </c>
      <c r="E383" s="5">
        <v>3.0</v>
      </c>
      <c r="F383" s="3" t="s">
        <v>342</v>
      </c>
      <c r="G383" s="3" t="s">
        <v>224</v>
      </c>
      <c r="J383" s="5">
        <v>1.0</v>
      </c>
      <c r="N383" s="3" t="b">
        <v>0</v>
      </c>
      <c r="R383" s="3">
        <v>0.0</v>
      </c>
      <c r="T383" s="3">
        <v>2.5</v>
      </c>
      <c r="U383" s="2">
        <v>6.0</v>
      </c>
      <c r="V383" s="2" t="s">
        <v>349</v>
      </c>
      <c r="W383" s="70" t="s">
        <v>344</v>
      </c>
      <c r="X383" s="71" t="s">
        <v>345</v>
      </c>
      <c r="Y383" s="3">
        <v>3.0</v>
      </c>
      <c r="Z383" s="3">
        <v>1.0</v>
      </c>
      <c r="AA383" s="2">
        <f>2+ (P383*'Scoring System'!$B$3)+ (IF(OR(D383="DEF",D383="GK"),N383*'Scoring System'!$B$4,IF(D383="MID",N383*'Scoring System'!$B$5,0)))+ (IF(OR(D383="DEF",D383="GK"),H383*'Scoring System'!$B$6,IF(D383="MID",H383*'Scoring System'!$B$7,IF(D383="ATT",H383*'Scoring System'!$B$8,0))))+ IF(AND(OR(D383="GK",D383="DEF"),J383&gt;=3),1*'Scoring System'!$B$9,0)+ (I383*'Scoring System'!$B$10)+ (K383*'Scoring System'!$B$11)+ (M383*'Scoring System'!$B$12)+ (L383*'Scoring System'!$B$13)+ (O383*'Scoring System'!$B$14)+ (Q383*'Scoring System'!$B$15)+ (R383*'Scoring System'!$B$16)</f>
        <v>2</v>
      </c>
      <c r="AB383" s="72" t="b">
        <f>IFERROR(match(C383,'Match Day Fees'!$B$2:$B$999,0),0)=0</f>
        <v>0</v>
      </c>
      <c r="AC383" s="73">
        <f t="shared" si="1"/>
        <v>0</v>
      </c>
      <c r="AD383" s="3" t="str">
        <f>VLOOKUP(D383,'Position Lookup'!A:B,1,FALSE)</f>
        <v>DEF</v>
      </c>
    </row>
    <row r="384" ht="17.25" customHeight="1">
      <c r="A384" s="31">
        <v>45178.0</v>
      </c>
      <c r="B384" s="5" t="s">
        <v>309</v>
      </c>
      <c r="C384" s="3" t="s">
        <v>276</v>
      </c>
      <c r="D384" s="3" t="s">
        <v>10</v>
      </c>
      <c r="E384" s="5">
        <v>3.0</v>
      </c>
      <c r="F384" s="3" t="s">
        <v>342</v>
      </c>
      <c r="G384" s="3" t="s">
        <v>224</v>
      </c>
      <c r="I384" s="3">
        <v>1.0</v>
      </c>
      <c r="J384" s="5">
        <v>1.0</v>
      </c>
      <c r="N384" s="3" t="b">
        <v>0</v>
      </c>
      <c r="R384" s="3">
        <v>0.0</v>
      </c>
      <c r="T384" s="3">
        <v>10.0</v>
      </c>
      <c r="U384" s="2">
        <v>7.0</v>
      </c>
      <c r="V384" s="2" t="s">
        <v>350</v>
      </c>
      <c r="W384" s="70" t="s">
        <v>344</v>
      </c>
      <c r="X384" s="71" t="s">
        <v>345</v>
      </c>
      <c r="Y384" s="3">
        <v>3.0</v>
      </c>
      <c r="Z384" s="3">
        <v>1.0</v>
      </c>
      <c r="AA384" s="2">
        <f>2+ (P384*'Scoring System'!$B$3)+ (IF(OR(D384="DEF",D384="GK"),N384*'Scoring System'!$B$4,IF(D384="MID",N384*'Scoring System'!$B$5,0)))+ (IF(OR(D384="DEF",D384="GK"),H384*'Scoring System'!$B$6,IF(D384="MID",H384*'Scoring System'!$B$7,IF(D384="ATT",H384*'Scoring System'!$B$8,0))))+ IF(AND(OR(D384="GK",D384="DEF"),J384&gt;=3),1*'Scoring System'!$B$9,0)+ (I384*'Scoring System'!$B$10)+ (K384*'Scoring System'!$B$11)+ (M384*'Scoring System'!$B$12)+ (L384*'Scoring System'!$B$13)+ (O384*'Scoring System'!$B$14)+ (Q384*'Scoring System'!$B$15)+ (R384*'Scoring System'!$B$16)</f>
        <v>5</v>
      </c>
      <c r="AB384" s="72" t="b">
        <f>IFERROR(match(C384,'Match Day Fees'!$B$2:$B$999,0),0)=0</f>
        <v>0</v>
      </c>
      <c r="AC384" s="73">
        <f t="shared" si="1"/>
        <v>0</v>
      </c>
      <c r="AD384" s="3" t="str">
        <f>VLOOKUP(D384,'Position Lookup'!A:B,1,FALSE)</f>
        <v>MID</v>
      </c>
    </row>
    <row r="385" ht="17.25" customHeight="1">
      <c r="A385" s="31">
        <v>45178.0</v>
      </c>
      <c r="B385" s="5" t="s">
        <v>309</v>
      </c>
      <c r="C385" s="3" t="s">
        <v>86</v>
      </c>
      <c r="D385" s="3" t="s">
        <v>10</v>
      </c>
      <c r="E385" s="5">
        <v>3.0</v>
      </c>
      <c r="F385" s="3" t="s">
        <v>342</v>
      </c>
      <c r="G385" s="3" t="s">
        <v>224</v>
      </c>
      <c r="J385" s="5">
        <v>1.0</v>
      </c>
      <c r="N385" s="3" t="b">
        <v>0</v>
      </c>
      <c r="R385" s="3">
        <v>0.0</v>
      </c>
      <c r="T385" s="3">
        <v>10.0</v>
      </c>
      <c r="U385" s="2">
        <v>7.0</v>
      </c>
      <c r="V385" s="2" t="s">
        <v>351</v>
      </c>
      <c r="W385" s="70" t="s">
        <v>344</v>
      </c>
      <c r="X385" s="71" t="s">
        <v>345</v>
      </c>
      <c r="Y385" s="3">
        <v>3.0</v>
      </c>
      <c r="Z385" s="3">
        <v>1.0</v>
      </c>
      <c r="AA385" s="2">
        <f>2+ (P385*'Scoring System'!$B$3)+ (IF(OR(D385="DEF",D385="GK"),N385*'Scoring System'!$B$4,IF(D385="MID",N385*'Scoring System'!$B$5,0)))+ (IF(OR(D385="DEF",D385="GK"),H385*'Scoring System'!$B$6,IF(D385="MID",H385*'Scoring System'!$B$7,IF(D385="ATT",H385*'Scoring System'!$B$8,0))))+ IF(AND(OR(D385="GK",D385="DEF"),J385&gt;=3),1*'Scoring System'!$B$9,0)+ (I385*'Scoring System'!$B$10)+ (K385*'Scoring System'!$B$11)+ (M385*'Scoring System'!$B$12)+ (L385*'Scoring System'!$B$13)+ (O385*'Scoring System'!$B$14)+ (Q385*'Scoring System'!$B$15)+ (R385*'Scoring System'!$B$16)</f>
        <v>2</v>
      </c>
      <c r="AB385" s="72" t="b">
        <f>IFERROR(match(C385,'Match Day Fees'!$B$2:$B$999,0),0)=0</f>
        <v>0</v>
      </c>
      <c r="AC385" s="73">
        <f t="shared" si="1"/>
        <v>0</v>
      </c>
      <c r="AD385" s="3" t="str">
        <f>VLOOKUP(D385,'Position Lookup'!A:B,1,FALSE)</f>
        <v>MID</v>
      </c>
    </row>
    <row r="386" ht="17.25" customHeight="1">
      <c r="A386" s="31">
        <v>45178.0</v>
      </c>
      <c r="B386" s="5" t="s">
        <v>309</v>
      </c>
      <c r="C386" s="3" t="s">
        <v>151</v>
      </c>
      <c r="D386" s="3" t="s">
        <v>10</v>
      </c>
      <c r="E386" s="5">
        <v>3.0</v>
      </c>
      <c r="F386" s="3" t="s">
        <v>342</v>
      </c>
      <c r="G386" s="3" t="s">
        <v>224</v>
      </c>
      <c r="H386" s="3">
        <v>1.0</v>
      </c>
      <c r="I386" s="3">
        <v>1.0</v>
      </c>
      <c r="J386" s="5">
        <v>1.0</v>
      </c>
      <c r="N386" s="3" t="b">
        <v>0</v>
      </c>
      <c r="R386" s="3">
        <v>0.0</v>
      </c>
      <c r="T386" s="3">
        <v>5.0</v>
      </c>
      <c r="U386" s="2">
        <v>8.0</v>
      </c>
      <c r="V386" s="2" t="s">
        <v>352</v>
      </c>
      <c r="W386" s="70" t="s">
        <v>344</v>
      </c>
      <c r="X386" s="71" t="s">
        <v>345</v>
      </c>
      <c r="Y386" s="3">
        <v>3.0</v>
      </c>
      <c r="Z386" s="3">
        <v>1.0</v>
      </c>
      <c r="AA386" s="2">
        <f>2+ (P386*'Scoring System'!$B$3)+ (IF(OR(D386="DEF",D386="GK"),N386*'Scoring System'!$B$4,IF(D386="MID",N386*'Scoring System'!$B$5,0)))+ (IF(OR(D386="DEF",D386="GK"),H386*'Scoring System'!$B$6,IF(D386="MID",H386*'Scoring System'!$B$7,IF(D386="ATT",H386*'Scoring System'!$B$8,0))))+ IF(AND(OR(D386="GK",D386="DEF"),J386&gt;=3),1*'Scoring System'!$B$9,0)+ (I386*'Scoring System'!$B$10)+ (K386*'Scoring System'!$B$11)+ (M386*'Scoring System'!$B$12)+ (L386*'Scoring System'!$B$13)+ (O386*'Scoring System'!$B$14)+ (Q386*'Scoring System'!$B$15)+ (R386*'Scoring System'!$B$16)</f>
        <v>10</v>
      </c>
      <c r="AB386" s="72" t="b">
        <f>IFERROR(match(C386,'Match Day Fees'!$B$2:$B$999,0),0)=0</f>
        <v>0</v>
      </c>
      <c r="AC386" s="73">
        <f t="shared" si="1"/>
        <v>0</v>
      </c>
      <c r="AD386" s="3" t="str">
        <f>VLOOKUP(D386,'Position Lookup'!A:B,1,FALSE)</f>
        <v>MID</v>
      </c>
    </row>
    <row r="387" ht="17.25" customHeight="1">
      <c r="A387" s="31">
        <v>45178.0</v>
      </c>
      <c r="B387" s="5" t="s">
        <v>309</v>
      </c>
      <c r="C387" s="3" t="s">
        <v>39</v>
      </c>
      <c r="D387" s="3" t="s">
        <v>11</v>
      </c>
      <c r="E387" s="5">
        <v>3.0</v>
      </c>
      <c r="F387" s="3" t="s">
        <v>342</v>
      </c>
      <c r="G387" s="3" t="s">
        <v>224</v>
      </c>
      <c r="J387" s="5">
        <v>1.0</v>
      </c>
      <c r="N387" s="3" t="b">
        <v>0</v>
      </c>
      <c r="R387" s="3">
        <v>0.0</v>
      </c>
      <c r="T387" s="3">
        <v>10.0</v>
      </c>
      <c r="U387" s="2">
        <v>8.0</v>
      </c>
      <c r="V387" s="2" t="s">
        <v>353</v>
      </c>
      <c r="W387" s="70" t="s">
        <v>344</v>
      </c>
      <c r="X387" s="71" t="s">
        <v>345</v>
      </c>
      <c r="Y387" s="3">
        <v>3.0</v>
      </c>
      <c r="Z387" s="3">
        <v>1.0</v>
      </c>
      <c r="AA387" s="2">
        <f>2+ (P387*'Scoring System'!$B$3)+ (IF(OR(D387="DEF",D387="GK"),N387*'Scoring System'!$B$4,IF(D387="MID",N387*'Scoring System'!$B$5,0)))+ (IF(OR(D387="DEF",D387="GK"),H387*'Scoring System'!$B$6,IF(D387="MID",H387*'Scoring System'!$B$7,IF(D387="ATT",H387*'Scoring System'!$B$8,0))))+ IF(AND(OR(D387="GK",D387="DEF"),J387&gt;=3),1*'Scoring System'!$B$9,0)+ (I387*'Scoring System'!$B$10)+ (K387*'Scoring System'!$B$11)+ (M387*'Scoring System'!$B$12)+ (L387*'Scoring System'!$B$13)+ (O387*'Scoring System'!$B$14)+ (Q387*'Scoring System'!$B$15)+ (R387*'Scoring System'!$B$16)</f>
        <v>2</v>
      </c>
      <c r="AB387" s="72" t="b">
        <f>IFERROR(match(C387,'Match Day Fees'!$B$2:$B$999,0),0)=0</f>
        <v>0</v>
      </c>
      <c r="AC387" s="73">
        <f t="shared" si="1"/>
        <v>0</v>
      </c>
      <c r="AD387" s="3" t="str">
        <f>VLOOKUP(D387,'Position Lookup'!A:B,1,FALSE)</f>
        <v>DEF</v>
      </c>
    </row>
    <row r="388" ht="17.25" customHeight="1">
      <c r="A388" s="31">
        <v>45178.0</v>
      </c>
      <c r="B388" s="5" t="s">
        <v>309</v>
      </c>
      <c r="C388" s="3" t="s">
        <v>130</v>
      </c>
      <c r="D388" s="3" t="s">
        <v>10</v>
      </c>
      <c r="E388" s="5">
        <v>3.0</v>
      </c>
      <c r="F388" s="3" t="s">
        <v>342</v>
      </c>
      <c r="G388" s="3" t="s">
        <v>224</v>
      </c>
      <c r="J388" s="5">
        <v>1.0</v>
      </c>
      <c r="N388" s="3" t="b">
        <v>0</v>
      </c>
      <c r="R388" s="3">
        <v>0.0</v>
      </c>
      <c r="T388" s="3">
        <v>10.0</v>
      </c>
      <c r="U388" s="2">
        <v>7.0</v>
      </c>
      <c r="V388" s="2" t="s">
        <v>354</v>
      </c>
      <c r="W388" s="70" t="s">
        <v>344</v>
      </c>
      <c r="X388" s="71" t="s">
        <v>345</v>
      </c>
      <c r="Y388" s="3">
        <v>3.0</v>
      </c>
      <c r="Z388" s="3">
        <v>1.0</v>
      </c>
      <c r="AA388" s="2">
        <f>2+ (P388*'Scoring System'!$B$3)+ (IF(OR(D388="DEF",D388="GK"),N388*'Scoring System'!$B$4,IF(D388="MID",N388*'Scoring System'!$B$5,0)))+ (IF(OR(D388="DEF",D388="GK"),H388*'Scoring System'!$B$6,IF(D388="MID",H388*'Scoring System'!$B$7,IF(D388="ATT",H388*'Scoring System'!$B$8,0))))+ IF(AND(OR(D388="GK",D388="DEF"),J388&gt;=3),1*'Scoring System'!$B$9,0)+ (I388*'Scoring System'!$B$10)+ (K388*'Scoring System'!$B$11)+ (M388*'Scoring System'!$B$12)+ (L388*'Scoring System'!$B$13)+ (O388*'Scoring System'!$B$14)+ (Q388*'Scoring System'!$B$15)+ (R388*'Scoring System'!$B$16)</f>
        <v>2</v>
      </c>
      <c r="AB388" s="72" t="b">
        <f>IFERROR(match(C388,'Match Day Fees'!$B$2:$B$999,0),0)=0</f>
        <v>0</v>
      </c>
      <c r="AC388" s="73">
        <f t="shared" si="1"/>
        <v>0</v>
      </c>
      <c r="AD388" s="3" t="str">
        <f>VLOOKUP(D388,'Position Lookup'!A:B,1,FALSE)</f>
        <v>MID</v>
      </c>
    </row>
    <row r="389" ht="17.25" customHeight="1">
      <c r="A389" s="31">
        <v>45178.0</v>
      </c>
      <c r="B389" s="5" t="s">
        <v>309</v>
      </c>
      <c r="C389" s="3" t="s">
        <v>57</v>
      </c>
      <c r="D389" s="3" t="s">
        <v>9</v>
      </c>
      <c r="E389" s="5">
        <v>3.0</v>
      </c>
      <c r="F389" s="3" t="s">
        <v>342</v>
      </c>
      <c r="G389" s="3" t="s">
        <v>224</v>
      </c>
      <c r="J389" s="5">
        <v>1.0</v>
      </c>
      <c r="N389" s="3" t="b">
        <v>0</v>
      </c>
      <c r="R389" s="3">
        <v>1.0</v>
      </c>
      <c r="T389" s="3">
        <v>5.0</v>
      </c>
      <c r="U389" s="2">
        <v>8.0</v>
      </c>
      <c r="V389" s="1" t="s">
        <v>355</v>
      </c>
      <c r="W389" s="70" t="s">
        <v>344</v>
      </c>
      <c r="X389" s="71" t="s">
        <v>345</v>
      </c>
      <c r="Y389" s="3">
        <v>3.0</v>
      </c>
      <c r="Z389" s="3">
        <v>1.0</v>
      </c>
      <c r="AA389" s="2">
        <f>2+ (P389*'Scoring System'!$B$3)+ (IF(OR(D389="DEF",D389="GK"),N389*'Scoring System'!$B$4,IF(D389="MID",N389*'Scoring System'!$B$5,0)))+ (IF(OR(D389="DEF",D389="GK"),H389*'Scoring System'!$B$6,IF(D389="MID",H389*'Scoring System'!$B$7,IF(D389="ATT",H389*'Scoring System'!$B$8,0))))+ IF(AND(OR(D389="GK",D389="DEF"),J389&gt;=3),1*'Scoring System'!$B$9,0)+ (I389*'Scoring System'!$B$10)+ (K389*'Scoring System'!$B$11)+ (M389*'Scoring System'!$B$12)+ (L389*'Scoring System'!$B$13)+ (O389*'Scoring System'!$B$14)+ (Q389*'Scoring System'!$B$15)+ (R389*'Scoring System'!$B$16)</f>
        <v>7</v>
      </c>
      <c r="AB389" s="72" t="b">
        <f>IFERROR(match(C389,'Match Day Fees'!$B$2:$B$999,0),0)=0</f>
        <v>0</v>
      </c>
      <c r="AC389" s="73">
        <f t="shared" si="1"/>
        <v>0</v>
      </c>
      <c r="AD389" s="3" t="str">
        <f>VLOOKUP(D389,'Position Lookup'!A:B,1,FALSE)</f>
        <v>ATT</v>
      </c>
    </row>
    <row r="390" ht="17.25" customHeight="1">
      <c r="A390" s="31">
        <v>45178.0</v>
      </c>
      <c r="B390" s="5" t="s">
        <v>309</v>
      </c>
      <c r="C390" s="3" t="s">
        <v>280</v>
      </c>
      <c r="D390" s="3" t="s">
        <v>9</v>
      </c>
      <c r="E390" s="5">
        <v>3.0</v>
      </c>
      <c r="F390" s="3" t="s">
        <v>342</v>
      </c>
      <c r="G390" s="3" t="s">
        <v>224</v>
      </c>
      <c r="J390" s="5">
        <v>1.0</v>
      </c>
      <c r="N390" s="3" t="b">
        <v>0</v>
      </c>
      <c r="R390" s="3">
        <v>0.0</v>
      </c>
      <c r="T390" s="3">
        <v>5.0</v>
      </c>
      <c r="U390" s="2">
        <v>6.0</v>
      </c>
      <c r="V390" s="2" t="s">
        <v>356</v>
      </c>
      <c r="W390" s="70" t="s">
        <v>344</v>
      </c>
      <c r="X390" s="71" t="s">
        <v>345</v>
      </c>
      <c r="Y390" s="3">
        <v>3.0</v>
      </c>
      <c r="Z390" s="3">
        <v>1.0</v>
      </c>
      <c r="AA390" s="2">
        <f>2+ (P390*'Scoring System'!$B$3)+ (IF(OR(D390="DEF",D390="GK"),N390*'Scoring System'!$B$4,IF(D390="MID",N390*'Scoring System'!$B$5,0)))+ (IF(OR(D390="DEF",D390="GK"),H390*'Scoring System'!$B$6,IF(D390="MID",H390*'Scoring System'!$B$7,IF(D390="ATT",H390*'Scoring System'!$B$8,0))))+ IF(AND(OR(D390="GK",D390="DEF"),J390&gt;=3),1*'Scoring System'!$B$9,0)+ (I390*'Scoring System'!$B$10)+ (K390*'Scoring System'!$B$11)+ (M390*'Scoring System'!$B$12)+ (L390*'Scoring System'!$B$13)+ (O390*'Scoring System'!$B$14)+ (Q390*'Scoring System'!$B$15)+ (R390*'Scoring System'!$B$16)</f>
        <v>2</v>
      </c>
      <c r="AB390" s="72" t="b">
        <f>IFERROR(match(C390,'Match Day Fees'!$B$2:$B$999,0),0)=0</f>
        <v>0</v>
      </c>
      <c r="AC390" s="73">
        <f t="shared" si="1"/>
        <v>0</v>
      </c>
      <c r="AD390" s="3" t="str">
        <f>VLOOKUP(D390,'Position Lookup'!A:B,1,FALSE)</f>
        <v>ATT</v>
      </c>
    </row>
    <row r="391" ht="17.25" customHeight="1">
      <c r="A391" s="31">
        <v>45178.0</v>
      </c>
      <c r="B391" s="5" t="s">
        <v>309</v>
      </c>
      <c r="C391" s="3" t="s">
        <v>74</v>
      </c>
      <c r="D391" s="3" t="s">
        <v>9</v>
      </c>
      <c r="E391" s="5">
        <v>3.0</v>
      </c>
      <c r="F391" s="3" t="s">
        <v>342</v>
      </c>
      <c r="G391" s="3" t="s">
        <v>224</v>
      </c>
      <c r="H391" s="3">
        <v>2.0</v>
      </c>
      <c r="J391" s="5">
        <v>1.0</v>
      </c>
      <c r="N391" s="3" t="b">
        <v>0</v>
      </c>
      <c r="R391" s="3">
        <v>0.0</v>
      </c>
      <c r="T391" s="3">
        <v>10.0</v>
      </c>
      <c r="U391" s="2">
        <v>7.0</v>
      </c>
      <c r="V391" s="2" t="s">
        <v>357</v>
      </c>
      <c r="W391" s="70" t="s">
        <v>344</v>
      </c>
      <c r="X391" s="71" t="s">
        <v>345</v>
      </c>
      <c r="Y391" s="3">
        <v>3.0</v>
      </c>
      <c r="Z391" s="3">
        <v>1.0</v>
      </c>
      <c r="AA391" s="2">
        <f>2+ (P391*'Scoring System'!$B$3)+ (IF(OR(D391="DEF",D391="GK"),N391*'Scoring System'!$B$4,IF(D391="MID",N391*'Scoring System'!$B$5,0)))+ (IF(OR(D391="DEF",D391="GK"),H391*'Scoring System'!$B$6,IF(D391="MID",H391*'Scoring System'!$B$7,IF(D391="ATT",H391*'Scoring System'!$B$8,0))))+ IF(AND(OR(D391="GK",D391="DEF"),J391&gt;=3),1*'Scoring System'!$B$9,0)+ (I391*'Scoring System'!$B$10)+ (K391*'Scoring System'!$B$11)+ (M391*'Scoring System'!$B$12)+ (L391*'Scoring System'!$B$13)+ (O391*'Scoring System'!$B$14)+ (Q391*'Scoring System'!$B$15)+ (R391*'Scoring System'!$B$16)</f>
        <v>10</v>
      </c>
      <c r="AB391" s="72" t="b">
        <f>IFERROR(match(C391,'Match Day Fees'!$B$2:$B$999,0),0)=0</f>
        <v>0</v>
      </c>
      <c r="AC391" s="73">
        <f t="shared" si="1"/>
        <v>0</v>
      </c>
      <c r="AD391" s="3" t="str">
        <f>VLOOKUP(D391,'Position Lookup'!A:B,1,FALSE)</f>
        <v>ATT</v>
      </c>
    </row>
    <row r="392" ht="17.25" customHeight="1">
      <c r="A392" s="31">
        <v>45178.0</v>
      </c>
      <c r="B392" s="5" t="s">
        <v>309</v>
      </c>
      <c r="C392" s="3" t="s">
        <v>308</v>
      </c>
      <c r="D392" s="3" t="s">
        <v>11</v>
      </c>
      <c r="E392" s="5">
        <v>3.0</v>
      </c>
      <c r="F392" s="3" t="s">
        <v>342</v>
      </c>
      <c r="G392" s="3" t="s">
        <v>224</v>
      </c>
      <c r="J392" s="5">
        <v>1.0</v>
      </c>
      <c r="N392" s="3" t="b">
        <v>0</v>
      </c>
      <c r="R392" s="3">
        <v>0.0</v>
      </c>
      <c r="T392" s="3">
        <v>10.0</v>
      </c>
      <c r="U392" s="2">
        <v>6.0</v>
      </c>
      <c r="V392" s="2" t="s">
        <v>358</v>
      </c>
      <c r="W392" s="70" t="s">
        <v>344</v>
      </c>
      <c r="X392" s="71" t="s">
        <v>345</v>
      </c>
      <c r="Y392" s="3">
        <v>3.0</v>
      </c>
      <c r="Z392" s="3">
        <v>1.0</v>
      </c>
      <c r="AA392" s="2">
        <f>2+ (P392*'Scoring System'!$B$3)+ (IF(OR(D392="DEF",D392="GK"),N392*'Scoring System'!$B$4,IF(D392="MID",N392*'Scoring System'!$B$5,0)))+ (IF(OR(D392="DEF",D392="GK"),H392*'Scoring System'!$B$6,IF(D392="MID",H392*'Scoring System'!$B$7,IF(D392="ATT",H392*'Scoring System'!$B$8,0))))+ IF(AND(OR(D392="GK",D392="DEF"),J392&gt;=3),1*'Scoring System'!$B$9,0)+ (I392*'Scoring System'!$B$10)+ (K392*'Scoring System'!$B$11)+ (M392*'Scoring System'!$B$12)+ (L392*'Scoring System'!$B$13)+ (O392*'Scoring System'!$B$14)+ (Q392*'Scoring System'!$B$15)+ (R392*'Scoring System'!$B$16)</f>
        <v>2</v>
      </c>
      <c r="AB392" s="72" t="b">
        <f>IFERROR(match(C392,'Match Day Fees'!$B$2:$B$999,0),0)=0</f>
        <v>0</v>
      </c>
      <c r="AC392" s="73">
        <f t="shared" si="1"/>
        <v>0</v>
      </c>
      <c r="AD392" s="3" t="str">
        <f>VLOOKUP(D392,'Position Lookup'!A:B,1,FALSE)</f>
        <v>DEF</v>
      </c>
    </row>
    <row r="393" ht="17.25" customHeight="1">
      <c r="A393" s="31">
        <v>45178.0</v>
      </c>
      <c r="B393" s="5" t="s">
        <v>222</v>
      </c>
      <c r="C393" s="3" t="s">
        <v>126</v>
      </c>
      <c r="D393" s="3" t="s">
        <v>11</v>
      </c>
      <c r="E393" s="5">
        <v>4.0</v>
      </c>
      <c r="F393" s="3" t="s">
        <v>359</v>
      </c>
      <c r="G393" s="3" t="s">
        <v>224</v>
      </c>
      <c r="J393" s="5">
        <v>1.0</v>
      </c>
      <c r="N393" s="3" t="b">
        <v>0</v>
      </c>
      <c r="R393" s="3">
        <v>0.0</v>
      </c>
      <c r="T393" s="3">
        <v>5.0</v>
      </c>
      <c r="U393" s="3">
        <v>6.5</v>
      </c>
      <c r="V393" s="2" t="s">
        <v>360</v>
      </c>
      <c r="W393" s="70" t="s">
        <v>311</v>
      </c>
      <c r="X393" s="71" t="s">
        <v>361</v>
      </c>
      <c r="Y393" s="3">
        <v>10.0</v>
      </c>
      <c r="Z393" s="3">
        <v>1.0</v>
      </c>
      <c r="AA393" s="2">
        <f>2+ (P393*'Scoring System'!$B$3)+ (IF(OR(D393="DEF",D393="GK"),N393*'Scoring System'!$B$4,IF(D393="MID",N393*'Scoring System'!$B$5,0)))+ (IF(OR(D393="DEF",D393="GK"),H393*'Scoring System'!$B$6,IF(D393="MID",H393*'Scoring System'!$B$7,IF(D393="ATT",H393*'Scoring System'!$B$8,0))))+ IF(AND(OR(D393="GK",D393="DEF"),J393&gt;=3),1*'Scoring System'!$B$9,0)+ (I393*'Scoring System'!$B$10)+ (K393*'Scoring System'!$B$11)+ (M393*'Scoring System'!$B$12)+ (L393*'Scoring System'!$B$13)+ (O393*'Scoring System'!$B$14)+ (Q393*'Scoring System'!$B$15)+ (R393*'Scoring System'!$B$16)</f>
        <v>2</v>
      </c>
      <c r="AB393" s="72" t="b">
        <f>IFERROR(match(C393,'Match Day Fees'!$B$2:$B$999,0),0)=0</f>
        <v>0</v>
      </c>
      <c r="AC393" s="73">
        <f t="shared" si="1"/>
        <v>0</v>
      </c>
      <c r="AD393" s="3" t="str">
        <f>VLOOKUP(D393,'Position Lookup'!A:B,1,FALSE)</f>
        <v>DEF</v>
      </c>
    </row>
    <row r="394" ht="17.25" customHeight="1">
      <c r="A394" s="31">
        <v>45178.0</v>
      </c>
      <c r="B394" s="5" t="s">
        <v>222</v>
      </c>
      <c r="C394" s="3" t="s">
        <v>116</v>
      </c>
      <c r="D394" s="3" t="s">
        <v>11</v>
      </c>
      <c r="E394" s="5">
        <v>4.0</v>
      </c>
      <c r="F394" s="3" t="s">
        <v>359</v>
      </c>
      <c r="G394" s="3" t="s">
        <v>224</v>
      </c>
      <c r="J394" s="5">
        <v>1.0</v>
      </c>
      <c r="N394" s="3" t="b">
        <v>0</v>
      </c>
      <c r="R394" s="3">
        <v>0.0</v>
      </c>
      <c r="T394" s="3">
        <v>10.0</v>
      </c>
      <c r="U394" s="3">
        <v>6.5</v>
      </c>
      <c r="V394" s="2" t="s">
        <v>362</v>
      </c>
      <c r="W394" s="70" t="s">
        <v>311</v>
      </c>
      <c r="X394" s="71" t="s">
        <v>361</v>
      </c>
      <c r="Y394" s="3">
        <v>10.0</v>
      </c>
      <c r="Z394" s="3">
        <v>1.0</v>
      </c>
      <c r="AA394" s="2">
        <f>2+ (P394*'Scoring System'!$B$3)+ (IF(OR(D394="DEF",D394="GK"),N394*'Scoring System'!$B$4,IF(D394="MID",N394*'Scoring System'!$B$5,0)))+ (IF(OR(D394="DEF",D394="GK"),H394*'Scoring System'!$B$6,IF(D394="MID",H394*'Scoring System'!$B$7,IF(D394="ATT",H394*'Scoring System'!$B$8,0))))+ IF(AND(OR(D394="GK",D394="DEF"),J394&gt;=3),1*'Scoring System'!$B$9,0)+ (I394*'Scoring System'!$B$10)+ (K394*'Scoring System'!$B$11)+ (M394*'Scoring System'!$B$12)+ (L394*'Scoring System'!$B$13)+ (O394*'Scoring System'!$B$14)+ (Q394*'Scoring System'!$B$15)+ (R394*'Scoring System'!$B$16)</f>
        <v>2</v>
      </c>
      <c r="AB394" s="72" t="b">
        <f>IFERROR(match(C394,'Match Day Fees'!$B$2:$B$999,0),0)=0</f>
        <v>0</v>
      </c>
      <c r="AC394" s="73">
        <f t="shared" si="1"/>
        <v>0</v>
      </c>
      <c r="AD394" s="3" t="str">
        <f>VLOOKUP(D394,'Position Lookup'!A:B,1,FALSE)</f>
        <v>DEF</v>
      </c>
    </row>
    <row r="395" ht="17.25" customHeight="1">
      <c r="A395" s="31">
        <v>45178.0</v>
      </c>
      <c r="B395" s="5" t="s">
        <v>222</v>
      </c>
      <c r="C395" s="3" t="s">
        <v>136</v>
      </c>
      <c r="D395" s="3" t="s">
        <v>10</v>
      </c>
      <c r="E395" s="5">
        <v>4.0</v>
      </c>
      <c r="F395" s="3" t="s">
        <v>359</v>
      </c>
      <c r="G395" s="3" t="s">
        <v>224</v>
      </c>
      <c r="H395" s="3">
        <v>0.0</v>
      </c>
      <c r="I395" s="3">
        <v>2.0</v>
      </c>
      <c r="J395" s="5">
        <v>1.0</v>
      </c>
      <c r="N395" s="3" t="b">
        <v>0</v>
      </c>
      <c r="R395" s="3">
        <v>0.0</v>
      </c>
      <c r="S395" s="3" t="b">
        <v>1</v>
      </c>
      <c r="T395" s="3">
        <v>0.0</v>
      </c>
      <c r="U395" s="3">
        <v>7.0</v>
      </c>
      <c r="V395" s="2" t="s">
        <v>363</v>
      </c>
      <c r="W395" s="70" t="s">
        <v>311</v>
      </c>
      <c r="X395" s="71" t="s">
        <v>361</v>
      </c>
      <c r="Y395" s="3">
        <v>10.0</v>
      </c>
      <c r="Z395" s="3">
        <v>1.0</v>
      </c>
      <c r="AA395" s="2">
        <f>2+ (P395*'Scoring System'!$B$3)+ (IF(OR(D395="DEF",D395="GK"),N395*'Scoring System'!$B$4,IF(D395="MID",N395*'Scoring System'!$B$5,0)))+ (IF(OR(D395="DEF",D395="GK"),H395*'Scoring System'!$B$6,IF(D395="MID",H395*'Scoring System'!$B$7,IF(D395="ATT",H395*'Scoring System'!$B$8,0))))+ IF(AND(OR(D395="GK",D395="DEF"),J395&gt;=3),1*'Scoring System'!$B$9,0)+ (I395*'Scoring System'!$B$10)+ (K395*'Scoring System'!$B$11)+ (M395*'Scoring System'!$B$12)+ (L395*'Scoring System'!$B$13)+ (O395*'Scoring System'!$B$14)+ (Q395*'Scoring System'!$B$15)+ (R395*'Scoring System'!$B$16)</f>
        <v>8</v>
      </c>
      <c r="AB395" s="72" t="b">
        <f>IFERROR(match(C395,'Match Day Fees'!$B$2:$B$999,0),0)=0</f>
        <v>0</v>
      </c>
      <c r="AC395" s="73">
        <f t="shared" si="1"/>
        <v>0</v>
      </c>
      <c r="AD395" s="3" t="str">
        <f>VLOOKUP(D395,'Position Lookup'!A:B,1,FALSE)</f>
        <v>MID</v>
      </c>
    </row>
    <row r="396" ht="17.25" customHeight="1">
      <c r="A396" s="31">
        <v>45178.0</v>
      </c>
      <c r="B396" s="5" t="s">
        <v>222</v>
      </c>
      <c r="C396" s="3" t="s">
        <v>150</v>
      </c>
      <c r="D396" s="3" t="s">
        <v>10</v>
      </c>
      <c r="E396" s="5">
        <v>4.0</v>
      </c>
      <c r="F396" s="3" t="s">
        <v>359</v>
      </c>
      <c r="G396" s="3" t="s">
        <v>224</v>
      </c>
      <c r="J396" s="5">
        <v>1.0</v>
      </c>
      <c r="N396" s="3" t="b">
        <v>0</v>
      </c>
      <c r="R396" s="3">
        <v>0.0</v>
      </c>
      <c r="T396" s="3">
        <v>10.0</v>
      </c>
      <c r="U396" s="3">
        <v>6.0</v>
      </c>
      <c r="V396" s="2" t="s">
        <v>364</v>
      </c>
      <c r="W396" s="70" t="s">
        <v>311</v>
      </c>
      <c r="X396" s="71" t="s">
        <v>361</v>
      </c>
      <c r="Y396" s="3">
        <v>10.0</v>
      </c>
      <c r="Z396" s="3">
        <v>1.0</v>
      </c>
      <c r="AA396" s="2">
        <f>2+ (P396*'Scoring System'!$B$3)+ (IF(OR(D396="DEF",D396="GK"),N396*'Scoring System'!$B$4,IF(D396="MID",N396*'Scoring System'!$B$5,0)))+ (IF(OR(D396="DEF",D396="GK"),H396*'Scoring System'!$B$6,IF(D396="MID",H396*'Scoring System'!$B$7,IF(D396="ATT",H396*'Scoring System'!$B$8,0))))+ IF(AND(OR(D396="GK",D396="DEF"),J396&gt;=3),1*'Scoring System'!$B$9,0)+ (I396*'Scoring System'!$B$10)+ (K396*'Scoring System'!$B$11)+ (M396*'Scoring System'!$B$12)+ (L396*'Scoring System'!$B$13)+ (O396*'Scoring System'!$B$14)+ (Q396*'Scoring System'!$B$15)+ (R396*'Scoring System'!$B$16)</f>
        <v>2</v>
      </c>
      <c r="AB396" s="72" t="b">
        <f>IFERROR(match(C396,'Match Day Fees'!$B$2:$B$999,0),0)=0</f>
        <v>0</v>
      </c>
      <c r="AC396" s="73">
        <f t="shared" si="1"/>
        <v>0</v>
      </c>
      <c r="AD396" s="3" t="str">
        <f>VLOOKUP(D396,'Position Lookup'!A:B,1,FALSE)</f>
        <v>MID</v>
      </c>
    </row>
    <row r="397" ht="17.25" customHeight="1">
      <c r="A397" s="31">
        <v>45178.0</v>
      </c>
      <c r="B397" s="5" t="s">
        <v>222</v>
      </c>
      <c r="C397" s="3" t="s">
        <v>105</v>
      </c>
      <c r="D397" s="3" t="s">
        <v>10</v>
      </c>
      <c r="E397" s="5">
        <v>4.0</v>
      </c>
      <c r="F397" s="3" t="s">
        <v>359</v>
      </c>
      <c r="G397" s="3" t="s">
        <v>224</v>
      </c>
      <c r="H397" s="3">
        <v>1.0</v>
      </c>
      <c r="I397" s="3">
        <v>0.0</v>
      </c>
      <c r="J397" s="5">
        <v>1.0</v>
      </c>
      <c r="N397" s="3" t="b">
        <v>0</v>
      </c>
      <c r="R397" s="3">
        <v>0.0</v>
      </c>
      <c r="T397" s="3">
        <v>10.0</v>
      </c>
      <c r="U397" s="3">
        <v>6.0</v>
      </c>
      <c r="V397" s="2" t="s">
        <v>365</v>
      </c>
      <c r="W397" s="70" t="s">
        <v>311</v>
      </c>
      <c r="X397" s="71" t="s">
        <v>361</v>
      </c>
      <c r="Y397" s="3">
        <v>10.0</v>
      </c>
      <c r="Z397" s="3">
        <v>1.0</v>
      </c>
      <c r="AA397" s="2">
        <f>2+ (P397*'Scoring System'!$B$3)+ (IF(OR(D397="DEF",D397="GK"),N397*'Scoring System'!$B$4,IF(D397="MID",N397*'Scoring System'!$B$5,0)))+ (IF(OR(D397="DEF",D397="GK"),H397*'Scoring System'!$B$6,IF(D397="MID",H397*'Scoring System'!$B$7,IF(D397="ATT",H397*'Scoring System'!$B$8,0))))+ IF(AND(OR(D397="GK",D397="DEF"),J397&gt;=3),1*'Scoring System'!$B$9,0)+ (I397*'Scoring System'!$B$10)+ (K397*'Scoring System'!$B$11)+ (M397*'Scoring System'!$B$12)+ (L397*'Scoring System'!$B$13)+ (O397*'Scoring System'!$B$14)+ (Q397*'Scoring System'!$B$15)+ (R397*'Scoring System'!$B$16)</f>
        <v>7</v>
      </c>
      <c r="AB397" s="72" t="b">
        <f>IFERROR(match(C397,'Match Day Fees'!$B$2:$B$999,0),0)=0</f>
        <v>0</v>
      </c>
      <c r="AC397" s="73">
        <f t="shared" si="1"/>
        <v>0</v>
      </c>
      <c r="AD397" s="3" t="str">
        <f>VLOOKUP(D397,'Position Lookup'!A:B,1,FALSE)</f>
        <v>MID</v>
      </c>
    </row>
    <row r="398" ht="17.25" customHeight="1">
      <c r="A398" s="31">
        <v>45178.0</v>
      </c>
      <c r="B398" s="5" t="s">
        <v>222</v>
      </c>
      <c r="C398" s="3" t="s">
        <v>94</v>
      </c>
      <c r="D398" s="3" t="s">
        <v>10</v>
      </c>
      <c r="E398" s="5">
        <v>4.0</v>
      </c>
      <c r="F398" s="3" t="s">
        <v>359</v>
      </c>
      <c r="G398" s="3" t="s">
        <v>224</v>
      </c>
      <c r="J398" s="5">
        <v>1.0</v>
      </c>
      <c r="N398" s="3" t="b">
        <v>0</v>
      </c>
      <c r="R398" s="3">
        <v>0.0</v>
      </c>
      <c r="T398" s="3">
        <v>10.0</v>
      </c>
      <c r="U398" s="3">
        <v>6.5</v>
      </c>
      <c r="V398" s="2" t="s">
        <v>366</v>
      </c>
      <c r="W398" s="70" t="s">
        <v>311</v>
      </c>
      <c r="X398" s="71" t="s">
        <v>361</v>
      </c>
      <c r="Y398" s="3">
        <v>10.0</v>
      </c>
      <c r="Z398" s="3">
        <v>1.0</v>
      </c>
      <c r="AA398" s="2">
        <f>2+ (P398*'Scoring System'!$B$3)+ (IF(OR(D398="DEF",D398="GK"),N398*'Scoring System'!$B$4,IF(D398="MID",N398*'Scoring System'!$B$5,0)))+ (IF(OR(D398="DEF",D398="GK"),H398*'Scoring System'!$B$6,IF(D398="MID",H398*'Scoring System'!$B$7,IF(D398="ATT",H398*'Scoring System'!$B$8,0))))+ IF(AND(OR(D398="GK",D398="DEF"),J398&gt;=3),1*'Scoring System'!$B$9,0)+ (I398*'Scoring System'!$B$10)+ (K398*'Scoring System'!$B$11)+ (M398*'Scoring System'!$B$12)+ (L398*'Scoring System'!$B$13)+ (O398*'Scoring System'!$B$14)+ (Q398*'Scoring System'!$B$15)+ (R398*'Scoring System'!$B$16)</f>
        <v>2</v>
      </c>
      <c r="AB398" s="72" t="b">
        <f>IFERROR(match(C398,'Match Day Fees'!$B$2:$B$999,0),0)=0</f>
        <v>0</v>
      </c>
      <c r="AC398" s="73">
        <f t="shared" si="1"/>
        <v>0</v>
      </c>
      <c r="AD398" s="3" t="str">
        <f>VLOOKUP(D398,'Position Lookup'!A:B,1,FALSE)</f>
        <v>MID</v>
      </c>
    </row>
    <row r="399" ht="17.25" customHeight="1">
      <c r="A399" s="31">
        <v>45178.0</v>
      </c>
      <c r="B399" s="5" t="s">
        <v>222</v>
      </c>
      <c r="C399" s="3" t="s">
        <v>48</v>
      </c>
      <c r="D399" s="3" t="s">
        <v>10</v>
      </c>
      <c r="E399" s="5">
        <v>4.0</v>
      </c>
      <c r="F399" s="3" t="s">
        <v>359</v>
      </c>
      <c r="G399" s="3" t="s">
        <v>224</v>
      </c>
      <c r="H399" s="3">
        <v>2.0</v>
      </c>
      <c r="I399" s="3">
        <v>1.0</v>
      </c>
      <c r="J399" s="5">
        <v>1.0</v>
      </c>
      <c r="N399" s="3" t="b">
        <v>0</v>
      </c>
      <c r="R399" s="3">
        <v>0.0</v>
      </c>
      <c r="T399" s="3">
        <v>10.0</v>
      </c>
      <c r="U399" s="3">
        <v>7.5</v>
      </c>
      <c r="V399" s="2" t="s">
        <v>367</v>
      </c>
      <c r="W399" s="70" t="s">
        <v>311</v>
      </c>
      <c r="X399" s="71" t="s">
        <v>361</v>
      </c>
      <c r="Y399" s="3">
        <v>10.0</v>
      </c>
      <c r="Z399" s="3">
        <v>1.0</v>
      </c>
      <c r="AA399" s="2">
        <f>2+ (P399*'Scoring System'!$B$3)+ (IF(OR(D399="DEF",D399="GK"),N399*'Scoring System'!$B$4,IF(D399="MID",N399*'Scoring System'!$B$5,0)))+ (IF(OR(D399="DEF",D399="GK"),H399*'Scoring System'!$B$6,IF(D399="MID",H399*'Scoring System'!$B$7,IF(D399="ATT",H399*'Scoring System'!$B$8,0))))+ IF(AND(OR(D399="GK",D399="DEF"),J399&gt;=3),1*'Scoring System'!$B$9,0)+ (I399*'Scoring System'!$B$10)+ (K399*'Scoring System'!$B$11)+ (M399*'Scoring System'!$B$12)+ (L399*'Scoring System'!$B$13)+ (O399*'Scoring System'!$B$14)+ (Q399*'Scoring System'!$B$15)+ (R399*'Scoring System'!$B$16)</f>
        <v>15</v>
      </c>
      <c r="AB399" s="72" t="b">
        <f>IFERROR(match(C399,'Match Day Fees'!$B$2:$B$999,0),0)=0</f>
        <v>0</v>
      </c>
      <c r="AC399" s="73">
        <f t="shared" si="1"/>
        <v>0</v>
      </c>
      <c r="AD399" s="3" t="str">
        <f>VLOOKUP(D399,'Position Lookup'!A:B,1,FALSE)</f>
        <v>MID</v>
      </c>
    </row>
    <row r="400" ht="17.25" customHeight="1">
      <c r="A400" s="31">
        <v>45178.0</v>
      </c>
      <c r="B400" s="5" t="s">
        <v>222</v>
      </c>
      <c r="C400" s="3" t="s">
        <v>296</v>
      </c>
      <c r="D400" s="3" t="s">
        <v>11</v>
      </c>
      <c r="E400" s="5">
        <v>4.0</v>
      </c>
      <c r="F400" s="3" t="s">
        <v>359</v>
      </c>
      <c r="G400" s="3" t="s">
        <v>224</v>
      </c>
      <c r="J400" s="5">
        <v>1.0</v>
      </c>
      <c r="N400" s="3" t="b">
        <v>0</v>
      </c>
      <c r="R400" s="3">
        <v>0.0</v>
      </c>
      <c r="T400" s="3">
        <v>10.0</v>
      </c>
      <c r="U400" s="3">
        <v>7.0</v>
      </c>
      <c r="V400" s="2" t="s">
        <v>368</v>
      </c>
      <c r="W400" s="70" t="s">
        <v>311</v>
      </c>
      <c r="X400" s="71" t="s">
        <v>361</v>
      </c>
      <c r="Y400" s="3">
        <v>10.0</v>
      </c>
      <c r="Z400" s="3">
        <v>1.0</v>
      </c>
      <c r="AA400" s="2">
        <f>2+ (P400*'Scoring System'!$B$3)+ (IF(OR(D400="DEF",D400="GK"),N400*'Scoring System'!$B$4,IF(D400="MID",N400*'Scoring System'!$B$5,0)))+ (IF(OR(D400="DEF",D400="GK"),H400*'Scoring System'!$B$6,IF(D400="MID",H400*'Scoring System'!$B$7,IF(D400="ATT",H400*'Scoring System'!$B$8,0))))+ IF(AND(OR(D400="GK",D400="DEF"),J400&gt;=3),1*'Scoring System'!$B$9,0)+ (I400*'Scoring System'!$B$10)+ (K400*'Scoring System'!$B$11)+ (M400*'Scoring System'!$B$12)+ (L400*'Scoring System'!$B$13)+ (O400*'Scoring System'!$B$14)+ (Q400*'Scoring System'!$B$15)+ (R400*'Scoring System'!$B$16)</f>
        <v>2</v>
      </c>
      <c r="AB400" s="72" t="b">
        <f>IFERROR(match(C400,'Match Day Fees'!$B$2:$B$999,0),0)=0</f>
        <v>0</v>
      </c>
      <c r="AC400" s="73">
        <f t="shared" si="1"/>
        <v>0</v>
      </c>
      <c r="AD400" s="3" t="str">
        <f>VLOOKUP(D400,'Position Lookup'!A:B,1,FALSE)</f>
        <v>DEF</v>
      </c>
    </row>
    <row r="401" ht="17.25" customHeight="1">
      <c r="A401" s="31">
        <v>45178.0</v>
      </c>
      <c r="B401" s="5" t="s">
        <v>222</v>
      </c>
      <c r="C401" s="3" t="s">
        <v>263</v>
      </c>
      <c r="D401" s="3" t="s">
        <v>9</v>
      </c>
      <c r="E401" s="5">
        <v>4.0</v>
      </c>
      <c r="F401" s="3" t="s">
        <v>359</v>
      </c>
      <c r="G401" s="3" t="s">
        <v>224</v>
      </c>
      <c r="H401" s="3">
        <v>1.0</v>
      </c>
      <c r="I401" s="3">
        <v>1.0</v>
      </c>
      <c r="J401" s="5">
        <v>1.0</v>
      </c>
      <c r="N401" s="3" t="b">
        <v>0</v>
      </c>
      <c r="R401" s="3">
        <v>0.0</v>
      </c>
      <c r="T401" s="3">
        <v>10.0</v>
      </c>
      <c r="U401" s="3">
        <v>7.0</v>
      </c>
      <c r="V401" s="2" t="s">
        <v>369</v>
      </c>
      <c r="W401" s="70" t="s">
        <v>311</v>
      </c>
      <c r="X401" s="71" t="s">
        <v>361</v>
      </c>
      <c r="Y401" s="3">
        <v>10.0</v>
      </c>
      <c r="Z401" s="3">
        <v>1.0</v>
      </c>
      <c r="AA401" s="2">
        <f>2+ (P401*'Scoring System'!$B$3)+ (IF(OR(D401="DEF",D401="GK"),N401*'Scoring System'!$B$4,IF(D401="MID",N401*'Scoring System'!$B$5,0)))+ (IF(OR(D401="DEF",D401="GK"),H401*'Scoring System'!$B$6,IF(D401="MID",H401*'Scoring System'!$B$7,IF(D401="ATT",H401*'Scoring System'!$B$8,0))))+ IF(AND(OR(D401="GK",D401="DEF"),J401&gt;=3),1*'Scoring System'!$B$9,0)+ (I401*'Scoring System'!$B$10)+ (K401*'Scoring System'!$B$11)+ (M401*'Scoring System'!$B$12)+ (L401*'Scoring System'!$B$13)+ (O401*'Scoring System'!$B$14)+ (Q401*'Scoring System'!$B$15)+ (R401*'Scoring System'!$B$16)</f>
        <v>9</v>
      </c>
      <c r="AB401" s="72" t="b">
        <f>IFERROR(match(C401,'Match Day Fees'!$B$2:$B$999,0),0)=0</f>
        <v>0</v>
      </c>
      <c r="AC401" s="73">
        <f t="shared" si="1"/>
        <v>0</v>
      </c>
      <c r="AD401" s="3" t="str">
        <f>VLOOKUP(D401,'Position Lookup'!A:B,1,FALSE)</f>
        <v>ATT</v>
      </c>
    </row>
    <row r="402" ht="17.25" customHeight="1">
      <c r="A402" s="31">
        <v>45178.0</v>
      </c>
      <c r="B402" s="5" t="s">
        <v>222</v>
      </c>
      <c r="C402" s="3" t="s">
        <v>147</v>
      </c>
      <c r="D402" s="3" t="s">
        <v>10</v>
      </c>
      <c r="E402" s="5">
        <v>4.0</v>
      </c>
      <c r="F402" s="3" t="s">
        <v>359</v>
      </c>
      <c r="G402" s="3" t="s">
        <v>224</v>
      </c>
      <c r="J402" s="5">
        <v>1.0</v>
      </c>
      <c r="N402" s="3" t="b">
        <v>0</v>
      </c>
      <c r="R402" s="3">
        <v>0.0</v>
      </c>
      <c r="T402" s="3">
        <v>10.0</v>
      </c>
      <c r="U402" s="3">
        <v>7.0</v>
      </c>
      <c r="V402" s="2" t="s">
        <v>370</v>
      </c>
      <c r="W402" s="70" t="s">
        <v>311</v>
      </c>
      <c r="X402" s="71" t="s">
        <v>361</v>
      </c>
      <c r="Y402" s="3">
        <v>10.0</v>
      </c>
      <c r="Z402" s="3">
        <v>1.0</v>
      </c>
      <c r="AA402" s="2">
        <f>2+ (P402*'Scoring System'!$B$3)+ (IF(OR(D402="DEF",D402="GK"),N402*'Scoring System'!$B$4,IF(D402="MID",N402*'Scoring System'!$B$5,0)))+ (IF(OR(D402="DEF",D402="GK"),H402*'Scoring System'!$B$6,IF(D402="MID",H402*'Scoring System'!$B$7,IF(D402="ATT",H402*'Scoring System'!$B$8,0))))+ IF(AND(OR(D402="GK",D402="DEF"),J402&gt;=3),1*'Scoring System'!$B$9,0)+ (I402*'Scoring System'!$B$10)+ (K402*'Scoring System'!$B$11)+ (M402*'Scoring System'!$B$12)+ (L402*'Scoring System'!$B$13)+ (O402*'Scoring System'!$B$14)+ (Q402*'Scoring System'!$B$15)+ (R402*'Scoring System'!$B$16)</f>
        <v>2</v>
      </c>
      <c r="AB402" s="72" t="b">
        <f>IFERROR(match(C402,'Match Day Fees'!$B$2:$B$999,0),0)=0</f>
        <v>0</v>
      </c>
      <c r="AC402" s="73">
        <f t="shared" si="1"/>
        <v>0</v>
      </c>
      <c r="AD402" s="3" t="str">
        <f>VLOOKUP(D402,'Position Lookup'!A:B,1,FALSE)</f>
        <v>MID</v>
      </c>
    </row>
    <row r="403" ht="17.25" customHeight="1">
      <c r="A403" s="31">
        <v>45178.0</v>
      </c>
      <c r="B403" s="5" t="s">
        <v>222</v>
      </c>
      <c r="C403" s="3" t="s">
        <v>70</v>
      </c>
      <c r="D403" s="3" t="s">
        <v>10</v>
      </c>
      <c r="E403" s="5">
        <v>4.0</v>
      </c>
      <c r="F403" s="3" t="s">
        <v>359</v>
      </c>
      <c r="G403" s="3" t="s">
        <v>224</v>
      </c>
      <c r="H403" s="3">
        <v>4.0</v>
      </c>
      <c r="J403" s="5">
        <v>1.0</v>
      </c>
      <c r="N403" s="3" t="b">
        <v>0</v>
      </c>
      <c r="R403" s="3">
        <v>1.0</v>
      </c>
      <c r="T403" s="3">
        <v>10.0</v>
      </c>
      <c r="U403" s="3">
        <v>8.5</v>
      </c>
      <c r="V403" s="2" t="s">
        <v>371</v>
      </c>
      <c r="W403" s="70" t="s">
        <v>311</v>
      </c>
      <c r="X403" s="71" t="s">
        <v>361</v>
      </c>
      <c r="Y403" s="3">
        <v>10.0</v>
      </c>
      <c r="Z403" s="3">
        <v>1.0</v>
      </c>
      <c r="AA403" s="2">
        <f>2+ (P403*'Scoring System'!$B$3)+ (IF(OR(D403="DEF",D403="GK"),N403*'Scoring System'!$B$4,IF(D403="MID",N403*'Scoring System'!$B$5,0)))+ (IF(OR(D403="DEF",D403="GK"),H403*'Scoring System'!$B$6,IF(D403="MID",H403*'Scoring System'!$B$7,IF(D403="ATT",H403*'Scoring System'!$B$8,0))))+ IF(AND(OR(D403="GK",D403="DEF"),J403&gt;=3),1*'Scoring System'!$B$9,0)+ (I403*'Scoring System'!$B$10)+ (K403*'Scoring System'!$B$11)+ (M403*'Scoring System'!$B$12)+ (L403*'Scoring System'!$B$13)+ (O403*'Scoring System'!$B$14)+ (Q403*'Scoring System'!$B$15)+ (R403*'Scoring System'!$B$16)</f>
        <v>27</v>
      </c>
      <c r="AB403" s="72" t="b">
        <f>IFERROR(match(C403,'Match Day Fees'!$B$2:$B$999,0),0)=0</f>
        <v>0</v>
      </c>
      <c r="AC403" s="73">
        <f t="shared" si="1"/>
        <v>0</v>
      </c>
      <c r="AD403" s="3" t="str">
        <f>VLOOKUP(D403,'Position Lookup'!A:B,1,FALSE)</f>
        <v>MID</v>
      </c>
    </row>
    <row r="404" ht="17.25" customHeight="1">
      <c r="A404" s="31">
        <v>45178.0</v>
      </c>
      <c r="B404" s="5" t="s">
        <v>222</v>
      </c>
      <c r="C404" s="3" t="s">
        <v>266</v>
      </c>
      <c r="D404" s="3" t="s">
        <v>10</v>
      </c>
      <c r="E404" s="5">
        <v>4.0</v>
      </c>
      <c r="F404" s="3" t="s">
        <v>359</v>
      </c>
      <c r="G404" s="3" t="s">
        <v>224</v>
      </c>
      <c r="J404" s="5">
        <v>1.0</v>
      </c>
      <c r="N404" s="3" t="b">
        <v>0</v>
      </c>
      <c r="R404" s="3">
        <v>0.0</v>
      </c>
      <c r="T404" s="3">
        <v>10.0</v>
      </c>
      <c r="U404" s="3">
        <v>6.0</v>
      </c>
      <c r="V404" s="2" t="s">
        <v>372</v>
      </c>
      <c r="W404" s="70" t="s">
        <v>311</v>
      </c>
      <c r="X404" s="71" t="s">
        <v>361</v>
      </c>
      <c r="Y404" s="3">
        <v>10.0</v>
      </c>
      <c r="Z404" s="3">
        <v>1.0</v>
      </c>
      <c r="AA404" s="2">
        <f>2+ (P404*'Scoring System'!$B$3)+ (IF(OR(D404="DEF",D404="GK"),N404*'Scoring System'!$B$4,IF(D404="MID",N404*'Scoring System'!$B$5,0)))+ (IF(OR(D404="DEF",D404="GK"),H404*'Scoring System'!$B$6,IF(D404="MID",H404*'Scoring System'!$B$7,IF(D404="ATT",H404*'Scoring System'!$B$8,0))))+ IF(AND(OR(D404="GK",D404="DEF"),J404&gt;=3),1*'Scoring System'!$B$9,0)+ (I404*'Scoring System'!$B$10)+ (K404*'Scoring System'!$B$11)+ (M404*'Scoring System'!$B$12)+ (L404*'Scoring System'!$B$13)+ (O404*'Scoring System'!$B$14)+ (Q404*'Scoring System'!$B$15)+ (R404*'Scoring System'!$B$16)</f>
        <v>2</v>
      </c>
      <c r="AB404" s="72" t="b">
        <f>IFERROR(match(C404,'Match Day Fees'!$B$2:$B$999,0),0)=0</f>
        <v>0</v>
      </c>
      <c r="AC404" s="73">
        <f t="shared" si="1"/>
        <v>0</v>
      </c>
      <c r="AD404" s="3" t="str">
        <f>VLOOKUP(D404,'Position Lookup'!A:B,1,FALSE)</f>
        <v>MID</v>
      </c>
    </row>
    <row r="405" ht="17.25" customHeight="1">
      <c r="A405" s="31">
        <v>45178.0</v>
      </c>
      <c r="B405" s="5" t="s">
        <v>222</v>
      </c>
      <c r="C405" s="3" t="s">
        <v>71</v>
      </c>
      <c r="D405" s="3" t="s">
        <v>10</v>
      </c>
      <c r="E405" s="5">
        <v>4.0</v>
      </c>
      <c r="F405" s="3" t="s">
        <v>359</v>
      </c>
      <c r="G405" s="3" t="s">
        <v>224</v>
      </c>
      <c r="H405" s="3">
        <v>2.0</v>
      </c>
      <c r="J405" s="5">
        <v>1.0</v>
      </c>
      <c r="N405" s="3" t="b">
        <v>0</v>
      </c>
      <c r="R405" s="3">
        <v>0.0</v>
      </c>
      <c r="T405" s="3">
        <v>10.0</v>
      </c>
      <c r="U405" s="3">
        <v>7.0</v>
      </c>
      <c r="V405" s="2" t="s">
        <v>373</v>
      </c>
      <c r="W405" s="70" t="s">
        <v>311</v>
      </c>
      <c r="X405" s="71" t="s">
        <v>361</v>
      </c>
      <c r="Y405" s="3">
        <v>10.0</v>
      </c>
      <c r="Z405" s="3">
        <v>1.0</v>
      </c>
      <c r="AA405" s="2">
        <f>2+ (P405*'Scoring System'!$B$3)+ (IF(OR(D405="DEF",D405="GK"),N405*'Scoring System'!$B$4,IF(D405="MID",N405*'Scoring System'!$B$5,0)))+ (IF(OR(D405="DEF",D405="GK"),H405*'Scoring System'!$B$6,IF(D405="MID",H405*'Scoring System'!$B$7,IF(D405="ATT",H405*'Scoring System'!$B$8,0))))+ IF(AND(OR(D405="GK",D405="DEF"),J405&gt;=3),1*'Scoring System'!$B$9,0)+ (I405*'Scoring System'!$B$10)+ (K405*'Scoring System'!$B$11)+ (M405*'Scoring System'!$B$12)+ (L405*'Scoring System'!$B$13)+ (O405*'Scoring System'!$B$14)+ (Q405*'Scoring System'!$B$15)+ (R405*'Scoring System'!$B$16)</f>
        <v>12</v>
      </c>
      <c r="AB405" s="72" t="b">
        <f>IFERROR(match(C405,'Match Day Fees'!$B$2:$B$999,0),0)=0</f>
        <v>0</v>
      </c>
      <c r="AC405" s="73">
        <f t="shared" si="1"/>
        <v>0</v>
      </c>
      <c r="AD405" s="3" t="str">
        <f>VLOOKUP(D405,'Position Lookup'!A:B,1,FALSE)</f>
        <v>MID</v>
      </c>
    </row>
    <row r="406" ht="17.25" customHeight="1">
      <c r="A406" s="31">
        <v>45178.0</v>
      </c>
      <c r="B406" s="5" t="s">
        <v>222</v>
      </c>
      <c r="C406" s="3" t="s">
        <v>106</v>
      </c>
      <c r="D406" s="3" t="s">
        <v>8</v>
      </c>
      <c r="E406" s="5">
        <v>5.0</v>
      </c>
      <c r="F406" s="3" t="s">
        <v>374</v>
      </c>
      <c r="G406" s="3" t="s">
        <v>242</v>
      </c>
      <c r="J406" s="5">
        <v>2.0</v>
      </c>
      <c r="N406" s="3" t="b">
        <v>0</v>
      </c>
      <c r="R406" s="3">
        <v>0.0</v>
      </c>
      <c r="S406" s="3" t="b">
        <v>1</v>
      </c>
      <c r="T406" s="3">
        <v>0.0</v>
      </c>
      <c r="U406" s="3">
        <v>5.5</v>
      </c>
      <c r="V406" s="2" t="s">
        <v>375</v>
      </c>
      <c r="W406" s="70" t="s">
        <v>344</v>
      </c>
      <c r="X406" s="71" t="s">
        <v>376</v>
      </c>
      <c r="Y406" s="5">
        <v>2.0</v>
      </c>
      <c r="Z406" s="5">
        <v>2.0</v>
      </c>
      <c r="AA406" s="2">
        <f>2+ (P406*'Scoring System'!$B$3)+ (IF(OR(D406="DEF",D406="GK"),N406*'Scoring System'!$B$4,IF(D406="MID",N406*'Scoring System'!$B$5,0)))+ (IF(OR(D406="DEF",D406="GK"),H406*'Scoring System'!$B$6,IF(D406="MID",H406*'Scoring System'!$B$7,IF(D406="ATT",H406*'Scoring System'!$B$8,0))))+ IF(AND(OR(D406="GK",D406="DEF"),J406&gt;=3),1*'Scoring System'!$B$9,0)+ (I406*'Scoring System'!$B$10)+ (K406*'Scoring System'!$B$11)+ (M406*'Scoring System'!$B$12)+ (L406*'Scoring System'!$B$13)+ (O406*'Scoring System'!$B$14)+ (Q406*'Scoring System'!$B$15)+ (R406*'Scoring System'!$B$16)</f>
        <v>2</v>
      </c>
      <c r="AB406" s="72" t="b">
        <f>IFERROR(match(C406,'Match Day Fees'!$B$2:$B$999,0),0)=0</f>
        <v>0</v>
      </c>
      <c r="AC406" s="73">
        <f t="shared" si="1"/>
        <v>0</v>
      </c>
      <c r="AD406" s="3" t="str">
        <f>VLOOKUP(D406,'Position Lookup'!A:B,1,FALSE)</f>
        <v>GK</v>
      </c>
    </row>
    <row r="407" ht="17.25" customHeight="1">
      <c r="A407" s="31">
        <v>45178.0</v>
      </c>
      <c r="B407" s="5" t="s">
        <v>222</v>
      </c>
      <c r="C407" s="3" t="s">
        <v>304</v>
      </c>
      <c r="D407" s="3" t="s">
        <v>11</v>
      </c>
      <c r="E407" s="5">
        <v>5.0</v>
      </c>
      <c r="F407" s="3" t="s">
        <v>374</v>
      </c>
      <c r="G407" s="3" t="s">
        <v>242</v>
      </c>
      <c r="J407" s="5">
        <v>2.0</v>
      </c>
      <c r="N407" s="3" t="b">
        <v>0</v>
      </c>
      <c r="R407" s="3">
        <v>0.0</v>
      </c>
      <c r="T407" s="3">
        <v>10.0</v>
      </c>
      <c r="U407" s="3">
        <v>6.5</v>
      </c>
      <c r="V407" s="2" t="s">
        <v>377</v>
      </c>
      <c r="W407" s="70" t="s">
        <v>344</v>
      </c>
      <c r="X407" s="71" t="s">
        <v>376</v>
      </c>
      <c r="Y407" s="3">
        <v>2.0</v>
      </c>
      <c r="Z407" s="3">
        <v>2.0</v>
      </c>
      <c r="AA407" s="2">
        <f>2+ (P407*'Scoring System'!$B$3)+ (IF(OR(D407="DEF",D407="GK"),N407*'Scoring System'!$B$4,IF(D407="MID",N407*'Scoring System'!$B$5,0)))+ (IF(OR(D407="DEF",D407="GK"),H407*'Scoring System'!$B$6,IF(D407="MID",H407*'Scoring System'!$B$7,IF(D407="ATT",H407*'Scoring System'!$B$8,0))))+ IF(AND(OR(D407="GK",D407="DEF"),J407&gt;=3),1*'Scoring System'!$B$9,0)+ (I407*'Scoring System'!$B$10)+ (K407*'Scoring System'!$B$11)+ (M407*'Scoring System'!$B$12)+ (L407*'Scoring System'!$B$13)+ (O407*'Scoring System'!$B$14)+ (Q407*'Scoring System'!$B$15)+ (R407*'Scoring System'!$B$16)</f>
        <v>2</v>
      </c>
      <c r="AB407" s="72" t="b">
        <f>IFERROR(match(C407,'Match Day Fees'!$B$2:$B$999,0),0)=0</f>
        <v>0</v>
      </c>
      <c r="AC407" s="73">
        <f t="shared" si="1"/>
        <v>0</v>
      </c>
      <c r="AD407" s="3" t="str">
        <f>VLOOKUP(D407,'Position Lookup'!A:B,1,FALSE)</f>
        <v>DEF</v>
      </c>
    </row>
    <row r="408" ht="17.25" customHeight="1">
      <c r="A408" s="31">
        <v>45178.0</v>
      </c>
      <c r="B408" s="5" t="s">
        <v>222</v>
      </c>
      <c r="C408" s="3" t="s">
        <v>154</v>
      </c>
      <c r="D408" s="3" t="s">
        <v>11</v>
      </c>
      <c r="E408" s="5">
        <v>5.0</v>
      </c>
      <c r="F408" s="3" t="s">
        <v>374</v>
      </c>
      <c r="G408" s="3" t="s">
        <v>242</v>
      </c>
      <c r="J408" s="5">
        <v>2.0</v>
      </c>
      <c r="N408" s="3" t="b">
        <v>0</v>
      </c>
      <c r="R408" s="3">
        <v>0.0</v>
      </c>
      <c r="T408" s="3">
        <v>5.0</v>
      </c>
      <c r="U408" s="3">
        <v>7.0</v>
      </c>
      <c r="V408" s="2" t="s">
        <v>378</v>
      </c>
      <c r="W408" s="70" t="s">
        <v>344</v>
      </c>
      <c r="X408" s="71" t="s">
        <v>376</v>
      </c>
      <c r="Y408" s="3">
        <v>2.0</v>
      </c>
      <c r="Z408" s="3">
        <v>2.0</v>
      </c>
      <c r="AA408" s="2">
        <f>2+ (P408*'Scoring System'!$B$3)+ (IF(OR(D408="DEF",D408="GK"),N408*'Scoring System'!$B$4,IF(D408="MID",N408*'Scoring System'!$B$5,0)))+ (IF(OR(D408="DEF",D408="GK"),H408*'Scoring System'!$B$6,IF(D408="MID",H408*'Scoring System'!$B$7,IF(D408="ATT",H408*'Scoring System'!$B$8,0))))+ IF(AND(OR(D408="GK",D408="DEF"),J408&gt;=3),1*'Scoring System'!$B$9,0)+ (I408*'Scoring System'!$B$10)+ (K408*'Scoring System'!$B$11)+ (M408*'Scoring System'!$B$12)+ (L408*'Scoring System'!$B$13)+ (O408*'Scoring System'!$B$14)+ (Q408*'Scoring System'!$B$15)+ (R408*'Scoring System'!$B$16)</f>
        <v>2</v>
      </c>
      <c r="AB408" s="72" t="b">
        <f>IFERROR(match(C408,'Match Day Fees'!$B$2:$B$999,0),0)=0</f>
        <v>0</v>
      </c>
      <c r="AC408" s="73">
        <f t="shared" si="1"/>
        <v>0</v>
      </c>
      <c r="AD408" s="3" t="str">
        <f>VLOOKUP(D408,'Position Lookup'!A:B,1,FALSE)</f>
        <v>DEF</v>
      </c>
    </row>
    <row r="409" ht="17.25" customHeight="1">
      <c r="A409" s="31">
        <v>45178.0</v>
      </c>
      <c r="B409" s="5" t="s">
        <v>222</v>
      </c>
      <c r="C409" s="3" t="s">
        <v>97</v>
      </c>
      <c r="D409" s="3" t="s">
        <v>11</v>
      </c>
      <c r="E409" s="5">
        <v>5.0</v>
      </c>
      <c r="F409" s="3" t="s">
        <v>374</v>
      </c>
      <c r="G409" s="3" t="s">
        <v>242</v>
      </c>
      <c r="J409" s="5">
        <v>2.0</v>
      </c>
      <c r="N409" s="3" t="b">
        <v>0</v>
      </c>
      <c r="R409" s="3">
        <v>0.0</v>
      </c>
      <c r="T409" s="3">
        <v>5.0</v>
      </c>
      <c r="U409" s="3">
        <v>6.5</v>
      </c>
      <c r="V409" s="2" t="s">
        <v>379</v>
      </c>
      <c r="W409" s="70" t="s">
        <v>344</v>
      </c>
      <c r="X409" s="71" t="s">
        <v>376</v>
      </c>
      <c r="Y409" s="3">
        <v>2.0</v>
      </c>
      <c r="Z409" s="3">
        <v>2.0</v>
      </c>
      <c r="AA409" s="2">
        <f>2+ (P409*'Scoring System'!$B$3)+ (IF(OR(D409="DEF",D409="GK"),N409*'Scoring System'!$B$4,IF(D409="MID",N409*'Scoring System'!$B$5,0)))+ (IF(OR(D409="DEF",D409="GK"),H409*'Scoring System'!$B$6,IF(D409="MID",H409*'Scoring System'!$B$7,IF(D409="ATT",H409*'Scoring System'!$B$8,0))))+ IF(AND(OR(D409="GK",D409="DEF"),J409&gt;=3),1*'Scoring System'!$B$9,0)+ (I409*'Scoring System'!$B$10)+ (K409*'Scoring System'!$B$11)+ (M409*'Scoring System'!$B$12)+ (L409*'Scoring System'!$B$13)+ (O409*'Scoring System'!$B$14)+ (Q409*'Scoring System'!$B$15)+ (R409*'Scoring System'!$B$16)</f>
        <v>2</v>
      </c>
      <c r="AB409" s="72" t="b">
        <f>IFERROR(match(C409,'Match Day Fees'!$B$2:$B$999,0),0)=0</f>
        <v>0</v>
      </c>
      <c r="AC409" s="73">
        <f t="shared" si="1"/>
        <v>0</v>
      </c>
      <c r="AD409" s="3" t="str">
        <f>VLOOKUP(D409,'Position Lookup'!A:B,1,FALSE)</f>
        <v>DEF</v>
      </c>
    </row>
    <row r="410" ht="17.25" customHeight="1">
      <c r="A410" s="31">
        <v>45178.0</v>
      </c>
      <c r="B410" s="5" t="s">
        <v>222</v>
      </c>
      <c r="C410" s="3" t="s">
        <v>98</v>
      </c>
      <c r="D410" s="3" t="s">
        <v>11</v>
      </c>
      <c r="E410" s="5">
        <v>5.0</v>
      </c>
      <c r="F410" s="3" t="s">
        <v>374</v>
      </c>
      <c r="G410" s="3" t="s">
        <v>242</v>
      </c>
      <c r="J410" s="5">
        <v>2.0</v>
      </c>
      <c r="N410" s="3" t="b">
        <v>0</v>
      </c>
      <c r="R410" s="3">
        <v>0.0</v>
      </c>
      <c r="T410" s="3">
        <v>10.0</v>
      </c>
      <c r="U410" s="3">
        <v>7.5</v>
      </c>
      <c r="V410" s="2" t="s">
        <v>380</v>
      </c>
      <c r="W410" s="70" t="s">
        <v>344</v>
      </c>
      <c r="X410" s="71" t="s">
        <v>376</v>
      </c>
      <c r="Y410" s="3">
        <v>2.0</v>
      </c>
      <c r="Z410" s="3">
        <v>2.0</v>
      </c>
      <c r="AA410" s="2">
        <f>2+ (P410*'Scoring System'!$B$3)+ (IF(OR(D410="DEF",D410="GK"),N410*'Scoring System'!$B$4,IF(D410="MID",N410*'Scoring System'!$B$5,0)))+ (IF(OR(D410="DEF",D410="GK"),H410*'Scoring System'!$B$6,IF(D410="MID",H410*'Scoring System'!$B$7,IF(D410="ATT",H410*'Scoring System'!$B$8,0))))+ IF(AND(OR(D410="GK",D410="DEF"),J410&gt;=3),1*'Scoring System'!$B$9,0)+ (I410*'Scoring System'!$B$10)+ (K410*'Scoring System'!$B$11)+ (M410*'Scoring System'!$B$12)+ (L410*'Scoring System'!$B$13)+ (O410*'Scoring System'!$B$14)+ (Q410*'Scoring System'!$B$15)+ (R410*'Scoring System'!$B$16)</f>
        <v>2</v>
      </c>
      <c r="AB410" s="72" t="b">
        <f>IFERROR(match(C410,'Match Day Fees'!$B$2:$B$999,0),0)=0</f>
        <v>0</v>
      </c>
      <c r="AC410" s="73">
        <f t="shared" si="1"/>
        <v>0</v>
      </c>
      <c r="AD410" s="3" t="str">
        <f>VLOOKUP(D410,'Position Lookup'!A:B,1,FALSE)</f>
        <v>DEF</v>
      </c>
    </row>
    <row r="411" ht="17.25" customHeight="1">
      <c r="A411" s="31">
        <v>45178.0</v>
      </c>
      <c r="B411" s="5" t="s">
        <v>222</v>
      </c>
      <c r="C411" s="3" t="s">
        <v>117</v>
      </c>
      <c r="D411" s="3" t="s">
        <v>10</v>
      </c>
      <c r="E411" s="5">
        <v>5.0</v>
      </c>
      <c r="F411" s="3" t="s">
        <v>374</v>
      </c>
      <c r="G411" s="3" t="s">
        <v>242</v>
      </c>
      <c r="J411" s="5">
        <v>2.0</v>
      </c>
      <c r="N411" s="3" t="b">
        <v>0</v>
      </c>
      <c r="R411" s="3">
        <v>0.0</v>
      </c>
      <c r="T411" s="3">
        <v>5.0</v>
      </c>
      <c r="U411" s="3">
        <v>6.5</v>
      </c>
      <c r="V411" s="2" t="s">
        <v>381</v>
      </c>
      <c r="W411" s="70" t="s">
        <v>344</v>
      </c>
      <c r="X411" s="71" t="s">
        <v>376</v>
      </c>
      <c r="Y411" s="3">
        <v>2.0</v>
      </c>
      <c r="Z411" s="3">
        <v>2.0</v>
      </c>
      <c r="AA411" s="2">
        <f>2+ (P411*'Scoring System'!$B$3)+ (IF(OR(D411="DEF",D411="GK"),N411*'Scoring System'!$B$4,IF(D411="MID",N411*'Scoring System'!$B$5,0)))+ (IF(OR(D411="DEF",D411="GK"),H411*'Scoring System'!$B$6,IF(D411="MID",H411*'Scoring System'!$B$7,IF(D411="ATT",H411*'Scoring System'!$B$8,0))))+ IF(AND(OR(D411="GK",D411="DEF"),J411&gt;=3),1*'Scoring System'!$B$9,0)+ (I411*'Scoring System'!$B$10)+ (K411*'Scoring System'!$B$11)+ (M411*'Scoring System'!$B$12)+ (L411*'Scoring System'!$B$13)+ (O411*'Scoring System'!$B$14)+ (Q411*'Scoring System'!$B$15)+ (R411*'Scoring System'!$B$16)</f>
        <v>2</v>
      </c>
      <c r="AB411" s="72" t="b">
        <f>IFERROR(match(C411,'Match Day Fees'!$B$2:$B$999,0),0)=0</f>
        <v>0</v>
      </c>
      <c r="AC411" s="73">
        <f t="shared" si="1"/>
        <v>0</v>
      </c>
      <c r="AD411" s="3" t="str">
        <f>VLOOKUP(D411,'Position Lookup'!A:B,1,FALSE)</f>
        <v>MID</v>
      </c>
    </row>
    <row r="412" ht="17.25" customHeight="1">
      <c r="A412" s="31">
        <v>45178.0</v>
      </c>
      <c r="B412" s="5" t="s">
        <v>222</v>
      </c>
      <c r="C412" s="3" t="s">
        <v>95</v>
      </c>
      <c r="D412" s="3" t="s">
        <v>9</v>
      </c>
      <c r="E412" s="5">
        <v>5.0</v>
      </c>
      <c r="F412" s="3" t="s">
        <v>374</v>
      </c>
      <c r="G412" s="3" t="s">
        <v>242</v>
      </c>
      <c r="I412" s="3">
        <v>1.0</v>
      </c>
      <c r="J412" s="5">
        <v>2.0</v>
      </c>
      <c r="N412" s="3" t="b">
        <v>0</v>
      </c>
      <c r="R412" s="3">
        <v>0.0</v>
      </c>
      <c r="T412" s="3">
        <v>10.0</v>
      </c>
      <c r="U412" s="3">
        <v>7.0</v>
      </c>
      <c r="V412" s="2" t="s">
        <v>382</v>
      </c>
      <c r="W412" s="70" t="s">
        <v>344</v>
      </c>
      <c r="X412" s="71" t="s">
        <v>376</v>
      </c>
      <c r="Y412" s="3">
        <v>2.0</v>
      </c>
      <c r="Z412" s="3">
        <v>2.0</v>
      </c>
      <c r="AA412" s="2">
        <f>2+ (P412*'Scoring System'!$B$3)+ (IF(OR(D412="DEF",D412="GK"),N412*'Scoring System'!$B$4,IF(D412="MID",N412*'Scoring System'!$B$5,0)))+ (IF(OR(D412="DEF",D412="GK"),H412*'Scoring System'!$B$6,IF(D412="MID",H412*'Scoring System'!$B$7,IF(D412="ATT",H412*'Scoring System'!$B$8,0))))+ IF(AND(OR(D412="GK",D412="DEF"),J412&gt;=3),1*'Scoring System'!$B$9,0)+ (I412*'Scoring System'!$B$10)+ (K412*'Scoring System'!$B$11)+ (M412*'Scoring System'!$B$12)+ (L412*'Scoring System'!$B$13)+ (O412*'Scoring System'!$B$14)+ (Q412*'Scoring System'!$B$15)+ (R412*'Scoring System'!$B$16)</f>
        <v>5</v>
      </c>
      <c r="AB412" s="72" t="b">
        <f>IFERROR(match(C412,'Match Day Fees'!$B$2:$B$999,0),0)=0</f>
        <v>0</v>
      </c>
      <c r="AC412" s="73">
        <f t="shared" si="1"/>
        <v>0</v>
      </c>
      <c r="AD412" s="3" t="str">
        <f>VLOOKUP(D412,'Position Lookup'!A:B,1,FALSE)</f>
        <v>ATT</v>
      </c>
    </row>
    <row r="413" ht="17.25" customHeight="1">
      <c r="A413" s="31">
        <v>45178.0</v>
      </c>
      <c r="B413" s="5" t="s">
        <v>222</v>
      </c>
      <c r="C413" s="3" t="s">
        <v>72</v>
      </c>
      <c r="D413" s="3" t="s">
        <v>10</v>
      </c>
      <c r="E413" s="5">
        <v>5.0</v>
      </c>
      <c r="F413" s="3" t="s">
        <v>374</v>
      </c>
      <c r="G413" s="3" t="s">
        <v>242</v>
      </c>
      <c r="H413" s="3">
        <v>2.0</v>
      </c>
      <c r="J413" s="5">
        <v>2.0</v>
      </c>
      <c r="N413" s="3" t="b">
        <v>0</v>
      </c>
      <c r="R413" s="3">
        <v>1.0</v>
      </c>
      <c r="T413" s="3">
        <v>10.0</v>
      </c>
      <c r="U413" s="3">
        <v>8.5</v>
      </c>
      <c r="V413" s="2" t="s">
        <v>383</v>
      </c>
      <c r="W413" s="70" t="s">
        <v>344</v>
      </c>
      <c r="X413" s="71" t="s">
        <v>376</v>
      </c>
      <c r="Y413" s="3">
        <v>2.0</v>
      </c>
      <c r="Z413" s="3">
        <v>2.0</v>
      </c>
      <c r="AA413" s="2">
        <f>2+ (P413*'Scoring System'!$B$3)+ (IF(OR(D413="DEF",D413="GK"),N413*'Scoring System'!$B$4,IF(D413="MID",N413*'Scoring System'!$B$5,0)))+ (IF(OR(D413="DEF",D413="GK"),H413*'Scoring System'!$B$6,IF(D413="MID",H413*'Scoring System'!$B$7,IF(D413="ATT",H413*'Scoring System'!$B$8,0))))+ IF(AND(OR(D413="GK",D413="DEF"),J413&gt;=3),1*'Scoring System'!$B$9,0)+ (I413*'Scoring System'!$B$10)+ (K413*'Scoring System'!$B$11)+ (M413*'Scoring System'!$B$12)+ (L413*'Scoring System'!$B$13)+ (O413*'Scoring System'!$B$14)+ (Q413*'Scoring System'!$B$15)+ (R413*'Scoring System'!$B$16)</f>
        <v>17</v>
      </c>
      <c r="AB413" s="72" t="b">
        <f>IFERROR(match(C413,'Match Day Fees'!$B$2:$B$999,0),0)=0</f>
        <v>0</v>
      </c>
      <c r="AC413" s="73">
        <f t="shared" si="1"/>
        <v>0</v>
      </c>
      <c r="AD413" s="3" t="str">
        <f>VLOOKUP(D413,'Position Lookup'!A:B,1,FALSE)</f>
        <v>MID</v>
      </c>
    </row>
    <row r="414" ht="17.25" customHeight="1">
      <c r="A414" s="31">
        <v>45178.0</v>
      </c>
      <c r="B414" s="5" t="s">
        <v>222</v>
      </c>
      <c r="C414" s="3" t="s">
        <v>140</v>
      </c>
      <c r="D414" s="3" t="s">
        <v>9</v>
      </c>
      <c r="E414" s="5">
        <v>5.0</v>
      </c>
      <c r="F414" s="3" t="s">
        <v>374</v>
      </c>
      <c r="G414" s="3" t="s">
        <v>242</v>
      </c>
      <c r="J414" s="5">
        <v>2.0</v>
      </c>
      <c r="N414" s="3" t="b">
        <v>0</v>
      </c>
      <c r="R414" s="3">
        <v>0.0</v>
      </c>
      <c r="T414" s="3">
        <v>10.0</v>
      </c>
      <c r="U414" s="3">
        <v>7.0</v>
      </c>
      <c r="V414" s="2" t="s">
        <v>384</v>
      </c>
      <c r="W414" s="70" t="s">
        <v>344</v>
      </c>
      <c r="X414" s="71" t="s">
        <v>376</v>
      </c>
      <c r="Y414" s="3">
        <v>2.0</v>
      </c>
      <c r="Z414" s="3">
        <v>2.0</v>
      </c>
      <c r="AA414" s="2">
        <f>2+ (P414*'Scoring System'!$B$3)+ (IF(OR(D414="DEF",D414="GK"),N414*'Scoring System'!$B$4,IF(D414="MID",N414*'Scoring System'!$B$5,0)))+ (IF(OR(D414="DEF",D414="GK"),H414*'Scoring System'!$B$6,IF(D414="MID",H414*'Scoring System'!$B$7,IF(D414="ATT",H414*'Scoring System'!$B$8,0))))+ IF(AND(OR(D414="GK",D414="DEF"),J414&gt;=3),1*'Scoring System'!$B$9,0)+ (I414*'Scoring System'!$B$10)+ (K414*'Scoring System'!$B$11)+ (M414*'Scoring System'!$B$12)+ (L414*'Scoring System'!$B$13)+ (O414*'Scoring System'!$B$14)+ (Q414*'Scoring System'!$B$15)+ (R414*'Scoring System'!$B$16)</f>
        <v>2</v>
      </c>
      <c r="AB414" s="72" t="b">
        <f>IFERROR(match(C414,'Match Day Fees'!$B$2:$B$999,0),0)=0</f>
        <v>0</v>
      </c>
      <c r="AC414" s="73">
        <f t="shared" si="1"/>
        <v>0</v>
      </c>
      <c r="AD414" s="3" t="str">
        <f>VLOOKUP(D414,'Position Lookup'!A:B,1,FALSE)</f>
        <v>ATT</v>
      </c>
    </row>
    <row r="415" ht="17.25" customHeight="1">
      <c r="A415" s="31">
        <v>45178.0</v>
      </c>
      <c r="B415" s="5" t="s">
        <v>222</v>
      </c>
      <c r="C415" s="3" t="s">
        <v>108</v>
      </c>
      <c r="D415" s="3" t="s">
        <v>10</v>
      </c>
      <c r="E415" s="5">
        <v>5.0</v>
      </c>
      <c r="F415" s="3" t="s">
        <v>374</v>
      </c>
      <c r="G415" s="3" t="s">
        <v>242</v>
      </c>
      <c r="J415" s="5">
        <v>2.0</v>
      </c>
      <c r="N415" s="3" t="b">
        <v>0</v>
      </c>
      <c r="R415" s="3">
        <v>0.0</v>
      </c>
      <c r="T415" s="3">
        <v>10.0</v>
      </c>
      <c r="U415" s="3">
        <v>7.5</v>
      </c>
      <c r="V415" s="2" t="s">
        <v>385</v>
      </c>
      <c r="W415" s="70" t="s">
        <v>344</v>
      </c>
      <c r="X415" s="71" t="s">
        <v>376</v>
      </c>
      <c r="Y415" s="3">
        <v>2.0</v>
      </c>
      <c r="Z415" s="3">
        <v>2.0</v>
      </c>
      <c r="AA415" s="2">
        <f>2+ (P415*'Scoring System'!$B$3)+ (IF(OR(D415="DEF",D415="GK"),N415*'Scoring System'!$B$4,IF(D415="MID",N415*'Scoring System'!$B$5,0)))+ (IF(OR(D415="DEF",D415="GK"),H415*'Scoring System'!$B$6,IF(D415="MID",H415*'Scoring System'!$B$7,IF(D415="ATT",H415*'Scoring System'!$B$8,0))))+ IF(AND(OR(D415="GK",D415="DEF"),J415&gt;=3),1*'Scoring System'!$B$9,0)+ (I415*'Scoring System'!$B$10)+ (K415*'Scoring System'!$B$11)+ (M415*'Scoring System'!$B$12)+ (L415*'Scoring System'!$B$13)+ (O415*'Scoring System'!$B$14)+ (Q415*'Scoring System'!$B$15)+ (R415*'Scoring System'!$B$16)</f>
        <v>2</v>
      </c>
      <c r="AB415" s="72" t="b">
        <f>IFERROR(match(C415,'Match Day Fees'!$B$2:$B$999,0),0)=0</f>
        <v>0</v>
      </c>
      <c r="AC415" s="73">
        <f t="shared" si="1"/>
        <v>0</v>
      </c>
      <c r="AD415" s="3" t="str">
        <f>VLOOKUP(D415,'Position Lookup'!A:B,1,FALSE)</f>
        <v>MID</v>
      </c>
    </row>
    <row r="416" ht="17.25" customHeight="1">
      <c r="A416" s="31">
        <v>45178.0</v>
      </c>
      <c r="B416" s="5" t="s">
        <v>222</v>
      </c>
      <c r="C416" s="3" t="s">
        <v>145</v>
      </c>
      <c r="D416" s="3" t="s">
        <v>11</v>
      </c>
      <c r="E416" s="5">
        <v>5.0</v>
      </c>
      <c r="F416" s="3" t="s">
        <v>374</v>
      </c>
      <c r="G416" s="3" t="s">
        <v>242</v>
      </c>
      <c r="J416" s="5">
        <v>2.0</v>
      </c>
      <c r="N416" s="3" t="b">
        <v>0</v>
      </c>
      <c r="R416" s="3">
        <v>0.0</v>
      </c>
      <c r="T416" s="3">
        <v>10.0</v>
      </c>
      <c r="U416" s="3">
        <v>7.5</v>
      </c>
      <c r="V416" s="2" t="s">
        <v>386</v>
      </c>
      <c r="W416" s="70" t="s">
        <v>344</v>
      </c>
      <c r="X416" s="71" t="s">
        <v>376</v>
      </c>
      <c r="Y416" s="3">
        <v>2.0</v>
      </c>
      <c r="Z416" s="3">
        <v>2.0</v>
      </c>
      <c r="AA416" s="2">
        <f>2+ (P416*'Scoring System'!$B$3)+ (IF(OR(D416="DEF",D416="GK"),N416*'Scoring System'!$B$4,IF(D416="MID",N416*'Scoring System'!$B$5,0)))+ (IF(OR(D416="DEF",D416="GK"),H416*'Scoring System'!$B$6,IF(D416="MID",H416*'Scoring System'!$B$7,IF(D416="ATT",H416*'Scoring System'!$B$8,0))))+ IF(AND(OR(D416="GK",D416="DEF"),J416&gt;=3),1*'Scoring System'!$B$9,0)+ (I416*'Scoring System'!$B$10)+ (K416*'Scoring System'!$B$11)+ (M416*'Scoring System'!$B$12)+ (L416*'Scoring System'!$B$13)+ (O416*'Scoring System'!$B$14)+ (Q416*'Scoring System'!$B$15)+ (R416*'Scoring System'!$B$16)</f>
        <v>2</v>
      </c>
      <c r="AB416" s="72" t="b">
        <f>IFERROR(match(C416,'Match Day Fees'!$B$2:$B$999,0),0)=0</f>
        <v>0</v>
      </c>
      <c r="AC416" s="73">
        <f t="shared" si="1"/>
        <v>0</v>
      </c>
      <c r="AD416" s="3" t="str">
        <f>VLOOKUP(D416,'Position Lookup'!A:B,1,FALSE)</f>
        <v>DEF</v>
      </c>
    </row>
    <row r="417" ht="17.25" customHeight="1">
      <c r="A417" s="31">
        <v>45178.0</v>
      </c>
      <c r="B417" s="5" t="s">
        <v>222</v>
      </c>
      <c r="C417" s="3" t="s">
        <v>233</v>
      </c>
      <c r="D417" s="3" t="s">
        <v>11</v>
      </c>
      <c r="E417" s="5">
        <v>5.0</v>
      </c>
      <c r="F417" s="3" t="s">
        <v>374</v>
      </c>
      <c r="G417" s="3" t="s">
        <v>242</v>
      </c>
      <c r="J417" s="5">
        <v>2.0</v>
      </c>
      <c r="N417" s="3" t="b">
        <v>0</v>
      </c>
      <c r="R417" s="3">
        <v>0.0</v>
      </c>
      <c r="T417" s="3">
        <v>10.0</v>
      </c>
      <c r="U417" s="3">
        <v>7.5</v>
      </c>
      <c r="V417" s="2" t="s">
        <v>387</v>
      </c>
      <c r="W417" s="70" t="s">
        <v>344</v>
      </c>
      <c r="X417" s="71" t="s">
        <v>376</v>
      </c>
      <c r="Y417" s="3">
        <v>2.0</v>
      </c>
      <c r="Z417" s="3">
        <v>2.0</v>
      </c>
      <c r="AA417" s="2">
        <f>2+ (P417*'Scoring System'!$B$3)+ (IF(OR(D417="DEF",D417="GK"),N417*'Scoring System'!$B$4,IF(D417="MID",N417*'Scoring System'!$B$5,0)))+ (IF(OR(D417="DEF",D417="GK"),H417*'Scoring System'!$B$6,IF(D417="MID",H417*'Scoring System'!$B$7,IF(D417="ATT",H417*'Scoring System'!$B$8,0))))+ IF(AND(OR(D417="GK",D417="DEF"),J417&gt;=3),1*'Scoring System'!$B$9,0)+ (I417*'Scoring System'!$B$10)+ (K417*'Scoring System'!$B$11)+ (M417*'Scoring System'!$B$12)+ (L417*'Scoring System'!$B$13)+ (O417*'Scoring System'!$B$14)+ (Q417*'Scoring System'!$B$15)+ (R417*'Scoring System'!$B$16)</f>
        <v>2</v>
      </c>
      <c r="AB417" s="72" t="b">
        <f>IFERROR(match(C417,'Match Day Fees'!$B$2:$B$999,0),0)=0</f>
        <v>0</v>
      </c>
      <c r="AC417" s="73">
        <f t="shared" si="1"/>
        <v>0</v>
      </c>
      <c r="AD417" s="3" t="str">
        <f>VLOOKUP(D417,'Position Lookup'!A:B,1,FALSE)</f>
        <v>DEF</v>
      </c>
    </row>
    <row r="418" ht="17.25" customHeight="1">
      <c r="A418" s="31">
        <v>45178.0</v>
      </c>
      <c r="B418" s="5" t="s">
        <v>222</v>
      </c>
      <c r="C418" s="3" t="s">
        <v>103</v>
      </c>
      <c r="D418" s="3" t="s">
        <v>10</v>
      </c>
      <c r="E418" s="5">
        <v>5.0</v>
      </c>
      <c r="F418" s="3" t="s">
        <v>374</v>
      </c>
      <c r="G418" s="3" t="s">
        <v>242</v>
      </c>
      <c r="J418" s="5">
        <v>2.0</v>
      </c>
      <c r="N418" s="3" t="b">
        <v>0</v>
      </c>
      <c r="R418" s="3">
        <v>0.0</v>
      </c>
      <c r="T418" s="3">
        <v>10.0</v>
      </c>
      <c r="U418" s="3">
        <v>7.0</v>
      </c>
      <c r="V418" s="2" t="s">
        <v>388</v>
      </c>
      <c r="W418" s="70" t="s">
        <v>344</v>
      </c>
      <c r="X418" s="71" t="s">
        <v>376</v>
      </c>
      <c r="Y418" s="3">
        <v>2.0</v>
      </c>
      <c r="Z418" s="3">
        <v>2.0</v>
      </c>
      <c r="AA418" s="2">
        <f>2+ (P418*'Scoring System'!$B$3)+ (IF(OR(D418="DEF",D418="GK"),N418*'Scoring System'!$B$4,IF(D418="MID",N418*'Scoring System'!$B$5,0)))+ (IF(OR(D418="DEF",D418="GK"),H418*'Scoring System'!$B$6,IF(D418="MID",H418*'Scoring System'!$B$7,IF(D418="ATT",H418*'Scoring System'!$B$8,0))))+ IF(AND(OR(D418="GK",D418="DEF"),J418&gt;=3),1*'Scoring System'!$B$9,0)+ (I418*'Scoring System'!$B$10)+ (K418*'Scoring System'!$B$11)+ (M418*'Scoring System'!$B$12)+ (L418*'Scoring System'!$B$13)+ (O418*'Scoring System'!$B$14)+ (Q418*'Scoring System'!$B$15)+ (R418*'Scoring System'!$B$16)</f>
        <v>2</v>
      </c>
      <c r="AB418" s="72" t="b">
        <f>IFERROR(match(C418,'Match Day Fees'!$B$2:$B$999,0),0)=0</f>
        <v>0</v>
      </c>
      <c r="AC418" s="73">
        <f t="shared" si="1"/>
        <v>0</v>
      </c>
      <c r="AD418" s="3" t="str">
        <f>VLOOKUP(D418,'Position Lookup'!A:B,1,FALSE)</f>
        <v>MID</v>
      </c>
    </row>
    <row r="419" ht="17.25" customHeight="1">
      <c r="A419" s="31">
        <v>45178.0</v>
      </c>
      <c r="B419" s="5" t="s">
        <v>222</v>
      </c>
      <c r="C419" s="3" t="s">
        <v>236</v>
      </c>
      <c r="D419" s="3" t="s">
        <v>10</v>
      </c>
      <c r="E419" s="5">
        <v>5.0</v>
      </c>
      <c r="F419" s="3" t="s">
        <v>374</v>
      </c>
      <c r="G419" s="3" t="s">
        <v>242</v>
      </c>
      <c r="J419" s="5">
        <v>2.0</v>
      </c>
      <c r="N419" s="3" t="b">
        <v>0</v>
      </c>
      <c r="R419" s="3">
        <v>0.0</v>
      </c>
      <c r="T419" s="3">
        <v>5.0</v>
      </c>
      <c r="U419" s="2">
        <v>6.5</v>
      </c>
      <c r="V419" s="2" t="s">
        <v>389</v>
      </c>
      <c r="W419" s="70" t="s">
        <v>344</v>
      </c>
      <c r="X419" s="71" t="s">
        <v>376</v>
      </c>
      <c r="Y419" s="3">
        <v>2.0</v>
      </c>
      <c r="Z419" s="3">
        <v>2.0</v>
      </c>
      <c r="AA419" s="2">
        <f>2+ (P419*'Scoring System'!$B$3)+ (IF(OR(D419="DEF",D419="GK"),N419*'Scoring System'!$B$4,IF(D419="MID",N419*'Scoring System'!$B$5,0)))+ (IF(OR(D419="DEF",D419="GK"),H419*'Scoring System'!$B$6,IF(D419="MID",H419*'Scoring System'!$B$7,IF(D419="ATT",H419*'Scoring System'!$B$8,0))))+ IF(AND(OR(D419="GK",D419="DEF"),J419&gt;=3),1*'Scoring System'!$B$9,0)+ (I419*'Scoring System'!$B$10)+ (K419*'Scoring System'!$B$11)+ (M419*'Scoring System'!$B$12)+ (L419*'Scoring System'!$B$13)+ (O419*'Scoring System'!$B$14)+ (Q419*'Scoring System'!$B$15)+ (R419*'Scoring System'!$B$16)</f>
        <v>2</v>
      </c>
      <c r="AB419" s="72" t="b">
        <f>IFERROR(match(C419,'Match Day Fees'!$B$2:$B$999,0),0)=0</f>
        <v>0</v>
      </c>
      <c r="AC419" s="73">
        <f t="shared" si="1"/>
        <v>0</v>
      </c>
      <c r="AD419" s="3" t="str">
        <f>VLOOKUP(D419,'Position Lookup'!A:B,1,FALSE)</f>
        <v>MID</v>
      </c>
    </row>
    <row r="420" ht="17.25" customHeight="1">
      <c r="A420" s="31">
        <v>45178.0</v>
      </c>
      <c r="B420" s="5" t="s">
        <v>222</v>
      </c>
      <c r="C420" s="3" t="s">
        <v>139</v>
      </c>
      <c r="D420" s="3" t="s">
        <v>9</v>
      </c>
      <c r="E420" s="5">
        <v>5.0</v>
      </c>
      <c r="F420" s="3" t="s">
        <v>374</v>
      </c>
      <c r="G420" s="3" t="s">
        <v>242</v>
      </c>
      <c r="I420" s="3">
        <v>1.0</v>
      </c>
      <c r="J420" s="5">
        <v>2.0</v>
      </c>
      <c r="N420" s="3" t="b">
        <v>0</v>
      </c>
      <c r="R420" s="3">
        <v>0.0</v>
      </c>
      <c r="T420" s="3">
        <v>10.0</v>
      </c>
      <c r="U420" s="2">
        <v>7.5</v>
      </c>
      <c r="V420" s="2" t="s">
        <v>390</v>
      </c>
      <c r="W420" s="70" t="s">
        <v>344</v>
      </c>
      <c r="X420" s="71" t="s">
        <v>376</v>
      </c>
      <c r="Y420" s="3">
        <v>2.0</v>
      </c>
      <c r="Z420" s="3">
        <v>2.0</v>
      </c>
      <c r="AA420" s="2">
        <f>2+ (P420*'Scoring System'!$B$3)+ (IF(OR(D420="DEF",D420="GK"),N420*'Scoring System'!$B$4,IF(D420="MID",N420*'Scoring System'!$B$5,0)))+ (IF(OR(D420="DEF",D420="GK"),H420*'Scoring System'!$B$6,IF(D420="MID",H420*'Scoring System'!$B$7,IF(D420="ATT",H420*'Scoring System'!$B$8,0))))+ IF(AND(OR(D420="GK",D420="DEF"),J420&gt;=3),1*'Scoring System'!$B$9,0)+ (I420*'Scoring System'!$B$10)+ (K420*'Scoring System'!$B$11)+ (M420*'Scoring System'!$B$12)+ (L420*'Scoring System'!$B$13)+ (O420*'Scoring System'!$B$14)+ (Q420*'Scoring System'!$B$15)+ (R420*'Scoring System'!$B$16)</f>
        <v>5</v>
      </c>
      <c r="AB420" s="72" t="b">
        <f>IFERROR(match(C420,'Match Day Fees'!$B$2:$B$999,0),0)=0</f>
        <v>0</v>
      </c>
      <c r="AC420" s="73">
        <f t="shared" si="1"/>
        <v>0</v>
      </c>
      <c r="AD420" s="3" t="str">
        <f>VLOOKUP(D420,'Position Lookup'!A:B,1,FALSE)</f>
        <v>ATT</v>
      </c>
    </row>
    <row r="421" ht="17.25" customHeight="1">
      <c r="A421" s="31">
        <v>45178.0</v>
      </c>
      <c r="B421" s="5" t="s">
        <v>222</v>
      </c>
      <c r="C421" s="3" t="s">
        <v>391</v>
      </c>
      <c r="E421" s="5" t="s">
        <v>157</v>
      </c>
      <c r="G421" s="3" t="s">
        <v>242</v>
      </c>
      <c r="J421" s="5"/>
      <c r="M421" s="3">
        <v>0.0</v>
      </c>
      <c r="N421" s="3" t="b">
        <v>1</v>
      </c>
      <c r="O421" s="3">
        <v>0.0</v>
      </c>
      <c r="Q421" s="3">
        <v>1.0</v>
      </c>
      <c r="R421" s="3">
        <v>0.0</v>
      </c>
      <c r="T421" s="3">
        <v>10.0</v>
      </c>
      <c r="U421" s="2"/>
      <c r="V421" s="2"/>
      <c r="W421" s="70"/>
      <c r="X421" s="71"/>
      <c r="AA421" s="2">
        <f>2+ (P421*'Scoring System'!$B$3)+ (IF(OR(D421="DEF",D421="GK"),N421*'Scoring System'!$B$4,IF(D421="MID",N421*'Scoring System'!$B$5,0)))+ (IF(OR(D421="DEF",D421="GK"),H421*'Scoring System'!$B$6,IF(D421="MID",H421*'Scoring System'!$B$7,IF(D421="ATT",H421*'Scoring System'!$B$8,0))))+ IF(AND(OR(D421="GK",D421="DEF"),J421&gt;=3),1*'Scoring System'!$B$9,0)+ (I421*'Scoring System'!$B$10)+ (K421*'Scoring System'!$B$11)+ (M421*'Scoring System'!$B$12)+ (L421*'Scoring System'!$B$13)+ (O421*'Scoring System'!$B$14)+ (Q421*'Scoring System'!$B$15)+ (R421*'Scoring System'!$B$16)</f>
        <v>0</v>
      </c>
      <c r="AB421" s="72" t="b">
        <f>IFERROR(match(C421,'Match Day Fees'!$B$2:$B$999,0),0)=0</f>
        <v>0</v>
      </c>
      <c r="AC421" s="73">
        <f t="shared" si="1"/>
        <v>0</v>
      </c>
      <c r="AD421" s="3" t="str">
        <f>VLOOKUP(D421,'Position Lookup'!A:B,1,FALSE)</f>
        <v>#N/A</v>
      </c>
    </row>
    <row r="422" ht="17.25" customHeight="1">
      <c r="A422" s="31">
        <v>45178.0</v>
      </c>
      <c r="B422" s="5" t="s">
        <v>222</v>
      </c>
      <c r="C422" s="5" t="s">
        <v>307</v>
      </c>
      <c r="E422" s="5" t="s">
        <v>157</v>
      </c>
      <c r="G422" s="3" t="s">
        <v>242</v>
      </c>
      <c r="J422" s="5"/>
      <c r="M422" s="3">
        <v>0.0</v>
      </c>
      <c r="N422" s="3" t="b">
        <v>1</v>
      </c>
      <c r="O422" s="3">
        <v>0.0</v>
      </c>
      <c r="Q422" s="3">
        <v>1.0</v>
      </c>
      <c r="R422" s="3">
        <v>0.0</v>
      </c>
      <c r="T422" s="3">
        <v>10.0</v>
      </c>
      <c r="U422" s="2"/>
      <c r="V422" s="2"/>
      <c r="W422" s="70"/>
      <c r="X422" s="71"/>
      <c r="AA422" s="2">
        <f>2+ (P422*'Scoring System'!$B$3)+ (IF(OR(D422="DEF",D422="GK"),N422*'Scoring System'!$B$4,IF(D422="MID",N422*'Scoring System'!$B$5,0)))+ (IF(OR(D422="DEF",D422="GK"),H422*'Scoring System'!$B$6,IF(D422="MID",H422*'Scoring System'!$B$7,IF(D422="ATT",H422*'Scoring System'!$B$8,0))))+ IF(AND(OR(D422="GK",D422="DEF"),J422&gt;=3),1*'Scoring System'!$B$9,0)+ (I422*'Scoring System'!$B$10)+ (K422*'Scoring System'!$B$11)+ (M422*'Scoring System'!$B$12)+ (L422*'Scoring System'!$B$13)+ (O422*'Scoring System'!$B$14)+ (Q422*'Scoring System'!$B$15)+ (R422*'Scoring System'!$B$16)</f>
        <v>0</v>
      </c>
      <c r="AB422" s="72" t="b">
        <f>IFERROR(match(C422,'Match Day Fees'!$B$2:$B$999,0),0)=0</f>
        <v>0</v>
      </c>
      <c r="AC422" s="73">
        <f t="shared" si="1"/>
        <v>0</v>
      </c>
      <c r="AD422" s="3" t="str">
        <f>VLOOKUP(D422,'Position Lookup'!A:B,1,FALSE)</f>
        <v>#N/A</v>
      </c>
    </row>
    <row r="423" ht="17.25" customHeight="1">
      <c r="A423" s="31">
        <v>45178.0</v>
      </c>
      <c r="B423" s="5" t="s">
        <v>222</v>
      </c>
      <c r="C423" s="3" t="s">
        <v>290</v>
      </c>
      <c r="E423" s="5" t="s">
        <v>157</v>
      </c>
      <c r="G423" s="3" t="s">
        <v>242</v>
      </c>
      <c r="J423" s="5"/>
      <c r="M423" s="3">
        <v>0.0</v>
      </c>
      <c r="N423" s="3" t="b">
        <v>1</v>
      </c>
      <c r="O423" s="3">
        <v>0.0</v>
      </c>
      <c r="Q423" s="3">
        <v>1.0</v>
      </c>
      <c r="R423" s="3">
        <v>0.0</v>
      </c>
      <c r="T423" s="3">
        <v>10.0</v>
      </c>
      <c r="U423" s="2"/>
      <c r="V423" s="2"/>
      <c r="W423" s="70"/>
      <c r="X423" s="71"/>
      <c r="AA423" s="2">
        <f>2+ (P423*'Scoring System'!$B$3)+ (IF(OR(D423="DEF",D423="GK"),N423*'Scoring System'!$B$4,IF(D423="MID",N423*'Scoring System'!$B$5,0)))+ (IF(OR(D423="DEF",D423="GK"),H423*'Scoring System'!$B$6,IF(D423="MID",H423*'Scoring System'!$B$7,IF(D423="ATT",H423*'Scoring System'!$B$8,0))))+ IF(AND(OR(D423="GK",D423="DEF"),J423&gt;=3),1*'Scoring System'!$B$9,0)+ (I423*'Scoring System'!$B$10)+ (K423*'Scoring System'!$B$11)+ (M423*'Scoring System'!$B$12)+ (L423*'Scoring System'!$B$13)+ (O423*'Scoring System'!$B$14)+ (Q423*'Scoring System'!$B$15)+ (R423*'Scoring System'!$B$16)</f>
        <v>0</v>
      </c>
      <c r="AB423" s="72" t="b">
        <f>IFERROR(match(C423,'Match Day Fees'!$B$2:$B$999,0),0)=0</f>
        <v>0</v>
      </c>
      <c r="AC423" s="73">
        <f t="shared" si="1"/>
        <v>0</v>
      </c>
      <c r="AD423" s="3" t="str">
        <f>VLOOKUP(D423,'Position Lookup'!A:B,1,FALSE)</f>
        <v>#N/A</v>
      </c>
    </row>
    <row r="424" ht="17.25" customHeight="1">
      <c r="A424" s="31">
        <v>45178.0</v>
      </c>
      <c r="B424" s="5" t="s">
        <v>222</v>
      </c>
      <c r="C424" s="5" t="s">
        <v>293</v>
      </c>
      <c r="E424" s="5" t="s">
        <v>157</v>
      </c>
      <c r="G424" s="3" t="s">
        <v>242</v>
      </c>
      <c r="J424" s="5"/>
      <c r="M424" s="3">
        <v>0.0</v>
      </c>
      <c r="N424" s="3" t="b">
        <v>1</v>
      </c>
      <c r="O424" s="3">
        <v>0.0</v>
      </c>
      <c r="Q424" s="3">
        <v>1.0</v>
      </c>
      <c r="R424" s="3">
        <v>0.0</v>
      </c>
      <c r="T424" s="3">
        <v>10.0</v>
      </c>
      <c r="U424" s="2"/>
      <c r="V424" s="2"/>
      <c r="W424" s="70"/>
      <c r="X424" s="71"/>
      <c r="AA424" s="2">
        <f>2+ (P424*'Scoring System'!$B$3)+ (IF(OR(D424="DEF",D424="GK"),N424*'Scoring System'!$B$4,IF(D424="MID",N424*'Scoring System'!$B$5,0)))+ (IF(OR(D424="DEF",D424="GK"),H424*'Scoring System'!$B$6,IF(D424="MID",H424*'Scoring System'!$B$7,IF(D424="ATT",H424*'Scoring System'!$B$8,0))))+ IF(AND(OR(D424="GK",D424="DEF"),J424&gt;=3),1*'Scoring System'!$B$9,0)+ (I424*'Scoring System'!$B$10)+ (K424*'Scoring System'!$B$11)+ (M424*'Scoring System'!$B$12)+ (L424*'Scoring System'!$B$13)+ (O424*'Scoring System'!$B$14)+ (Q424*'Scoring System'!$B$15)+ (R424*'Scoring System'!$B$16)</f>
        <v>0</v>
      </c>
      <c r="AB424" s="72" t="b">
        <f>IFERROR(match(C424,'Match Day Fees'!$B$2:$B$999,0),0)=0</f>
        <v>0</v>
      </c>
      <c r="AC424" s="73">
        <f t="shared" si="1"/>
        <v>0</v>
      </c>
      <c r="AD424" s="3" t="str">
        <f>VLOOKUP(D424,'Position Lookup'!A:B,1,FALSE)</f>
        <v>#N/A</v>
      </c>
    </row>
    <row r="425" ht="17.25" customHeight="1">
      <c r="A425" s="31">
        <v>45178.0</v>
      </c>
      <c r="B425" s="5" t="s">
        <v>222</v>
      </c>
      <c r="C425" s="5" t="s">
        <v>392</v>
      </c>
      <c r="E425" s="5" t="s">
        <v>157</v>
      </c>
      <c r="G425" s="3" t="s">
        <v>242</v>
      </c>
      <c r="J425" s="5"/>
      <c r="M425" s="3">
        <v>0.0</v>
      </c>
      <c r="N425" s="3" t="b">
        <v>1</v>
      </c>
      <c r="O425" s="3">
        <v>0.0</v>
      </c>
      <c r="Q425" s="3">
        <v>1.0</v>
      </c>
      <c r="R425" s="3">
        <v>0.0</v>
      </c>
      <c r="T425" s="3">
        <v>10.0</v>
      </c>
      <c r="U425" s="2"/>
      <c r="V425" s="2"/>
      <c r="W425" s="70"/>
      <c r="X425" s="71"/>
      <c r="AA425" s="2">
        <f>2+ (P425*'Scoring System'!$B$3)+ (IF(OR(D425="DEF",D425="GK"),N425*'Scoring System'!$B$4,IF(D425="MID",N425*'Scoring System'!$B$5,0)))+ (IF(OR(D425="DEF",D425="GK"),H425*'Scoring System'!$B$6,IF(D425="MID",H425*'Scoring System'!$B$7,IF(D425="ATT",H425*'Scoring System'!$B$8,0))))+ IF(AND(OR(D425="GK",D425="DEF"),J425&gt;=3),1*'Scoring System'!$B$9,0)+ (I425*'Scoring System'!$B$10)+ (K425*'Scoring System'!$B$11)+ (M425*'Scoring System'!$B$12)+ (L425*'Scoring System'!$B$13)+ (O425*'Scoring System'!$B$14)+ (Q425*'Scoring System'!$B$15)+ (R425*'Scoring System'!$B$16)</f>
        <v>0</v>
      </c>
      <c r="AB425" s="72" t="b">
        <f>IFERROR(match(C425,'Match Day Fees'!$B$2:$B$999,0),0)=0</f>
        <v>0</v>
      </c>
      <c r="AC425" s="73">
        <f t="shared" si="1"/>
        <v>0</v>
      </c>
      <c r="AD425" s="3" t="str">
        <f>VLOOKUP(D425,'Position Lookup'!A:B,1,FALSE)</f>
        <v>#N/A</v>
      </c>
    </row>
    <row r="426" ht="17.25" customHeight="1">
      <c r="A426" s="31">
        <v>45178.0</v>
      </c>
      <c r="B426" s="5" t="s">
        <v>222</v>
      </c>
      <c r="C426" s="5" t="s">
        <v>393</v>
      </c>
      <c r="E426" s="5" t="s">
        <v>157</v>
      </c>
      <c r="G426" s="3" t="s">
        <v>242</v>
      </c>
      <c r="J426" s="5"/>
      <c r="M426" s="3">
        <v>0.0</v>
      </c>
      <c r="N426" s="3" t="b">
        <v>1</v>
      </c>
      <c r="O426" s="3">
        <v>0.0</v>
      </c>
      <c r="Q426" s="3">
        <v>1.0</v>
      </c>
      <c r="R426" s="3">
        <v>0.0</v>
      </c>
      <c r="T426" s="3">
        <v>10.0</v>
      </c>
      <c r="U426" s="2"/>
      <c r="V426" s="2"/>
      <c r="W426" s="70"/>
      <c r="X426" s="71"/>
      <c r="AA426" s="2">
        <f>2+ (P426*'Scoring System'!$B$3)+ (IF(OR(D426="DEF",D426="GK"),N426*'Scoring System'!$B$4,IF(D426="MID",N426*'Scoring System'!$B$5,0)))+ (IF(OR(D426="DEF",D426="GK"),H426*'Scoring System'!$B$6,IF(D426="MID",H426*'Scoring System'!$B$7,IF(D426="ATT",H426*'Scoring System'!$B$8,0))))+ IF(AND(OR(D426="GK",D426="DEF"),J426&gt;=3),1*'Scoring System'!$B$9,0)+ (I426*'Scoring System'!$B$10)+ (K426*'Scoring System'!$B$11)+ (M426*'Scoring System'!$B$12)+ (L426*'Scoring System'!$B$13)+ (O426*'Scoring System'!$B$14)+ (Q426*'Scoring System'!$B$15)+ (R426*'Scoring System'!$B$16)</f>
        <v>0</v>
      </c>
      <c r="AB426" s="72" t="b">
        <f>IFERROR(match(C426,'Match Day Fees'!$B$2:$B$999,0),0)=0</f>
        <v>0</v>
      </c>
      <c r="AC426" s="73">
        <f t="shared" si="1"/>
        <v>0</v>
      </c>
      <c r="AD426" s="3" t="str">
        <f>VLOOKUP(D426,'Position Lookup'!A:B,1,FALSE)</f>
        <v>#N/A</v>
      </c>
    </row>
    <row r="427" ht="17.25" customHeight="1">
      <c r="A427" s="31">
        <v>45178.0</v>
      </c>
      <c r="B427" s="5" t="s">
        <v>222</v>
      </c>
      <c r="C427" s="5" t="s">
        <v>394</v>
      </c>
      <c r="E427" s="5" t="s">
        <v>157</v>
      </c>
      <c r="G427" s="3" t="s">
        <v>242</v>
      </c>
      <c r="J427" s="5"/>
      <c r="M427" s="3">
        <v>0.0</v>
      </c>
      <c r="N427" s="3" t="b">
        <v>1</v>
      </c>
      <c r="O427" s="3">
        <v>0.0</v>
      </c>
      <c r="Q427" s="3">
        <v>1.0</v>
      </c>
      <c r="R427" s="3">
        <v>0.0</v>
      </c>
      <c r="T427" s="3">
        <v>10.0</v>
      </c>
      <c r="U427" s="2"/>
      <c r="V427" s="2"/>
      <c r="W427" s="70"/>
      <c r="X427" s="71"/>
      <c r="AA427" s="2">
        <f>2+ (P427*'Scoring System'!$B$3)+ (IF(OR(D427="DEF",D427="GK"),N427*'Scoring System'!$B$4,IF(D427="MID",N427*'Scoring System'!$B$5,0)))+ (IF(OR(D427="DEF",D427="GK"),H427*'Scoring System'!$B$6,IF(D427="MID",H427*'Scoring System'!$B$7,IF(D427="ATT",H427*'Scoring System'!$B$8,0))))+ IF(AND(OR(D427="GK",D427="DEF"),J427&gt;=3),1*'Scoring System'!$B$9,0)+ (I427*'Scoring System'!$B$10)+ (K427*'Scoring System'!$B$11)+ (M427*'Scoring System'!$B$12)+ (L427*'Scoring System'!$B$13)+ (O427*'Scoring System'!$B$14)+ (Q427*'Scoring System'!$B$15)+ (R427*'Scoring System'!$B$16)</f>
        <v>0</v>
      </c>
      <c r="AB427" s="72" t="b">
        <f>IFERROR(match(C427,'Match Day Fees'!$B$2:$B$999,0),0)=0</f>
        <v>0</v>
      </c>
      <c r="AC427" s="73">
        <f t="shared" si="1"/>
        <v>0</v>
      </c>
      <c r="AD427" s="3" t="str">
        <f>VLOOKUP(D427,'Position Lookup'!A:B,1,FALSE)</f>
        <v>#N/A</v>
      </c>
    </row>
    <row r="428" ht="17.25" customHeight="1">
      <c r="A428" s="31">
        <v>45178.0</v>
      </c>
      <c r="B428" s="5" t="s">
        <v>222</v>
      </c>
      <c r="C428" s="5" t="s">
        <v>264</v>
      </c>
      <c r="E428" s="5" t="s">
        <v>157</v>
      </c>
      <c r="G428" s="3" t="s">
        <v>242</v>
      </c>
      <c r="J428" s="5"/>
      <c r="M428" s="3">
        <v>0.0</v>
      </c>
      <c r="N428" s="3" t="b">
        <v>1</v>
      </c>
      <c r="O428" s="3">
        <v>0.0</v>
      </c>
      <c r="Q428" s="3">
        <v>1.0</v>
      </c>
      <c r="R428" s="3">
        <v>0.0</v>
      </c>
      <c r="T428" s="3">
        <v>10.0</v>
      </c>
      <c r="U428" s="2"/>
      <c r="V428" s="2"/>
      <c r="W428" s="70"/>
      <c r="X428" s="71"/>
      <c r="AA428" s="2">
        <f>2+ (P428*'Scoring System'!$B$3)+ (IF(OR(D428="DEF",D428="GK"),N428*'Scoring System'!$B$4,IF(D428="MID",N428*'Scoring System'!$B$5,0)))+ (IF(OR(D428="DEF",D428="GK"),H428*'Scoring System'!$B$6,IF(D428="MID",H428*'Scoring System'!$B$7,IF(D428="ATT",H428*'Scoring System'!$B$8,0))))+ IF(AND(OR(D428="GK",D428="DEF"),J428&gt;=3),1*'Scoring System'!$B$9,0)+ (I428*'Scoring System'!$B$10)+ (K428*'Scoring System'!$B$11)+ (M428*'Scoring System'!$B$12)+ (L428*'Scoring System'!$B$13)+ (O428*'Scoring System'!$B$14)+ (Q428*'Scoring System'!$B$15)+ (R428*'Scoring System'!$B$16)</f>
        <v>0</v>
      </c>
      <c r="AB428" s="72" t="b">
        <f>IFERROR(match(C428,'Match Day Fees'!$B$2:$B$999,0),0)=0</f>
        <v>0</v>
      </c>
      <c r="AC428" s="73">
        <f t="shared" si="1"/>
        <v>0</v>
      </c>
      <c r="AD428" s="3" t="str">
        <f>VLOOKUP(D428,'Position Lookup'!A:B,1,FALSE)</f>
        <v>#N/A</v>
      </c>
    </row>
    <row r="429" ht="17.25" customHeight="1">
      <c r="A429" s="31">
        <v>45178.0</v>
      </c>
      <c r="B429" s="5" t="s">
        <v>222</v>
      </c>
      <c r="C429" s="5" t="s">
        <v>129</v>
      </c>
      <c r="E429" s="5" t="s">
        <v>157</v>
      </c>
      <c r="G429" s="3" t="s">
        <v>242</v>
      </c>
      <c r="J429" s="5"/>
      <c r="M429" s="3">
        <v>0.0</v>
      </c>
      <c r="N429" s="3" t="b">
        <v>1</v>
      </c>
      <c r="O429" s="3">
        <v>0.0</v>
      </c>
      <c r="Q429" s="3">
        <v>1.0</v>
      </c>
      <c r="R429" s="3">
        <v>0.0</v>
      </c>
      <c r="T429" s="3">
        <v>10.0</v>
      </c>
      <c r="U429" s="2"/>
      <c r="V429" s="2"/>
      <c r="W429" s="70"/>
      <c r="X429" s="71"/>
      <c r="AA429" s="2">
        <f>2+ (P429*'Scoring System'!$B$3)+ (IF(OR(D429="DEF",D429="GK"),N429*'Scoring System'!$B$4,IF(D429="MID",N429*'Scoring System'!$B$5,0)))+ (IF(OR(D429="DEF",D429="GK"),H429*'Scoring System'!$B$6,IF(D429="MID",H429*'Scoring System'!$B$7,IF(D429="ATT",H429*'Scoring System'!$B$8,0))))+ IF(AND(OR(D429="GK",D429="DEF"),J429&gt;=3),1*'Scoring System'!$B$9,0)+ (I429*'Scoring System'!$B$10)+ (K429*'Scoring System'!$B$11)+ (M429*'Scoring System'!$B$12)+ (L429*'Scoring System'!$B$13)+ (O429*'Scoring System'!$B$14)+ (Q429*'Scoring System'!$B$15)+ (R429*'Scoring System'!$B$16)</f>
        <v>0</v>
      </c>
      <c r="AB429" s="72" t="b">
        <f>IFERROR(match(C429,'Match Day Fees'!$B$2:$B$999,0),0)=0</f>
        <v>0</v>
      </c>
      <c r="AC429" s="73">
        <f t="shared" si="1"/>
        <v>0</v>
      </c>
      <c r="AD429" s="3" t="str">
        <f>VLOOKUP(D429,'Position Lookup'!A:B,1,FALSE)</f>
        <v>#N/A</v>
      </c>
    </row>
    <row r="430" ht="17.25" customHeight="1">
      <c r="A430" s="31">
        <v>45178.0</v>
      </c>
      <c r="B430" s="5" t="s">
        <v>222</v>
      </c>
      <c r="C430" s="5" t="s">
        <v>55</v>
      </c>
      <c r="E430" s="5" t="s">
        <v>157</v>
      </c>
      <c r="G430" s="3" t="s">
        <v>242</v>
      </c>
      <c r="J430" s="5"/>
      <c r="M430" s="3">
        <v>0.0</v>
      </c>
      <c r="N430" s="3" t="b">
        <v>1</v>
      </c>
      <c r="O430" s="3">
        <v>0.0</v>
      </c>
      <c r="Q430" s="3">
        <v>1.0</v>
      </c>
      <c r="R430" s="3">
        <v>0.0</v>
      </c>
      <c r="T430" s="3">
        <v>10.0</v>
      </c>
      <c r="U430" s="2"/>
      <c r="V430" s="2"/>
      <c r="W430" s="70"/>
      <c r="X430" s="71"/>
      <c r="AA430" s="2">
        <f>2+ (P430*'Scoring System'!$B$3)+ (IF(OR(D430="DEF",D430="GK"),N430*'Scoring System'!$B$4,IF(D430="MID",N430*'Scoring System'!$B$5,0)))+ (IF(OR(D430="DEF",D430="GK"),H430*'Scoring System'!$B$6,IF(D430="MID",H430*'Scoring System'!$B$7,IF(D430="ATT",H430*'Scoring System'!$B$8,0))))+ IF(AND(OR(D430="GK",D430="DEF"),J430&gt;=3),1*'Scoring System'!$B$9,0)+ (I430*'Scoring System'!$B$10)+ (K430*'Scoring System'!$B$11)+ (M430*'Scoring System'!$B$12)+ (L430*'Scoring System'!$B$13)+ (O430*'Scoring System'!$B$14)+ (Q430*'Scoring System'!$B$15)+ (R430*'Scoring System'!$B$16)</f>
        <v>0</v>
      </c>
      <c r="AB430" s="72" t="b">
        <f>IFERROR(match(C430,'Match Day Fees'!$B$2:$B$999,0),0)=0</f>
        <v>0</v>
      </c>
      <c r="AC430" s="73">
        <f t="shared" si="1"/>
        <v>0</v>
      </c>
      <c r="AD430" s="3" t="str">
        <f>VLOOKUP(D430,'Position Lookup'!A:B,1,FALSE)</f>
        <v>#N/A</v>
      </c>
    </row>
    <row r="431" ht="17.25" customHeight="1">
      <c r="A431" s="31">
        <v>45178.0</v>
      </c>
      <c r="B431" s="5" t="s">
        <v>222</v>
      </c>
      <c r="C431" s="5" t="s">
        <v>395</v>
      </c>
      <c r="E431" s="5" t="s">
        <v>157</v>
      </c>
      <c r="G431" s="3" t="s">
        <v>242</v>
      </c>
      <c r="T431" s="3">
        <v>10.0</v>
      </c>
      <c r="W431" s="74"/>
      <c r="AA431" s="2">
        <f>2+ (P431*'Scoring System'!$B$3)+ (IF(OR(D431="DEF",D431="GK"),N431*'Scoring System'!$B$4,IF(D431="MID",N431*'Scoring System'!$B$5,0)))+ (IF(OR(D431="DEF",D431="GK"),H431*'Scoring System'!$B$6,IF(D431="MID",H431*'Scoring System'!$B$7,IF(D431="ATT",H431*'Scoring System'!$B$8,0))))+ IF(AND(OR(D431="GK",D431="DEF"),J431&gt;=3),1*'Scoring System'!$B$9,0)+ (I431*'Scoring System'!$B$10)+ (K431*'Scoring System'!$B$11)+ (M431*'Scoring System'!$B$12)+ (L431*'Scoring System'!$B$13)+ (O431*'Scoring System'!$B$14)+ (Q431*'Scoring System'!$B$15)+ (R431*'Scoring System'!$B$16)</f>
        <v>2</v>
      </c>
      <c r="AB431" s="72" t="b">
        <f>IFERROR(match(C431,'Match Day Fees'!$B$2:$B$999,0),0)=0</f>
        <v>0</v>
      </c>
      <c r="AC431" s="73">
        <f t="shared" si="1"/>
        <v>0</v>
      </c>
      <c r="AD431" s="3" t="str">
        <f>VLOOKUP(D431,'Position Lookup'!A:B,1,FALSE)</f>
        <v>#N/A</v>
      </c>
    </row>
    <row r="432" ht="17.25" customHeight="1">
      <c r="A432" s="31">
        <v>45178.0</v>
      </c>
      <c r="B432" s="5" t="s">
        <v>222</v>
      </c>
      <c r="C432" s="5" t="s">
        <v>138</v>
      </c>
      <c r="E432" s="5" t="s">
        <v>157</v>
      </c>
      <c r="G432" s="3" t="s">
        <v>242</v>
      </c>
      <c r="T432" s="3">
        <v>10.0</v>
      </c>
      <c r="V432" s="2"/>
      <c r="W432" s="70"/>
      <c r="X432" s="77"/>
      <c r="AA432" s="2">
        <f>2+ (P432*'Scoring System'!$B$3)+ (IF(OR(D432="DEF",D432="GK"),N432*'Scoring System'!$B$4,IF(D432="MID",N432*'Scoring System'!$B$5,0)))+ (IF(OR(D432="DEF",D432="GK"),H432*'Scoring System'!$B$6,IF(D432="MID",H432*'Scoring System'!$B$7,IF(D432="ATT",H432*'Scoring System'!$B$8,0))))+ IF(AND(OR(D432="GK",D432="DEF"),J432&gt;=3),1*'Scoring System'!$B$9,0)+ (I432*'Scoring System'!$B$10)+ (K432*'Scoring System'!$B$11)+ (M432*'Scoring System'!$B$12)+ (L432*'Scoring System'!$B$13)+ (O432*'Scoring System'!$B$14)+ (Q432*'Scoring System'!$B$15)+ (R432*'Scoring System'!$B$16)</f>
        <v>2</v>
      </c>
      <c r="AB432" s="72" t="b">
        <f>IFERROR(match(C432,'Match Day Fees'!$B$2:$B$999,0),0)=0</f>
        <v>0</v>
      </c>
      <c r="AC432" s="73">
        <f t="shared" si="1"/>
        <v>0</v>
      </c>
      <c r="AD432" s="3" t="str">
        <f>VLOOKUP(D432,'Position Lookup'!A:B,1,FALSE)</f>
        <v>#N/A</v>
      </c>
    </row>
    <row r="433" ht="17.25" customHeight="1">
      <c r="A433" s="31">
        <v>45178.0</v>
      </c>
      <c r="B433" s="5" t="s">
        <v>309</v>
      </c>
      <c r="C433" s="3" t="s">
        <v>78</v>
      </c>
      <c r="D433" s="3" t="s">
        <v>10</v>
      </c>
      <c r="E433" s="5">
        <v>2.0</v>
      </c>
      <c r="F433" s="5" t="s">
        <v>305</v>
      </c>
      <c r="G433" s="3" t="s">
        <v>224</v>
      </c>
      <c r="J433" s="5">
        <v>1.0</v>
      </c>
      <c r="N433" s="3" t="b">
        <v>0</v>
      </c>
      <c r="R433" s="3">
        <v>0.0</v>
      </c>
      <c r="T433" s="3">
        <v>10.0</v>
      </c>
      <c r="U433" s="1">
        <v>7.0</v>
      </c>
      <c r="V433" s="1" t="s">
        <v>396</v>
      </c>
      <c r="W433" s="70" t="s">
        <v>327</v>
      </c>
      <c r="X433" s="71" t="s">
        <v>328</v>
      </c>
      <c r="Y433" s="3">
        <v>2.0</v>
      </c>
      <c r="Z433" s="3">
        <v>1.0</v>
      </c>
      <c r="AA433" s="2">
        <f>2+ (P433*'Scoring System'!$B$3)+ (IF(OR(D433="DEF",D433="GK"),N433*'Scoring System'!$B$4,IF(D433="MID",N433*'Scoring System'!$B$5,0)))+ (IF(OR(D433="DEF",D433="GK"),H433*'Scoring System'!$B$6,IF(D433="MID",H433*'Scoring System'!$B$7,IF(D433="ATT",H433*'Scoring System'!$B$8,0))))+ IF(AND(OR(D433="GK",D433="DEF"),J433&gt;=3),1*'Scoring System'!$B$9,0)+ (I433*'Scoring System'!$B$10)+ (K433*'Scoring System'!$B$11)+ (M433*'Scoring System'!$B$12)+ (L433*'Scoring System'!$B$13)+ (O433*'Scoring System'!$B$14)+ (Q433*'Scoring System'!$B$15)+ (R433*'Scoring System'!$B$16)</f>
        <v>2</v>
      </c>
      <c r="AB433" s="72" t="b">
        <f>IFERROR(match(C433,'Match Day Fees'!$B$2:$B$999,0),0)=0</f>
        <v>0</v>
      </c>
      <c r="AC433" s="73">
        <f t="shared" si="1"/>
        <v>0</v>
      </c>
      <c r="AD433" s="3" t="str">
        <f>VLOOKUP(D433,'Position Lookup'!A:B,1,FALSE)</f>
        <v>MID</v>
      </c>
    </row>
    <row r="434" ht="17.25" customHeight="1">
      <c r="A434" s="12">
        <v>45185.0</v>
      </c>
      <c r="B434" s="5" t="s">
        <v>309</v>
      </c>
      <c r="C434" s="3" t="s">
        <v>53</v>
      </c>
      <c r="D434" s="3" t="s">
        <v>8</v>
      </c>
      <c r="E434" s="5">
        <v>1.0</v>
      </c>
      <c r="F434" s="3" t="s">
        <v>397</v>
      </c>
      <c r="G434" s="3" t="s">
        <v>224</v>
      </c>
      <c r="J434" s="5">
        <v>0.0</v>
      </c>
      <c r="N434" s="3" t="b">
        <v>1</v>
      </c>
      <c r="R434" s="3">
        <v>0.0</v>
      </c>
      <c r="T434" s="3">
        <v>10.0</v>
      </c>
      <c r="U434" s="3">
        <v>8.0</v>
      </c>
      <c r="V434" s="3" t="s">
        <v>398</v>
      </c>
      <c r="W434" s="74" t="s">
        <v>311</v>
      </c>
      <c r="X434" s="77" t="s">
        <v>399</v>
      </c>
      <c r="Y434" s="3">
        <v>2.0</v>
      </c>
      <c r="Z434" s="3">
        <v>0.0</v>
      </c>
      <c r="AA434" s="2">
        <f>2+ (P434*'Scoring System'!$B$3)+ (IF(OR(D434="DEF",D434="GK"),N434*'Scoring System'!$B$4,IF(D434="MID",N434*'Scoring System'!$B$5,0)))+ (IF(OR(D434="DEF",D434="GK"),H434*'Scoring System'!$B$6,IF(D434="MID",H434*'Scoring System'!$B$7,IF(D434="ATT",H434*'Scoring System'!$B$8,0))))+ IF(AND(OR(D434="GK",D434="DEF"),J434&gt;=3),1*'Scoring System'!$B$9,0)+ (I434*'Scoring System'!$B$10)+ (K434*'Scoring System'!$B$11)+ (M434*'Scoring System'!$B$12)+ (L434*'Scoring System'!$B$13)+ (O434*'Scoring System'!$B$14)+ (Q434*'Scoring System'!$B$15)+ (R434*'Scoring System'!$B$16)</f>
        <v>8</v>
      </c>
      <c r="AB434" s="72" t="b">
        <f>IFERROR(match(C434,'Match Day Fees'!$B$2:$B$999,0),0)=0</f>
        <v>0</v>
      </c>
      <c r="AC434" s="73">
        <f t="shared" si="1"/>
        <v>0</v>
      </c>
      <c r="AD434" s="3" t="str">
        <f>VLOOKUP(D434,'Position Lookup'!A:B,1,FALSE)</f>
        <v>GK</v>
      </c>
    </row>
    <row r="435" ht="17.25" customHeight="1">
      <c r="A435" s="12">
        <v>45185.0</v>
      </c>
      <c r="B435" s="5" t="s">
        <v>309</v>
      </c>
      <c r="C435" s="3" t="s">
        <v>81</v>
      </c>
      <c r="D435" s="3" t="s">
        <v>11</v>
      </c>
      <c r="E435" s="5">
        <v>1.0</v>
      </c>
      <c r="F435" s="3" t="s">
        <v>397</v>
      </c>
      <c r="G435" s="3" t="s">
        <v>224</v>
      </c>
      <c r="J435" s="5">
        <v>0.0</v>
      </c>
      <c r="N435" s="3" t="b">
        <v>1</v>
      </c>
      <c r="R435" s="3">
        <v>0.0</v>
      </c>
      <c r="T435" s="3">
        <v>10.0</v>
      </c>
      <c r="U435" s="3">
        <v>8.0</v>
      </c>
      <c r="V435" s="3" t="s">
        <v>400</v>
      </c>
      <c r="W435" s="74" t="s">
        <v>311</v>
      </c>
      <c r="X435" s="77" t="s">
        <v>399</v>
      </c>
      <c r="Y435" s="3">
        <v>2.0</v>
      </c>
      <c r="Z435" s="3">
        <v>0.0</v>
      </c>
      <c r="AA435" s="2">
        <f>2+ (P435*'Scoring System'!$B$3)+ (IF(OR(D435="DEF",D435="GK"),N435*'Scoring System'!$B$4,IF(D435="MID",N435*'Scoring System'!$B$5,0)))+ (IF(OR(D435="DEF",D435="GK"),H435*'Scoring System'!$B$6,IF(D435="MID",H435*'Scoring System'!$B$7,IF(D435="ATT",H435*'Scoring System'!$B$8,0))))+ IF(AND(OR(D435="GK",D435="DEF"),J435&gt;=3),1*'Scoring System'!$B$9,0)+ (I435*'Scoring System'!$B$10)+ (K435*'Scoring System'!$B$11)+ (M435*'Scoring System'!$B$12)+ (L435*'Scoring System'!$B$13)+ (O435*'Scoring System'!$B$14)+ (Q435*'Scoring System'!$B$15)+ (R435*'Scoring System'!$B$16)</f>
        <v>8</v>
      </c>
      <c r="AB435" s="72" t="b">
        <f>IFERROR(match(C435,'Match Day Fees'!$B$2:$B$999,0),0)=0</f>
        <v>0</v>
      </c>
      <c r="AC435" s="73">
        <f t="shared" si="1"/>
        <v>0</v>
      </c>
      <c r="AD435" s="3" t="str">
        <f>VLOOKUP(D435,'Position Lookup'!A:B,1,FALSE)</f>
        <v>DEF</v>
      </c>
    </row>
    <row r="436" ht="17.25" customHeight="1">
      <c r="A436" s="12">
        <v>45185.0</v>
      </c>
      <c r="B436" s="5" t="s">
        <v>309</v>
      </c>
      <c r="C436" s="3" t="s">
        <v>69</v>
      </c>
      <c r="D436" s="3" t="s">
        <v>11</v>
      </c>
      <c r="E436" s="5">
        <v>1.0</v>
      </c>
      <c r="F436" s="3" t="s">
        <v>397</v>
      </c>
      <c r="G436" s="3" t="s">
        <v>224</v>
      </c>
      <c r="J436" s="5">
        <v>0.0</v>
      </c>
      <c r="N436" s="3" t="b">
        <v>1</v>
      </c>
      <c r="R436" s="3">
        <v>0.0</v>
      </c>
      <c r="T436" s="3">
        <v>10.0</v>
      </c>
      <c r="U436" s="3">
        <v>8.5</v>
      </c>
      <c r="V436" s="3" t="s">
        <v>401</v>
      </c>
      <c r="W436" s="74" t="s">
        <v>311</v>
      </c>
      <c r="X436" s="77" t="s">
        <v>399</v>
      </c>
      <c r="Y436" s="3">
        <v>2.0</v>
      </c>
      <c r="Z436" s="3">
        <v>0.0</v>
      </c>
      <c r="AA436" s="2">
        <f>2+ (P436*'Scoring System'!$B$3)+ (IF(OR(D436="DEF",D436="GK"),N436*'Scoring System'!$B$4,IF(D436="MID",N436*'Scoring System'!$B$5,0)))+ (IF(OR(D436="DEF",D436="GK"),H436*'Scoring System'!$B$6,IF(D436="MID",H436*'Scoring System'!$B$7,IF(D436="ATT",H436*'Scoring System'!$B$8,0))))+ IF(AND(OR(D436="GK",D436="DEF"),J436&gt;=3),1*'Scoring System'!$B$9,0)+ (I436*'Scoring System'!$B$10)+ (K436*'Scoring System'!$B$11)+ (M436*'Scoring System'!$B$12)+ (L436*'Scoring System'!$B$13)+ (O436*'Scoring System'!$B$14)+ (Q436*'Scoring System'!$B$15)+ (R436*'Scoring System'!$B$16)</f>
        <v>8</v>
      </c>
      <c r="AB436" s="72" t="b">
        <f>IFERROR(match(C436,'Match Day Fees'!$B$2:$B$999,0),0)=0</f>
        <v>0</v>
      </c>
      <c r="AC436" s="73">
        <f t="shared" si="1"/>
        <v>0</v>
      </c>
      <c r="AD436" s="3" t="str">
        <f>VLOOKUP(D436,'Position Lookup'!A:B,1,FALSE)</f>
        <v>DEF</v>
      </c>
    </row>
    <row r="437" ht="17.25" customHeight="1">
      <c r="A437" s="12">
        <v>45185.0</v>
      </c>
      <c r="B437" s="5" t="s">
        <v>309</v>
      </c>
      <c r="C437" s="3" t="s">
        <v>338</v>
      </c>
      <c r="D437" s="3" t="s">
        <v>11</v>
      </c>
      <c r="E437" s="5">
        <v>1.0</v>
      </c>
      <c r="F437" s="3" t="s">
        <v>397</v>
      </c>
      <c r="G437" s="3" t="s">
        <v>224</v>
      </c>
      <c r="J437" s="5">
        <v>0.0</v>
      </c>
      <c r="N437" s="3" t="b">
        <v>1</v>
      </c>
      <c r="R437" s="3">
        <v>0.0</v>
      </c>
      <c r="T437" s="3">
        <v>3.0</v>
      </c>
      <c r="U437" s="3">
        <v>7.0</v>
      </c>
      <c r="V437" s="3" t="s">
        <v>402</v>
      </c>
      <c r="W437" s="74" t="s">
        <v>311</v>
      </c>
      <c r="X437" s="77" t="s">
        <v>399</v>
      </c>
      <c r="Y437" s="3">
        <v>2.0</v>
      </c>
      <c r="Z437" s="3">
        <v>0.0</v>
      </c>
      <c r="AA437" s="2">
        <f>2+ (P437*'Scoring System'!$B$3)+ (IF(OR(D437="DEF",D437="GK"),N437*'Scoring System'!$B$4,IF(D437="MID",N437*'Scoring System'!$B$5,0)))+ (IF(OR(D437="DEF",D437="GK"),H437*'Scoring System'!$B$6,IF(D437="MID",H437*'Scoring System'!$B$7,IF(D437="ATT",H437*'Scoring System'!$B$8,0))))+ IF(AND(OR(D437="GK",D437="DEF"),J437&gt;=3),1*'Scoring System'!$B$9,0)+ (I437*'Scoring System'!$B$10)+ (K437*'Scoring System'!$B$11)+ (M437*'Scoring System'!$B$12)+ (L437*'Scoring System'!$B$13)+ (O437*'Scoring System'!$B$14)+ (Q437*'Scoring System'!$B$15)+ (R437*'Scoring System'!$B$16)</f>
        <v>8</v>
      </c>
      <c r="AB437" s="72" t="b">
        <f>IFERROR(match(C437,'Match Day Fees'!$B$2:$B$999,0),0)=0</f>
        <v>0</v>
      </c>
      <c r="AC437" s="73">
        <f t="shared" si="1"/>
        <v>0</v>
      </c>
      <c r="AD437" s="3" t="str">
        <f>VLOOKUP(D437,'Position Lookup'!A:B,1,FALSE)</f>
        <v>DEF</v>
      </c>
    </row>
    <row r="438" ht="17.25" customHeight="1">
      <c r="A438" s="12">
        <v>45185.0</v>
      </c>
      <c r="B438" s="5" t="s">
        <v>309</v>
      </c>
      <c r="C438" s="3" t="s">
        <v>76</v>
      </c>
      <c r="D438" s="3" t="s">
        <v>11</v>
      </c>
      <c r="E438" s="5">
        <v>1.0</v>
      </c>
      <c r="F438" s="3" t="s">
        <v>397</v>
      </c>
      <c r="G438" s="3" t="s">
        <v>224</v>
      </c>
      <c r="J438" s="5">
        <v>0.0</v>
      </c>
      <c r="N438" s="3" t="b">
        <v>1</v>
      </c>
      <c r="R438" s="3">
        <v>1.0</v>
      </c>
      <c r="T438" s="3">
        <v>10.0</v>
      </c>
      <c r="U438" s="3">
        <v>8.5</v>
      </c>
      <c r="V438" s="3" t="s">
        <v>403</v>
      </c>
      <c r="W438" s="74" t="s">
        <v>311</v>
      </c>
      <c r="X438" s="77" t="s">
        <v>399</v>
      </c>
      <c r="Y438" s="3">
        <v>2.0</v>
      </c>
      <c r="Z438" s="3">
        <v>0.0</v>
      </c>
      <c r="AA438" s="2">
        <f>2+ (P438*'Scoring System'!$B$3)+ (IF(OR(D438="DEF",D438="GK"),N438*'Scoring System'!$B$4,IF(D438="MID",N438*'Scoring System'!$B$5,0)))+ (IF(OR(D438="DEF",D438="GK"),H438*'Scoring System'!$B$6,IF(D438="MID",H438*'Scoring System'!$B$7,IF(D438="ATT",H438*'Scoring System'!$B$8,0))))+ IF(AND(OR(D438="GK",D438="DEF"),J438&gt;=3),1*'Scoring System'!$B$9,0)+ (I438*'Scoring System'!$B$10)+ (K438*'Scoring System'!$B$11)+ (M438*'Scoring System'!$B$12)+ (L438*'Scoring System'!$B$13)+ (O438*'Scoring System'!$B$14)+ (Q438*'Scoring System'!$B$15)+ (R438*'Scoring System'!$B$16)</f>
        <v>13</v>
      </c>
      <c r="AB438" s="72" t="b">
        <f>IFERROR(match(C438,'Match Day Fees'!$B$2:$B$999,0),0)=0</f>
        <v>0</v>
      </c>
      <c r="AC438" s="73">
        <f t="shared" si="1"/>
        <v>0</v>
      </c>
      <c r="AD438" s="3" t="str">
        <f>VLOOKUP(D438,'Position Lookup'!A:B,1,FALSE)</f>
        <v>DEF</v>
      </c>
    </row>
    <row r="439" ht="17.25" customHeight="1">
      <c r="A439" s="12">
        <v>45185.0</v>
      </c>
      <c r="B439" s="5" t="s">
        <v>309</v>
      </c>
      <c r="C439" s="3" t="s">
        <v>77</v>
      </c>
      <c r="D439" s="3" t="s">
        <v>11</v>
      </c>
      <c r="E439" s="5">
        <v>1.0</v>
      </c>
      <c r="F439" s="3" t="s">
        <v>397</v>
      </c>
      <c r="G439" s="3" t="s">
        <v>224</v>
      </c>
      <c r="J439" s="5">
        <v>0.0</v>
      </c>
      <c r="N439" s="3" t="b">
        <v>1</v>
      </c>
      <c r="R439" s="3">
        <v>0.0</v>
      </c>
      <c r="T439" s="3">
        <v>10.0</v>
      </c>
      <c r="U439" s="3">
        <v>8.0</v>
      </c>
      <c r="V439" s="3" t="s">
        <v>404</v>
      </c>
      <c r="W439" s="74" t="s">
        <v>311</v>
      </c>
      <c r="X439" s="77" t="s">
        <v>399</v>
      </c>
      <c r="Y439" s="3">
        <v>2.0</v>
      </c>
      <c r="Z439" s="3">
        <v>0.0</v>
      </c>
      <c r="AA439" s="2">
        <f>2+ (P439*'Scoring System'!$B$3)+ (IF(OR(D439="DEF",D439="GK"),N439*'Scoring System'!$B$4,IF(D439="MID",N439*'Scoring System'!$B$5,0)))+ (IF(OR(D439="DEF",D439="GK"),H439*'Scoring System'!$B$6,IF(D439="MID",H439*'Scoring System'!$B$7,IF(D439="ATT",H439*'Scoring System'!$B$8,0))))+ IF(AND(OR(D439="GK",D439="DEF"),J439&gt;=3),1*'Scoring System'!$B$9,0)+ (I439*'Scoring System'!$B$10)+ (K439*'Scoring System'!$B$11)+ (M439*'Scoring System'!$B$12)+ (L439*'Scoring System'!$B$13)+ (O439*'Scoring System'!$B$14)+ (Q439*'Scoring System'!$B$15)+ (R439*'Scoring System'!$B$16)</f>
        <v>8</v>
      </c>
      <c r="AB439" s="72" t="b">
        <f>IFERROR(match(C439,'Match Day Fees'!$B$2:$B$999,0),0)=0</f>
        <v>0</v>
      </c>
      <c r="AC439" s="73">
        <f t="shared" si="1"/>
        <v>0</v>
      </c>
      <c r="AD439" s="3" t="str">
        <f>VLOOKUP(D439,'Position Lookup'!A:B,1,FALSE)</f>
        <v>DEF</v>
      </c>
    </row>
    <row r="440" ht="17.25" customHeight="1">
      <c r="A440" s="12">
        <v>45185.0</v>
      </c>
      <c r="B440" s="5" t="s">
        <v>309</v>
      </c>
      <c r="C440" s="3" t="s">
        <v>67</v>
      </c>
      <c r="D440" s="3" t="s">
        <v>11</v>
      </c>
      <c r="E440" s="5">
        <v>1.0</v>
      </c>
      <c r="F440" s="3" t="s">
        <v>397</v>
      </c>
      <c r="G440" s="3" t="s">
        <v>224</v>
      </c>
      <c r="J440" s="5">
        <v>0.0</v>
      </c>
      <c r="N440" s="3" t="b">
        <v>1</v>
      </c>
      <c r="R440" s="3">
        <v>0.0</v>
      </c>
      <c r="T440" s="3">
        <v>10.0</v>
      </c>
      <c r="U440" s="3">
        <v>8.5</v>
      </c>
      <c r="V440" s="3" t="s">
        <v>405</v>
      </c>
      <c r="W440" s="74" t="s">
        <v>311</v>
      </c>
      <c r="X440" s="77" t="s">
        <v>399</v>
      </c>
      <c r="Y440" s="3">
        <v>2.0</v>
      </c>
      <c r="Z440" s="3">
        <v>0.0</v>
      </c>
      <c r="AA440" s="2">
        <f>2+ (P440*'Scoring System'!$B$3)+ (IF(OR(D440="DEF",D440="GK"),N440*'Scoring System'!$B$4,IF(D440="MID",N440*'Scoring System'!$B$5,0)))+ (IF(OR(D440="DEF",D440="GK"),H440*'Scoring System'!$B$6,IF(D440="MID",H440*'Scoring System'!$B$7,IF(D440="ATT",H440*'Scoring System'!$B$8,0))))+ IF(AND(OR(D440="GK",D440="DEF"),J440&gt;=3),1*'Scoring System'!$B$9,0)+ (I440*'Scoring System'!$B$10)+ (K440*'Scoring System'!$B$11)+ (M440*'Scoring System'!$B$12)+ (L440*'Scoring System'!$B$13)+ (O440*'Scoring System'!$B$14)+ (Q440*'Scoring System'!$B$15)+ (R440*'Scoring System'!$B$16)</f>
        <v>8</v>
      </c>
      <c r="AB440" s="72" t="b">
        <f>IFERROR(match(C440,'Match Day Fees'!$B$2:$B$999,0),0)=0</f>
        <v>0</v>
      </c>
      <c r="AC440" s="73">
        <f t="shared" si="1"/>
        <v>0</v>
      </c>
      <c r="AD440" s="3" t="str">
        <f>VLOOKUP(D440,'Position Lookup'!A:B,1,FALSE)</f>
        <v>DEF</v>
      </c>
    </row>
    <row r="441" ht="17.25" customHeight="1">
      <c r="A441" s="12">
        <v>45185.0</v>
      </c>
      <c r="B441" s="5" t="s">
        <v>309</v>
      </c>
      <c r="C441" s="3" t="s">
        <v>137</v>
      </c>
      <c r="D441" s="3" t="s">
        <v>10</v>
      </c>
      <c r="E441" s="5">
        <v>1.0</v>
      </c>
      <c r="F441" s="3" t="s">
        <v>397</v>
      </c>
      <c r="G441" s="3" t="s">
        <v>224</v>
      </c>
      <c r="J441" s="5">
        <v>0.0</v>
      </c>
      <c r="N441" s="3" t="b">
        <v>1</v>
      </c>
      <c r="R441" s="3">
        <v>0.0</v>
      </c>
      <c r="T441" s="3">
        <v>10.0</v>
      </c>
      <c r="U441" s="3">
        <v>8.5</v>
      </c>
      <c r="V441" s="3" t="s">
        <v>406</v>
      </c>
      <c r="W441" s="74" t="s">
        <v>311</v>
      </c>
      <c r="X441" s="77" t="s">
        <v>399</v>
      </c>
      <c r="Y441" s="3">
        <v>2.0</v>
      </c>
      <c r="Z441" s="3">
        <v>0.0</v>
      </c>
      <c r="AA441" s="2">
        <f>2+ (P441*'Scoring System'!$B$3)+ (IF(OR(D441="DEF",D441="GK"),N441*'Scoring System'!$B$4,IF(D441="MID",N441*'Scoring System'!$B$5,0)))+ (IF(OR(D441="DEF",D441="GK"),H441*'Scoring System'!$B$6,IF(D441="MID",H441*'Scoring System'!$B$7,IF(D441="ATT",H441*'Scoring System'!$B$8,0))))+ IF(AND(OR(D441="GK",D441="DEF"),J441&gt;=3),1*'Scoring System'!$B$9,0)+ (I441*'Scoring System'!$B$10)+ (K441*'Scoring System'!$B$11)+ (M441*'Scoring System'!$B$12)+ (L441*'Scoring System'!$B$13)+ (O441*'Scoring System'!$B$14)+ (Q441*'Scoring System'!$B$15)+ (R441*'Scoring System'!$B$16)</f>
        <v>4</v>
      </c>
      <c r="AB441" s="72" t="b">
        <f>IFERROR(match(C441,'Match Day Fees'!$B$2:$B$999,0),0)=0</f>
        <v>0</v>
      </c>
      <c r="AC441" s="73">
        <f t="shared" si="1"/>
        <v>0</v>
      </c>
      <c r="AD441" s="3" t="str">
        <f>VLOOKUP(D441,'Position Lookup'!A:B,1,FALSE)</f>
        <v>MID</v>
      </c>
    </row>
    <row r="442" ht="17.25" customHeight="1">
      <c r="A442" s="12">
        <v>45185.0</v>
      </c>
      <c r="B442" s="5" t="s">
        <v>309</v>
      </c>
      <c r="C442" s="3" t="s">
        <v>60</v>
      </c>
      <c r="D442" s="3" t="s">
        <v>10</v>
      </c>
      <c r="E442" s="5">
        <v>1.0</v>
      </c>
      <c r="F442" s="3" t="s">
        <v>397</v>
      </c>
      <c r="G442" s="3" t="s">
        <v>224</v>
      </c>
      <c r="I442" s="3">
        <v>1.0</v>
      </c>
      <c r="J442" s="5">
        <v>0.0</v>
      </c>
      <c r="K442" s="3">
        <v>1.0</v>
      </c>
      <c r="N442" s="3" t="b">
        <v>1</v>
      </c>
      <c r="R442" s="3">
        <v>0.0</v>
      </c>
      <c r="S442" s="3" t="b">
        <v>1</v>
      </c>
      <c r="T442" s="3">
        <v>0.0</v>
      </c>
      <c r="U442" s="3">
        <v>9.0</v>
      </c>
      <c r="V442" s="3" t="s">
        <v>407</v>
      </c>
      <c r="W442" s="74" t="s">
        <v>311</v>
      </c>
      <c r="X442" s="77" t="s">
        <v>399</v>
      </c>
      <c r="Y442" s="3">
        <v>2.0</v>
      </c>
      <c r="Z442" s="3">
        <v>0.0</v>
      </c>
      <c r="AA442" s="2">
        <f>2+ (P442*'Scoring System'!$B$3)+ (IF(OR(D442="DEF",D442="GK"),N442*'Scoring System'!$B$4,IF(D442="MID",N442*'Scoring System'!$B$5,0)))+ (IF(OR(D442="DEF",D442="GK"),H442*'Scoring System'!$B$6,IF(D442="MID",H442*'Scoring System'!$B$7,IF(D442="ATT",H442*'Scoring System'!$B$8,0))))+ IF(AND(OR(D442="GK",D442="DEF"),J442&gt;=3),1*'Scoring System'!$B$9,0)+ (I442*'Scoring System'!$B$10)+ (K442*'Scoring System'!$B$11)+ (M442*'Scoring System'!$B$12)+ (L442*'Scoring System'!$B$13)+ (O442*'Scoring System'!$B$14)+ (Q442*'Scoring System'!$B$15)+ (R442*'Scoring System'!$B$16)</f>
        <v>6</v>
      </c>
      <c r="AB442" s="72" t="b">
        <f>IFERROR(match(C442,'Match Day Fees'!$B$2:$B$999,0),0)=0</f>
        <v>0</v>
      </c>
      <c r="AC442" s="73">
        <f t="shared" si="1"/>
        <v>0</v>
      </c>
      <c r="AD442" s="3" t="str">
        <f>VLOOKUP(D442,'Position Lookup'!A:B,1,FALSE)</f>
        <v>MID</v>
      </c>
    </row>
    <row r="443" ht="17.25" customHeight="1">
      <c r="A443" s="12">
        <v>45185.0</v>
      </c>
      <c r="B443" s="5" t="s">
        <v>309</v>
      </c>
      <c r="C443" s="3" t="s">
        <v>47</v>
      </c>
      <c r="D443" s="3" t="s">
        <v>9</v>
      </c>
      <c r="E443" s="5">
        <v>1.0</v>
      </c>
      <c r="F443" s="3" t="s">
        <v>397</v>
      </c>
      <c r="G443" s="3" t="s">
        <v>224</v>
      </c>
      <c r="H443" s="3">
        <v>1.0</v>
      </c>
      <c r="I443" s="3">
        <v>1.0</v>
      </c>
      <c r="J443" s="5">
        <v>0.0</v>
      </c>
      <c r="N443" s="3" t="b">
        <v>1</v>
      </c>
      <c r="O443" s="5">
        <v>1.0</v>
      </c>
      <c r="R443" s="3">
        <v>0.0</v>
      </c>
      <c r="T443" s="3">
        <v>10.0</v>
      </c>
      <c r="U443" s="3">
        <v>8.0</v>
      </c>
      <c r="V443" s="3" t="s">
        <v>408</v>
      </c>
      <c r="W443" s="74" t="s">
        <v>311</v>
      </c>
      <c r="X443" s="77" t="s">
        <v>399</v>
      </c>
      <c r="Y443" s="3">
        <v>2.0</v>
      </c>
      <c r="Z443" s="3">
        <v>0.0</v>
      </c>
      <c r="AA443" s="2">
        <f>2+ (P443*'Scoring System'!$B$3)+ (IF(OR(D443="DEF",D443="GK"),N443*'Scoring System'!$B$4,IF(D443="MID",N443*'Scoring System'!$B$5,0)))+ (IF(OR(D443="DEF",D443="GK"),H443*'Scoring System'!$B$6,IF(D443="MID",H443*'Scoring System'!$B$7,IF(D443="ATT",H443*'Scoring System'!$B$8,0))))+ IF(AND(OR(D443="GK",D443="DEF"),J443&gt;=3),1*'Scoring System'!$B$9,0)+ (I443*'Scoring System'!$B$10)+ (K443*'Scoring System'!$B$11)+ (M443*'Scoring System'!$B$12)+ (L443*'Scoring System'!$B$13)+ (O443*'Scoring System'!$B$14)+ (Q443*'Scoring System'!$B$15)+ (R443*'Scoring System'!$B$16)</f>
        <v>7</v>
      </c>
      <c r="AB443" s="72" t="b">
        <f>IFERROR(match(C443,'Match Day Fees'!$B$2:$B$999,0),0)=0</f>
        <v>0</v>
      </c>
      <c r="AC443" s="73">
        <f t="shared" si="1"/>
        <v>0</v>
      </c>
      <c r="AD443" s="3" t="str">
        <f>VLOOKUP(D443,'Position Lookup'!A:B,1,FALSE)</f>
        <v>ATT</v>
      </c>
    </row>
    <row r="444" ht="17.25" customHeight="1">
      <c r="A444" s="12">
        <v>45185.0</v>
      </c>
      <c r="B444" s="5" t="s">
        <v>309</v>
      </c>
      <c r="C444" s="3" t="s">
        <v>62</v>
      </c>
      <c r="D444" s="3" t="s">
        <v>9</v>
      </c>
      <c r="E444" s="5">
        <v>1.0</v>
      </c>
      <c r="F444" s="3" t="s">
        <v>397</v>
      </c>
      <c r="G444" s="3" t="s">
        <v>224</v>
      </c>
      <c r="J444" s="5">
        <v>0.0</v>
      </c>
      <c r="N444" s="3" t="b">
        <v>1</v>
      </c>
      <c r="R444" s="3">
        <v>0.0</v>
      </c>
      <c r="T444" s="3">
        <v>10.0</v>
      </c>
      <c r="U444" s="3">
        <v>9.0</v>
      </c>
      <c r="V444" s="3" t="s">
        <v>409</v>
      </c>
      <c r="W444" s="74" t="s">
        <v>311</v>
      </c>
      <c r="X444" s="77" t="s">
        <v>399</v>
      </c>
      <c r="Y444" s="3">
        <v>2.0</v>
      </c>
      <c r="Z444" s="3">
        <v>0.0</v>
      </c>
      <c r="AA444" s="2">
        <f>2+ (P444*'Scoring System'!$B$3)+ (IF(OR(D444="DEF",D444="GK"),N444*'Scoring System'!$B$4,IF(D444="MID",N444*'Scoring System'!$B$5,0)))+ (IF(OR(D444="DEF",D444="GK"),H444*'Scoring System'!$B$6,IF(D444="MID",H444*'Scoring System'!$B$7,IF(D444="ATT",H444*'Scoring System'!$B$8,0))))+ IF(AND(OR(D444="GK",D444="DEF"),J444&gt;=3),1*'Scoring System'!$B$9,0)+ (I444*'Scoring System'!$B$10)+ (K444*'Scoring System'!$B$11)+ (M444*'Scoring System'!$B$12)+ (L444*'Scoring System'!$B$13)+ (O444*'Scoring System'!$B$14)+ (Q444*'Scoring System'!$B$15)+ (R444*'Scoring System'!$B$16)</f>
        <v>2</v>
      </c>
      <c r="AB444" s="72" t="b">
        <f>IFERROR(match(C444,'Match Day Fees'!$B$2:$B$999,0),0)=0</f>
        <v>0</v>
      </c>
      <c r="AC444" s="73">
        <f t="shared" si="1"/>
        <v>0</v>
      </c>
      <c r="AD444" s="3" t="str">
        <f>VLOOKUP(D444,'Position Lookup'!A:B,1,FALSE)</f>
        <v>ATT</v>
      </c>
    </row>
    <row r="445" ht="17.25" customHeight="1">
      <c r="A445" s="12">
        <v>45185.0</v>
      </c>
      <c r="B445" s="5" t="s">
        <v>309</v>
      </c>
      <c r="C445" s="3" t="s">
        <v>96</v>
      </c>
      <c r="D445" s="3" t="s">
        <v>9</v>
      </c>
      <c r="E445" s="5">
        <v>1.0</v>
      </c>
      <c r="F445" s="3" t="s">
        <v>397</v>
      </c>
      <c r="G445" s="3" t="s">
        <v>224</v>
      </c>
      <c r="J445" s="5">
        <v>0.0</v>
      </c>
      <c r="N445" s="3" t="b">
        <v>1</v>
      </c>
      <c r="R445" s="3">
        <v>0.0</v>
      </c>
      <c r="T445" s="3">
        <v>5.0</v>
      </c>
      <c r="U445" s="3">
        <v>8.0</v>
      </c>
      <c r="V445" s="3" t="s">
        <v>410</v>
      </c>
      <c r="W445" s="74" t="s">
        <v>311</v>
      </c>
      <c r="X445" s="77" t="s">
        <v>399</v>
      </c>
      <c r="Y445" s="3">
        <v>2.0</v>
      </c>
      <c r="Z445" s="3">
        <v>0.0</v>
      </c>
      <c r="AA445" s="2">
        <f>2+ (P445*'Scoring System'!$B$3)+ (IF(OR(D445="DEF",D445="GK"),N445*'Scoring System'!$B$4,IF(D445="MID",N445*'Scoring System'!$B$5,0)))+ (IF(OR(D445="DEF",D445="GK"),H445*'Scoring System'!$B$6,IF(D445="MID",H445*'Scoring System'!$B$7,IF(D445="ATT",H445*'Scoring System'!$B$8,0))))+ IF(AND(OR(D445="GK",D445="DEF"),J445&gt;=3),1*'Scoring System'!$B$9,0)+ (I445*'Scoring System'!$B$10)+ (K445*'Scoring System'!$B$11)+ (M445*'Scoring System'!$B$12)+ (L445*'Scoring System'!$B$13)+ (O445*'Scoring System'!$B$14)+ (Q445*'Scoring System'!$B$15)+ (R445*'Scoring System'!$B$16)</f>
        <v>2</v>
      </c>
      <c r="AB445" s="72" t="b">
        <f>IFERROR(match(C445,'Match Day Fees'!$B$2:$B$999,0),0)=0</f>
        <v>0</v>
      </c>
      <c r="AC445" s="73">
        <f t="shared" si="1"/>
        <v>0</v>
      </c>
      <c r="AD445" s="3" t="str">
        <f>VLOOKUP(D445,'Position Lookup'!A:B,1,FALSE)</f>
        <v>ATT</v>
      </c>
    </row>
    <row r="446" ht="17.25" customHeight="1">
      <c r="A446" s="12">
        <v>45185.0</v>
      </c>
      <c r="B446" s="5" t="s">
        <v>309</v>
      </c>
      <c r="C446" s="3" t="s">
        <v>272</v>
      </c>
      <c r="D446" s="3" t="s">
        <v>10</v>
      </c>
      <c r="E446" s="5">
        <v>1.0</v>
      </c>
      <c r="F446" s="3" t="s">
        <v>397</v>
      </c>
      <c r="G446" s="3" t="s">
        <v>224</v>
      </c>
      <c r="J446" s="5">
        <v>0.0</v>
      </c>
      <c r="N446" s="3" t="b">
        <v>1</v>
      </c>
      <c r="R446" s="3">
        <v>0.0</v>
      </c>
      <c r="T446" s="3">
        <v>5.0</v>
      </c>
      <c r="U446" s="3">
        <v>8.0</v>
      </c>
      <c r="V446" s="3" t="s">
        <v>411</v>
      </c>
      <c r="W446" s="74" t="s">
        <v>311</v>
      </c>
      <c r="X446" s="77" t="s">
        <v>399</v>
      </c>
      <c r="Y446" s="3">
        <v>2.0</v>
      </c>
      <c r="Z446" s="3">
        <v>0.0</v>
      </c>
      <c r="AA446" s="2">
        <f>2+ (P446*'Scoring System'!$B$3)+ (IF(OR(D446="DEF",D446="GK"),N446*'Scoring System'!$B$4,IF(D446="MID",N446*'Scoring System'!$B$5,0)))+ (IF(OR(D446="DEF",D446="GK"),H446*'Scoring System'!$B$6,IF(D446="MID",H446*'Scoring System'!$B$7,IF(D446="ATT",H446*'Scoring System'!$B$8,0))))+ IF(AND(OR(D446="GK",D446="DEF"),J446&gt;=3),1*'Scoring System'!$B$9,0)+ (I446*'Scoring System'!$B$10)+ (K446*'Scoring System'!$B$11)+ (M446*'Scoring System'!$B$12)+ (L446*'Scoring System'!$B$13)+ (O446*'Scoring System'!$B$14)+ (Q446*'Scoring System'!$B$15)+ (R446*'Scoring System'!$B$16)</f>
        <v>4</v>
      </c>
      <c r="AB446" s="72" t="b">
        <f>IFERROR(match(C446,'Match Day Fees'!$B$2:$B$999,0),0)=0</f>
        <v>0</v>
      </c>
      <c r="AC446" s="73">
        <f t="shared" si="1"/>
        <v>0</v>
      </c>
      <c r="AD446" s="3" t="str">
        <f>VLOOKUP(D446,'Position Lookup'!A:B,1,FALSE)</f>
        <v>MID</v>
      </c>
    </row>
    <row r="447" ht="17.25" customHeight="1">
      <c r="A447" s="12">
        <v>45185.0</v>
      </c>
      <c r="B447" s="5" t="s">
        <v>309</v>
      </c>
      <c r="C447" s="3" t="s">
        <v>75</v>
      </c>
      <c r="D447" s="3" t="s">
        <v>11</v>
      </c>
      <c r="E447" s="5">
        <v>1.0</v>
      </c>
      <c r="F447" s="3" t="s">
        <v>397</v>
      </c>
      <c r="G447" s="3" t="s">
        <v>224</v>
      </c>
      <c r="H447" s="3">
        <v>1.0</v>
      </c>
      <c r="J447" s="5">
        <v>0.0</v>
      </c>
      <c r="N447" s="3" t="b">
        <v>1</v>
      </c>
      <c r="R447" s="3">
        <v>0.0</v>
      </c>
      <c r="T447" s="3">
        <v>5.0</v>
      </c>
      <c r="U447" s="3">
        <v>8.5</v>
      </c>
      <c r="V447" s="3" t="s">
        <v>412</v>
      </c>
      <c r="W447" s="74" t="s">
        <v>311</v>
      </c>
      <c r="X447" s="77" t="s">
        <v>399</v>
      </c>
      <c r="Y447" s="3">
        <v>2.0</v>
      </c>
      <c r="Z447" s="3">
        <v>0.0</v>
      </c>
      <c r="AA447" s="2">
        <f>2+ (P447*'Scoring System'!$B$3)+ (IF(OR(D447="DEF",D447="GK"),N447*'Scoring System'!$B$4,IF(D447="MID",N447*'Scoring System'!$B$5,0)))+ (IF(OR(D447="DEF",D447="GK"),H447*'Scoring System'!$B$6,IF(D447="MID",H447*'Scoring System'!$B$7,IF(D447="ATT",H447*'Scoring System'!$B$8,0))))+ IF(AND(OR(D447="GK",D447="DEF"),J447&gt;=3),1*'Scoring System'!$B$9,0)+ (I447*'Scoring System'!$B$10)+ (K447*'Scoring System'!$B$11)+ (M447*'Scoring System'!$B$12)+ (L447*'Scoring System'!$B$13)+ (O447*'Scoring System'!$B$14)+ (Q447*'Scoring System'!$B$15)+ (R447*'Scoring System'!$B$16)</f>
        <v>14</v>
      </c>
      <c r="AB447" s="72" t="b">
        <f>IFERROR(match(C447,'Match Day Fees'!$B$2:$B$999,0),0)=0</f>
        <v>0</v>
      </c>
      <c r="AC447" s="73">
        <f t="shared" si="1"/>
        <v>0</v>
      </c>
      <c r="AD447" s="3" t="str">
        <f>VLOOKUP(D447,'Position Lookup'!A:B,1,FALSE)</f>
        <v>DEF</v>
      </c>
    </row>
    <row r="448" ht="17.25" customHeight="1">
      <c r="A448" s="12">
        <v>45185.0</v>
      </c>
      <c r="B448" s="5" t="s">
        <v>309</v>
      </c>
      <c r="C448" s="3" t="s">
        <v>38</v>
      </c>
      <c r="D448" s="3" t="s">
        <v>8</v>
      </c>
      <c r="E448" s="5">
        <v>2.0</v>
      </c>
      <c r="F448" s="3" t="s">
        <v>413</v>
      </c>
      <c r="G448" s="3" t="s">
        <v>224</v>
      </c>
      <c r="J448" s="5">
        <v>2.0</v>
      </c>
      <c r="N448" s="3" t="b">
        <v>0</v>
      </c>
      <c r="R448" s="3">
        <v>0.0</v>
      </c>
      <c r="T448" s="3">
        <v>10.0</v>
      </c>
      <c r="U448" s="3">
        <v>6.5</v>
      </c>
      <c r="V448" s="3" t="s">
        <v>414</v>
      </c>
      <c r="W448" s="74" t="s">
        <v>327</v>
      </c>
      <c r="X448" s="77" t="s">
        <v>415</v>
      </c>
      <c r="Y448" s="3">
        <v>5.0</v>
      </c>
      <c r="Z448" s="3">
        <v>2.0</v>
      </c>
      <c r="AA448" s="2">
        <f>2+ (P448*'Scoring System'!$B$3)+ (IF(OR(D448="DEF",D448="GK"),N448*'Scoring System'!$B$4,IF(D448="MID",N448*'Scoring System'!$B$5,0)))+ (IF(OR(D448="DEF",D448="GK"),H448*'Scoring System'!$B$6,IF(D448="MID",H448*'Scoring System'!$B$7,IF(D448="ATT",H448*'Scoring System'!$B$8,0))))+ IF(AND(OR(D448="GK",D448="DEF"),J448&gt;=3),1*'Scoring System'!$B$9,0)+ (I448*'Scoring System'!$B$10)+ (K448*'Scoring System'!$B$11)+ (M448*'Scoring System'!$B$12)+ (L448*'Scoring System'!$B$13)+ (O448*'Scoring System'!$B$14)+ (Q448*'Scoring System'!$B$15)+ (R448*'Scoring System'!$B$16)</f>
        <v>2</v>
      </c>
      <c r="AB448" s="72" t="b">
        <f>IFERROR(match(C448,'Match Day Fees'!$B$2:$B$999,0),0)=0</f>
        <v>0</v>
      </c>
      <c r="AC448" s="73">
        <f t="shared" si="1"/>
        <v>0</v>
      </c>
      <c r="AD448" s="3" t="str">
        <f>VLOOKUP(D448,'Position Lookup'!A:B,1,FALSE)</f>
        <v>GK</v>
      </c>
    </row>
    <row r="449" ht="17.25" customHeight="1">
      <c r="A449" s="12">
        <v>45185.0</v>
      </c>
      <c r="B449" s="5" t="s">
        <v>309</v>
      </c>
      <c r="C449" s="3" t="s">
        <v>104</v>
      </c>
      <c r="D449" s="3" t="s">
        <v>10</v>
      </c>
      <c r="E449" s="5">
        <v>2.0</v>
      </c>
      <c r="F449" s="3" t="s">
        <v>413</v>
      </c>
      <c r="G449" s="3" t="s">
        <v>224</v>
      </c>
      <c r="J449" s="5">
        <v>2.0</v>
      </c>
      <c r="N449" s="3" t="b">
        <v>0</v>
      </c>
      <c r="R449" s="3">
        <v>0.0</v>
      </c>
      <c r="T449" s="3">
        <v>5.0</v>
      </c>
      <c r="U449" s="3">
        <v>7.5</v>
      </c>
      <c r="V449" s="3" t="s">
        <v>416</v>
      </c>
      <c r="W449" s="74" t="s">
        <v>327</v>
      </c>
      <c r="X449" s="77" t="s">
        <v>415</v>
      </c>
      <c r="Y449" s="3">
        <v>5.0</v>
      </c>
      <c r="Z449" s="3">
        <v>2.0</v>
      </c>
      <c r="AA449" s="2">
        <f>2+ (P449*'Scoring System'!$B$3)+ (IF(OR(D449="DEF",D449="GK"),N449*'Scoring System'!$B$4,IF(D449="MID",N449*'Scoring System'!$B$5,0)))+ (IF(OR(D449="DEF",D449="GK"),H449*'Scoring System'!$B$6,IF(D449="MID",H449*'Scoring System'!$B$7,IF(D449="ATT",H449*'Scoring System'!$B$8,0))))+ IF(AND(OR(D449="GK",D449="DEF"),J449&gt;=3),1*'Scoring System'!$B$9,0)+ (I449*'Scoring System'!$B$10)+ (K449*'Scoring System'!$B$11)+ (M449*'Scoring System'!$B$12)+ (L449*'Scoring System'!$B$13)+ (O449*'Scoring System'!$B$14)+ (Q449*'Scoring System'!$B$15)+ (R449*'Scoring System'!$B$16)</f>
        <v>2</v>
      </c>
      <c r="AB449" s="72" t="b">
        <f>IFERROR(match(C449,'Match Day Fees'!$B$2:$B$999,0),0)=0</f>
        <v>0</v>
      </c>
      <c r="AC449" s="73">
        <f t="shared" si="1"/>
        <v>0</v>
      </c>
      <c r="AD449" s="3" t="str">
        <f>VLOOKUP(D449,'Position Lookup'!A:B,1,FALSE)</f>
        <v>MID</v>
      </c>
    </row>
    <row r="450" ht="17.25" customHeight="1">
      <c r="A450" s="12">
        <v>45185.0</v>
      </c>
      <c r="B450" s="5" t="s">
        <v>309</v>
      </c>
      <c r="C450" s="3" t="s">
        <v>239</v>
      </c>
      <c r="D450" s="3" t="s">
        <v>9</v>
      </c>
      <c r="E450" s="5">
        <v>2.0</v>
      </c>
      <c r="F450" s="3" t="s">
        <v>413</v>
      </c>
      <c r="G450" s="3" t="s">
        <v>224</v>
      </c>
      <c r="J450" s="5">
        <v>2.0</v>
      </c>
      <c r="N450" s="3" t="b">
        <v>0</v>
      </c>
      <c r="R450" s="3">
        <v>0.0</v>
      </c>
      <c r="T450" s="3">
        <v>0.0</v>
      </c>
      <c r="U450" s="3">
        <v>6.5</v>
      </c>
      <c r="V450" s="3" t="s">
        <v>417</v>
      </c>
      <c r="W450" s="74" t="s">
        <v>327</v>
      </c>
      <c r="X450" s="77" t="s">
        <v>415</v>
      </c>
      <c r="Y450" s="3">
        <v>5.0</v>
      </c>
      <c r="Z450" s="3">
        <v>2.0</v>
      </c>
      <c r="AA450" s="2">
        <f>2+ (P450*'Scoring System'!$B$3)+ (IF(OR(D450="DEF",D450="GK"),N450*'Scoring System'!$B$4,IF(D450="MID",N450*'Scoring System'!$B$5,0)))+ (IF(OR(D450="DEF",D450="GK"),H450*'Scoring System'!$B$6,IF(D450="MID",H450*'Scoring System'!$B$7,IF(D450="ATT",H450*'Scoring System'!$B$8,0))))+ IF(AND(OR(D450="GK",D450="DEF"),J450&gt;=3),1*'Scoring System'!$B$9,0)+ (I450*'Scoring System'!$B$10)+ (K450*'Scoring System'!$B$11)+ (M450*'Scoring System'!$B$12)+ (L450*'Scoring System'!$B$13)+ (O450*'Scoring System'!$B$14)+ (Q450*'Scoring System'!$B$15)+ (R450*'Scoring System'!$B$16)</f>
        <v>2</v>
      </c>
      <c r="AB450" s="72" t="b">
        <f>IFERROR(match(C450,'Match Day Fees'!$B$2:$B$999,0),0)=0</f>
        <v>0</v>
      </c>
      <c r="AC450" s="73">
        <f t="shared" si="1"/>
        <v>0</v>
      </c>
      <c r="AD450" s="3" t="str">
        <f>VLOOKUP(D450,'Position Lookup'!A:B,1,FALSE)</f>
        <v>ATT</v>
      </c>
    </row>
    <row r="451" ht="17.25" customHeight="1">
      <c r="A451" s="12">
        <v>45185.0</v>
      </c>
      <c r="B451" s="5" t="s">
        <v>309</v>
      </c>
      <c r="C451" s="3" t="s">
        <v>73</v>
      </c>
      <c r="D451" s="3" t="s">
        <v>9</v>
      </c>
      <c r="E451" s="5">
        <v>2.0</v>
      </c>
      <c r="F451" s="3" t="s">
        <v>413</v>
      </c>
      <c r="G451" s="3" t="s">
        <v>224</v>
      </c>
      <c r="H451" s="3">
        <v>1.0</v>
      </c>
      <c r="I451" s="3">
        <v>1.0</v>
      </c>
      <c r="J451" s="5">
        <v>2.0</v>
      </c>
      <c r="N451" s="3" t="b">
        <v>0</v>
      </c>
      <c r="R451" s="3">
        <v>0.0</v>
      </c>
      <c r="T451" s="3">
        <v>10.0</v>
      </c>
      <c r="U451" s="3">
        <v>7.5</v>
      </c>
      <c r="V451" s="3" t="s">
        <v>418</v>
      </c>
      <c r="W451" s="74" t="s">
        <v>327</v>
      </c>
      <c r="X451" s="77" t="s">
        <v>415</v>
      </c>
      <c r="Y451" s="3">
        <v>5.0</v>
      </c>
      <c r="Z451" s="3">
        <v>2.0</v>
      </c>
      <c r="AA451" s="2">
        <f>2+ (P451*'Scoring System'!$B$3)+ (IF(OR(D451="DEF",D451="GK"),N451*'Scoring System'!$B$4,IF(D451="MID",N451*'Scoring System'!$B$5,0)))+ (IF(OR(D451="DEF",D451="GK"),H451*'Scoring System'!$B$6,IF(D451="MID",H451*'Scoring System'!$B$7,IF(D451="ATT",H451*'Scoring System'!$B$8,0))))+ IF(AND(OR(D451="GK",D451="DEF"),J451&gt;=3),1*'Scoring System'!$B$9,0)+ (I451*'Scoring System'!$B$10)+ (K451*'Scoring System'!$B$11)+ (M451*'Scoring System'!$B$12)+ (L451*'Scoring System'!$B$13)+ (O451*'Scoring System'!$B$14)+ (Q451*'Scoring System'!$B$15)+ (R451*'Scoring System'!$B$16)</f>
        <v>9</v>
      </c>
      <c r="AB451" s="72" t="b">
        <f>IFERROR(match(C451,'Match Day Fees'!$B$2:$B$999,0),0)=0</f>
        <v>0</v>
      </c>
      <c r="AC451" s="73">
        <f t="shared" si="1"/>
        <v>0</v>
      </c>
      <c r="AD451" s="3" t="str">
        <f>VLOOKUP(D451,'Position Lookup'!A:B,1,FALSE)</f>
        <v>ATT</v>
      </c>
    </row>
    <row r="452" ht="17.25" customHeight="1">
      <c r="A452" s="12">
        <v>45185.0</v>
      </c>
      <c r="B452" s="5" t="s">
        <v>309</v>
      </c>
      <c r="C452" s="3" t="s">
        <v>114</v>
      </c>
      <c r="D452" s="3" t="s">
        <v>11</v>
      </c>
      <c r="E452" s="5">
        <v>2.0</v>
      </c>
      <c r="F452" s="3" t="s">
        <v>413</v>
      </c>
      <c r="G452" s="3" t="s">
        <v>224</v>
      </c>
      <c r="I452" s="3">
        <v>1.0</v>
      </c>
      <c r="J452" s="5">
        <v>2.0</v>
      </c>
      <c r="N452" s="3" t="b">
        <v>0</v>
      </c>
      <c r="R452" s="3">
        <v>0.0</v>
      </c>
      <c r="T452" s="3">
        <v>10.0</v>
      </c>
      <c r="U452" s="3">
        <v>7.5</v>
      </c>
      <c r="V452" s="3" t="s">
        <v>419</v>
      </c>
      <c r="W452" s="74" t="s">
        <v>327</v>
      </c>
      <c r="X452" s="77" t="s">
        <v>415</v>
      </c>
      <c r="Y452" s="3">
        <v>5.0</v>
      </c>
      <c r="Z452" s="3">
        <v>2.0</v>
      </c>
      <c r="AA452" s="2">
        <f>2+ (P452*'Scoring System'!$B$3)+ (IF(OR(D452="DEF",D452="GK"),N452*'Scoring System'!$B$4,IF(D452="MID",N452*'Scoring System'!$B$5,0)))+ (IF(OR(D452="DEF",D452="GK"),H452*'Scoring System'!$B$6,IF(D452="MID",H452*'Scoring System'!$B$7,IF(D452="ATT",H452*'Scoring System'!$B$8,0))))+ IF(AND(OR(D452="GK",D452="DEF"),J452&gt;=3),1*'Scoring System'!$B$9,0)+ (I452*'Scoring System'!$B$10)+ (K452*'Scoring System'!$B$11)+ (M452*'Scoring System'!$B$12)+ (L452*'Scoring System'!$B$13)+ (O452*'Scoring System'!$B$14)+ (Q452*'Scoring System'!$B$15)+ (R452*'Scoring System'!$B$16)</f>
        <v>5</v>
      </c>
      <c r="AB452" s="72" t="b">
        <f>IFERROR(match(C452,'Match Day Fees'!$B$2:$B$999,0),0)=0</f>
        <v>0</v>
      </c>
      <c r="AC452" s="73">
        <f t="shared" si="1"/>
        <v>0</v>
      </c>
      <c r="AD452" s="3" t="str">
        <f>VLOOKUP(D452,'Position Lookup'!A:B,1,FALSE)</f>
        <v>DEF</v>
      </c>
    </row>
    <row r="453" ht="17.25" customHeight="1">
      <c r="A453" s="12">
        <v>45185.0</v>
      </c>
      <c r="B453" s="5" t="s">
        <v>309</v>
      </c>
      <c r="C453" s="3" t="s">
        <v>78</v>
      </c>
      <c r="D453" s="3" t="s">
        <v>10</v>
      </c>
      <c r="E453" s="5">
        <v>2.0</v>
      </c>
      <c r="F453" s="3" t="s">
        <v>413</v>
      </c>
      <c r="G453" s="3" t="s">
        <v>224</v>
      </c>
      <c r="I453" s="3">
        <v>2.0</v>
      </c>
      <c r="J453" s="5">
        <v>2.0</v>
      </c>
      <c r="N453" s="3" t="b">
        <v>0</v>
      </c>
      <c r="R453" s="3">
        <v>0.0</v>
      </c>
      <c r="T453" s="3">
        <v>10.0</v>
      </c>
      <c r="U453" s="3">
        <v>7.5</v>
      </c>
      <c r="V453" s="3" t="s">
        <v>420</v>
      </c>
      <c r="W453" s="74" t="s">
        <v>327</v>
      </c>
      <c r="X453" s="77" t="s">
        <v>415</v>
      </c>
      <c r="Y453" s="3">
        <v>5.0</v>
      </c>
      <c r="Z453" s="3">
        <v>2.0</v>
      </c>
      <c r="AA453" s="2">
        <f>2+ (P453*'Scoring System'!$B$3)+ (IF(OR(D453="DEF",D453="GK"),N453*'Scoring System'!$B$4,IF(D453="MID",N453*'Scoring System'!$B$5,0)))+ (IF(OR(D453="DEF",D453="GK"),H453*'Scoring System'!$B$6,IF(D453="MID",H453*'Scoring System'!$B$7,IF(D453="ATT",H453*'Scoring System'!$B$8,0))))+ IF(AND(OR(D453="GK",D453="DEF"),J453&gt;=3),1*'Scoring System'!$B$9,0)+ (I453*'Scoring System'!$B$10)+ (K453*'Scoring System'!$B$11)+ (M453*'Scoring System'!$B$12)+ (L453*'Scoring System'!$B$13)+ (O453*'Scoring System'!$B$14)+ (Q453*'Scoring System'!$B$15)+ (R453*'Scoring System'!$B$16)</f>
        <v>8</v>
      </c>
      <c r="AB453" s="72" t="b">
        <f>IFERROR(match(C453,'Match Day Fees'!$B$2:$B$999,0),0)=0</f>
        <v>0</v>
      </c>
      <c r="AC453" s="73">
        <f t="shared" si="1"/>
        <v>0</v>
      </c>
      <c r="AD453" s="3" t="str">
        <f>VLOOKUP(D453,'Position Lookup'!A:B,1,FALSE)</f>
        <v>MID</v>
      </c>
    </row>
    <row r="454" ht="17.25" customHeight="1">
      <c r="A454" s="12">
        <v>45185.0</v>
      </c>
      <c r="B454" s="5" t="s">
        <v>309</v>
      </c>
      <c r="C454" s="3" t="s">
        <v>92</v>
      </c>
      <c r="D454" s="3" t="s">
        <v>10</v>
      </c>
      <c r="E454" s="5">
        <v>2.0</v>
      </c>
      <c r="F454" s="3" t="s">
        <v>413</v>
      </c>
      <c r="G454" s="3" t="s">
        <v>224</v>
      </c>
      <c r="H454" s="3">
        <v>1.0</v>
      </c>
      <c r="J454" s="5">
        <v>2.0</v>
      </c>
      <c r="N454" s="3" t="b">
        <v>0</v>
      </c>
      <c r="R454" s="3">
        <v>0.0</v>
      </c>
      <c r="S454" s="3" t="b">
        <v>1</v>
      </c>
      <c r="T454" s="3">
        <v>0.0</v>
      </c>
      <c r="U454" s="3">
        <v>7.5</v>
      </c>
      <c r="V454" s="3" t="s">
        <v>421</v>
      </c>
      <c r="W454" s="74" t="s">
        <v>327</v>
      </c>
      <c r="X454" s="77" t="s">
        <v>415</v>
      </c>
      <c r="Y454" s="3">
        <v>5.0</v>
      </c>
      <c r="Z454" s="3">
        <v>2.0</v>
      </c>
      <c r="AA454" s="2">
        <f>2+ (P454*'Scoring System'!$B$3)+ (IF(OR(D454="DEF",D454="GK"),N454*'Scoring System'!$B$4,IF(D454="MID",N454*'Scoring System'!$B$5,0)))+ (IF(OR(D454="DEF",D454="GK"),H454*'Scoring System'!$B$6,IF(D454="MID",H454*'Scoring System'!$B$7,IF(D454="ATT",H454*'Scoring System'!$B$8,0))))+ IF(AND(OR(D454="GK",D454="DEF"),J454&gt;=3),1*'Scoring System'!$B$9,0)+ (I454*'Scoring System'!$B$10)+ (K454*'Scoring System'!$B$11)+ (M454*'Scoring System'!$B$12)+ (L454*'Scoring System'!$B$13)+ (O454*'Scoring System'!$B$14)+ (Q454*'Scoring System'!$B$15)+ (R454*'Scoring System'!$B$16)</f>
        <v>7</v>
      </c>
      <c r="AB454" s="72" t="b">
        <f>IFERROR(match(C454,'Match Day Fees'!$B$2:$B$999,0),0)=0</f>
        <v>0</v>
      </c>
      <c r="AC454" s="73">
        <f t="shared" si="1"/>
        <v>0</v>
      </c>
      <c r="AD454" s="3" t="str">
        <f>VLOOKUP(D454,'Position Lookup'!A:B,1,FALSE)</f>
        <v>MID</v>
      </c>
    </row>
    <row r="455" ht="17.25" customHeight="1">
      <c r="A455" s="12">
        <v>45185.0</v>
      </c>
      <c r="B455" s="5" t="s">
        <v>309</v>
      </c>
      <c r="C455" s="3" t="s">
        <v>276</v>
      </c>
      <c r="D455" s="3" t="s">
        <v>10</v>
      </c>
      <c r="E455" s="5">
        <v>2.0</v>
      </c>
      <c r="F455" s="3" t="s">
        <v>413</v>
      </c>
      <c r="G455" s="3" t="s">
        <v>224</v>
      </c>
      <c r="J455" s="5">
        <v>2.0</v>
      </c>
      <c r="N455" s="3" t="b">
        <v>0</v>
      </c>
      <c r="R455" s="3">
        <v>0.0</v>
      </c>
      <c r="T455" s="3">
        <v>10.0</v>
      </c>
      <c r="U455" s="3">
        <v>7.0</v>
      </c>
      <c r="V455" s="3" t="s">
        <v>422</v>
      </c>
      <c r="W455" s="74" t="s">
        <v>327</v>
      </c>
      <c r="X455" s="77" t="s">
        <v>415</v>
      </c>
      <c r="Y455" s="3">
        <v>5.0</v>
      </c>
      <c r="Z455" s="3">
        <v>2.0</v>
      </c>
      <c r="AA455" s="2">
        <f>2+ (P455*'Scoring System'!$B$3)+ (IF(OR(D455="DEF",D455="GK"),N455*'Scoring System'!$B$4,IF(D455="MID",N455*'Scoring System'!$B$5,0)))+ (IF(OR(D455="DEF",D455="GK"),H455*'Scoring System'!$B$6,IF(D455="MID",H455*'Scoring System'!$B$7,IF(D455="ATT",H455*'Scoring System'!$B$8,0))))+ IF(AND(OR(D455="GK",D455="DEF"),J455&gt;=3),1*'Scoring System'!$B$9,0)+ (I455*'Scoring System'!$B$10)+ (K455*'Scoring System'!$B$11)+ (M455*'Scoring System'!$B$12)+ (L455*'Scoring System'!$B$13)+ (O455*'Scoring System'!$B$14)+ (Q455*'Scoring System'!$B$15)+ (R455*'Scoring System'!$B$16)</f>
        <v>2</v>
      </c>
      <c r="AB455" s="72" t="b">
        <f>IFERROR(match(C455,'Match Day Fees'!$B$2:$B$999,0),0)=0</f>
        <v>0</v>
      </c>
      <c r="AC455" s="73">
        <f t="shared" si="1"/>
        <v>0</v>
      </c>
      <c r="AD455" s="3" t="str">
        <f>VLOOKUP(D455,'Position Lookup'!A:B,1,FALSE)</f>
        <v>MID</v>
      </c>
    </row>
    <row r="456" ht="17.25" customHeight="1">
      <c r="A456" s="12">
        <v>45185.0</v>
      </c>
      <c r="B456" s="5" t="s">
        <v>309</v>
      </c>
      <c r="C456" s="3" t="s">
        <v>256</v>
      </c>
      <c r="D456" s="5" t="s">
        <v>11</v>
      </c>
      <c r="E456" s="5">
        <v>2.0</v>
      </c>
      <c r="F456" s="3" t="s">
        <v>413</v>
      </c>
      <c r="G456" s="3" t="s">
        <v>224</v>
      </c>
      <c r="I456" s="3">
        <v>1.0</v>
      </c>
      <c r="J456" s="5">
        <v>2.0</v>
      </c>
      <c r="N456" s="3" t="b">
        <v>0</v>
      </c>
      <c r="R456" s="3">
        <v>0.0</v>
      </c>
      <c r="T456" s="3">
        <v>5.0</v>
      </c>
      <c r="U456" s="3">
        <v>7.5</v>
      </c>
      <c r="V456" s="3" t="s">
        <v>423</v>
      </c>
      <c r="W456" s="74" t="s">
        <v>327</v>
      </c>
      <c r="X456" s="77" t="s">
        <v>415</v>
      </c>
      <c r="Y456" s="3">
        <v>5.0</v>
      </c>
      <c r="Z456" s="3">
        <v>2.0</v>
      </c>
      <c r="AA456" s="2">
        <f>2+ (P456*'Scoring System'!$B$3)+ (IF(OR(D456="DEF",D456="GK"),N456*'Scoring System'!$B$4,IF(D456="MID",N456*'Scoring System'!$B$5,0)))+ (IF(OR(D456="DEF",D456="GK"),H456*'Scoring System'!$B$6,IF(D456="MID",H456*'Scoring System'!$B$7,IF(D456="ATT",H456*'Scoring System'!$B$8,0))))+ IF(AND(OR(D456="GK",D456="DEF"),J456&gt;=3),1*'Scoring System'!$B$9,0)+ (I456*'Scoring System'!$B$10)+ (K456*'Scoring System'!$B$11)+ (M456*'Scoring System'!$B$12)+ (L456*'Scoring System'!$B$13)+ (O456*'Scoring System'!$B$14)+ (Q456*'Scoring System'!$B$15)+ (R456*'Scoring System'!$B$16)</f>
        <v>5</v>
      </c>
      <c r="AB456" s="72" t="b">
        <f>IFERROR(match(C456,'Match Day Fees'!$B$2:$B$999,0),0)=0</f>
        <v>0</v>
      </c>
      <c r="AC456" s="73">
        <f t="shared" si="1"/>
        <v>0</v>
      </c>
      <c r="AD456" s="3" t="str">
        <f>VLOOKUP(D456,'Position Lookup'!A:B,1,FALSE)</f>
        <v>DEF</v>
      </c>
    </row>
    <row r="457" ht="17.25" customHeight="1">
      <c r="A457" s="12">
        <v>45185.0</v>
      </c>
      <c r="B457" s="5" t="s">
        <v>309</v>
      </c>
      <c r="C457" s="3" t="s">
        <v>80</v>
      </c>
      <c r="D457" s="3" t="s">
        <v>9</v>
      </c>
      <c r="E457" s="5">
        <v>2.0</v>
      </c>
      <c r="F457" s="3" t="s">
        <v>413</v>
      </c>
      <c r="G457" s="3" t="s">
        <v>224</v>
      </c>
      <c r="H457" s="3">
        <v>2.0</v>
      </c>
      <c r="J457" s="5">
        <v>2.0</v>
      </c>
      <c r="N457" s="3" t="b">
        <v>0</v>
      </c>
      <c r="R457" s="3">
        <v>0.0</v>
      </c>
      <c r="T457" s="3">
        <v>10.0</v>
      </c>
      <c r="U457" s="3">
        <v>8.0</v>
      </c>
      <c r="V457" s="3" t="s">
        <v>424</v>
      </c>
      <c r="W457" s="74" t="s">
        <v>327</v>
      </c>
      <c r="X457" s="77" t="s">
        <v>415</v>
      </c>
      <c r="Y457" s="3">
        <v>5.0</v>
      </c>
      <c r="Z457" s="3">
        <v>2.0</v>
      </c>
      <c r="AA457" s="2">
        <f>2+ (P457*'Scoring System'!$B$3)+ (IF(OR(D457="DEF",D457="GK"),N457*'Scoring System'!$B$4,IF(D457="MID",N457*'Scoring System'!$B$5,0)))+ (IF(OR(D457="DEF",D457="GK"),H457*'Scoring System'!$B$6,IF(D457="MID",H457*'Scoring System'!$B$7,IF(D457="ATT",H457*'Scoring System'!$B$8,0))))+ IF(AND(OR(D457="GK",D457="DEF"),J457&gt;=3),1*'Scoring System'!$B$9,0)+ (I457*'Scoring System'!$B$10)+ (K457*'Scoring System'!$B$11)+ (M457*'Scoring System'!$B$12)+ (L457*'Scoring System'!$B$13)+ (O457*'Scoring System'!$B$14)+ (Q457*'Scoring System'!$B$15)+ (R457*'Scoring System'!$B$16)</f>
        <v>10</v>
      </c>
      <c r="AB457" s="72" t="b">
        <f>IFERROR(match(C457,'Match Day Fees'!$B$2:$B$999,0),0)=0</f>
        <v>0</v>
      </c>
      <c r="AC457" s="73">
        <f t="shared" si="1"/>
        <v>0</v>
      </c>
      <c r="AD457" s="3" t="str">
        <f>VLOOKUP(D457,'Position Lookup'!A:B,1,FALSE)</f>
        <v>ATT</v>
      </c>
    </row>
    <row r="458" ht="17.25" customHeight="1">
      <c r="A458" s="12">
        <v>45185.0</v>
      </c>
      <c r="B458" s="5" t="s">
        <v>309</v>
      </c>
      <c r="C458" s="3" t="s">
        <v>273</v>
      </c>
      <c r="D458" s="3" t="s">
        <v>11</v>
      </c>
      <c r="E458" s="5">
        <v>2.0</v>
      </c>
      <c r="F458" s="3" t="s">
        <v>413</v>
      </c>
      <c r="G458" s="3" t="s">
        <v>224</v>
      </c>
      <c r="J458" s="5">
        <v>2.0</v>
      </c>
      <c r="N458" s="3" t="b">
        <v>0</v>
      </c>
      <c r="R458" s="3">
        <v>0.0</v>
      </c>
      <c r="T458" s="3">
        <v>5.0</v>
      </c>
      <c r="U458" s="3">
        <v>5.5</v>
      </c>
      <c r="V458" s="3" t="s">
        <v>425</v>
      </c>
      <c r="W458" s="74" t="s">
        <v>327</v>
      </c>
      <c r="X458" s="77" t="s">
        <v>415</v>
      </c>
      <c r="Y458" s="3">
        <v>5.0</v>
      </c>
      <c r="Z458" s="3">
        <v>2.0</v>
      </c>
      <c r="AA458" s="2">
        <f>2+ (P458*'Scoring System'!$B$3)+ (IF(OR(D458="DEF",D458="GK"),N458*'Scoring System'!$B$4,IF(D458="MID",N458*'Scoring System'!$B$5,0)))+ (IF(OR(D458="DEF",D458="GK"),H458*'Scoring System'!$B$6,IF(D458="MID",H458*'Scoring System'!$B$7,IF(D458="ATT",H458*'Scoring System'!$B$8,0))))+ IF(AND(OR(D458="GK",D458="DEF"),J458&gt;=3),1*'Scoring System'!$B$9,0)+ (I458*'Scoring System'!$B$10)+ (K458*'Scoring System'!$B$11)+ (M458*'Scoring System'!$B$12)+ (L458*'Scoring System'!$B$13)+ (O458*'Scoring System'!$B$14)+ (Q458*'Scoring System'!$B$15)+ (R458*'Scoring System'!$B$16)</f>
        <v>2</v>
      </c>
      <c r="AB458" s="72" t="b">
        <f>IFERROR(match(C458,'Match Day Fees'!$B$2:$B$999,0),0)=0</f>
        <v>0</v>
      </c>
      <c r="AC458" s="73">
        <f t="shared" si="1"/>
        <v>0</v>
      </c>
      <c r="AD458" s="3" t="str">
        <f>VLOOKUP(D458,'Position Lookup'!A:B,1,FALSE)</f>
        <v>DEF</v>
      </c>
    </row>
    <row r="459" ht="17.25" customHeight="1">
      <c r="A459" s="12">
        <v>45185.0</v>
      </c>
      <c r="B459" s="5" t="s">
        <v>309</v>
      </c>
      <c r="C459" s="3" t="s">
        <v>91</v>
      </c>
      <c r="D459" s="3" t="s">
        <v>11</v>
      </c>
      <c r="E459" s="5">
        <v>2.0</v>
      </c>
      <c r="F459" s="3" t="s">
        <v>413</v>
      </c>
      <c r="G459" s="3" t="s">
        <v>224</v>
      </c>
      <c r="J459" s="5">
        <v>2.0</v>
      </c>
      <c r="N459" s="3" t="b">
        <v>0</v>
      </c>
      <c r="R459" s="3">
        <v>0.0</v>
      </c>
      <c r="T459" s="3">
        <v>5.0</v>
      </c>
      <c r="U459" s="3">
        <v>7.0</v>
      </c>
      <c r="V459" s="3" t="s">
        <v>426</v>
      </c>
      <c r="W459" s="74" t="s">
        <v>327</v>
      </c>
      <c r="X459" s="77" t="s">
        <v>415</v>
      </c>
      <c r="Y459" s="3">
        <v>5.0</v>
      </c>
      <c r="Z459" s="3">
        <v>2.0</v>
      </c>
      <c r="AA459" s="2">
        <f>2+ (P459*'Scoring System'!$B$3)+ (IF(OR(D459="DEF",D459="GK"),N459*'Scoring System'!$B$4,IF(D459="MID",N459*'Scoring System'!$B$5,0)))+ (IF(OR(D459="DEF",D459="GK"),H459*'Scoring System'!$B$6,IF(D459="MID",H459*'Scoring System'!$B$7,IF(D459="ATT",H459*'Scoring System'!$B$8,0))))+ IF(AND(OR(D459="GK",D459="DEF"),J459&gt;=3),1*'Scoring System'!$B$9,0)+ (I459*'Scoring System'!$B$10)+ (K459*'Scoring System'!$B$11)+ (M459*'Scoring System'!$B$12)+ (L459*'Scoring System'!$B$13)+ (O459*'Scoring System'!$B$14)+ (Q459*'Scoring System'!$B$15)+ (R459*'Scoring System'!$B$16)</f>
        <v>2</v>
      </c>
      <c r="AB459" s="72" t="b">
        <f>IFERROR(match(C459,'Match Day Fees'!$B$2:$B$999,0),0)=0</f>
        <v>0</v>
      </c>
      <c r="AC459" s="73">
        <f t="shared" si="1"/>
        <v>0</v>
      </c>
      <c r="AD459" s="3" t="str">
        <f>VLOOKUP(D459,'Position Lookup'!A:B,1,FALSE)</f>
        <v>DEF</v>
      </c>
    </row>
    <row r="460" ht="17.25" customHeight="1">
      <c r="A460" s="12">
        <v>45185.0</v>
      </c>
      <c r="B460" s="5" t="s">
        <v>309</v>
      </c>
      <c r="C460" s="3" t="s">
        <v>111</v>
      </c>
      <c r="D460" s="3" t="s">
        <v>11</v>
      </c>
      <c r="E460" s="5">
        <v>2.0</v>
      </c>
      <c r="F460" s="3" t="s">
        <v>413</v>
      </c>
      <c r="G460" s="3" t="s">
        <v>224</v>
      </c>
      <c r="J460" s="5">
        <v>2.0</v>
      </c>
      <c r="N460" s="3" t="b">
        <v>0</v>
      </c>
      <c r="R460" s="3">
        <v>0.0</v>
      </c>
      <c r="T460" s="3">
        <v>10.0</v>
      </c>
      <c r="U460" s="3">
        <v>7.5</v>
      </c>
      <c r="V460" s="3" t="s">
        <v>427</v>
      </c>
      <c r="W460" s="74" t="s">
        <v>327</v>
      </c>
      <c r="X460" s="77" t="s">
        <v>415</v>
      </c>
      <c r="Y460" s="3">
        <v>5.0</v>
      </c>
      <c r="Z460" s="3">
        <v>2.0</v>
      </c>
      <c r="AA460" s="2">
        <f>2+ (P460*'Scoring System'!$B$3)+ (IF(OR(D460="DEF",D460="GK"),N460*'Scoring System'!$B$4,IF(D460="MID",N460*'Scoring System'!$B$5,0)))+ (IF(OR(D460="DEF",D460="GK"),H460*'Scoring System'!$B$6,IF(D460="MID",H460*'Scoring System'!$B$7,IF(D460="ATT",H460*'Scoring System'!$B$8,0))))+ IF(AND(OR(D460="GK",D460="DEF"),J460&gt;=3),1*'Scoring System'!$B$9,0)+ (I460*'Scoring System'!$B$10)+ (K460*'Scoring System'!$B$11)+ (M460*'Scoring System'!$B$12)+ (L460*'Scoring System'!$B$13)+ (O460*'Scoring System'!$B$14)+ (Q460*'Scoring System'!$B$15)+ (R460*'Scoring System'!$B$16)</f>
        <v>2</v>
      </c>
      <c r="AB460" s="72" t="b">
        <f>IFERROR(match(C460,'Match Day Fees'!$B$2:$B$999,0),0)=0</f>
        <v>0</v>
      </c>
      <c r="AC460" s="73">
        <f t="shared" si="1"/>
        <v>0</v>
      </c>
      <c r="AD460" s="3" t="str">
        <f>VLOOKUP(D460,'Position Lookup'!A:B,1,FALSE)</f>
        <v>DEF</v>
      </c>
    </row>
    <row r="461" ht="17.25" customHeight="1">
      <c r="A461" s="12">
        <v>45185.0</v>
      </c>
      <c r="B461" s="5" t="s">
        <v>309</v>
      </c>
      <c r="C461" s="3" t="s">
        <v>57</v>
      </c>
      <c r="D461" s="3" t="s">
        <v>10</v>
      </c>
      <c r="E461" s="5">
        <v>2.0</v>
      </c>
      <c r="F461" s="3" t="s">
        <v>413</v>
      </c>
      <c r="G461" s="3" t="s">
        <v>224</v>
      </c>
      <c r="H461" s="3">
        <v>1.0</v>
      </c>
      <c r="J461" s="5">
        <v>2.0</v>
      </c>
      <c r="N461" s="3" t="b">
        <v>0</v>
      </c>
      <c r="R461" s="3">
        <v>1.0</v>
      </c>
      <c r="T461" s="3">
        <v>5.0</v>
      </c>
      <c r="U461" s="3">
        <v>7.5</v>
      </c>
      <c r="V461" s="3" t="s">
        <v>428</v>
      </c>
      <c r="W461" s="74" t="s">
        <v>327</v>
      </c>
      <c r="X461" s="77" t="s">
        <v>415</v>
      </c>
      <c r="Y461" s="3">
        <v>5.0</v>
      </c>
      <c r="Z461" s="3">
        <v>2.0</v>
      </c>
      <c r="AA461" s="2">
        <f>2+ (P461*'Scoring System'!$B$3)+ (IF(OR(D461="DEF",D461="GK"),N461*'Scoring System'!$B$4,IF(D461="MID",N461*'Scoring System'!$B$5,0)))+ (IF(OR(D461="DEF",D461="GK"),H461*'Scoring System'!$B$6,IF(D461="MID",H461*'Scoring System'!$B$7,IF(D461="ATT",H461*'Scoring System'!$B$8,0))))+ IF(AND(OR(D461="GK",D461="DEF"),J461&gt;=3),1*'Scoring System'!$B$9,0)+ (I461*'Scoring System'!$B$10)+ (K461*'Scoring System'!$B$11)+ (M461*'Scoring System'!$B$12)+ (L461*'Scoring System'!$B$13)+ (O461*'Scoring System'!$B$14)+ (Q461*'Scoring System'!$B$15)+ (R461*'Scoring System'!$B$16)</f>
        <v>12</v>
      </c>
      <c r="AB461" s="72" t="b">
        <f>IFERROR(match(C461,'Match Day Fees'!$B$2:$B$999,0),0)=0</f>
        <v>0</v>
      </c>
      <c r="AC461" s="73">
        <f t="shared" si="1"/>
        <v>0</v>
      </c>
      <c r="AD461" s="3" t="str">
        <f>VLOOKUP(D461,'Position Lookup'!A:B,1,FALSE)</f>
        <v>MID</v>
      </c>
    </row>
    <row r="462" ht="17.25" customHeight="1">
      <c r="A462" s="12">
        <v>45185.0</v>
      </c>
      <c r="B462" s="5" t="s">
        <v>309</v>
      </c>
      <c r="C462" s="3" t="s">
        <v>118</v>
      </c>
      <c r="D462" s="3" t="s">
        <v>8</v>
      </c>
      <c r="E462" s="5">
        <v>3.0</v>
      </c>
      <c r="F462" s="3" t="s">
        <v>429</v>
      </c>
      <c r="G462" s="3" t="s">
        <v>224</v>
      </c>
      <c r="J462" s="5">
        <v>2.0</v>
      </c>
      <c r="N462" s="3" t="b">
        <v>0</v>
      </c>
      <c r="R462" s="3">
        <v>0.0</v>
      </c>
      <c r="S462" s="3" t="b">
        <v>0</v>
      </c>
      <c r="T462" s="3">
        <v>10.0</v>
      </c>
      <c r="U462" s="3">
        <v>7.0</v>
      </c>
      <c r="V462" s="3" t="s">
        <v>430</v>
      </c>
      <c r="W462" s="74" t="s">
        <v>344</v>
      </c>
      <c r="X462" s="77" t="s">
        <v>431</v>
      </c>
      <c r="Y462" s="3">
        <v>5.0</v>
      </c>
      <c r="Z462" s="3">
        <v>2.0</v>
      </c>
      <c r="AA462" s="2">
        <f>2+ (P462*'Scoring System'!$B$3)+ (IF(OR(D462="DEF",D462="GK"),N462*'Scoring System'!$B$4,IF(D462="MID",N462*'Scoring System'!$B$5,0)))+ (IF(OR(D462="DEF",D462="GK"),H462*'Scoring System'!$B$6,IF(D462="MID",H462*'Scoring System'!$B$7,IF(D462="ATT",H462*'Scoring System'!$B$8,0))))+ IF(AND(OR(D462="GK",D462="DEF"),J462&gt;=3),1*'Scoring System'!$B$9,0)+ (I462*'Scoring System'!$B$10)+ (K462*'Scoring System'!$B$11)+ (M462*'Scoring System'!$B$12)+ (L462*'Scoring System'!$B$13)+ (O462*'Scoring System'!$B$14)+ (Q462*'Scoring System'!$B$15)+ (R462*'Scoring System'!$B$16)</f>
        <v>2</v>
      </c>
      <c r="AB462" s="72" t="b">
        <f>IFERROR(match(C462,'Match Day Fees'!$B$2:$B$999,0),0)=0</f>
        <v>0</v>
      </c>
      <c r="AC462" s="73">
        <f t="shared" si="1"/>
        <v>0</v>
      </c>
      <c r="AD462" s="3" t="str">
        <f>VLOOKUP(D462,'Position Lookup'!A:B,1,FALSE)</f>
        <v>GK</v>
      </c>
    </row>
    <row r="463" ht="17.25" customHeight="1">
      <c r="A463" s="12">
        <v>45185.0</v>
      </c>
      <c r="B463" s="5" t="s">
        <v>309</v>
      </c>
      <c r="C463" s="3" t="s">
        <v>254</v>
      </c>
      <c r="D463" s="3" t="s">
        <v>11</v>
      </c>
      <c r="E463" s="5">
        <v>3.0</v>
      </c>
      <c r="F463" s="3" t="s">
        <v>429</v>
      </c>
      <c r="G463" s="3" t="s">
        <v>224</v>
      </c>
      <c r="I463" s="3">
        <v>1.0</v>
      </c>
      <c r="J463" s="5">
        <v>2.0</v>
      </c>
      <c r="N463" s="3" t="b">
        <v>0</v>
      </c>
      <c r="R463" s="3">
        <v>0.0</v>
      </c>
      <c r="S463" s="3" t="b">
        <v>1</v>
      </c>
      <c r="T463" s="3">
        <v>0.0</v>
      </c>
      <c r="U463" s="3">
        <v>6.0</v>
      </c>
      <c r="V463" s="3" t="s">
        <v>432</v>
      </c>
      <c r="W463" s="74" t="s">
        <v>344</v>
      </c>
      <c r="X463" s="77" t="s">
        <v>431</v>
      </c>
      <c r="Y463" s="3">
        <v>5.0</v>
      </c>
      <c r="Z463" s="3">
        <v>2.0</v>
      </c>
      <c r="AA463" s="2">
        <f>2+ (P463*'Scoring System'!$B$3)+ (IF(OR(D463="DEF",D463="GK"),N463*'Scoring System'!$B$4,IF(D463="MID",N463*'Scoring System'!$B$5,0)))+ (IF(OR(D463="DEF",D463="GK"),H463*'Scoring System'!$B$6,IF(D463="MID",H463*'Scoring System'!$B$7,IF(D463="ATT",H463*'Scoring System'!$B$8,0))))+ IF(AND(OR(D463="GK",D463="DEF"),J463&gt;=3),1*'Scoring System'!$B$9,0)+ (I463*'Scoring System'!$B$10)+ (K463*'Scoring System'!$B$11)+ (M463*'Scoring System'!$B$12)+ (L463*'Scoring System'!$B$13)+ (O463*'Scoring System'!$B$14)+ (Q463*'Scoring System'!$B$15)+ (R463*'Scoring System'!$B$16)</f>
        <v>5</v>
      </c>
      <c r="AB463" s="72" t="b">
        <f>IFERROR(match(C463,'Match Day Fees'!$B$2:$B$999,0),0)=0</f>
        <v>0</v>
      </c>
      <c r="AC463" s="73">
        <f t="shared" si="1"/>
        <v>0</v>
      </c>
      <c r="AD463" s="3" t="str">
        <f>VLOOKUP(D463,'Position Lookup'!A:B,1,FALSE)</f>
        <v>DEF</v>
      </c>
    </row>
    <row r="464" ht="17.25" customHeight="1">
      <c r="A464" s="12">
        <v>45185.0</v>
      </c>
      <c r="B464" s="5" t="s">
        <v>309</v>
      </c>
      <c r="C464" s="3" t="s">
        <v>146</v>
      </c>
      <c r="D464" s="3" t="s">
        <v>10</v>
      </c>
      <c r="E464" s="5">
        <v>3.0</v>
      </c>
      <c r="F464" s="3" t="s">
        <v>429</v>
      </c>
      <c r="G464" s="3" t="s">
        <v>224</v>
      </c>
      <c r="J464" s="5">
        <v>2.0</v>
      </c>
      <c r="N464" s="3" t="b">
        <v>0</v>
      </c>
      <c r="R464" s="3">
        <v>0.0</v>
      </c>
      <c r="T464" s="3">
        <v>10.0</v>
      </c>
      <c r="U464" s="3">
        <v>7.0</v>
      </c>
      <c r="V464" s="3" t="s">
        <v>433</v>
      </c>
      <c r="W464" s="74" t="s">
        <v>344</v>
      </c>
      <c r="X464" s="77" t="s">
        <v>431</v>
      </c>
      <c r="Y464" s="3">
        <v>5.0</v>
      </c>
      <c r="Z464" s="3">
        <v>2.0</v>
      </c>
      <c r="AA464" s="2">
        <f>2+ (P464*'Scoring System'!$B$3)+ (IF(OR(D464="DEF",D464="GK"),N464*'Scoring System'!$B$4,IF(D464="MID",N464*'Scoring System'!$B$5,0)))+ (IF(OR(D464="DEF",D464="GK"),H464*'Scoring System'!$B$6,IF(D464="MID",H464*'Scoring System'!$B$7,IF(D464="ATT",H464*'Scoring System'!$B$8,0))))+ IF(AND(OR(D464="GK",D464="DEF"),J464&gt;=3),1*'Scoring System'!$B$9,0)+ (I464*'Scoring System'!$B$10)+ (K464*'Scoring System'!$B$11)+ (M464*'Scoring System'!$B$12)+ (L464*'Scoring System'!$B$13)+ (O464*'Scoring System'!$B$14)+ (Q464*'Scoring System'!$B$15)+ (R464*'Scoring System'!$B$16)</f>
        <v>2</v>
      </c>
      <c r="AB464" s="72" t="b">
        <f>IFERROR(match(C464,'Match Day Fees'!$B$2:$B$999,0),0)=0</f>
        <v>0</v>
      </c>
      <c r="AC464" s="73">
        <f t="shared" si="1"/>
        <v>0</v>
      </c>
      <c r="AD464" s="3" t="str">
        <f>VLOOKUP(D464,'Position Lookup'!A:B,1,FALSE)</f>
        <v>MID</v>
      </c>
    </row>
    <row r="465" ht="17.25" customHeight="1">
      <c r="A465" s="12">
        <v>45185.0</v>
      </c>
      <c r="B465" s="5" t="s">
        <v>309</v>
      </c>
      <c r="C465" s="3" t="s">
        <v>308</v>
      </c>
      <c r="D465" s="3" t="s">
        <v>11</v>
      </c>
      <c r="E465" s="5">
        <v>3.0</v>
      </c>
      <c r="F465" s="3" t="s">
        <v>429</v>
      </c>
      <c r="G465" s="3" t="s">
        <v>224</v>
      </c>
      <c r="I465" s="3">
        <v>1.0</v>
      </c>
      <c r="J465" s="5">
        <v>2.0</v>
      </c>
      <c r="N465" s="3" t="b">
        <v>0</v>
      </c>
      <c r="R465" s="3">
        <v>0.0</v>
      </c>
      <c r="T465" s="3">
        <v>10.0</v>
      </c>
      <c r="U465" s="3">
        <v>7.5</v>
      </c>
      <c r="V465" s="3" t="s">
        <v>434</v>
      </c>
      <c r="W465" s="74" t="s">
        <v>344</v>
      </c>
      <c r="X465" s="77" t="s">
        <v>431</v>
      </c>
      <c r="Y465" s="3">
        <v>5.0</v>
      </c>
      <c r="Z465" s="3">
        <v>2.0</v>
      </c>
      <c r="AA465" s="2">
        <f>2+ (P465*'Scoring System'!$B$3)+ (IF(OR(D465="DEF",D465="GK"),N465*'Scoring System'!$B$4,IF(D465="MID",N465*'Scoring System'!$B$5,0)))+ (IF(OR(D465="DEF",D465="GK"),H465*'Scoring System'!$B$6,IF(D465="MID",H465*'Scoring System'!$B$7,IF(D465="ATT",H465*'Scoring System'!$B$8,0))))+ IF(AND(OR(D465="GK",D465="DEF"),J465&gt;=3),1*'Scoring System'!$B$9,0)+ (I465*'Scoring System'!$B$10)+ (K465*'Scoring System'!$B$11)+ (M465*'Scoring System'!$B$12)+ (L465*'Scoring System'!$B$13)+ (O465*'Scoring System'!$B$14)+ (Q465*'Scoring System'!$B$15)+ (R465*'Scoring System'!$B$16)</f>
        <v>5</v>
      </c>
      <c r="AB465" s="72" t="b">
        <f>IFERROR(match(C465,'Match Day Fees'!$B$2:$B$999,0),0)=0</f>
        <v>0</v>
      </c>
      <c r="AC465" s="73">
        <f t="shared" si="1"/>
        <v>0</v>
      </c>
      <c r="AD465" s="3" t="str">
        <f>VLOOKUP(D465,'Position Lookup'!A:B,1,FALSE)</f>
        <v>DEF</v>
      </c>
    </row>
    <row r="466" ht="17.25" customHeight="1">
      <c r="A466" s="12">
        <v>45185.0</v>
      </c>
      <c r="B466" s="5" t="s">
        <v>309</v>
      </c>
      <c r="C466" s="3" t="s">
        <v>265</v>
      </c>
      <c r="D466" s="3" t="s">
        <v>11</v>
      </c>
      <c r="E466" s="5">
        <v>3.0</v>
      </c>
      <c r="F466" s="3" t="s">
        <v>429</v>
      </c>
      <c r="G466" s="3" t="s">
        <v>224</v>
      </c>
      <c r="J466" s="5">
        <v>2.0</v>
      </c>
      <c r="N466" s="3" t="b">
        <v>0</v>
      </c>
      <c r="R466" s="3">
        <v>0.0</v>
      </c>
      <c r="T466" s="3">
        <v>5.0</v>
      </c>
      <c r="U466" s="3">
        <v>7.0</v>
      </c>
      <c r="V466" s="3" t="s">
        <v>435</v>
      </c>
      <c r="W466" s="74" t="s">
        <v>344</v>
      </c>
      <c r="X466" s="77" t="s">
        <v>431</v>
      </c>
      <c r="Y466" s="3">
        <v>5.0</v>
      </c>
      <c r="Z466" s="3">
        <v>2.0</v>
      </c>
      <c r="AA466" s="2">
        <f>2+ (P466*'Scoring System'!$B$3)+ (IF(OR(D466="DEF",D466="GK"),N466*'Scoring System'!$B$4,IF(D466="MID",N466*'Scoring System'!$B$5,0)))+ (IF(OR(D466="DEF",D466="GK"),H466*'Scoring System'!$B$6,IF(D466="MID",H466*'Scoring System'!$B$7,IF(D466="ATT",H466*'Scoring System'!$B$8,0))))+ IF(AND(OR(D466="GK",D466="DEF"),J466&gt;=3),1*'Scoring System'!$B$9,0)+ (I466*'Scoring System'!$B$10)+ (K466*'Scoring System'!$B$11)+ (M466*'Scoring System'!$B$12)+ (L466*'Scoring System'!$B$13)+ (O466*'Scoring System'!$B$14)+ (Q466*'Scoring System'!$B$15)+ (R466*'Scoring System'!$B$16)</f>
        <v>2</v>
      </c>
      <c r="AB466" s="72" t="b">
        <f>IFERROR(match(C466,'Match Day Fees'!$B$2:$B$999,0),0)=0</f>
        <v>0</v>
      </c>
      <c r="AC466" s="73">
        <f t="shared" si="1"/>
        <v>0</v>
      </c>
      <c r="AD466" s="3" t="str">
        <f>VLOOKUP(D466,'Position Lookup'!A:B,1,FALSE)</f>
        <v>DEF</v>
      </c>
    </row>
    <row r="467" ht="17.25" customHeight="1">
      <c r="A467" s="12">
        <v>45185.0</v>
      </c>
      <c r="B467" s="5" t="s">
        <v>309</v>
      </c>
      <c r="C467" s="3" t="s">
        <v>86</v>
      </c>
      <c r="D467" s="3" t="s">
        <v>10</v>
      </c>
      <c r="E467" s="5">
        <v>3.0</v>
      </c>
      <c r="F467" s="3" t="s">
        <v>429</v>
      </c>
      <c r="G467" s="3" t="s">
        <v>224</v>
      </c>
      <c r="J467" s="5">
        <v>2.0</v>
      </c>
      <c r="N467" s="3" t="b">
        <v>0</v>
      </c>
      <c r="R467" s="3">
        <v>0.0</v>
      </c>
      <c r="T467" s="3">
        <v>10.0</v>
      </c>
      <c r="U467" s="3">
        <v>7.0</v>
      </c>
      <c r="V467" s="3" t="s">
        <v>436</v>
      </c>
      <c r="W467" s="74" t="s">
        <v>344</v>
      </c>
      <c r="X467" s="77" t="s">
        <v>431</v>
      </c>
      <c r="Y467" s="3">
        <v>5.0</v>
      </c>
      <c r="Z467" s="3">
        <v>2.0</v>
      </c>
      <c r="AA467" s="2">
        <f>2+ (P467*'Scoring System'!$B$3)+ (IF(OR(D467="DEF",D467="GK"),N467*'Scoring System'!$B$4,IF(D467="MID",N467*'Scoring System'!$B$5,0)))+ (IF(OR(D467="DEF",D467="GK"),H467*'Scoring System'!$B$6,IF(D467="MID",H467*'Scoring System'!$B$7,IF(D467="ATT",H467*'Scoring System'!$B$8,0))))+ IF(AND(OR(D467="GK",D467="DEF"),J467&gt;=3),1*'Scoring System'!$B$9,0)+ (I467*'Scoring System'!$B$10)+ (K467*'Scoring System'!$B$11)+ (M467*'Scoring System'!$B$12)+ (L467*'Scoring System'!$B$13)+ (O467*'Scoring System'!$B$14)+ (Q467*'Scoring System'!$B$15)+ (R467*'Scoring System'!$B$16)</f>
        <v>2</v>
      </c>
      <c r="AB467" s="72" t="b">
        <f>IFERROR(match(C467,'Match Day Fees'!$B$2:$B$999,0),0)=0</f>
        <v>0</v>
      </c>
      <c r="AC467" s="73">
        <f t="shared" si="1"/>
        <v>0</v>
      </c>
      <c r="AD467" s="3" t="str">
        <f>VLOOKUP(D467,'Position Lookup'!A:B,1,FALSE)</f>
        <v>MID</v>
      </c>
    </row>
    <row r="468" ht="17.25" customHeight="1">
      <c r="A468" s="12">
        <v>45185.0</v>
      </c>
      <c r="B468" s="5" t="s">
        <v>309</v>
      </c>
      <c r="C468" s="3" t="s">
        <v>151</v>
      </c>
      <c r="D468" s="3" t="s">
        <v>10</v>
      </c>
      <c r="E468" s="5">
        <v>3.0</v>
      </c>
      <c r="F468" s="3" t="s">
        <v>429</v>
      </c>
      <c r="G468" s="3" t="s">
        <v>224</v>
      </c>
      <c r="H468" s="3">
        <v>1.0</v>
      </c>
      <c r="J468" s="5">
        <v>2.0</v>
      </c>
      <c r="N468" s="3" t="b">
        <v>0</v>
      </c>
      <c r="R468" s="3">
        <v>0.0</v>
      </c>
      <c r="T468" s="3">
        <v>5.0</v>
      </c>
      <c r="U468" s="3">
        <v>8.0</v>
      </c>
      <c r="V468" s="3" t="s">
        <v>437</v>
      </c>
      <c r="W468" s="74" t="s">
        <v>344</v>
      </c>
      <c r="X468" s="77" t="s">
        <v>431</v>
      </c>
      <c r="Y468" s="3">
        <v>5.0</v>
      </c>
      <c r="Z468" s="3">
        <v>2.0</v>
      </c>
      <c r="AA468" s="2">
        <f>2+ (P468*'Scoring System'!$B$3)+ (IF(OR(D468="DEF",D468="GK"),N468*'Scoring System'!$B$4,IF(D468="MID",N468*'Scoring System'!$B$5,0)))+ (IF(OR(D468="DEF",D468="GK"),H468*'Scoring System'!$B$6,IF(D468="MID",H468*'Scoring System'!$B$7,IF(D468="ATT",H468*'Scoring System'!$B$8,0))))+ IF(AND(OR(D468="GK",D468="DEF"),J468&gt;=3),1*'Scoring System'!$B$9,0)+ (I468*'Scoring System'!$B$10)+ (K468*'Scoring System'!$B$11)+ (M468*'Scoring System'!$B$12)+ (L468*'Scoring System'!$B$13)+ (O468*'Scoring System'!$B$14)+ (Q468*'Scoring System'!$B$15)+ (R468*'Scoring System'!$B$16)</f>
        <v>7</v>
      </c>
      <c r="AB468" s="72" t="b">
        <f>IFERROR(match(C468,'Match Day Fees'!$B$2:$B$999,0),0)=0</f>
        <v>0</v>
      </c>
      <c r="AC468" s="73">
        <f t="shared" si="1"/>
        <v>0</v>
      </c>
      <c r="AD468" s="3" t="str">
        <f>VLOOKUP(D468,'Position Lookup'!A:B,1,FALSE)</f>
        <v>MID</v>
      </c>
    </row>
    <row r="469" ht="17.25" customHeight="1">
      <c r="A469" s="12">
        <v>45185.0</v>
      </c>
      <c r="B469" s="5" t="s">
        <v>309</v>
      </c>
      <c r="C469" s="3" t="s">
        <v>112</v>
      </c>
      <c r="D469" s="3" t="s">
        <v>10</v>
      </c>
      <c r="E469" s="5">
        <v>3.0</v>
      </c>
      <c r="F469" s="3" t="s">
        <v>429</v>
      </c>
      <c r="G469" s="3" t="s">
        <v>224</v>
      </c>
      <c r="J469" s="5">
        <v>2.0</v>
      </c>
      <c r="N469" s="3" t="b">
        <v>0</v>
      </c>
      <c r="R469" s="3">
        <v>0.0</v>
      </c>
      <c r="T469" s="3">
        <v>10.0</v>
      </c>
      <c r="U469" s="3">
        <v>7.0</v>
      </c>
      <c r="V469" s="3" t="s">
        <v>438</v>
      </c>
      <c r="W469" s="74" t="s">
        <v>344</v>
      </c>
      <c r="X469" s="77" t="s">
        <v>431</v>
      </c>
      <c r="Y469" s="3">
        <v>5.0</v>
      </c>
      <c r="Z469" s="3">
        <v>2.0</v>
      </c>
      <c r="AA469" s="2">
        <f>2+ (P469*'Scoring System'!$B$3)+ (IF(OR(D469="DEF",D469="GK"),N469*'Scoring System'!$B$4,IF(D469="MID",N469*'Scoring System'!$B$5,0)))+ (IF(OR(D469="DEF",D469="GK"),H469*'Scoring System'!$B$6,IF(D469="MID",H469*'Scoring System'!$B$7,IF(D469="ATT",H469*'Scoring System'!$B$8,0))))+ IF(AND(OR(D469="GK",D469="DEF"),J469&gt;=3),1*'Scoring System'!$B$9,0)+ (I469*'Scoring System'!$B$10)+ (K469*'Scoring System'!$B$11)+ (M469*'Scoring System'!$B$12)+ (L469*'Scoring System'!$B$13)+ (O469*'Scoring System'!$B$14)+ (Q469*'Scoring System'!$B$15)+ (R469*'Scoring System'!$B$16)</f>
        <v>2</v>
      </c>
      <c r="AB469" s="72" t="b">
        <f>IFERROR(match(C469,'Match Day Fees'!$B$2:$B$999,0),0)=0</f>
        <v>0</v>
      </c>
      <c r="AC469" s="73">
        <f t="shared" si="1"/>
        <v>0</v>
      </c>
      <c r="AD469" s="3" t="str">
        <f>VLOOKUP(D469,'Position Lookup'!A:B,1,FALSE)</f>
        <v>MID</v>
      </c>
    </row>
    <row r="470" ht="17.25" customHeight="1">
      <c r="A470" s="12">
        <v>45185.0</v>
      </c>
      <c r="B470" s="5" t="s">
        <v>309</v>
      </c>
      <c r="C470" s="3" t="s">
        <v>227</v>
      </c>
      <c r="D470" s="3" t="s">
        <v>10</v>
      </c>
      <c r="E470" s="5">
        <v>3.0</v>
      </c>
      <c r="F470" s="3" t="s">
        <v>429</v>
      </c>
      <c r="G470" s="3" t="s">
        <v>224</v>
      </c>
      <c r="J470" s="5">
        <v>2.0</v>
      </c>
      <c r="N470" s="3" t="b">
        <v>0</v>
      </c>
      <c r="R470" s="3">
        <v>0.0</v>
      </c>
      <c r="T470" s="3">
        <v>5.0</v>
      </c>
      <c r="U470" s="3">
        <v>6.5</v>
      </c>
      <c r="V470" s="3" t="s">
        <v>439</v>
      </c>
      <c r="W470" s="74" t="s">
        <v>344</v>
      </c>
      <c r="X470" s="77" t="s">
        <v>431</v>
      </c>
      <c r="Y470" s="3">
        <v>5.0</v>
      </c>
      <c r="Z470" s="3">
        <v>2.0</v>
      </c>
      <c r="AA470" s="2">
        <f>2+ (P470*'Scoring System'!$B$3)+ (IF(OR(D470="DEF",D470="GK"),N470*'Scoring System'!$B$4,IF(D470="MID",N470*'Scoring System'!$B$5,0)))+ (IF(OR(D470="DEF",D470="GK"),H470*'Scoring System'!$B$6,IF(D470="MID",H470*'Scoring System'!$B$7,IF(D470="ATT",H470*'Scoring System'!$B$8,0))))+ IF(AND(OR(D470="GK",D470="DEF"),J470&gt;=3),1*'Scoring System'!$B$9,0)+ (I470*'Scoring System'!$B$10)+ (K470*'Scoring System'!$B$11)+ (M470*'Scoring System'!$B$12)+ (L470*'Scoring System'!$B$13)+ (O470*'Scoring System'!$B$14)+ (Q470*'Scoring System'!$B$15)+ (R470*'Scoring System'!$B$16)</f>
        <v>2</v>
      </c>
      <c r="AB470" s="72" t="b">
        <f>IFERROR(match(C470,'Match Day Fees'!$B$2:$B$999,0),0)=0</f>
        <v>0</v>
      </c>
      <c r="AC470" s="73">
        <f t="shared" si="1"/>
        <v>0</v>
      </c>
      <c r="AD470" s="3" t="str">
        <f>VLOOKUP(D470,'Position Lookup'!A:B,1,FALSE)</f>
        <v>MID</v>
      </c>
    </row>
    <row r="471" ht="17.25" customHeight="1">
      <c r="A471" s="12">
        <v>45185.0</v>
      </c>
      <c r="B471" s="5" t="s">
        <v>309</v>
      </c>
      <c r="C471" s="3" t="s">
        <v>130</v>
      </c>
      <c r="D471" s="3" t="s">
        <v>10</v>
      </c>
      <c r="E471" s="5">
        <v>3.0</v>
      </c>
      <c r="F471" s="3" t="s">
        <v>429</v>
      </c>
      <c r="G471" s="3" t="s">
        <v>224</v>
      </c>
      <c r="J471" s="5">
        <v>2.0</v>
      </c>
      <c r="N471" s="3" t="b">
        <v>0</v>
      </c>
      <c r="R471" s="3">
        <v>0.0</v>
      </c>
      <c r="T471" s="3">
        <v>10.0</v>
      </c>
      <c r="U471" s="3">
        <v>7.0</v>
      </c>
      <c r="V471" s="3" t="s">
        <v>440</v>
      </c>
      <c r="W471" s="74" t="s">
        <v>344</v>
      </c>
      <c r="X471" s="77" t="s">
        <v>431</v>
      </c>
      <c r="Y471" s="3">
        <v>5.0</v>
      </c>
      <c r="Z471" s="3">
        <v>2.0</v>
      </c>
      <c r="AA471" s="2">
        <f>2+ (P471*'Scoring System'!$B$3)+ (IF(OR(D471="DEF",D471="GK"),N471*'Scoring System'!$B$4,IF(D471="MID",N471*'Scoring System'!$B$5,0)))+ (IF(OR(D471="DEF",D471="GK"),H471*'Scoring System'!$B$6,IF(D471="MID",H471*'Scoring System'!$B$7,IF(D471="ATT",H471*'Scoring System'!$B$8,0))))+ IF(AND(OR(D471="GK",D471="DEF"),J471&gt;=3),1*'Scoring System'!$B$9,0)+ (I471*'Scoring System'!$B$10)+ (K471*'Scoring System'!$B$11)+ (M471*'Scoring System'!$B$12)+ (L471*'Scoring System'!$B$13)+ (O471*'Scoring System'!$B$14)+ (Q471*'Scoring System'!$B$15)+ (R471*'Scoring System'!$B$16)</f>
        <v>2</v>
      </c>
      <c r="AB471" s="72" t="b">
        <f>IFERROR(match(C471,'Match Day Fees'!$B$2:$B$999,0),0)=0</f>
        <v>0</v>
      </c>
      <c r="AC471" s="73">
        <f t="shared" si="1"/>
        <v>0</v>
      </c>
      <c r="AD471" s="3" t="str">
        <f>VLOOKUP(D471,'Position Lookup'!A:B,1,FALSE)</f>
        <v>MID</v>
      </c>
    </row>
    <row r="472" ht="17.25" customHeight="1">
      <c r="A472" s="12">
        <v>45185.0</v>
      </c>
      <c r="B472" s="5" t="s">
        <v>309</v>
      </c>
      <c r="C472" s="3" t="s">
        <v>253</v>
      </c>
      <c r="D472" s="3" t="s">
        <v>10</v>
      </c>
      <c r="E472" s="5">
        <v>3.0</v>
      </c>
      <c r="F472" s="3" t="s">
        <v>429</v>
      </c>
      <c r="G472" s="3" t="s">
        <v>224</v>
      </c>
      <c r="I472" s="3">
        <v>1.0</v>
      </c>
      <c r="J472" s="5">
        <v>2.0</v>
      </c>
      <c r="N472" s="3" t="b">
        <v>0</v>
      </c>
      <c r="R472" s="3">
        <v>0.0</v>
      </c>
      <c r="T472" s="3">
        <v>10.0</v>
      </c>
      <c r="U472" s="3">
        <v>7.0</v>
      </c>
      <c r="V472" s="3" t="s">
        <v>441</v>
      </c>
      <c r="W472" s="74" t="s">
        <v>344</v>
      </c>
      <c r="X472" s="77" t="s">
        <v>431</v>
      </c>
      <c r="Y472" s="3">
        <v>5.0</v>
      </c>
      <c r="Z472" s="3">
        <v>2.0</v>
      </c>
      <c r="AA472" s="2">
        <f>2+ (P472*'Scoring System'!$B$3)+ (IF(OR(D472="DEF",D472="GK"),N472*'Scoring System'!$B$4,IF(D472="MID",N472*'Scoring System'!$B$5,0)))+ (IF(OR(D472="DEF",D472="GK"),H472*'Scoring System'!$B$6,IF(D472="MID",H472*'Scoring System'!$B$7,IF(D472="ATT",H472*'Scoring System'!$B$8,0))))+ IF(AND(OR(D472="GK",D472="DEF"),J472&gt;=3),1*'Scoring System'!$B$9,0)+ (I472*'Scoring System'!$B$10)+ (K472*'Scoring System'!$B$11)+ (M472*'Scoring System'!$B$12)+ (L472*'Scoring System'!$B$13)+ (O472*'Scoring System'!$B$14)+ (Q472*'Scoring System'!$B$15)+ (R472*'Scoring System'!$B$16)</f>
        <v>5</v>
      </c>
      <c r="AB472" s="72" t="b">
        <f>IFERROR(match(C472,'Match Day Fees'!$B$2:$B$999,0),0)=0</f>
        <v>0</v>
      </c>
      <c r="AC472" s="73">
        <f t="shared" si="1"/>
        <v>0</v>
      </c>
      <c r="AD472" s="3" t="str">
        <f>VLOOKUP(D472,'Position Lookup'!A:B,1,FALSE)</f>
        <v>MID</v>
      </c>
    </row>
    <row r="473" ht="17.25" customHeight="1">
      <c r="A473" s="12">
        <v>45185.0</v>
      </c>
      <c r="B473" s="5" t="s">
        <v>309</v>
      </c>
      <c r="C473" s="3" t="s">
        <v>41</v>
      </c>
      <c r="D473" s="3" t="s">
        <v>11</v>
      </c>
      <c r="E473" s="5">
        <v>3.0</v>
      </c>
      <c r="F473" s="3" t="s">
        <v>429</v>
      </c>
      <c r="G473" s="3" t="s">
        <v>224</v>
      </c>
      <c r="I473" s="3">
        <v>2.0</v>
      </c>
      <c r="J473" s="5">
        <v>2.0</v>
      </c>
      <c r="N473" s="3" t="b">
        <v>0</v>
      </c>
      <c r="R473" s="3">
        <v>0.0</v>
      </c>
      <c r="T473" s="3">
        <v>10.0</v>
      </c>
      <c r="U473" s="3">
        <v>7.0</v>
      </c>
      <c r="V473" s="3" t="s">
        <v>442</v>
      </c>
      <c r="W473" s="74" t="s">
        <v>344</v>
      </c>
      <c r="X473" s="77" t="s">
        <v>431</v>
      </c>
      <c r="Y473" s="3">
        <v>5.0</v>
      </c>
      <c r="Z473" s="3">
        <v>2.0</v>
      </c>
      <c r="AA473" s="2">
        <f>2+ (P473*'Scoring System'!$B$3)+ (IF(OR(D473="DEF",D473="GK"),N473*'Scoring System'!$B$4,IF(D473="MID",N473*'Scoring System'!$B$5,0)))+ (IF(OR(D473="DEF",D473="GK"),H473*'Scoring System'!$B$6,IF(D473="MID",H473*'Scoring System'!$B$7,IF(D473="ATT",H473*'Scoring System'!$B$8,0))))+ IF(AND(OR(D473="GK",D473="DEF"),J473&gt;=3),1*'Scoring System'!$B$9,0)+ (I473*'Scoring System'!$B$10)+ (K473*'Scoring System'!$B$11)+ (M473*'Scoring System'!$B$12)+ (L473*'Scoring System'!$B$13)+ (O473*'Scoring System'!$B$14)+ (Q473*'Scoring System'!$B$15)+ (R473*'Scoring System'!$B$16)</f>
        <v>8</v>
      </c>
      <c r="AB473" s="72" t="b">
        <f>IFERROR(match(C473,'Match Day Fees'!$B$2:$B$999,0),0)=0</f>
        <v>0</v>
      </c>
      <c r="AC473" s="73">
        <f t="shared" si="1"/>
        <v>0</v>
      </c>
      <c r="AD473" s="3" t="str">
        <f>VLOOKUP(D473,'Position Lookup'!A:B,1,FALSE)</f>
        <v>DEF</v>
      </c>
    </row>
    <row r="474" ht="17.25" customHeight="1">
      <c r="A474" s="12">
        <v>45185.0</v>
      </c>
      <c r="B474" s="5" t="s">
        <v>309</v>
      </c>
      <c r="C474" s="3" t="s">
        <v>79</v>
      </c>
      <c r="D474" s="3" t="s">
        <v>9</v>
      </c>
      <c r="E474" s="5">
        <v>3.0</v>
      </c>
      <c r="F474" s="3" t="s">
        <v>429</v>
      </c>
      <c r="G474" s="3" t="s">
        <v>224</v>
      </c>
      <c r="H474" s="3">
        <v>4.0</v>
      </c>
      <c r="J474" s="5">
        <v>2.0</v>
      </c>
      <c r="N474" s="3" t="b">
        <v>0</v>
      </c>
      <c r="R474" s="3">
        <v>1.0</v>
      </c>
      <c r="T474" s="3">
        <v>10.0</v>
      </c>
      <c r="U474" s="3">
        <v>9.0</v>
      </c>
      <c r="V474" s="3" t="s">
        <v>443</v>
      </c>
      <c r="W474" s="74" t="s">
        <v>344</v>
      </c>
      <c r="X474" s="77" t="s">
        <v>431</v>
      </c>
      <c r="Y474" s="3">
        <v>5.0</v>
      </c>
      <c r="Z474" s="3">
        <v>2.0</v>
      </c>
      <c r="AA474" s="2">
        <f>2+ (P474*'Scoring System'!$B$3)+ (IF(OR(D474="DEF",D474="GK"),N474*'Scoring System'!$B$4,IF(D474="MID",N474*'Scoring System'!$B$5,0)))+ (IF(OR(D474="DEF",D474="GK"),H474*'Scoring System'!$B$6,IF(D474="MID",H474*'Scoring System'!$B$7,IF(D474="ATT",H474*'Scoring System'!$B$8,0))))+ IF(AND(OR(D474="GK",D474="DEF"),J474&gt;=3),1*'Scoring System'!$B$9,0)+ (I474*'Scoring System'!$B$10)+ (K474*'Scoring System'!$B$11)+ (M474*'Scoring System'!$B$12)+ (L474*'Scoring System'!$B$13)+ (O474*'Scoring System'!$B$14)+ (Q474*'Scoring System'!$B$15)+ (R474*'Scoring System'!$B$16)</f>
        <v>23</v>
      </c>
      <c r="AB474" s="72" t="b">
        <f>IFERROR(match(C474,'Match Day Fees'!$B$2:$B$999,0),0)=0</f>
        <v>0</v>
      </c>
      <c r="AC474" s="73">
        <f t="shared" si="1"/>
        <v>0</v>
      </c>
      <c r="AD474" s="3" t="str">
        <f>VLOOKUP(D474,'Position Lookup'!A:B,1,FALSE)</f>
        <v>ATT</v>
      </c>
    </row>
    <row r="475" ht="17.25" customHeight="1">
      <c r="A475" s="12">
        <v>45185.0</v>
      </c>
      <c r="B475" s="5" t="s">
        <v>309</v>
      </c>
      <c r="C475" s="3" t="s">
        <v>55</v>
      </c>
      <c r="D475" s="3" t="s">
        <v>11</v>
      </c>
      <c r="E475" s="5">
        <v>3.0</v>
      </c>
      <c r="F475" s="3" t="s">
        <v>429</v>
      </c>
      <c r="G475" s="3" t="s">
        <v>224</v>
      </c>
      <c r="J475" s="5">
        <v>2.0</v>
      </c>
      <c r="N475" s="3" t="b">
        <v>0</v>
      </c>
      <c r="R475" s="3">
        <v>0.0</v>
      </c>
      <c r="T475" s="3">
        <v>10.0</v>
      </c>
      <c r="U475" s="3">
        <v>7.5</v>
      </c>
      <c r="V475" s="3" t="s">
        <v>444</v>
      </c>
      <c r="W475" s="74" t="s">
        <v>344</v>
      </c>
      <c r="X475" s="77" t="s">
        <v>431</v>
      </c>
      <c r="Y475" s="3">
        <v>5.0</v>
      </c>
      <c r="Z475" s="3">
        <v>2.0</v>
      </c>
      <c r="AA475" s="2">
        <f>2+ (P475*'Scoring System'!$B$3)+ (IF(OR(D475="DEF",D475="GK"),N475*'Scoring System'!$B$4,IF(D475="MID",N475*'Scoring System'!$B$5,0)))+ (IF(OR(D475="DEF",D475="GK"),H475*'Scoring System'!$B$6,IF(D475="MID",H475*'Scoring System'!$B$7,IF(D475="ATT",H475*'Scoring System'!$B$8,0))))+ IF(AND(OR(D475="GK",D475="DEF"),J475&gt;=3),1*'Scoring System'!$B$9,0)+ (I475*'Scoring System'!$B$10)+ (K475*'Scoring System'!$B$11)+ (M475*'Scoring System'!$B$12)+ (L475*'Scoring System'!$B$13)+ (O475*'Scoring System'!$B$14)+ (Q475*'Scoring System'!$B$15)+ (R475*'Scoring System'!$B$16)</f>
        <v>2</v>
      </c>
      <c r="AB475" s="72" t="b">
        <f>IFERROR(match(C475,'Match Day Fees'!$B$2:$B$999,0),0)=0</f>
        <v>0</v>
      </c>
      <c r="AC475" s="73">
        <f t="shared" si="1"/>
        <v>0</v>
      </c>
      <c r="AD475" s="3" t="str">
        <f>VLOOKUP(D475,'Position Lookup'!A:B,1,FALSE)</f>
        <v>DEF</v>
      </c>
    </row>
    <row r="476" ht="17.25" customHeight="1">
      <c r="A476" s="12">
        <v>45185.0</v>
      </c>
      <c r="B476" s="5" t="s">
        <v>309</v>
      </c>
      <c r="C476" s="3" t="s">
        <v>445</v>
      </c>
      <c r="D476" s="3" t="s">
        <v>8</v>
      </c>
      <c r="E476" s="5">
        <v>4.0</v>
      </c>
      <c r="F476" s="3" t="s">
        <v>446</v>
      </c>
      <c r="G476" s="3" t="s">
        <v>230</v>
      </c>
      <c r="J476" s="5">
        <v>5.0</v>
      </c>
      <c r="N476" s="3" t="b">
        <v>0</v>
      </c>
      <c r="R476" s="3">
        <v>0.0</v>
      </c>
      <c r="T476" s="3">
        <v>0.0</v>
      </c>
      <c r="U476" s="3">
        <v>6.0</v>
      </c>
      <c r="V476" s="3" t="s">
        <v>447</v>
      </c>
      <c r="W476" s="74" t="s">
        <v>448</v>
      </c>
      <c r="X476" s="77" t="s">
        <v>449</v>
      </c>
      <c r="Y476" s="3">
        <v>1.0</v>
      </c>
      <c r="Z476" s="3">
        <v>5.0</v>
      </c>
      <c r="AA476" s="2">
        <f>2+ (P476*'Scoring System'!$B$3)+ (IF(OR(D476="DEF",D476="GK"),N476*'Scoring System'!$B$4,IF(D476="MID",N476*'Scoring System'!$B$5,0)))+ (IF(OR(D476="DEF",D476="GK"),H476*'Scoring System'!$B$6,IF(D476="MID",H476*'Scoring System'!$B$7,IF(D476="ATT",H476*'Scoring System'!$B$8,0))))+ IF(AND(OR(D476="GK",D476="DEF"),J476&gt;=3),1*'Scoring System'!$B$9,0)+ (I476*'Scoring System'!$B$10)+ (K476*'Scoring System'!$B$11)+ (M476*'Scoring System'!$B$12)+ (L476*'Scoring System'!$B$13)+ (O476*'Scoring System'!$B$14)+ (Q476*'Scoring System'!$B$15)+ (R476*'Scoring System'!$B$16)</f>
        <v>1</v>
      </c>
      <c r="AB476" s="72" t="b">
        <f>IFERROR(match(C476,'Match Day Fees'!$B$2:$B$999,0),0)=0</f>
        <v>0</v>
      </c>
      <c r="AC476" s="73">
        <f t="shared" si="1"/>
        <v>0</v>
      </c>
      <c r="AD476" s="3" t="str">
        <f>VLOOKUP(D476,'Position Lookup'!A:B,1,FALSE)</f>
        <v>GK</v>
      </c>
    </row>
    <row r="477" ht="17.25" customHeight="1">
      <c r="A477" s="12">
        <v>45185.0</v>
      </c>
      <c r="B477" s="5" t="s">
        <v>309</v>
      </c>
      <c r="C477" s="3" t="s">
        <v>116</v>
      </c>
      <c r="D477" s="3" t="s">
        <v>11</v>
      </c>
      <c r="E477" s="5">
        <v>4.0</v>
      </c>
      <c r="F477" s="3" t="s">
        <v>446</v>
      </c>
      <c r="G477" s="3" t="s">
        <v>230</v>
      </c>
      <c r="J477" s="5">
        <v>5.0</v>
      </c>
      <c r="N477" s="3" t="b">
        <v>0</v>
      </c>
      <c r="Q477" s="5">
        <v>1.0</v>
      </c>
      <c r="R477" s="3">
        <v>0.0</v>
      </c>
      <c r="T477" s="3">
        <v>10.0</v>
      </c>
      <c r="U477" s="3">
        <v>7.0</v>
      </c>
      <c r="V477" s="3" t="s">
        <v>450</v>
      </c>
      <c r="W477" s="74" t="s">
        <v>448</v>
      </c>
      <c r="X477" s="77" t="s">
        <v>449</v>
      </c>
      <c r="Y477" s="3">
        <v>1.0</v>
      </c>
      <c r="Z477" s="3">
        <v>5.0</v>
      </c>
      <c r="AA477" s="2">
        <f>2+ (P477*'Scoring System'!$B$3)+ (IF(OR(D477="DEF",D477="GK"),N477*'Scoring System'!$B$4,IF(D477="MID",N477*'Scoring System'!$B$5,0)))+ (IF(OR(D477="DEF",D477="GK"),H477*'Scoring System'!$B$6,IF(D477="MID",H477*'Scoring System'!$B$7,IF(D477="ATT",H477*'Scoring System'!$B$8,0))))+ IF(AND(OR(D477="GK",D477="DEF"),J477&gt;=3),1*'Scoring System'!$B$9,0)+ (I477*'Scoring System'!$B$10)+ (K477*'Scoring System'!$B$11)+ (M477*'Scoring System'!$B$12)+ (L477*'Scoring System'!$B$13)+ (O477*'Scoring System'!$B$14)+ (Q477*'Scoring System'!$B$15)+ (R477*'Scoring System'!$B$16)</f>
        <v>-1</v>
      </c>
      <c r="AB477" s="72" t="b">
        <f>IFERROR(match(C477,'Match Day Fees'!$B$2:$B$999,0),0)=0</f>
        <v>0</v>
      </c>
      <c r="AC477" s="73">
        <f t="shared" si="1"/>
        <v>0</v>
      </c>
      <c r="AD477" s="3" t="str">
        <f>VLOOKUP(D477,'Position Lookup'!A:B,1,FALSE)</f>
        <v>DEF</v>
      </c>
    </row>
    <row r="478" ht="17.25" customHeight="1">
      <c r="A478" s="12">
        <v>45185.0</v>
      </c>
      <c r="B478" s="5" t="s">
        <v>309</v>
      </c>
      <c r="C478" s="3" t="s">
        <v>126</v>
      </c>
      <c r="D478" s="3" t="s">
        <v>11</v>
      </c>
      <c r="E478" s="5">
        <v>4.0</v>
      </c>
      <c r="F478" s="3" t="s">
        <v>446</v>
      </c>
      <c r="G478" s="3" t="s">
        <v>230</v>
      </c>
      <c r="J478" s="5">
        <v>5.0</v>
      </c>
      <c r="N478" s="3" t="b">
        <v>0</v>
      </c>
      <c r="R478" s="3">
        <v>0.0</v>
      </c>
      <c r="T478" s="3">
        <v>5.0</v>
      </c>
      <c r="U478" s="3">
        <v>6.5</v>
      </c>
      <c r="V478" s="3" t="s">
        <v>451</v>
      </c>
      <c r="W478" s="74" t="s">
        <v>448</v>
      </c>
      <c r="X478" s="77" t="s">
        <v>449</v>
      </c>
      <c r="Y478" s="3">
        <v>1.0</v>
      </c>
      <c r="Z478" s="3">
        <v>5.0</v>
      </c>
      <c r="AA478" s="2">
        <f>2+ (P478*'Scoring System'!$B$3)+ (IF(OR(D478="DEF",D478="GK"),N478*'Scoring System'!$B$4,IF(D478="MID",N478*'Scoring System'!$B$5,0)))+ (IF(OR(D478="DEF",D478="GK"),H478*'Scoring System'!$B$6,IF(D478="MID",H478*'Scoring System'!$B$7,IF(D478="ATT",H478*'Scoring System'!$B$8,0))))+ IF(AND(OR(D478="GK",D478="DEF"),J478&gt;=3),1*'Scoring System'!$B$9,0)+ (I478*'Scoring System'!$B$10)+ (K478*'Scoring System'!$B$11)+ (M478*'Scoring System'!$B$12)+ (L478*'Scoring System'!$B$13)+ (O478*'Scoring System'!$B$14)+ (Q478*'Scoring System'!$B$15)+ (R478*'Scoring System'!$B$16)</f>
        <v>1</v>
      </c>
      <c r="AB478" s="72" t="b">
        <f>IFERROR(match(C478,'Match Day Fees'!$B$2:$B$999,0),0)=0</f>
        <v>0</v>
      </c>
      <c r="AC478" s="73">
        <f t="shared" si="1"/>
        <v>0</v>
      </c>
      <c r="AD478" s="3" t="str">
        <f>VLOOKUP(D478,'Position Lookup'!A:B,1,FALSE)</f>
        <v>DEF</v>
      </c>
    </row>
    <row r="479" ht="17.25" customHeight="1">
      <c r="A479" s="12">
        <v>45185.0</v>
      </c>
      <c r="B479" s="5" t="s">
        <v>309</v>
      </c>
      <c r="C479" s="3" t="s">
        <v>134</v>
      </c>
      <c r="D479" s="3" t="s">
        <v>11</v>
      </c>
      <c r="E479" s="5">
        <v>4.0</v>
      </c>
      <c r="F479" s="3" t="s">
        <v>446</v>
      </c>
      <c r="G479" s="3" t="s">
        <v>230</v>
      </c>
      <c r="J479" s="5">
        <v>5.0</v>
      </c>
      <c r="N479" s="3" t="b">
        <v>0</v>
      </c>
      <c r="R479" s="3">
        <v>0.0</v>
      </c>
      <c r="T479" s="3">
        <v>5.0</v>
      </c>
      <c r="U479" s="3">
        <v>5.5</v>
      </c>
      <c r="V479" s="3" t="s">
        <v>452</v>
      </c>
      <c r="W479" s="74" t="s">
        <v>448</v>
      </c>
      <c r="X479" s="77" t="s">
        <v>449</v>
      </c>
      <c r="Y479" s="3">
        <v>1.0</v>
      </c>
      <c r="Z479" s="3">
        <v>5.0</v>
      </c>
      <c r="AA479" s="2">
        <f>2+ (P479*'Scoring System'!$B$3)+ (IF(OR(D479="DEF",D479="GK"),N479*'Scoring System'!$B$4,IF(D479="MID",N479*'Scoring System'!$B$5,0)))+ (IF(OR(D479="DEF",D479="GK"),H479*'Scoring System'!$B$6,IF(D479="MID",H479*'Scoring System'!$B$7,IF(D479="ATT",H479*'Scoring System'!$B$8,0))))+ IF(AND(OR(D479="GK",D479="DEF"),J479&gt;=3),1*'Scoring System'!$B$9,0)+ (I479*'Scoring System'!$B$10)+ (K479*'Scoring System'!$B$11)+ (M479*'Scoring System'!$B$12)+ (L479*'Scoring System'!$B$13)+ (O479*'Scoring System'!$B$14)+ (Q479*'Scoring System'!$B$15)+ (R479*'Scoring System'!$B$16)</f>
        <v>1</v>
      </c>
      <c r="AB479" s="72" t="b">
        <f>IFERROR(match(C479,'Match Day Fees'!$B$2:$B$999,0),0)=0</f>
        <v>0</v>
      </c>
      <c r="AC479" s="73">
        <f t="shared" si="1"/>
        <v>0</v>
      </c>
      <c r="AD479" s="3" t="str">
        <f>VLOOKUP(D479,'Position Lookup'!A:B,1,FALSE)</f>
        <v>DEF</v>
      </c>
    </row>
    <row r="480" ht="17.25" customHeight="1">
      <c r="A480" s="12">
        <v>45185.0</v>
      </c>
      <c r="B480" s="5" t="s">
        <v>309</v>
      </c>
      <c r="C480" s="3" t="s">
        <v>149</v>
      </c>
      <c r="D480" s="3" t="s">
        <v>11</v>
      </c>
      <c r="E480" s="5">
        <v>4.0</v>
      </c>
      <c r="F480" s="3" t="s">
        <v>446</v>
      </c>
      <c r="G480" s="3" t="s">
        <v>230</v>
      </c>
      <c r="J480" s="5">
        <v>5.0</v>
      </c>
      <c r="N480" s="3" t="b">
        <v>0</v>
      </c>
      <c r="R480" s="3">
        <v>0.0</v>
      </c>
      <c r="T480" s="3">
        <v>10.0</v>
      </c>
      <c r="U480" s="3">
        <v>6.5</v>
      </c>
      <c r="V480" s="3" t="s">
        <v>453</v>
      </c>
      <c r="W480" s="74" t="s">
        <v>448</v>
      </c>
      <c r="X480" s="77" t="s">
        <v>449</v>
      </c>
      <c r="Y480" s="3">
        <v>1.0</v>
      </c>
      <c r="Z480" s="3">
        <v>5.0</v>
      </c>
      <c r="AA480" s="2">
        <f>2+ (P480*'Scoring System'!$B$3)+ (IF(OR(D480="DEF",D480="GK"),N480*'Scoring System'!$B$4,IF(D480="MID",N480*'Scoring System'!$B$5,0)))+ (IF(OR(D480="DEF",D480="GK"),H480*'Scoring System'!$B$6,IF(D480="MID",H480*'Scoring System'!$B$7,IF(D480="ATT",H480*'Scoring System'!$B$8,0))))+ IF(AND(OR(D480="GK",D480="DEF"),J480&gt;=3),1*'Scoring System'!$B$9,0)+ (I480*'Scoring System'!$B$10)+ (K480*'Scoring System'!$B$11)+ (M480*'Scoring System'!$B$12)+ (L480*'Scoring System'!$B$13)+ (O480*'Scoring System'!$B$14)+ (Q480*'Scoring System'!$B$15)+ (R480*'Scoring System'!$B$16)</f>
        <v>1</v>
      </c>
      <c r="AB480" s="72" t="b">
        <f>IFERROR(match(C480,'Match Day Fees'!$B$2:$B$999,0),0)=0</f>
        <v>0</v>
      </c>
      <c r="AC480" s="73">
        <f t="shared" si="1"/>
        <v>0</v>
      </c>
      <c r="AD480" s="3" t="str">
        <f>VLOOKUP(D480,'Position Lookup'!A:B,1,FALSE)</f>
        <v>DEF</v>
      </c>
    </row>
    <row r="481" ht="17.25" customHeight="1">
      <c r="A481" s="12">
        <v>45185.0</v>
      </c>
      <c r="B481" s="5" t="s">
        <v>309</v>
      </c>
      <c r="C481" s="3" t="s">
        <v>261</v>
      </c>
      <c r="D481" s="3" t="s">
        <v>11</v>
      </c>
      <c r="E481" s="5">
        <v>4.0</v>
      </c>
      <c r="F481" s="3" t="s">
        <v>446</v>
      </c>
      <c r="G481" s="3" t="s">
        <v>230</v>
      </c>
      <c r="J481" s="5">
        <v>5.0</v>
      </c>
      <c r="N481" s="3" t="b">
        <v>0</v>
      </c>
      <c r="R481" s="3">
        <v>0.0</v>
      </c>
      <c r="T481" s="3">
        <v>10.0</v>
      </c>
      <c r="U481" s="3">
        <v>7.0</v>
      </c>
      <c r="V481" s="3" t="s">
        <v>454</v>
      </c>
      <c r="W481" s="74" t="s">
        <v>448</v>
      </c>
      <c r="X481" s="77" t="s">
        <v>449</v>
      </c>
      <c r="Y481" s="3">
        <v>1.0</v>
      </c>
      <c r="Z481" s="3">
        <v>5.0</v>
      </c>
      <c r="AA481" s="2">
        <f>2+ (P481*'Scoring System'!$B$3)+ (IF(OR(D481="DEF",D481="GK"),N481*'Scoring System'!$B$4,IF(D481="MID",N481*'Scoring System'!$B$5,0)))+ (IF(OR(D481="DEF",D481="GK"),H481*'Scoring System'!$B$6,IF(D481="MID",H481*'Scoring System'!$B$7,IF(D481="ATT",H481*'Scoring System'!$B$8,0))))+ IF(AND(OR(D481="GK",D481="DEF"),J481&gt;=3),1*'Scoring System'!$B$9,0)+ (I481*'Scoring System'!$B$10)+ (K481*'Scoring System'!$B$11)+ (M481*'Scoring System'!$B$12)+ (L481*'Scoring System'!$B$13)+ (O481*'Scoring System'!$B$14)+ (Q481*'Scoring System'!$B$15)+ (R481*'Scoring System'!$B$16)</f>
        <v>1</v>
      </c>
      <c r="AB481" s="72" t="b">
        <f>IFERROR(match(C481,'Match Day Fees'!$B$2:$B$999,0),0)=0</f>
        <v>0</v>
      </c>
      <c r="AC481" s="73">
        <f t="shared" si="1"/>
        <v>0</v>
      </c>
      <c r="AD481" s="3" t="str">
        <f>VLOOKUP(D481,'Position Lookup'!A:B,1,FALSE)</f>
        <v>DEF</v>
      </c>
    </row>
    <row r="482" ht="17.25" customHeight="1">
      <c r="A482" s="12">
        <v>45185.0</v>
      </c>
      <c r="B482" s="5" t="s">
        <v>309</v>
      </c>
      <c r="C482" s="3" t="s">
        <v>125</v>
      </c>
      <c r="D482" s="3" t="s">
        <v>10</v>
      </c>
      <c r="E482" s="5">
        <v>4.0</v>
      </c>
      <c r="F482" s="3" t="s">
        <v>446</v>
      </c>
      <c r="G482" s="3" t="s">
        <v>230</v>
      </c>
      <c r="J482" s="5">
        <v>5.0</v>
      </c>
      <c r="N482" s="3" t="b">
        <v>0</v>
      </c>
      <c r="R482" s="3">
        <v>0.0</v>
      </c>
      <c r="T482" s="3">
        <v>10.0</v>
      </c>
      <c r="U482" s="3">
        <v>5.5</v>
      </c>
      <c r="V482" s="3" t="s">
        <v>455</v>
      </c>
      <c r="W482" s="74" t="s">
        <v>448</v>
      </c>
      <c r="X482" s="77" t="s">
        <v>449</v>
      </c>
      <c r="Y482" s="3">
        <v>1.0</v>
      </c>
      <c r="Z482" s="3">
        <v>5.0</v>
      </c>
      <c r="AA482" s="2">
        <f>2+ (P482*'Scoring System'!$B$3)+ (IF(OR(D482="DEF",D482="GK"),N482*'Scoring System'!$B$4,IF(D482="MID",N482*'Scoring System'!$B$5,0)))+ (IF(OR(D482="DEF",D482="GK"),H482*'Scoring System'!$B$6,IF(D482="MID",H482*'Scoring System'!$B$7,IF(D482="ATT",H482*'Scoring System'!$B$8,0))))+ IF(AND(OR(D482="GK",D482="DEF"),J482&gt;=3),1*'Scoring System'!$B$9,0)+ (I482*'Scoring System'!$B$10)+ (K482*'Scoring System'!$B$11)+ (M482*'Scoring System'!$B$12)+ (L482*'Scoring System'!$B$13)+ (O482*'Scoring System'!$B$14)+ (Q482*'Scoring System'!$B$15)+ (R482*'Scoring System'!$B$16)</f>
        <v>2</v>
      </c>
      <c r="AB482" s="72" t="b">
        <f>IFERROR(match(C482,'Match Day Fees'!$B$2:$B$999,0),0)=0</f>
        <v>0</v>
      </c>
      <c r="AC482" s="73">
        <f t="shared" si="1"/>
        <v>0</v>
      </c>
      <c r="AD482" s="3" t="str">
        <f>VLOOKUP(D482,'Position Lookup'!A:B,1,FALSE)</f>
        <v>MID</v>
      </c>
    </row>
    <row r="483" ht="17.25" customHeight="1">
      <c r="A483" s="12">
        <v>45185.0</v>
      </c>
      <c r="B483" s="5" t="s">
        <v>309</v>
      </c>
      <c r="C483" s="3" t="s">
        <v>94</v>
      </c>
      <c r="D483" s="3" t="s">
        <v>10</v>
      </c>
      <c r="E483" s="5">
        <v>4.0</v>
      </c>
      <c r="F483" s="3" t="s">
        <v>446</v>
      </c>
      <c r="G483" s="3" t="s">
        <v>230</v>
      </c>
      <c r="J483" s="5">
        <v>5.0</v>
      </c>
      <c r="N483" s="3" t="b">
        <v>0</v>
      </c>
      <c r="R483" s="3">
        <v>0.0</v>
      </c>
      <c r="T483" s="3">
        <v>10.0</v>
      </c>
      <c r="U483" s="3">
        <v>5.5</v>
      </c>
      <c r="V483" s="3" t="s">
        <v>456</v>
      </c>
      <c r="W483" s="74" t="s">
        <v>448</v>
      </c>
      <c r="X483" s="77" t="s">
        <v>449</v>
      </c>
      <c r="Y483" s="3">
        <v>1.0</v>
      </c>
      <c r="Z483" s="3">
        <v>5.0</v>
      </c>
      <c r="AA483" s="2">
        <f>2+ (P483*'Scoring System'!$B$3)+ (IF(OR(D483="DEF",D483="GK"),N483*'Scoring System'!$B$4,IF(D483="MID",N483*'Scoring System'!$B$5,0)))+ (IF(OR(D483="DEF",D483="GK"),H483*'Scoring System'!$B$6,IF(D483="MID",H483*'Scoring System'!$B$7,IF(D483="ATT",H483*'Scoring System'!$B$8,0))))+ IF(AND(OR(D483="GK",D483="DEF"),J483&gt;=3),1*'Scoring System'!$B$9,0)+ (I483*'Scoring System'!$B$10)+ (K483*'Scoring System'!$B$11)+ (M483*'Scoring System'!$B$12)+ (L483*'Scoring System'!$B$13)+ (O483*'Scoring System'!$B$14)+ (Q483*'Scoring System'!$B$15)+ (R483*'Scoring System'!$B$16)</f>
        <v>2</v>
      </c>
      <c r="AB483" s="72" t="b">
        <f>IFERROR(match(C483,'Match Day Fees'!$B$2:$B$999,0),0)=0</f>
        <v>0</v>
      </c>
      <c r="AC483" s="73">
        <f t="shared" si="1"/>
        <v>0</v>
      </c>
      <c r="AD483" s="3" t="str">
        <f>VLOOKUP(D483,'Position Lookup'!A:B,1,FALSE)</f>
        <v>MID</v>
      </c>
    </row>
    <row r="484" ht="17.25" customHeight="1">
      <c r="A484" s="12">
        <v>45185.0</v>
      </c>
      <c r="B484" s="5" t="s">
        <v>309</v>
      </c>
      <c r="C484" s="3" t="s">
        <v>136</v>
      </c>
      <c r="D484" s="3" t="s">
        <v>10</v>
      </c>
      <c r="E484" s="5">
        <v>4.0</v>
      </c>
      <c r="F484" s="3" t="s">
        <v>446</v>
      </c>
      <c r="G484" s="3" t="s">
        <v>230</v>
      </c>
      <c r="J484" s="5">
        <v>5.0</v>
      </c>
      <c r="N484" s="3" t="b">
        <v>0</v>
      </c>
      <c r="R484" s="3">
        <v>1.0</v>
      </c>
      <c r="S484" s="3" t="b">
        <v>1</v>
      </c>
      <c r="T484" s="3">
        <v>0.0</v>
      </c>
      <c r="U484" s="3">
        <v>8.0</v>
      </c>
      <c r="V484" s="3" t="s">
        <v>457</v>
      </c>
      <c r="W484" s="74" t="s">
        <v>448</v>
      </c>
      <c r="X484" s="77" t="s">
        <v>449</v>
      </c>
      <c r="Y484" s="3">
        <v>1.0</v>
      </c>
      <c r="Z484" s="3">
        <v>5.0</v>
      </c>
      <c r="AA484" s="2">
        <f>2+ (P484*'Scoring System'!$B$3)+ (IF(OR(D484="DEF",D484="GK"),N484*'Scoring System'!$B$4,IF(D484="MID",N484*'Scoring System'!$B$5,0)))+ (IF(OR(D484="DEF",D484="GK"),H484*'Scoring System'!$B$6,IF(D484="MID",H484*'Scoring System'!$B$7,IF(D484="ATT",H484*'Scoring System'!$B$8,0))))+ IF(AND(OR(D484="GK",D484="DEF"),J484&gt;=3),1*'Scoring System'!$B$9,0)+ (I484*'Scoring System'!$B$10)+ (K484*'Scoring System'!$B$11)+ (M484*'Scoring System'!$B$12)+ (L484*'Scoring System'!$B$13)+ (O484*'Scoring System'!$B$14)+ (Q484*'Scoring System'!$B$15)+ (R484*'Scoring System'!$B$16)</f>
        <v>7</v>
      </c>
      <c r="AB484" s="72" t="b">
        <f>IFERROR(match(C484,'Match Day Fees'!$B$2:$B$999,0),0)=0</f>
        <v>0</v>
      </c>
      <c r="AC484" s="73">
        <f t="shared" si="1"/>
        <v>0</v>
      </c>
      <c r="AD484" s="3" t="str">
        <f>VLOOKUP(D484,'Position Lookup'!A:B,1,FALSE)</f>
        <v>MID</v>
      </c>
    </row>
    <row r="485" ht="17.25" customHeight="1">
      <c r="A485" s="12">
        <v>45185.0</v>
      </c>
      <c r="B485" s="5" t="s">
        <v>309</v>
      </c>
      <c r="C485" s="3" t="s">
        <v>105</v>
      </c>
      <c r="D485" s="3" t="s">
        <v>9</v>
      </c>
      <c r="E485" s="5">
        <v>4.0</v>
      </c>
      <c r="F485" s="3" t="s">
        <v>446</v>
      </c>
      <c r="G485" s="3" t="s">
        <v>230</v>
      </c>
      <c r="J485" s="5">
        <v>5.0</v>
      </c>
      <c r="N485" s="3" t="b">
        <v>0</v>
      </c>
      <c r="R485" s="3">
        <v>0.0</v>
      </c>
      <c r="T485" s="3">
        <v>10.0</v>
      </c>
      <c r="U485" s="3">
        <v>6.5</v>
      </c>
      <c r="V485" s="3" t="s">
        <v>458</v>
      </c>
      <c r="W485" s="74" t="s">
        <v>448</v>
      </c>
      <c r="X485" s="77" t="s">
        <v>449</v>
      </c>
      <c r="Y485" s="3">
        <v>1.0</v>
      </c>
      <c r="Z485" s="3">
        <v>5.0</v>
      </c>
      <c r="AA485" s="2">
        <f>2+ (P485*'Scoring System'!$B$3)+ (IF(OR(D485="DEF",D485="GK"),N485*'Scoring System'!$B$4,IF(D485="MID",N485*'Scoring System'!$B$5,0)))+ (IF(OR(D485="DEF",D485="GK"),H485*'Scoring System'!$B$6,IF(D485="MID",H485*'Scoring System'!$B$7,IF(D485="ATT",H485*'Scoring System'!$B$8,0))))+ IF(AND(OR(D485="GK",D485="DEF"),J485&gt;=3),1*'Scoring System'!$B$9,0)+ (I485*'Scoring System'!$B$10)+ (K485*'Scoring System'!$B$11)+ (M485*'Scoring System'!$B$12)+ (L485*'Scoring System'!$B$13)+ (O485*'Scoring System'!$B$14)+ (Q485*'Scoring System'!$B$15)+ (R485*'Scoring System'!$B$16)</f>
        <v>2</v>
      </c>
      <c r="AB485" s="72" t="b">
        <f>IFERROR(match(C485,'Match Day Fees'!$B$2:$B$999,0),0)=0</f>
        <v>0</v>
      </c>
      <c r="AC485" s="73">
        <f t="shared" si="1"/>
        <v>0</v>
      </c>
      <c r="AD485" s="3" t="str">
        <f>VLOOKUP(D485,'Position Lookup'!A:B,1,FALSE)</f>
        <v>ATT</v>
      </c>
    </row>
    <row r="486" ht="17.25" customHeight="1">
      <c r="A486" s="12">
        <v>45185.0</v>
      </c>
      <c r="B486" s="5" t="s">
        <v>309</v>
      </c>
      <c r="C486" s="3" t="s">
        <v>124</v>
      </c>
      <c r="D486" s="3" t="s">
        <v>9</v>
      </c>
      <c r="E486" s="5">
        <v>4.0</v>
      </c>
      <c r="F486" s="3" t="s">
        <v>446</v>
      </c>
      <c r="G486" s="3" t="s">
        <v>230</v>
      </c>
      <c r="H486" s="3">
        <v>1.0</v>
      </c>
      <c r="J486" s="5">
        <v>5.0</v>
      </c>
      <c r="N486" s="3" t="b">
        <v>0</v>
      </c>
      <c r="R486" s="3">
        <v>0.0</v>
      </c>
      <c r="T486" s="3">
        <v>10.0</v>
      </c>
      <c r="U486" s="3">
        <v>7.0</v>
      </c>
      <c r="V486" s="3" t="s">
        <v>459</v>
      </c>
      <c r="W486" s="74" t="s">
        <v>448</v>
      </c>
      <c r="X486" s="77" t="s">
        <v>449</v>
      </c>
      <c r="Y486" s="3">
        <v>1.0</v>
      </c>
      <c r="Z486" s="3">
        <v>5.0</v>
      </c>
      <c r="AA486" s="2">
        <f>2+ (P486*'Scoring System'!$B$3)+ (IF(OR(D486="DEF",D486="GK"),N486*'Scoring System'!$B$4,IF(D486="MID",N486*'Scoring System'!$B$5,0)))+ (IF(OR(D486="DEF",D486="GK"),H486*'Scoring System'!$B$6,IF(D486="MID",H486*'Scoring System'!$B$7,IF(D486="ATT",H486*'Scoring System'!$B$8,0))))+ IF(AND(OR(D486="GK",D486="DEF"),J486&gt;=3),1*'Scoring System'!$B$9,0)+ (I486*'Scoring System'!$B$10)+ (K486*'Scoring System'!$B$11)+ (M486*'Scoring System'!$B$12)+ (L486*'Scoring System'!$B$13)+ (O486*'Scoring System'!$B$14)+ (Q486*'Scoring System'!$B$15)+ (R486*'Scoring System'!$B$16)</f>
        <v>6</v>
      </c>
      <c r="AB486" s="72" t="b">
        <f>IFERROR(match(C486,'Match Day Fees'!$B$2:$B$999,0),0)=0</f>
        <v>0</v>
      </c>
      <c r="AC486" s="73">
        <f t="shared" si="1"/>
        <v>0</v>
      </c>
      <c r="AD486" s="3" t="str">
        <f>VLOOKUP(D486,'Position Lookup'!A:B,1,FALSE)</f>
        <v>ATT</v>
      </c>
    </row>
    <row r="487" ht="17.25" customHeight="1">
      <c r="A487" s="12">
        <v>45185.0</v>
      </c>
      <c r="B487" s="5" t="s">
        <v>309</v>
      </c>
      <c r="C487" s="3" t="s">
        <v>296</v>
      </c>
      <c r="D487" s="3" t="s">
        <v>10</v>
      </c>
      <c r="E487" s="5">
        <v>4.0</v>
      </c>
      <c r="F487" s="3" t="s">
        <v>446</v>
      </c>
      <c r="G487" s="3" t="s">
        <v>230</v>
      </c>
      <c r="J487" s="5">
        <v>5.0</v>
      </c>
      <c r="N487" s="3" t="b">
        <v>0</v>
      </c>
      <c r="R487" s="3">
        <v>0.0</v>
      </c>
      <c r="T487" s="3">
        <v>10.0</v>
      </c>
      <c r="U487" s="3">
        <v>5.5</v>
      </c>
      <c r="V487" s="3" t="s">
        <v>460</v>
      </c>
      <c r="W487" s="74" t="s">
        <v>448</v>
      </c>
      <c r="X487" s="77" t="s">
        <v>449</v>
      </c>
      <c r="Y487" s="3">
        <v>1.0</v>
      </c>
      <c r="Z487" s="3">
        <v>5.0</v>
      </c>
      <c r="AA487" s="2">
        <f>2+ (P487*'Scoring System'!$B$3)+ (IF(OR(D487="DEF",D487="GK"),N487*'Scoring System'!$B$4,IF(D487="MID",N487*'Scoring System'!$B$5,0)))+ (IF(OR(D487="DEF",D487="GK"),H487*'Scoring System'!$B$6,IF(D487="MID",H487*'Scoring System'!$B$7,IF(D487="ATT",H487*'Scoring System'!$B$8,0))))+ IF(AND(OR(D487="GK",D487="DEF"),J487&gt;=3),1*'Scoring System'!$B$9,0)+ (I487*'Scoring System'!$B$10)+ (K487*'Scoring System'!$B$11)+ (M487*'Scoring System'!$B$12)+ (L487*'Scoring System'!$B$13)+ (O487*'Scoring System'!$B$14)+ (Q487*'Scoring System'!$B$15)+ (R487*'Scoring System'!$B$16)</f>
        <v>2</v>
      </c>
      <c r="AB487" s="72" t="b">
        <f>IFERROR(match(C487,'Match Day Fees'!$B$2:$B$999,0),0)=0</f>
        <v>0</v>
      </c>
      <c r="AC487" s="73">
        <f t="shared" si="1"/>
        <v>0</v>
      </c>
      <c r="AD487" s="3" t="str">
        <f>VLOOKUP(D487,'Position Lookup'!A:B,1,FALSE)</f>
        <v>MID</v>
      </c>
    </row>
    <row r="488" ht="17.25" customHeight="1">
      <c r="A488" s="12">
        <v>45185.0</v>
      </c>
      <c r="B488" s="5" t="s">
        <v>309</v>
      </c>
      <c r="C488" s="3" t="s">
        <v>45</v>
      </c>
      <c r="D488" s="3" t="s">
        <v>10</v>
      </c>
      <c r="E488" s="5">
        <v>4.0</v>
      </c>
      <c r="F488" s="3" t="s">
        <v>446</v>
      </c>
      <c r="G488" s="3" t="s">
        <v>230</v>
      </c>
      <c r="I488" s="3">
        <v>1.0</v>
      </c>
      <c r="J488" s="5">
        <v>5.0</v>
      </c>
      <c r="N488" s="3" t="b">
        <v>0</v>
      </c>
      <c r="R488" s="3">
        <v>0.0</v>
      </c>
      <c r="T488" s="3">
        <v>10.0</v>
      </c>
      <c r="U488" s="3">
        <v>6.5</v>
      </c>
      <c r="V488" s="3" t="s">
        <v>461</v>
      </c>
      <c r="W488" s="74" t="s">
        <v>448</v>
      </c>
      <c r="X488" s="77" t="s">
        <v>449</v>
      </c>
      <c r="Y488" s="3">
        <v>1.0</v>
      </c>
      <c r="Z488" s="3">
        <v>5.0</v>
      </c>
      <c r="AA488" s="2">
        <f>2+ (P488*'Scoring System'!$B$3)+ (IF(OR(D488="DEF",D488="GK"),N488*'Scoring System'!$B$4,IF(D488="MID",N488*'Scoring System'!$B$5,0)))+ (IF(OR(D488="DEF",D488="GK"),H488*'Scoring System'!$B$6,IF(D488="MID",H488*'Scoring System'!$B$7,IF(D488="ATT",H488*'Scoring System'!$B$8,0))))+ IF(AND(OR(D488="GK",D488="DEF"),J488&gt;=3),1*'Scoring System'!$B$9,0)+ (I488*'Scoring System'!$B$10)+ (K488*'Scoring System'!$B$11)+ (M488*'Scoring System'!$B$12)+ (L488*'Scoring System'!$B$13)+ (O488*'Scoring System'!$B$14)+ (Q488*'Scoring System'!$B$15)+ (R488*'Scoring System'!$B$16)</f>
        <v>5</v>
      </c>
      <c r="AB488" s="72" t="b">
        <f>IFERROR(match(C488,'Match Day Fees'!$B$2:$B$999,0),0)=0</f>
        <v>0</v>
      </c>
      <c r="AC488" s="73">
        <f t="shared" si="1"/>
        <v>0</v>
      </c>
      <c r="AD488" s="3" t="str">
        <f>VLOOKUP(D488,'Position Lookup'!A:B,1,FALSE)</f>
        <v>MID</v>
      </c>
    </row>
    <row r="489" ht="17.25" customHeight="1">
      <c r="A489" s="12">
        <v>45185.0</v>
      </c>
      <c r="B489" s="5" t="s">
        <v>309</v>
      </c>
      <c r="C489" s="3" t="s">
        <v>263</v>
      </c>
      <c r="D489" s="3" t="s">
        <v>10</v>
      </c>
      <c r="E489" s="5">
        <v>4.0</v>
      </c>
      <c r="F489" s="3" t="s">
        <v>446</v>
      </c>
      <c r="G489" s="3" t="s">
        <v>230</v>
      </c>
      <c r="J489" s="5">
        <v>5.0</v>
      </c>
      <c r="N489" s="3" t="b">
        <v>0</v>
      </c>
      <c r="R489" s="3">
        <v>0.0</v>
      </c>
      <c r="T489" s="5">
        <v>5.0</v>
      </c>
      <c r="U489" s="3">
        <v>6.0</v>
      </c>
      <c r="V489" s="3" t="s">
        <v>462</v>
      </c>
      <c r="W489" s="74" t="s">
        <v>448</v>
      </c>
      <c r="X489" s="77" t="s">
        <v>449</v>
      </c>
      <c r="Y489" s="3">
        <v>1.0</v>
      </c>
      <c r="Z489" s="3">
        <v>5.0</v>
      </c>
      <c r="AA489" s="2">
        <f>2+ (P489*'Scoring System'!$B$3)+ (IF(OR(D489="DEF",D489="GK"),N489*'Scoring System'!$B$4,IF(D489="MID",N489*'Scoring System'!$B$5,0)))+ (IF(OR(D489="DEF",D489="GK"),H489*'Scoring System'!$B$6,IF(D489="MID",H489*'Scoring System'!$B$7,IF(D489="ATT",H489*'Scoring System'!$B$8,0))))+ IF(AND(OR(D489="GK",D489="DEF"),J489&gt;=3),1*'Scoring System'!$B$9,0)+ (I489*'Scoring System'!$B$10)+ (K489*'Scoring System'!$B$11)+ (M489*'Scoring System'!$B$12)+ (L489*'Scoring System'!$B$13)+ (O489*'Scoring System'!$B$14)+ (Q489*'Scoring System'!$B$15)+ (R489*'Scoring System'!$B$16)</f>
        <v>2</v>
      </c>
      <c r="AB489" s="72" t="b">
        <f>IFERROR(match(C489,'Match Day Fees'!$B$2:$B$999,0),0)=0</f>
        <v>0</v>
      </c>
      <c r="AC489" s="73">
        <f t="shared" si="1"/>
        <v>0</v>
      </c>
      <c r="AD489" s="3" t="str">
        <f>VLOOKUP(D489,'Position Lookup'!A:B,1,FALSE)</f>
        <v>MID</v>
      </c>
    </row>
    <row r="490" ht="17.25" customHeight="1">
      <c r="A490" s="12">
        <v>45185.0</v>
      </c>
      <c r="B490" s="5" t="s">
        <v>309</v>
      </c>
      <c r="C490" s="3" t="s">
        <v>278</v>
      </c>
      <c r="D490" s="3" t="s">
        <v>8</v>
      </c>
      <c r="E490" s="5">
        <v>5.0</v>
      </c>
      <c r="F490" s="3" t="s">
        <v>463</v>
      </c>
      <c r="G490" s="3" t="s">
        <v>230</v>
      </c>
      <c r="J490" s="5">
        <v>4.0</v>
      </c>
      <c r="N490" s="3" t="b">
        <v>0</v>
      </c>
      <c r="R490" s="3">
        <v>0.0</v>
      </c>
      <c r="T490" s="3">
        <v>10.0</v>
      </c>
      <c r="U490" s="3">
        <v>5.0</v>
      </c>
      <c r="V490" s="3" t="s">
        <v>464</v>
      </c>
      <c r="W490" s="70" t="s">
        <v>344</v>
      </c>
      <c r="X490" s="77" t="s">
        <v>465</v>
      </c>
      <c r="Y490" s="3">
        <v>0.0</v>
      </c>
      <c r="Z490" s="3">
        <v>4.0</v>
      </c>
      <c r="AA490" s="2">
        <f>2+ (P490*'Scoring System'!$B$3)+ (IF(OR(D490="DEF",D490="GK"),N490*'Scoring System'!$B$4,IF(D490="MID",N490*'Scoring System'!$B$5,0)))+ (IF(OR(D490="DEF",D490="GK"),H490*'Scoring System'!$B$6,IF(D490="MID",H490*'Scoring System'!$B$7,IF(D490="ATT",H490*'Scoring System'!$B$8,0))))+ IF(AND(OR(D490="GK",D490="DEF"),J490&gt;=3),1*'Scoring System'!$B$9,0)+ (I490*'Scoring System'!$B$10)+ (K490*'Scoring System'!$B$11)+ (M490*'Scoring System'!$B$12)+ (L490*'Scoring System'!$B$13)+ (O490*'Scoring System'!$B$14)+ (Q490*'Scoring System'!$B$15)+ (R490*'Scoring System'!$B$16)</f>
        <v>1</v>
      </c>
      <c r="AB490" s="72" t="b">
        <f>IFERROR(match(C490,'Match Day Fees'!$B$2:$B$999,0),0)=0</f>
        <v>0</v>
      </c>
      <c r="AC490" s="73">
        <f t="shared" si="1"/>
        <v>0</v>
      </c>
      <c r="AD490" s="3" t="str">
        <f>VLOOKUP(D490,'Position Lookup'!A:B,1,FALSE)</f>
        <v>GK</v>
      </c>
    </row>
    <row r="491" ht="17.25" customHeight="1">
      <c r="A491" s="12">
        <v>45185.0</v>
      </c>
      <c r="B491" s="5" t="s">
        <v>309</v>
      </c>
      <c r="C491" s="3" t="s">
        <v>133</v>
      </c>
      <c r="D491" s="3" t="s">
        <v>11</v>
      </c>
      <c r="E491" s="5">
        <v>5.0</v>
      </c>
      <c r="F491" s="3" t="s">
        <v>463</v>
      </c>
      <c r="G491" s="3" t="s">
        <v>230</v>
      </c>
      <c r="J491" s="5">
        <v>4.0</v>
      </c>
      <c r="N491" s="3" t="b">
        <v>0</v>
      </c>
      <c r="R491" s="3">
        <v>0.0</v>
      </c>
      <c r="T491" s="3">
        <v>10.0</v>
      </c>
      <c r="U491" s="3">
        <v>6.0</v>
      </c>
      <c r="V491" s="3" t="s">
        <v>466</v>
      </c>
      <c r="W491" s="70" t="s">
        <v>344</v>
      </c>
      <c r="X491" s="77" t="s">
        <v>465</v>
      </c>
      <c r="Y491" s="3">
        <v>0.0</v>
      </c>
      <c r="Z491" s="3">
        <v>4.0</v>
      </c>
      <c r="AA491" s="2">
        <f>2+ (P491*'Scoring System'!$B$3)+ (IF(OR(D491="DEF",D491="GK"),N491*'Scoring System'!$B$4,IF(D491="MID",N491*'Scoring System'!$B$5,0)))+ (IF(OR(D491="DEF",D491="GK"),H491*'Scoring System'!$B$6,IF(D491="MID",H491*'Scoring System'!$B$7,IF(D491="ATT",H491*'Scoring System'!$B$8,0))))+ IF(AND(OR(D491="GK",D491="DEF"),J491&gt;=3),1*'Scoring System'!$B$9,0)+ (I491*'Scoring System'!$B$10)+ (K491*'Scoring System'!$B$11)+ (M491*'Scoring System'!$B$12)+ (L491*'Scoring System'!$B$13)+ (O491*'Scoring System'!$B$14)+ (Q491*'Scoring System'!$B$15)+ (R491*'Scoring System'!$B$16)</f>
        <v>1</v>
      </c>
      <c r="AB491" s="72" t="b">
        <f>IFERROR(match(C491,'Match Day Fees'!$B$2:$B$999,0),0)=0</f>
        <v>0</v>
      </c>
      <c r="AC491" s="73">
        <f t="shared" si="1"/>
        <v>0</v>
      </c>
      <c r="AD491" s="3" t="str">
        <f>VLOOKUP(D491,'Position Lookup'!A:B,1,FALSE)</f>
        <v>DEF</v>
      </c>
    </row>
    <row r="492" ht="17.25" customHeight="1">
      <c r="A492" s="12">
        <v>45185.0</v>
      </c>
      <c r="B492" s="5" t="s">
        <v>309</v>
      </c>
      <c r="C492" s="3" t="s">
        <v>226</v>
      </c>
      <c r="D492" s="3" t="s">
        <v>11</v>
      </c>
      <c r="E492" s="5">
        <v>5.0</v>
      </c>
      <c r="F492" s="3" t="s">
        <v>463</v>
      </c>
      <c r="G492" s="3" t="s">
        <v>230</v>
      </c>
      <c r="J492" s="5">
        <v>4.0</v>
      </c>
      <c r="N492" s="3" t="b">
        <v>0</v>
      </c>
      <c r="R492" s="3">
        <v>0.0</v>
      </c>
      <c r="T492" s="3">
        <v>10.0</v>
      </c>
      <c r="U492" s="3">
        <v>7.0</v>
      </c>
      <c r="V492" s="3" t="s">
        <v>467</v>
      </c>
      <c r="W492" s="70" t="s">
        <v>344</v>
      </c>
      <c r="X492" s="77" t="s">
        <v>465</v>
      </c>
      <c r="Y492" s="3">
        <v>0.0</v>
      </c>
      <c r="Z492" s="3">
        <v>4.0</v>
      </c>
      <c r="AA492" s="2">
        <f>2+ (P492*'Scoring System'!$B$3)+ (IF(OR(D492="DEF",D492="GK"),N492*'Scoring System'!$B$4,IF(D492="MID",N492*'Scoring System'!$B$5,0)))+ (IF(OR(D492="DEF",D492="GK"),H492*'Scoring System'!$B$6,IF(D492="MID",H492*'Scoring System'!$B$7,IF(D492="ATT",H492*'Scoring System'!$B$8,0))))+ IF(AND(OR(D492="GK",D492="DEF"),J492&gt;=3),1*'Scoring System'!$B$9,0)+ (I492*'Scoring System'!$B$10)+ (K492*'Scoring System'!$B$11)+ (M492*'Scoring System'!$B$12)+ (L492*'Scoring System'!$B$13)+ (O492*'Scoring System'!$B$14)+ (Q492*'Scoring System'!$B$15)+ (R492*'Scoring System'!$B$16)</f>
        <v>1</v>
      </c>
      <c r="AB492" s="72" t="b">
        <f>IFERROR(match(C492,'Match Day Fees'!$B$2:$B$999,0),0)=0</f>
        <v>0</v>
      </c>
      <c r="AC492" s="73">
        <f t="shared" si="1"/>
        <v>0</v>
      </c>
      <c r="AD492" s="3" t="str">
        <f>VLOOKUP(D492,'Position Lookup'!A:B,1,FALSE)</f>
        <v>DEF</v>
      </c>
    </row>
    <row r="493" ht="17.25" customHeight="1">
      <c r="A493" s="12">
        <v>45185.0</v>
      </c>
      <c r="B493" s="5" t="s">
        <v>309</v>
      </c>
      <c r="C493" s="3" t="s">
        <v>154</v>
      </c>
      <c r="D493" s="3" t="s">
        <v>11</v>
      </c>
      <c r="E493" s="5">
        <v>5.0</v>
      </c>
      <c r="F493" s="3" t="s">
        <v>463</v>
      </c>
      <c r="G493" s="3" t="s">
        <v>230</v>
      </c>
      <c r="J493" s="5">
        <v>4.0</v>
      </c>
      <c r="N493" s="3" t="b">
        <v>0</v>
      </c>
      <c r="R493" s="3">
        <v>0.0</v>
      </c>
      <c r="T493" s="3">
        <v>10.0</v>
      </c>
      <c r="U493" s="3">
        <v>7.0</v>
      </c>
      <c r="V493" s="3" t="s">
        <v>468</v>
      </c>
      <c r="W493" s="70" t="s">
        <v>344</v>
      </c>
      <c r="X493" s="77" t="s">
        <v>465</v>
      </c>
      <c r="Y493" s="3">
        <v>0.0</v>
      </c>
      <c r="Z493" s="3">
        <v>4.0</v>
      </c>
      <c r="AA493" s="2">
        <f>2+ (P493*'Scoring System'!$B$3)+ (IF(OR(D493="DEF",D493="GK"),N493*'Scoring System'!$B$4,IF(D493="MID",N493*'Scoring System'!$B$5,0)))+ (IF(OR(D493="DEF",D493="GK"),H493*'Scoring System'!$B$6,IF(D493="MID",H493*'Scoring System'!$B$7,IF(D493="ATT",H493*'Scoring System'!$B$8,0))))+ IF(AND(OR(D493="GK",D493="DEF"),J493&gt;=3),1*'Scoring System'!$B$9,0)+ (I493*'Scoring System'!$B$10)+ (K493*'Scoring System'!$B$11)+ (M493*'Scoring System'!$B$12)+ (L493*'Scoring System'!$B$13)+ (O493*'Scoring System'!$B$14)+ (Q493*'Scoring System'!$B$15)+ (R493*'Scoring System'!$B$16)</f>
        <v>1</v>
      </c>
      <c r="AB493" s="72" t="b">
        <f>IFERROR(match(C493,'Match Day Fees'!$B$2:$B$999,0),0)=0</f>
        <v>0</v>
      </c>
      <c r="AC493" s="73">
        <f t="shared" si="1"/>
        <v>0</v>
      </c>
      <c r="AD493" s="3" t="str">
        <f>VLOOKUP(D493,'Position Lookup'!A:B,1,FALSE)</f>
        <v>DEF</v>
      </c>
    </row>
    <row r="494" ht="17.25" customHeight="1">
      <c r="A494" s="12">
        <v>45185.0</v>
      </c>
      <c r="B494" s="5" t="s">
        <v>309</v>
      </c>
      <c r="C494" s="3" t="s">
        <v>248</v>
      </c>
      <c r="D494" s="3" t="s">
        <v>11</v>
      </c>
      <c r="E494" s="5">
        <v>5.0</v>
      </c>
      <c r="F494" s="3" t="s">
        <v>463</v>
      </c>
      <c r="G494" s="3" t="s">
        <v>230</v>
      </c>
      <c r="J494" s="5">
        <v>4.0</v>
      </c>
      <c r="N494" s="3" t="b">
        <v>0</v>
      </c>
      <c r="R494" s="3">
        <v>0.0</v>
      </c>
      <c r="T494" s="3">
        <v>5.0</v>
      </c>
      <c r="U494" s="3">
        <v>6.5</v>
      </c>
      <c r="V494" s="3" t="s">
        <v>469</v>
      </c>
      <c r="W494" s="70" t="s">
        <v>344</v>
      </c>
      <c r="X494" s="77" t="s">
        <v>465</v>
      </c>
      <c r="Y494" s="3">
        <v>0.0</v>
      </c>
      <c r="Z494" s="3">
        <v>4.0</v>
      </c>
      <c r="AA494" s="2">
        <f>2+ (P494*'Scoring System'!$B$3)+ (IF(OR(D494="DEF",D494="GK"),N494*'Scoring System'!$B$4,IF(D494="MID",N494*'Scoring System'!$B$5,0)))+ (IF(OR(D494="DEF",D494="GK"),H494*'Scoring System'!$B$6,IF(D494="MID",H494*'Scoring System'!$B$7,IF(D494="ATT",H494*'Scoring System'!$B$8,0))))+ IF(AND(OR(D494="GK",D494="DEF"),J494&gt;=3),1*'Scoring System'!$B$9,0)+ (I494*'Scoring System'!$B$10)+ (K494*'Scoring System'!$B$11)+ (M494*'Scoring System'!$B$12)+ (L494*'Scoring System'!$B$13)+ (O494*'Scoring System'!$B$14)+ (Q494*'Scoring System'!$B$15)+ (R494*'Scoring System'!$B$16)</f>
        <v>1</v>
      </c>
      <c r="AB494" s="72" t="b">
        <f>IFERROR(match(C494,'Match Day Fees'!$B$2:$B$999,0),0)=0</f>
        <v>0</v>
      </c>
      <c r="AC494" s="73">
        <f t="shared" si="1"/>
        <v>0</v>
      </c>
      <c r="AD494" s="3" t="str">
        <f>VLOOKUP(D494,'Position Lookup'!A:B,1,FALSE)</f>
        <v>DEF</v>
      </c>
    </row>
    <row r="495" ht="17.25" customHeight="1">
      <c r="A495" s="12">
        <v>45185.0</v>
      </c>
      <c r="B495" s="5" t="s">
        <v>309</v>
      </c>
      <c r="C495" s="3" t="s">
        <v>108</v>
      </c>
      <c r="D495" s="3" t="s">
        <v>11</v>
      </c>
      <c r="E495" s="5">
        <v>5.0</v>
      </c>
      <c r="F495" s="3" t="s">
        <v>463</v>
      </c>
      <c r="G495" s="3" t="s">
        <v>230</v>
      </c>
      <c r="J495" s="5">
        <v>4.0</v>
      </c>
      <c r="N495" s="3" t="b">
        <v>0</v>
      </c>
      <c r="R495" s="3">
        <v>1.0</v>
      </c>
      <c r="T495" s="3">
        <v>10.0</v>
      </c>
      <c r="U495" s="3">
        <v>8.0</v>
      </c>
      <c r="V495" s="3" t="s">
        <v>470</v>
      </c>
      <c r="W495" s="70" t="s">
        <v>344</v>
      </c>
      <c r="X495" s="77" t="s">
        <v>465</v>
      </c>
      <c r="Y495" s="3">
        <v>0.0</v>
      </c>
      <c r="Z495" s="3">
        <v>4.0</v>
      </c>
      <c r="AA495" s="2">
        <f>2+ (P495*'Scoring System'!$B$3)+ (IF(OR(D495="DEF",D495="GK"),N495*'Scoring System'!$B$4,IF(D495="MID",N495*'Scoring System'!$B$5,0)))+ (IF(OR(D495="DEF",D495="GK"),H495*'Scoring System'!$B$6,IF(D495="MID",H495*'Scoring System'!$B$7,IF(D495="ATT",H495*'Scoring System'!$B$8,0))))+ IF(AND(OR(D495="GK",D495="DEF"),J495&gt;=3),1*'Scoring System'!$B$9,0)+ (I495*'Scoring System'!$B$10)+ (K495*'Scoring System'!$B$11)+ (M495*'Scoring System'!$B$12)+ (L495*'Scoring System'!$B$13)+ (O495*'Scoring System'!$B$14)+ (Q495*'Scoring System'!$B$15)+ (R495*'Scoring System'!$B$16)</f>
        <v>6</v>
      </c>
      <c r="AB495" s="72" t="b">
        <f>IFERROR(match(C495,'Match Day Fees'!$B$2:$B$999,0),0)=0</f>
        <v>0</v>
      </c>
      <c r="AC495" s="73">
        <f t="shared" si="1"/>
        <v>0</v>
      </c>
      <c r="AD495" s="3" t="str">
        <f>VLOOKUP(D495,'Position Lookup'!A:B,1,FALSE)</f>
        <v>DEF</v>
      </c>
    </row>
    <row r="496" ht="17.25" customHeight="1">
      <c r="A496" s="12">
        <v>45185.0</v>
      </c>
      <c r="B496" s="5" t="s">
        <v>309</v>
      </c>
      <c r="C496" s="3" t="s">
        <v>237</v>
      </c>
      <c r="D496" s="3" t="s">
        <v>10</v>
      </c>
      <c r="E496" s="5">
        <v>5.0</v>
      </c>
      <c r="F496" s="3" t="s">
        <v>463</v>
      </c>
      <c r="G496" s="3" t="s">
        <v>230</v>
      </c>
      <c r="J496" s="5">
        <v>4.0</v>
      </c>
      <c r="N496" s="3" t="b">
        <v>0</v>
      </c>
      <c r="R496" s="3">
        <v>0.0</v>
      </c>
      <c r="T496" s="3">
        <v>10.0</v>
      </c>
      <c r="U496" s="3">
        <v>6.0</v>
      </c>
      <c r="V496" s="3" t="s">
        <v>471</v>
      </c>
      <c r="W496" s="70" t="s">
        <v>344</v>
      </c>
      <c r="X496" s="77" t="s">
        <v>465</v>
      </c>
      <c r="Y496" s="3">
        <v>0.0</v>
      </c>
      <c r="Z496" s="3">
        <v>4.0</v>
      </c>
      <c r="AA496" s="2">
        <f>2+ (P496*'Scoring System'!$B$3)+ (IF(OR(D496="DEF",D496="GK"),N496*'Scoring System'!$B$4,IF(D496="MID",N496*'Scoring System'!$B$5,0)))+ (IF(OR(D496="DEF",D496="GK"),H496*'Scoring System'!$B$6,IF(D496="MID",H496*'Scoring System'!$B$7,IF(D496="ATT",H496*'Scoring System'!$B$8,0))))+ IF(AND(OR(D496="GK",D496="DEF"),J496&gt;=3),1*'Scoring System'!$B$9,0)+ (I496*'Scoring System'!$B$10)+ (K496*'Scoring System'!$B$11)+ (M496*'Scoring System'!$B$12)+ (L496*'Scoring System'!$B$13)+ (O496*'Scoring System'!$B$14)+ (Q496*'Scoring System'!$B$15)+ (R496*'Scoring System'!$B$16)</f>
        <v>2</v>
      </c>
      <c r="AB496" s="72" t="b">
        <f>IFERROR(match(C496,'Match Day Fees'!$B$2:$B$999,0),0)=0</f>
        <v>0</v>
      </c>
      <c r="AC496" s="73">
        <f t="shared" si="1"/>
        <v>0</v>
      </c>
      <c r="AD496" s="3" t="str">
        <f>VLOOKUP(D496,'Position Lookup'!A:B,1,FALSE)</f>
        <v>MID</v>
      </c>
    </row>
    <row r="497" ht="17.25" customHeight="1">
      <c r="A497" s="12">
        <v>45185.0</v>
      </c>
      <c r="B497" s="5" t="s">
        <v>309</v>
      </c>
      <c r="C497" s="3" t="s">
        <v>103</v>
      </c>
      <c r="D497" s="3" t="s">
        <v>10</v>
      </c>
      <c r="E497" s="5">
        <v>5.0</v>
      </c>
      <c r="F497" s="3" t="s">
        <v>463</v>
      </c>
      <c r="G497" s="3" t="s">
        <v>230</v>
      </c>
      <c r="J497" s="5">
        <v>4.0</v>
      </c>
      <c r="N497" s="3" t="b">
        <v>0</v>
      </c>
      <c r="R497" s="3">
        <v>0.0</v>
      </c>
      <c r="T497" s="3">
        <v>10.0</v>
      </c>
      <c r="U497" s="3">
        <v>7.0</v>
      </c>
      <c r="V497" s="3" t="s">
        <v>472</v>
      </c>
      <c r="W497" s="70" t="s">
        <v>344</v>
      </c>
      <c r="X497" s="77" t="s">
        <v>465</v>
      </c>
      <c r="Y497" s="3">
        <v>0.0</v>
      </c>
      <c r="Z497" s="3">
        <v>4.0</v>
      </c>
      <c r="AA497" s="2">
        <f>2+ (P497*'Scoring System'!$B$3)+ (IF(OR(D497="DEF",D497="GK"),N497*'Scoring System'!$B$4,IF(D497="MID",N497*'Scoring System'!$B$5,0)))+ (IF(OR(D497="DEF",D497="GK"),H497*'Scoring System'!$B$6,IF(D497="MID",H497*'Scoring System'!$B$7,IF(D497="ATT",H497*'Scoring System'!$B$8,0))))+ IF(AND(OR(D497="GK",D497="DEF"),J497&gt;=3),1*'Scoring System'!$B$9,0)+ (I497*'Scoring System'!$B$10)+ (K497*'Scoring System'!$B$11)+ (M497*'Scoring System'!$B$12)+ (L497*'Scoring System'!$B$13)+ (O497*'Scoring System'!$B$14)+ (Q497*'Scoring System'!$B$15)+ (R497*'Scoring System'!$B$16)</f>
        <v>2</v>
      </c>
      <c r="AB497" s="72" t="b">
        <f>IFERROR(match(C497,'Match Day Fees'!$B$2:$B$999,0),0)=0</f>
        <v>0</v>
      </c>
      <c r="AC497" s="73">
        <f t="shared" si="1"/>
        <v>0</v>
      </c>
      <c r="AD497" s="3" t="str">
        <f>VLOOKUP(D497,'Position Lookup'!A:B,1,FALSE)</f>
        <v>MID</v>
      </c>
    </row>
    <row r="498" ht="17.25" customHeight="1">
      <c r="A498" s="12">
        <v>45185.0</v>
      </c>
      <c r="B498" s="5" t="s">
        <v>309</v>
      </c>
      <c r="C498" s="3" t="s">
        <v>72</v>
      </c>
      <c r="D498" s="3" t="s">
        <v>10</v>
      </c>
      <c r="E498" s="5">
        <v>5.0</v>
      </c>
      <c r="F498" s="3" t="s">
        <v>463</v>
      </c>
      <c r="G498" s="3" t="s">
        <v>230</v>
      </c>
      <c r="J498" s="5">
        <v>4.0</v>
      </c>
      <c r="N498" s="3" t="b">
        <v>0</v>
      </c>
      <c r="R498" s="3">
        <v>0.0</v>
      </c>
      <c r="T498" s="3">
        <v>10.0</v>
      </c>
      <c r="U498" s="3">
        <v>6.5</v>
      </c>
      <c r="V498" s="3" t="s">
        <v>473</v>
      </c>
      <c r="W498" s="70" t="s">
        <v>344</v>
      </c>
      <c r="X498" s="77" t="s">
        <v>465</v>
      </c>
      <c r="Y498" s="3">
        <v>0.0</v>
      </c>
      <c r="Z498" s="3">
        <v>4.0</v>
      </c>
      <c r="AA498" s="2">
        <f>2+ (P498*'Scoring System'!$B$3)+ (IF(OR(D498="DEF",D498="GK"),N498*'Scoring System'!$B$4,IF(D498="MID",N498*'Scoring System'!$B$5,0)))+ (IF(OR(D498="DEF",D498="GK"),H498*'Scoring System'!$B$6,IF(D498="MID",H498*'Scoring System'!$B$7,IF(D498="ATT",H498*'Scoring System'!$B$8,0))))+ IF(AND(OR(D498="GK",D498="DEF"),J498&gt;=3),1*'Scoring System'!$B$9,0)+ (I498*'Scoring System'!$B$10)+ (K498*'Scoring System'!$B$11)+ (M498*'Scoring System'!$B$12)+ (L498*'Scoring System'!$B$13)+ (O498*'Scoring System'!$B$14)+ (Q498*'Scoring System'!$B$15)+ (R498*'Scoring System'!$B$16)</f>
        <v>2</v>
      </c>
      <c r="AB498" s="72" t="b">
        <f>IFERROR(match(C498,'Match Day Fees'!$B$2:$B$999,0),0)=0</f>
        <v>0</v>
      </c>
      <c r="AC498" s="73">
        <f t="shared" si="1"/>
        <v>0</v>
      </c>
      <c r="AD498" s="3" t="str">
        <f>VLOOKUP(D498,'Position Lookup'!A:B,1,FALSE)</f>
        <v>MID</v>
      </c>
    </row>
    <row r="499" ht="17.25" customHeight="1">
      <c r="A499" s="12">
        <v>45185.0</v>
      </c>
      <c r="B499" s="5" t="s">
        <v>309</v>
      </c>
      <c r="C499" s="3" t="s">
        <v>474</v>
      </c>
      <c r="D499" s="3" t="s">
        <v>10</v>
      </c>
      <c r="E499" s="5">
        <v>5.0</v>
      </c>
      <c r="F499" s="3" t="s">
        <v>463</v>
      </c>
      <c r="G499" s="3" t="s">
        <v>230</v>
      </c>
      <c r="J499" s="5">
        <v>4.0</v>
      </c>
      <c r="N499" s="3" t="b">
        <v>0</v>
      </c>
      <c r="R499" s="3">
        <v>0.0</v>
      </c>
      <c r="T499" s="3">
        <v>10.0</v>
      </c>
      <c r="U499" s="3">
        <v>7.0</v>
      </c>
      <c r="V499" s="3" t="s">
        <v>475</v>
      </c>
      <c r="W499" s="70" t="s">
        <v>344</v>
      </c>
      <c r="X499" s="77" t="s">
        <v>465</v>
      </c>
      <c r="Y499" s="3">
        <v>0.0</v>
      </c>
      <c r="Z499" s="3">
        <v>4.0</v>
      </c>
      <c r="AA499" s="2">
        <f>2+ (P499*'Scoring System'!$B$3)+ (IF(OR(D499="DEF",D499="GK"),N499*'Scoring System'!$B$4,IF(D499="MID",N499*'Scoring System'!$B$5,0)))+ (IF(OR(D499="DEF",D499="GK"),H499*'Scoring System'!$B$6,IF(D499="MID",H499*'Scoring System'!$B$7,IF(D499="ATT",H499*'Scoring System'!$B$8,0))))+ IF(AND(OR(D499="GK",D499="DEF"),J499&gt;=3),1*'Scoring System'!$B$9,0)+ (I499*'Scoring System'!$B$10)+ (K499*'Scoring System'!$B$11)+ (M499*'Scoring System'!$B$12)+ (L499*'Scoring System'!$B$13)+ (O499*'Scoring System'!$B$14)+ (Q499*'Scoring System'!$B$15)+ (R499*'Scoring System'!$B$16)</f>
        <v>2</v>
      </c>
      <c r="AB499" s="72" t="b">
        <f>IFERROR(match(C499,'Match Day Fees'!$B$2:$B$999,0),0)=0</f>
        <v>0</v>
      </c>
      <c r="AC499" s="73">
        <f t="shared" si="1"/>
        <v>0</v>
      </c>
      <c r="AD499" s="3" t="str">
        <f>VLOOKUP(D499,'Position Lookup'!A:B,1,FALSE)</f>
        <v>MID</v>
      </c>
    </row>
    <row r="500" ht="17.25" customHeight="1">
      <c r="A500" s="12">
        <v>45185.0</v>
      </c>
      <c r="B500" s="5" t="s">
        <v>309</v>
      </c>
      <c r="C500" s="3" t="s">
        <v>140</v>
      </c>
      <c r="D500" s="3" t="s">
        <v>9</v>
      </c>
      <c r="E500" s="5">
        <v>5.0</v>
      </c>
      <c r="F500" s="3" t="s">
        <v>463</v>
      </c>
      <c r="G500" s="3" t="s">
        <v>230</v>
      </c>
      <c r="J500" s="5">
        <v>4.0</v>
      </c>
      <c r="N500" s="3" t="b">
        <v>0</v>
      </c>
      <c r="R500" s="3">
        <v>0.0</v>
      </c>
      <c r="T500" s="3">
        <v>10.0</v>
      </c>
      <c r="U500" s="3">
        <v>6.5</v>
      </c>
      <c r="V500" s="3" t="s">
        <v>476</v>
      </c>
      <c r="W500" s="70" t="s">
        <v>344</v>
      </c>
      <c r="X500" s="77" t="s">
        <v>465</v>
      </c>
      <c r="Y500" s="3">
        <v>0.0</v>
      </c>
      <c r="Z500" s="3">
        <v>4.0</v>
      </c>
      <c r="AA500" s="2">
        <f>2+ (P500*'Scoring System'!$B$3)+ (IF(OR(D500="DEF",D500="GK"),N500*'Scoring System'!$B$4,IF(D500="MID",N500*'Scoring System'!$B$5,0)))+ (IF(OR(D500="DEF",D500="GK"),H500*'Scoring System'!$B$6,IF(D500="MID",H500*'Scoring System'!$B$7,IF(D500="ATT",H500*'Scoring System'!$B$8,0))))+ IF(AND(OR(D500="GK",D500="DEF"),J500&gt;=3),1*'Scoring System'!$B$9,0)+ (I500*'Scoring System'!$B$10)+ (K500*'Scoring System'!$B$11)+ (M500*'Scoring System'!$B$12)+ (L500*'Scoring System'!$B$13)+ (O500*'Scoring System'!$B$14)+ (Q500*'Scoring System'!$B$15)+ (R500*'Scoring System'!$B$16)</f>
        <v>2</v>
      </c>
      <c r="AB500" s="72" t="b">
        <f>IFERROR(match(C500,'Match Day Fees'!$B$2:$B$999,0),0)=0</f>
        <v>0</v>
      </c>
      <c r="AC500" s="73">
        <f t="shared" si="1"/>
        <v>0</v>
      </c>
      <c r="AD500" s="3" t="str">
        <f>VLOOKUP(D500,'Position Lookup'!A:B,1,FALSE)</f>
        <v>ATT</v>
      </c>
    </row>
    <row r="501" ht="17.25" customHeight="1">
      <c r="A501" s="12">
        <v>45185.0</v>
      </c>
      <c r="B501" s="5" t="s">
        <v>309</v>
      </c>
      <c r="C501" s="3" t="s">
        <v>139</v>
      </c>
      <c r="D501" s="3" t="s">
        <v>9</v>
      </c>
      <c r="E501" s="5">
        <v>5.0</v>
      </c>
      <c r="F501" s="3" t="s">
        <v>463</v>
      </c>
      <c r="G501" s="3" t="s">
        <v>230</v>
      </c>
      <c r="J501" s="5">
        <v>4.0</v>
      </c>
      <c r="N501" s="3" t="b">
        <v>0</v>
      </c>
      <c r="R501" s="3">
        <v>0.0</v>
      </c>
      <c r="T501" s="3">
        <v>10.0</v>
      </c>
      <c r="U501" s="2">
        <v>6.0</v>
      </c>
      <c r="V501" s="2" t="s">
        <v>477</v>
      </c>
      <c r="W501" s="70" t="s">
        <v>344</v>
      </c>
      <c r="X501" s="77" t="s">
        <v>465</v>
      </c>
      <c r="Y501" s="3">
        <v>0.0</v>
      </c>
      <c r="Z501" s="3">
        <v>4.0</v>
      </c>
      <c r="AA501" s="2">
        <f>2+ (P501*'Scoring System'!$B$3)+ (IF(OR(D501="DEF",D501="GK"),N501*'Scoring System'!$B$4,IF(D501="MID",N501*'Scoring System'!$B$5,0)))+ (IF(OR(D501="DEF",D501="GK"),H501*'Scoring System'!$B$6,IF(D501="MID",H501*'Scoring System'!$B$7,IF(D501="ATT",H501*'Scoring System'!$B$8,0))))+ IF(AND(OR(D501="GK",D501="DEF"),J501&gt;=3),1*'Scoring System'!$B$9,0)+ (I501*'Scoring System'!$B$10)+ (K501*'Scoring System'!$B$11)+ (M501*'Scoring System'!$B$12)+ (L501*'Scoring System'!$B$13)+ (O501*'Scoring System'!$B$14)+ (Q501*'Scoring System'!$B$15)+ (R501*'Scoring System'!$B$16)</f>
        <v>2</v>
      </c>
      <c r="AB501" s="72" t="b">
        <f>IFERROR(match(C501,'Match Day Fees'!$B$2:$B$999,0),0)=0</f>
        <v>0</v>
      </c>
      <c r="AC501" s="73">
        <f t="shared" si="1"/>
        <v>0</v>
      </c>
      <c r="AD501" s="3" t="str">
        <f>VLOOKUP(D501,'Position Lookup'!A:B,1,FALSE)</f>
        <v>ATT</v>
      </c>
    </row>
    <row r="502" ht="17.25" customHeight="1">
      <c r="A502" s="12">
        <v>45185.0</v>
      </c>
      <c r="B502" s="5" t="s">
        <v>309</v>
      </c>
      <c r="C502" s="3" t="s">
        <v>131</v>
      </c>
      <c r="D502" s="3" t="s">
        <v>9</v>
      </c>
      <c r="E502" s="5">
        <v>5.0</v>
      </c>
      <c r="F502" s="3" t="s">
        <v>463</v>
      </c>
      <c r="G502" s="3" t="s">
        <v>230</v>
      </c>
      <c r="J502" s="5">
        <v>4.0</v>
      </c>
      <c r="N502" s="3" t="b">
        <v>0</v>
      </c>
      <c r="R502" s="3">
        <v>0.0</v>
      </c>
      <c r="T502" s="3">
        <v>10.0</v>
      </c>
      <c r="U502" s="2">
        <v>6.5</v>
      </c>
      <c r="V502" s="2" t="s">
        <v>478</v>
      </c>
      <c r="W502" s="70" t="s">
        <v>344</v>
      </c>
      <c r="X502" s="77" t="s">
        <v>465</v>
      </c>
      <c r="Y502" s="3">
        <v>0.0</v>
      </c>
      <c r="Z502" s="3">
        <v>4.0</v>
      </c>
      <c r="AA502" s="2">
        <f>2+ (P502*'Scoring System'!$B$3)+ (IF(OR(D502="DEF",D502="GK"),N502*'Scoring System'!$B$4,IF(D502="MID",N502*'Scoring System'!$B$5,0)))+ (IF(OR(D502="DEF",D502="GK"),H502*'Scoring System'!$B$6,IF(D502="MID",H502*'Scoring System'!$B$7,IF(D502="ATT",H502*'Scoring System'!$B$8,0))))+ IF(AND(OR(D502="GK",D502="DEF"),J502&gt;=3),1*'Scoring System'!$B$9,0)+ (I502*'Scoring System'!$B$10)+ (K502*'Scoring System'!$B$11)+ (M502*'Scoring System'!$B$12)+ (L502*'Scoring System'!$B$13)+ (O502*'Scoring System'!$B$14)+ (Q502*'Scoring System'!$B$15)+ (R502*'Scoring System'!$B$16)</f>
        <v>2</v>
      </c>
      <c r="AB502" s="72" t="b">
        <f>IFERROR(match(C502,'Match Day Fees'!$B$2:$B$999,0),0)=0</f>
        <v>0</v>
      </c>
      <c r="AC502" s="73">
        <f t="shared" si="1"/>
        <v>0</v>
      </c>
      <c r="AD502" s="3" t="str">
        <f>VLOOKUP(D502,'Position Lookup'!A:B,1,FALSE)</f>
        <v>ATT</v>
      </c>
    </row>
    <row r="503" ht="17.25" customHeight="1">
      <c r="A503" s="12">
        <v>45185.0</v>
      </c>
      <c r="B503" s="5" t="s">
        <v>309</v>
      </c>
      <c r="C503" s="3" t="s">
        <v>259</v>
      </c>
      <c r="D503" s="3" t="s">
        <v>8</v>
      </c>
      <c r="E503" s="5">
        <v>6.0</v>
      </c>
      <c r="F503" s="3" t="s">
        <v>479</v>
      </c>
      <c r="G503" s="3" t="s">
        <v>230</v>
      </c>
      <c r="J503" s="5">
        <v>4.0</v>
      </c>
      <c r="N503" s="3" t="b">
        <v>0</v>
      </c>
      <c r="R503" s="3">
        <v>0.0</v>
      </c>
      <c r="T503" s="3">
        <v>10.0</v>
      </c>
      <c r="U503" s="2">
        <v>5.0</v>
      </c>
      <c r="V503" s="2" t="s">
        <v>480</v>
      </c>
      <c r="W503" s="70" t="s">
        <v>344</v>
      </c>
      <c r="X503" s="2" t="s">
        <v>481</v>
      </c>
      <c r="Y503" s="3">
        <v>0.0</v>
      </c>
      <c r="Z503" s="3">
        <v>4.0</v>
      </c>
      <c r="AA503" s="2">
        <f>2+ (P503*'Scoring System'!$B$3)+ (IF(OR(D503="DEF",D503="GK"),N503*'Scoring System'!$B$4,IF(D503="MID",N503*'Scoring System'!$B$5,0)))+ (IF(OR(D503="DEF",D503="GK"),H503*'Scoring System'!$B$6,IF(D503="MID",H503*'Scoring System'!$B$7,IF(D503="ATT",H503*'Scoring System'!$B$8,0))))+ IF(AND(OR(D503="GK",D503="DEF"),J503&gt;=3),1*'Scoring System'!$B$9,0)+ (I503*'Scoring System'!$B$10)+ (K503*'Scoring System'!$B$11)+ (M503*'Scoring System'!$B$12)+ (L503*'Scoring System'!$B$13)+ (O503*'Scoring System'!$B$14)+ (Q503*'Scoring System'!$B$15)+ (R503*'Scoring System'!$B$16)</f>
        <v>1</v>
      </c>
      <c r="AB503" s="72" t="b">
        <f>IFERROR(match(C503,'Match Day Fees'!$B$2:$B$999,0),0)=0</f>
        <v>0</v>
      </c>
      <c r="AC503" s="73">
        <f t="shared" si="1"/>
        <v>0</v>
      </c>
      <c r="AD503" s="3" t="str">
        <f>VLOOKUP(D503,'Position Lookup'!A:B,1,FALSE)</f>
        <v>GK</v>
      </c>
    </row>
    <row r="504" ht="17.25" customHeight="1">
      <c r="A504" s="12">
        <v>45185.0</v>
      </c>
      <c r="B504" s="5" t="s">
        <v>309</v>
      </c>
      <c r="C504" s="3" t="s">
        <v>98</v>
      </c>
      <c r="D504" s="3" t="s">
        <v>11</v>
      </c>
      <c r="E504" s="5">
        <v>6.0</v>
      </c>
      <c r="F504" s="3" t="s">
        <v>479</v>
      </c>
      <c r="G504" s="3" t="s">
        <v>230</v>
      </c>
      <c r="J504" s="5">
        <v>4.0</v>
      </c>
      <c r="N504" s="3" t="b">
        <v>0</v>
      </c>
      <c r="R504" s="3">
        <v>0.0</v>
      </c>
      <c r="T504" s="3">
        <v>10.0</v>
      </c>
      <c r="U504" s="3">
        <v>7.0</v>
      </c>
      <c r="V504" s="3" t="s">
        <v>482</v>
      </c>
      <c r="W504" s="74" t="s">
        <v>344</v>
      </c>
      <c r="X504" s="77" t="s">
        <v>481</v>
      </c>
      <c r="Y504" s="3">
        <v>0.0</v>
      </c>
      <c r="Z504" s="3">
        <v>4.0</v>
      </c>
      <c r="AA504" s="2">
        <f>2+ (P504*'Scoring System'!$B$3)+ (IF(OR(D504="DEF",D504="GK"),N504*'Scoring System'!$B$4,IF(D504="MID",N504*'Scoring System'!$B$5,0)))+ (IF(OR(D504="DEF",D504="GK"),H504*'Scoring System'!$B$6,IF(D504="MID",H504*'Scoring System'!$B$7,IF(D504="ATT",H504*'Scoring System'!$B$8,0))))+ IF(AND(OR(D504="GK",D504="DEF"),J504&gt;=3),1*'Scoring System'!$B$9,0)+ (I504*'Scoring System'!$B$10)+ (K504*'Scoring System'!$B$11)+ (M504*'Scoring System'!$B$12)+ (L504*'Scoring System'!$B$13)+ (O504*'Scoring System'!$B$14)+ (Q504*'Scoring System'!$B$15)+ (R504*'Scoring System'!$B$16)</f>
        <v>1</v>
      </c>
      <c r="AB504" s="72" t="b">
        <f>IFERROR(match(C504,'Match Day Fees'!$B$2:$B$999,0),0)=0</f>
        <v>0</v>
      </c>
      <c r="AC504" s="73">
        <f t="shared" si="1"/>
        <v>0</v>
      </c>
      <c r="AD504" s="3" t="str">
        <f>VLOOKUP(D504,'Position Lookup'!A:B,1,FALSE)</f>
        <v>DEF</v>
      </c>
    </row>
    <row r="505" ht="17.25" customHeight="1">
      <c r="A505" s="12">
        <v>45185.0</v>
      </c>
      <c r="B505" s="5" t="s">
        <v>309</v>
      </c>
      <c r="C505" s="3" t="s">
        <v>287</v>
      </c>
      <c r="D505" s="3" t="s">
        <v>11</v>
      </c>
      <c r="E505" s="5">
        <v>6.0</v>
      </c>
      <c r="F505" s="3" t="s">
        <v>479</v>
      </c>
      <c r="G505" s="3" t="s">
        <v>230</v>
      </c>
      <c r="J505" s="5">
        <v>4.0</v>
      </c>
      <c r="N505" s="3" t="b">
        <v>0</v>
      </c>
      <c r="R505" s="3">
        <v>0.0</v>
      </c>
      <c r="T505" s="5">
        <v>5.0</v>
      </c>
      <c r="U505" s="3">
        <v>6.0</v>
      </c>
      <c r="V505" s="3" t="s">
        <v>483</v>
      </c>
      <c r="W505" s="74" t="s">
        <v>344</v>
      </c>
      <c r="X505" s="77" t="s">
        <v>481</v>
      </c>
      <c r="Y505" s="3">
        <v>0.0</v>
      </c>
      <c r="Z505" s="3">
        <v>4.0</v>
      </c>
      <c r="AA505" s="2">
        <f>2+ (P505*'Scoring System'!$B$3)+ (IF(OR(D505="DEF",D505="GK"),N505*'Scoring System'!$B$4,IF(D505="MID",N505*'Scoring System'!$B$5,0)))+ (IF(OR(D505="DEF",D505="GK"),H505*'Scoring System'!$B$6,IF(D505="MID",H505*'Scoring System'!$B$7,IF(D505="ATT",H505*'Scoring System'!$B$8,0))))+ IF(AND(OR(D505="GK",D505="DEF"),J505&gt;=3),1*'Scoring System'!$B$9,0)+ (I505*'Scoring System'!$B$10)+ (K505*'Scoring System'!$B$11)+ (M505*'Scoring System'!$B$12)+ (L505*'Scoring System'!$B$13)+ (O505*'Scoring System'!$B$14)+ (Q505*'Scoring System'!$B$15)+ (R505*'Scoring System'!$B$16)</f>
        <v>1</v>
      </c>
      <c r="AB505" s="72" t="b">
        <f>IFERROR(match(C505,'Match Day Fees'!$B$2:$B$999,0),0)=0</f>
        <v>0</v>
      </c>
      <c r="AC505" s="73">
        <f t="shared" si="1"/>
        <v>0</v>
      </c>
      <c r="AD505" s="3" t="str">
        <f>VLOOKUP(D505,'Position Lookup'!A:B,1,FALSE)</f>
        <v>DEF</v>
      </c>
    </row>
    <row r="506" ht="17.25" customHeight="1">
      <c r="A506" s="12">
        <v>45185.0</v>
      </c>
      <c r="B506" s="5" t="s">
        <v>309</v>
      </c>
      <c r="C506" s="3" t="s">
        <v>97</v>
      </c>
      <c r="D506" s="3" t="s">
        <v>11</v>
      </c>
      <c r="E506" s="5">
        <v>6.0</v>
      </c>
      <c r="F506" s="3" t="s">
        <v>479</v>
      </c>
      <c r="G506" s="3" t="s">
        <v>230</v>
      </c>
      <c r="J506" s="5">
        <v>4.0</v>
      </c>
      <c r="N506" s="3" t="b">
        <v>0</v>
      </c>
      <c r="R506" s="3">
        <v>0.0</v>
      </c>
      <c r="T506" s="3">
        <v>5.0</v>
      </c>
      <c r="U506" s="3">
        <v>5.5</v>
      </c>
      <c r="V506" s="3" t="s">
        <v>484</v>
      </c>
      <c r="W506" s="74" t="s">
        <v>344</v>
      </c>
      <c r="X506" s="77" t="s">
        <v>481</v>
      </c>
      <c r="Y506" s="3">
        <v>0.0</v>
      </c>
      <c r="Z506" s="3">
        <v>4.0</v>
      </c>
      <c r="AA506" s="2">
        <f>2+ (P506*'Scoring System'!$B$3)+ (IF(OR(D506="DEF",D506="GK"),N506*'Scoring System'!$B$4,IF(D506="MID",N506*'Scoring System'!$B$5,0)))+ (IF(OR(D506="DEF",D506="GK"),H506*'Scoring System'!$B$6,IF(D506="MID",H506*'Scoring System'!$B$7,IF(D506="ATT",H506*'Scoring System'!$B$8,0))))+ IF(AND(OR(D506="GK",D506="DEF"),J506&gt;=3),1*'Scoring System'!$B$9,0)+ (I506*'Scoring System'!$B$10)+ (K506*'Scoring System'!$B$11)+ (M506*'Scoring System'!$B$12)+ (L506*'Scoring System'!$B$13)+ (O506*'Scoring System'!$B$14)+ (Q506*'Scoring System'!$B$15)+ (R506*'Scoring System'!$B$16)</f>
        <v>1</v>
      </c>
      <c r="AB506" s="72" t="b">
        <f>IFERROR(match(C506,'Match Day Fees'!$B$2:$B$999,0),0)=0</f>
        <v>0</v>
      </c>
      <c r="AC506" s="73">
        <f t="shared" si="1"/>
        <v>0</v>
      </c>
      <c r="AD506" s="3" t="str">
        <f>VLOOKUP(D506,'Position Lookup'!A:B,1,FALSE)</f>
        <v>DEF</v>
      </c>
    </row>
    <row r="507" ht="17.25" customHeight="1">
      <c r="A507" s="12">
        <v>45185.0</v>
      </c>
      <c r="B507" s="5" t="s">
        <v>309</v>
      </c>
      <c r="C507" s="3" t="s">
        <v>99</v>
      </c>
      <c r="D507" s="3" t="s">
        <v>11</v>
      </c>
      <c r="E507" s="5">
        <v>6.0</v>
      </c>
      <c r="F507" s="3" t="s">
        <v>479</v>
      </c>
      <c r="G507" s="3" t="s">
        <v>230</v>
      </c>
      <c r="J507" s="5">
        <v>4.0</v>
      </c>
      <c r="N507" s="3" t="b">
        <v>0</v>
      </c>
      <c r="R507" s="3">
        <v>0.0</v>
      </c>
      <c r="S507" s="3" t="b">
        <v>1</v>
      </c>
      <c r="U507" s="3">
        <v>6.5</v>
      </c>
      <c r="V507" s="3" t="s">
        <v>485</v>
      </c>
      <c r="W507" s="74" t="s">
        <v>344</v>
      </c>
      <c r="X507" s="77" t="s">
        <v>481</v>
      </c>
      <c r="Y507" s="3">
        <v>0.0</v>
      </c>
      <c r="Z507" s="3">
        <v>4.0</v>
      </c>
      <c r="AA507" s="2">
        <f>2+ (P507*'Scoring System'!$B$3)+ (IF(OR(D507="DEF",D507="GK"),N507*'Scoring System'!$B$4,IF(D507="MID",N507*'Scoring System'!$B$5,0)))+ (IF(OR(D507="DEF",D507="GK"),H507*'Scoring System'!$B$6,IF(D507="MID",H507*'Scoring System'!$B$7,IF(D507="ATT",H507*'Scoring System'!$B$8,0))))+ IF(AND(OR(D507="GK",D507="DEF"),J507&gt;=3),1*'Scoring System'!$B$9,0)+ (I507*'Scoring System'!$B$10)+ (K507*'Scoring System'!$B$11)+ (M507*'Scoring System'!$B$12)+ (L507*'Scoring System'!$B$13)+ (O507*'Scoring System'!$B$14)+ (Q507*'Scoring System'!$B$15)+ (R507*'Scoring System'!$B$16)</f>
        <v>1</v>
      </c>
      <c r="AB507" s="72" t="b">
        <f>IFERROR(match(C507,'Match Day Fees'!$B$2:$B$999,0),0)=0</f>
        <v>0</v>
      </c>
      <c r="AC507" s="73">
        <f t="shared" si="1"/>
        <v>0</v>
      </c>
      <c r="AD507" s="3" t="str">
        <f>VLOOKUP(D507,'Position Lookup'!A:B,1,FALSE)</f>
        <v>DEF</v>
      </c>
    </row>
    <row r="508" ht="17.25" customHeight="1">
      <c r="A508" s="12">
        <v>45185.0</v>
      </c>
      <c r="B508" s="5" t="s">
        <v>309</v>
      </c>
      <c r="C508" s="3" t="s">
        <v>147</v>
      </c>
      <c r="D508" s="3" t="s">
        <v>10</v>
      </c>
      <c r="E508" s="5">
        <v>6.0</v>
      </c>
      <c r="F508" s="3" t="s">
        <v>479</v>
      </c>
      <c r="G508" s="3" t="s">
        <v>230</v>
      </c>
      <c r="J508" s="5">
        <v>4.0</v>
      </c>
      <c r="N508" s="3" t="b">
        <v>0</v>
      </c>
      <c r="R508" s="3">
        <v>0.0</v>
      </c>
      <c r="T508" s="3">
        <v>10.0</v>
      </c>
      <c r="U508" s="3">
        <v>7.0</v>
      </c>
      <c r="V508" s="3" t="s">
        <v>486</v>
      </c>
      <c r="W508" s="74" t="s">
        <v>344</v>
      </c>
      <c r="X508" s="77" t="s">
        <v>481</v>
      </c>
      <c r="Y508" s="3">
        <v>0.0</v>
      </c>
      <c r="Z508" s="3">
        <v>4.0</v>
      </c>
      <c r="AA508" s="2">
        <f>2+ (P508*'Scoring System'!$B$3)+ (IF(OR(D508="DEF",D508="GK"),N508*'Scoring System'!$B$4,IF(D508="MID",N508*'Scoring System'!$B$5,0)))+ (IF(OR(D508="DEF",D508="GK"),H508*'Scoring System'!$B$6,IF(D508="MID",H508*'Scoring System'!$B$7,IF(D508="ATT",H508*'Scoring System'!$B$8,0))))+ IF(AND(OR(D508="GK",D508="DEF"),J508&gt;=3),1*'Scoring System'!$B$9,0)+ (I508*'Scoring System'!$B$10)+ (K508*'Scoring System'!$B$11)+ (M508*'Scoring System'!$B$12)+ (L508*'Scoring System'!$B$13)+ (O508*'Scoring System'!$B$14)+ (Q508*'Scoring System'!$B$15)+ (R508*'Scoring System'!$B$16)</f>
        <v>2</v>
      </c>
      <c r="AB508" s="72" t="b">
        <f>IFERROR(match(C508,'Match Day Fees'!$B$2:$B$999,0),0)=0</f>
        <v>0</v>
      </c>
      <c r="AC508" s="73">
        <f t="shared" si="1"/>
        <v>0</v>
      </c>
      <c r="AD508" s="3" t="str">
        <f>VLOOKUP(D508,'Position Lookup'!A:B,1,FALSE)</f>
        <v>MID</v>
      </c>
    </row>
    <row r="509" ht="17.25" customHeight="1">
      <c r="A509" s="12">
        <v>45185.0</v>
      </c>
      <c r="B509" s="5" t="s">
        <v>309</v>
      </c>
      <c r="C509" s="3" t="s">
        <v>392</v>
      </c>
      <c r="D509" s="3" t="s">
        <v>9</v>
      </c>
      <c r="E509" s="5">
        <v>6.0</v>
      </c>
      <c r="F509" s="3" t="s">
        <v>479</v>
      </c>
      <c r="G509" s="3" t="s">
        <v>230</v>
      </c>
      <c r="J509" s="5">
        <v>4.0</v>
      </c>
      <c r="N509" s="3" t="b">
        <v>0</v>
      </c>
      <c r="R509" s="3">
        <v>0.0</v>
      </c>
      <c r="T509" s="3">
        <v>10.0</v>
      </c>
      <c r="U509" s="3">
        <v>6.5</v>
      </c>
      <c r="V509" s="3" t="s">
        <v>487</v>
      </c>
      <c r="W509" s="74" t="s">
        <v>344</v>
      </c>
      <c r="X509" s="77" t="s">
        <v>481</v>
      </c>
      <c r="Y509" s="3">
        <v>0.0</v>
      </c>
      <c r="Z509" s="3">
        <v>4.0</v>
      </c>
      <c r="AA509" s="2">
        <f>2+ (P509*'Scoring System'!$B$3)+ (IF(OR(D509="DEF",D509="GK"),N509*'Scoring System'!$B$4,IF(D509="MID",N509*'Scoring System'!$B$5,0)))+ (IF(OR(D509="DEF",D509="GK"),H509*'Scoring System'!$B$6,IF(D509="MID",H509*'Scoring System'!$B$7,IF(D509="ATT",H509*'Scoring System'!$B$8,0))))+ IF(AND(OR(D509="GK",D509="DEF"),J509&gt;=3),1*'Scoring System'!$B$9,0)+ (I509*'Scoring System'!$B$10)+ (K509*'Scoring System'!$B$11)+ (M509*'Scoring System'!$B$12)+ (L509*'Scoring System'!$B$13)+ (O509*'Scoring System'!$B$14)+ (Q509*'Scoring System'!$B$15)+ (R509*'Scoring System'!$B$16)</f>
        <v>2</v>
      </c>
      <c r="AB509" s="72" t="b">
        <f>IFERROR(match(C509,'Match Day Fees'!$B$2:$B$999,0),0)=0</f>
        <v>0</v>
      </c>
      <c r="AC509" s="73">
        <f t="shared" si="1"/>
        <v>0</v>
      </c>
      <c r="AD509" s="3" t="str">
        <f>VLOOKUP(D509,'Position Lookup'!A:B,1,FALSE)</f>
        <v>ATT</v>
      </c>
    </row>
    <row r="510" ht="17.25" customHeight="1">
      <c r="A510" s="12">
        <v>45185.0</v>
      </c>
      <c r="B510" s="5" t="s">
        <v>309</v>
      </c>
      <c r="C510" s="3" t="s">
        <v>270</v>
      </c>
      <c r="D510" s="3" t="s">
        <v>10</v>
      </c>
      <c r="E510" s="5">
        <v>6.0</v>
      </c>
      <c r="F510" s="3" t="s">
        <v>479</v>
      </c>
      <c r="G510" s="3" t="s">
        <v>230</v>
      </c>
      <c r="J510" s="5">
        <v>4.0</v>
      </c>
      <c r="N510" s="3" t="b">
        <v>0</v>
      </c>
      <c r="R510" s="3">
        <v>0.0</v>
      </c>
      <c r="T510" s="3">
        <v>5.0</v>
      </c>
      <c r="U510" s="3">
        <v>5.0</v>
      </c>
      <c r="V510" s="3" t="s">
        <v>488</v>
      </c>
      <c r="W510" s="74" t="s">
        <v>344</v>
      </c>
      <c r="X510" s="77" t="s">
        <v>481</v>
      </c>
      <c r="Y510" s="3">
        <v>0.0</v>
      </c>
      <c r="Z510" s="3">
        <v>4.0</v>
      </c>
      <c r="AA510" s="2">
        <f>2+ (P510*'Scoring System'!$B$3)+ (IF(OR(D510="DEF",D510="GK"),N510*'Scoring System'!$B$4,IF(D510="MID",N510*'Scoring System'!$B$5,0)))+ (IF(OR(D510="DEF",D510="GK"),H510*'Scoring System'!$B$6,IF(D510="MID",H510*'Scoring System'!$B$7,IF(D510="ATT",H510*'Scoring System'!$B$8,0))))+ IF(AND(OR(D510="GK",D510="DEF"),J510&gt;=3),1*'Scoring System'!$B$9,0)+ (I510*'Scoring System'!$B$10)+ (K510*'Scoring System'!$B$11)+ (M510*'Scoring System'!$B$12)+ (L510*'Scoring System'!$B$13)+ (O510*'Scoring System'!$B$14)+ (Q510*'Scoring System'!$B$15)+ (R510*'Scoring System'!$B$16)</f>
        <v>2</v>
      </c>
      <c r="AB510" s="72" t="b">
        <f>IFERROR(match(C510,'Match Day Fees'!$B$2:$B$999,0),0)=0</f>
        <v>0</v>
      </c>
      <c r="AC510" s="73">
        <f t="shared" si="1"/>
        <v>0</v>
      </c>
      <c r="AD510" s="3" t="str">
        <f>VLOOKUP(D510,'Position Lookup'!A:B,1,FALSE)</f>
        <v>MID</v>
      </c>
    </row>
    <row r="511" ht="17.25" customHeight="1">
      <c r="A511" s="12">
        <v>45185.0</v>
      </c>
      <c r="B511" s="5" t="s">
        <v>309</v>
      </c>
      <c r="C511" s="3" t="s">
        <v>234</v>
      </c>
      <c r="D511" s="3" t="s">
        <v>9</v>
      </c>
      <c r="E511" s="5">
        <v>6.0</v>
      </c>
      <c r="F511" s="3" t="s">
        <v>479</v>
      </c>
      <c r="G511" s="3" t="s">
        <v>230</v>
      </c>
      <c r="J511" s="5">
        <v>4.0</v>
      </c>
      <c r="N511" s="3" t="b">
        <v>0</v>
      </c>
      <c r="R511" s="3">
        <v>0.0</v>
      </c>
      <c r="T511" s="3">
        <v>5.0</v>
      </c>
      <c r="U511" s="3">
        <v>5.0</v>
      </c>
      <c r="V511" s="3" t="s">
        <v>489</v>
      </c>
      <c r="W511" s="74" t="s">
        <v>344</v>
      </c>
      <c r="X511" s="77" t="s">
        <v>481</v>
      </c>
      <c r="Y511" s="3">
        <v>0.0</v>
      </c>
      <c r="Z511" s="3">
        <v>4.0</v>
      </c>
      <c r="AA511" s="2">
        <f>2+ (P511*'Scoring System'!$B$3)+ (IF(OR(D511="DEF",D511="GK"),N511*'Scoring System'!$B$4,IF(D511="MID",N511*'Scoring System'!$B$5,0)))+ (IF(OR(D511="DEF",D511="GK"),H511*'Scoring System'!$B$6,IF(D511="MID",H511*'Scoring System'!$B$7,IF(D511="ATT",H511*'Scoring System'!$B$8,0))))+ IF(AND(OR(D511="GK",D511="DEF"),J511&gt;=3),1*'Scoring System'!$B$9,0)+ (I511*'Scoring System'!$B$10)+ (K511*'Scoring System'!$B$11)+ (M511*'Scoring System'!$B$12)+ (L511*'Scoring System'!$B$13)+ (O511*'Scoring System'!$B$14)+ (Q511*'Scoring System'!$B$15)+ (R511*'Scoring System'!$B$16)</f>
        <v>2</v>
      </c>
      <c r="AB511" s="72" t="b">
        <f>IFERROR(match(C511,'Match Day Fees'!$B$2:$B$999,0),0)=0</f>
        <v>0</v>
      </c>
      <c r="AC511" s="73">
        <f t="shared" si="1"/>
        <v>0</v>
      </c>
      <c r="AD511" s="3" t="str">
        <f>VLOOKUP(D511,'Position Lookup'!A:B,1,FALSE)</f>
        <v>ATT</v>
      </c>
    </row>
    <row r="512" ht="17.25" customHeight="1">
      <c r="A512" s="12">
        <v>45185.0</v>
      </c>
      <c r="B512" s="5" t="s">
        <v>309</v>
      </c>
      <c r="C512" s="3" t="s">
        <v>266</v>
      </c>
      <c r="D512" s="3" t="s">
        <v>10</v>
      </c>
      <c r="E512" s="5">
        <v>6.0</v>
      </c>
      <c r="F512" s="3" t="s">
        <v>479</v>
      </c>
      <c r="G512" s="3" t="s">
        <v>230</v>
      </c>
      <c r="J512" s="5">
        <v>4.0</v>
      </c>
      <c r="N512" s="3" t="b">
        <v>0</v>
      </c>
      <c r="R512" s="3">
        <v>1.0</v>
      </c>
      <c r="T512" s="3">
        <v>10.0</v>
      </c>
      <c r="U512" s="3">
        <v>7.5</v>
      </c>
      <c r="V512" s="3" t="s">
        <v>490</v>
      </c>
      <c r="W512" s="74" t="s">
        <v>344</v>
      </c>
      <c r="X512" s="77" t="s">
        <v>481</v>
      </c>
      <c r="Y512" s="3">
        <v>0.0</v>
      </c>
      <c r="Z512" s="3">
        <v>4.0</v>
      </c>
      <c r="AA512" s="2">
        <f>2+ (P512*'Scoring System'!$B$3)+ (IF(OR(D512="DEF",D512="GK"),N512*'Scoring System'!$B$4,IF(D512="MID",N512*'Scoring System'!$B$5,0)))+ (IF(OR(D512="DEF",D512="GK"),H512*'Scoring System'!$B$6,IF(D512="MID",H512*'Scoring System'!$B$7,IF(D512="ATT",H512*'Scoring System'!$B$8,0))))+ IF(AND(OR(D512="GK",D512="DEF"),J512&gt;=3),1*'Scoring System'!$B$9,0)+ (I512*'Scoring System'!$B$10)+ (K512*'Scoring System'!$B$11)+ (M512*'Scoring System'!$B$12)+ (L512*'Scoring System'!$B$13)+ (O512*'Scoring System'!$B$14)+ (Q512*'Scoring System'!$B$15)+ (R512*'Scoring System'!$B$16)</f>
        <v>7</v>
      </c>
      <c r="AB512" s="72" t="b">
        <f>IFERROR(match(C512,'Match Day Fees'!$B$2:$B$999,0),0)=0</f>
        <v>0</v>
      </c>
      <c r="AC512" s="73">
        <f t="shared" si="1"/>
        <v>0</v>
      </c>
      <c r="AD512" s="3" t="str">
        <f>VLOOKUP(D512,'Position Lookup'!A:B,1,FALSE)</f>
        <v>MID</v>
      </c>
    </row>
    <row r="513" ht="17.25" customHeight="1">
      <c r="A513" s="12">
        <v>45185.0</v>
      </c>
      <c r="B513" s="5" t="s">
        <v>309</v>
      </c>
      <c r="C513" s="3" t="s">
        <v>231</v>
      </c>
      <c r="D513" s="3" t="s">
        <v>11</v>
      </c>
      <c r="E513" s="5">
        <v>6.0</v>
      </c>
      <c r="F513" s="3" t="s">
        <v>479</v>
      </c>
      <c r="G513" s="3" t="s">
        <v>230</v>
      </c>
      <c r="J513" s="5">
        <v>4.0</v>
      </c>
      <c r="N513" s="3" t="b">
        <v>0</v>
      </c>
      <c r="R513" s="3">
        <v>0.0</v>
      </c>
      <c r="T513" s="3">
        <v>10.0</v>
      </c>
      <c r="U513" s="3">
        <v>7.0</v>
      </c>
      <c r="V513" s="3" t="s">
        <v>491</v>
      </c>
      <c r="W513" s="74" t="s">
        <v>344</v>
      </c>
      <c r="X513" s="77" t="s">
        <v>481</v>
      </c>
      <c r="Y513" s="3">
        <v>0.0</v>
      </c>
      <c r="Z513" s="3">
        <v>4.0</v>
      </c>
      <c r="AA513" s="2">
        <f>2+ (P513*'Scoring System'!$B$3)+ (IF(OR(D513="DEF",D513="GK"),N513*'Scoring System'!$B$4,IF(D513="MID",N513*'Scoring System'!$B$5,0)))+ (IF(OR(D513="DEF",D513="GK"),H513*'Scoring System'!$B$6,IF(D513="MID",H513*'Scoring System'!$B$7,IF(D513="ATT",H513*'Scoring System'!$B$8,0))))+ IF(AND(OR(D513="GK",D513="DEF"),J513&gt;=3),1*'Scoring System'!$B$9,0)+ (I513*'Scoring System'!$B$10)+ (K513*'Scoring System'!$B$11)+ (M513*'Scoring System'!$B$12)+ (L513*'Scoring System'!$B$13)+ (O513*'Scoring System'!$B$14)+ (Q513*'Scoring System'!$B$15)+ (R513*'Scoring System'!$B$16)</f>
        <v>1</v>
      </c>
      <c r="AB513" s="72" t="b">
        <f>IFERROR(match(C513,'Match Day Fees'!$B$2:$B$999,0),0)=0</f>
        <v>0</v>
      </c>
      <c r="AC513" s="73">
        <f t="shared" si="1"/>
        <v>0</v>
      </c>
      <c r="AD513" s="3" t="str">
        <f>VLOOKUP(D513,'Position Lookup'!A:B,1,FALSE)</f>
        <v>DEF</v>
      </c>
    </row>
    <row r="514" ht="17.25" customHeight="1">
      <c r="A514" s="12">
        <v>45185.0</v>
      </c>
      <c r="B514" s="5" t="s">
        <v>309</v>
      </c>
      <c r="C514" s="3" t="s">
        <v>117</v>
      </c>
      <c r="D514" s="3" t="s">
        <v>10</v>
      </c>
      <c r="E514" s="5">
        <v>6.0</v>
      </c>
      <c r="F514" s="3" t="s">
        <v>479</v>
      </c>
      <c r="G514" s="3" t="s">
        <v>230</v>
      </c>
      <c r="J514" s="5">
        <v>4.0</v>
      </c>
      <c r="N514" s="3" t="b">
        <v>0</v>
      </c>
      <c r="R514" s="3">
        <v>0.0</v>
      </c>
      <c r="T514" s="3">
        <v>5.0</v>
      </c>
      <c r="U514" s="3">
        <v>6.0</v>
      </c>
      <c r="V514" s="3" t="s">
        <v>492</v>
      </c>
      <c r="W514" s="74" t="s">
        <v>344</v>
      </c>
      <c r="X514" s="77" t="s">
        <v>481</v>
      </c>
      <c r="Y514" s="3">
        <v>0.0</v>
      </c>
      <c r="Z514" s="3">
        <v>4.0</v>
      </c>
      <c r="AA514" s="2">
        <f>2+ (P514*'Scoring System'!$B$3)+ (IF(OR(D514="DEF",D514="GK"),N514*'Scoring System'!$B$4,IF(D514="MID",N514*'Scoring System'!$B$5,0)))+ (IF(OR(D514="DEF",D514="GK"),H514*'Scoring System'!$B$6,IF(D514="MID",H514*'Scoring System'!$B$7,IF(D514="ATT",H514*'Scoring System'!$B$8,0))))+ IF(AND(OR(D514="GK",D514="DEF"),J514&gt;=3),1*'Scoring System'!$B$9,0)+ (I514*'Scoring System'!$B$10)+ (K514*'Scoring System'!$B$11)+ (M514*'Scoring System'!$B$12)+ (L514*'Scoring System'!$B$13)+ (O514*'Scoring System'!$B$14)+ (Q514*'Scoring System'!$B$15)+ (R514*'Scoring System'!$B$16)</f>
        <v>2</v>
      </c>
      <c r="AB514" s="72" t="b">
        <f>IFERROR(match(C514,'Match Day Fees'!$B$2:$B$999,0),0)=0</f>
        <v>0</v>
      </c>
      <c r="AC514" s="73">
        <f t="shared" si="1"/>
        <v>0</v>
      </c>
      <c r="AD514" s="3" t="str">
        <f>VLOOKUP(D514,'Position Lookup'!A:B,1,FALSE)</f>
        <v>MID</v>
      </c>
    </row>
    <row r="515" ht="17.25" customHeight="1">
      <c r="A515" s="12">
        <v>45185.0</v>
      </c>
      <c r="B515" s="5" t="s">
        <v>309</v>
      </c>
      <c r="C515" s="3" t="s">
        <v>95</v>
      </c>
      <c r="D515" s="3" t="s">
        <v>9</v>
      </c>
      <c r="E515" s="5">
        <v>6.0</v>
      </c>
      <c r="F515" s="3" t="s">
        <v>479</v>
      </c>
      <c r="G515" s="3" t="s">
        <v>230</v>
      </c>
      <c r="J515" s="5">
        <v>4.0</v>
      </c>
      <c r="N515" s="3" t="b">
        <v>0</v>
      </c>
      <c r="R515" s="3">
        <v>0.0</v>
      </c>
      <c r="T515" s="3">
        <v>10.0</v>
      </c>
      <c r="U515" s="3">
        <v>6.5</v>
      </c>
      <c r="V515" s="3" t="s">
        <v>493</v>
      </c>
      <c r="W515" s="74" t="s">
        <v>344</v>
      </c>
      <c r="X515" s="77" t="s">
        <v>481</v>
      </c>
      <c r="Y515" s="3">
        <v>0.0</v>
      </c>
      <c r="Z515" s="3">
        <v>4.0</v>
      </c>
      <c r="AA515" s="2">
        <f>2+ (P515*'Scoring System'!$B$3)+ (IF(OR(D515="DEF",D515="GK"),N515*'Scoring System'!$B$4,IF(D515="MID",N515*'Scoring System'!$B$5,0)))+ (IF(OR(D515="DEF",D515="GK"),H515*'Scoring System'!$B$6,IF(D515="MID",H515*'Scoring System'!$B$7,IF(D515="ATT",H515*'Scoring System'!$B$8,0))))+ IF(AND(OR(D515="GK",D515="DEF"),J515&gt;=3),1*'Scoring System'!$B$9,0)+ (I515*'Scoring System'!$B$10)+ (K515*'Scoring System'!$B$11)+ (M515*'Scoring System'!$B$12)+ (L515*'Scoring System'!$B$13)+ (O515*'Scoring System'!$B$14)+ (Q515*'Scoring System'!$B$15)+ (R515*'Scoring System'!$B$16)</f>
        <v>2</v>
      </c>
      <c r="AB515" s="72" t="b">
        <f>IFERROR(match(C515,'Match Day Fees'!$B$2:$B$999,0),0)=0</f>
        <v>0</v>
      </c>
      <c r="AC515" s="73">
        <f t="shared" si="1"/>
        <v>0</v>
      </c>
      <c r="AD515" s="3" t="str">
        <f>VLOOKUP(D515,'Position Lookup'!A:B,1,FALSE)</f>
        <v>ATT</v>
      </c>
    </row>
    <row r="516" ht="17.25" customHeight="1">
      <c r="A516" s="12">
        <v>45185.0</v>
      </c>
      <c r="B516" s="5" t="s">
        <v>309</v>
      </c>
      <c r="C516" s="3" t="s">
        <v>58</v>
      </c>
      <c r="D516" s="3" t="s">
        <v>10</v>
      </c>
      <c r="E516" s="5">
        <v>6.0</v>
      </c>
      <c r="F516" s="3" t="s">
        <v>479</v>
      </c>
      <c r="G516" s="3" t="s">
        <v>230</v>
      </c>
      <c r="J516" s="5">
        <v>4.0</v>
      </c>
      <c r="N516" s="3" t="b">
        <v>0</v>
      </c>
      <c r="R516" s="3">
        <v>0.0</v>
      </c>
      <c r="T516" s="3">
        <v>10.0</v>
      </c>
      <c r="U516" s="3">
        <v>7.0</v>
      </c>
      <c r="V516" s="3" t="s">
        <v>494</v>
      </c>
      <c r="W516" s="74" t="s">
        <v>344</v>
      </c>
      <c r="X516" s="77" t="s">
        <v>481</v>
      </c>
      <c r="Y516" s="3">
        <v>0.0</v>
      </c>
      <c r="Z516" s="3">
        <v>4.0</v>
      </c>
      <c r="AA516" s="2">
        <f>2+ (P516*'Scoring System'!$B$3)+ (IF(OR(D516="DEF",D516="GK"),N516*'Scoring System'!$B$4,IF(D516="MID",N516*'Scoring System'!$B$5,0)))+ (IF(OR(D516="DEF",D516="GK"),H516*'Scoring System'!$B$6,IF(D516="MID",H516*'Scoring System'!$B$7,IF(D516="ATT",H516*'Scoring System'!$B$8,0))))+ IF(AND(OR(D516="GK",D516="DEF"),J516&gt;=3),1*'Scoring System'!$B$9,0)+ (I516*'Scoring System'!$B$10)+ (K516*'Scoring System'!$B$11)+ (M516*'Scoring System'!$B$12)+ (L516*'Scoring System'!$B$13)+ (O516*'Scoring System'!$B$14)+ (Q516*'Scoring System'!$B$15)+ (R516*'Scoring System'!$B$16)</f>
        <v>2</v>
      </c>
      <c r="AB516" s="72" t="b">
        <f>IFERROR(match(C516,'Match Day Fees'!$B$2:$B$999,0),0)=0</f>
        <v>0</v>
      </c>
      <c r="AC516" s="73">
        <f t="shared" si="1"/>
        <v>0</v>
      </c>
      <c r="AD516" s="3" t="str">
        <f>VLOOKUP(D516,'Position Lookup'!A:B,1,FALSE)</f>
        <v>MID</v>
      </c>
    </row>
    <row r="517" ht="17.25" customHeight="1">
      <c r="A517" s="32">
        <v>45192.0</v>
      </c>
      <c r="B517" s="5" t="s">
        <v>309</v>
      </c>
      <c r="C517" s="3" t="s">
        <v>53</v>
      </c>
      <c r="D517" s="3" t="s">
        <v>8</v>
      </c>
      <c r="E517" s="5">
        <v>1.0</v>
      </c>
      <c r="F517" s="3" t="s">
        <v>495</v>
      </c>
      <c r="G517" s="3" t="s">
        <v>224</v>
      </c>
      <c r="J517" s="5">
        <v>1.0</v>
      </c>
      <c r="N517" s="3" t="b">
        <v>0</v>
      </c>
      <c r="R517" s="3">
        <v>0.0</v>
      </c>
      <c r="T517" s="3">
        <v>10.0</v>
      </c>
      <c r="U517" s="3">
        <v>7.5</v>
      </c>
      <c r="V517" s="3" t="s">
        <v>496</v>
      </c>
      <c r="W517" s="74" t="s">
        <v>311</v>
      </c>
      <c r="X517" s="77" t="s">
        <v>497</v>
      </c>
      <c r="Y517" s="3">
        <v>2.0</v>
      </c>
      <c r="Z517" s="3">
        <v>1.0</v>
      </c>
      <c r="AA517" s="2">
        <f>2+ (P517*'Scoring System'!$B$3)+ (IF(OR(D517="DEF",D517="GK"),N517*'Scoring System'!$B$4,IF(D517="MID",N517*'Scoring System'!$B$5,0)))+ (IF(OR(D517="DEF",D517="GK"),H517*'Scoring System'!$B$6,IF(D517="MID",H517*'Scoring System'!$B$7,IF(D517="ATT",H517*'Scoring System'!$B$8,0))))+ IF(AND(OR(D517="GK",D517="DEF"),J517&gt;=3),1*'Scoring System'!$B$9,0)+ (I517*'Scoring System'!$B$10)+ (K517*'Scoring System'!$B$11)+ (M517*'Scoring System'!$B$12)+ (L517*'Scoring System'!$B$13)+ (O517*'Scoring System'!$B$14)+ (Q517*'Scoring System'!$B$15)+ (R517*'Scoring System'!$B$16)</f>
        <v>2</v>
      </c>
      <c r="AB517" s="72" t="b">
        <f>IFERROR(match(C517,'Match Day Fees'!$B$2:$B$999,0),0)=0</f>
        <v>0</v>
      </c>
      <c r="AC517" s="73">
        <f t="shared" si="1"/>
        <v>0</v>
      </c>
      <c r="AD517" s="3" t="str">
        <f>VLOOKUP(D517,'Position Lookup'!A:B,1,FALSE)</f>
        <v>GK</v>
      </c>
    </row>
    <row r="518" ht="17.25" customHeight="1">
      <c r="A518" s="32">
        <v>45192.0</v>
      </c>
      <c r="B518" s="5" t="s">
        <v>309</v>
      </c>
      <c r="C518" s="3" t="s">
        <v>68</v>
      </c>
      <c r="D518" s="3" t="s">
        <v>11</v>
      </c>
      <c r="E518" s="5">
        <v>1.0</v>
      </c>
      <c r="F518" s="3" t="s">
        <v>495</v>
      </c>
      <c r="G518" s="3" t="s">
        <v>224</v>
      </c>
      <c r="J518" s="5">
        <v>1.0</v>
      </c>
      <c r="N518" s="3" t="b">
        <v>0</v>
      </c>
      <c r="R518" s="3">
        <v>0.0</v>
      </c>
      <c r="T518" s="3">
        <v>10.0</v>
      </c>
      <c r="U518" s="3">
        <v>9.5</v>
      </c>
      <c r="V518" s="3" t="s">
        <v>498</v>
      </c>
      <c r="W518" s="74" t="s">
        <v>311</v>
      </c>
      <c r="X518" s="77" t="s">
        <v>497</v>
      </c>
      <c r="Y518" s="3">
        <v>2.0</v>
      </c>
      <c r="Z518" s="3">
        <v>1.0</v>
      </c>
      <c r="AA518" s="2">
        <f>2+ (P518*'Scoring System'!$B$3)+ (IF(OR(D518="DEF",D518="GK"),N518*'Scoring System'!$B$4,IF(D518="MID",N518*'Scoring System'!$B$5,0)))+ (IF(OR(D518="DEF",D518="GK"),H518*'Scoring System'!$B$6,IF(D518="MID",H518*'Scoring System'!$B$7,IF(D518="ATT",H518*'Scoring System'!$B$8,0))))+ IF(AND(OR(D518="GK",D518="DEF"),J518&gt;=3),1*'Scoring System'!$B$9,0)+ (I518*'Scoring System'!$B$10)+ (K518*'Scoring System'!$B$11)+ (M518*'Scoring System'!$B$12)+ (L518*'Scoring System'!$B$13)+ (O518*'Scoring System'!$B$14)+ (Q518*'Scoring System'!$B$15)+ (R518*'Scoring System'!$B$16)</f>
        <v>2</v>
      </c>
      <c r="AB518" s="72" t="b">
        <f>IFERROR(match(C518,'Match Day Fees'!$B$2:$B$999,0),0)=0</f>
        <v>0</v>
      </c>
      <c r="AC518" s="73">
        <f t="shared" si="1"/>
        <v>0</v>
      </c>
      <c r="AD518" s="3" t="str">
        <f>VLOOKUP(D518,'Position Lookup'!A:B,1,FALSE)</f>
        <v>DEF</v>
      </c>
    </row>
    <row r="519" ht="17.25" customHeight="1">
      <c r="A519" s="32">
        <v>45192.0</v>
      </c>
      <c r="B519" s="5" t="s">
        <v>309</v>
      </c>
      <c r="C519" s="3" t="s">
        <v>69</v>
      </c>
      <c r="D519" s="3" t="s">
        <v>11</v>
      </c>
      <c r="E519" s="5">
        <v>1.0</v>
      </c>
      <c r="F519" s="3" t="s">
        <v>495</v>
      </c>
      <c r="G519" s="3" t="s">
        <v>224</v>
      </c>
      <c r="J519" s="5">
        <v>1.0</v>
      </c>
      <c r="N519" s="3" t="b">
        <v>0</v>
      </c>
      <c r="R519" s="3">
        <v>0.0</v>
      </c>
      <c r="T519" s="3">
        <v>10.0</v>
      </c>
      <c r="U519" s="3">
        <v>8.0</v>
      </c>
      <c r="V519" s="3" t="s">
        <v>499</v>
      </c>
      <c r="W519" s="74" t="s">
        <v>311</v>
      </c>
      <c r="X519" s="77" t="s">
        <v>497</v>
      </c>
      <c r="Y519" s="3">
        <v>2.0</v>
      </c>
      <c r="Z519" s="3">
        <v>1.0</v>
      </c>
      <c r="AA519" s="2">
        <f>2+ (P519*'Scoring System'!$B$3)+ (IF(OR(D519="DEF",D519="GK"),N519*'Scoring System'!$B$4,IF(D519="MID",N519*'Scoring System'!$B$5,0)))+ (IF(OR(D519="DEF",D519="GK"),H519*'Scoring System'!$B$6,IF(D519="MID",H519*'Scoring System'!$B$7,IF(D519="ATT",H519*'Scoring System'!$B$8,0))))+ IF(AND(OR(D519="GK",D519="DEF"),J519&gt;=3),1*'Scoring System'!$B$9,0)+ (I519*'Scoring System'!$B$10)+ (K519*'Scoring System'!$B$11)+ (M519*'Scoring System'!$B$12)+ (L519*'Scoring System'!$B$13)+ (O519*'Scoring System'!$B$14)+ (Q519*'Scoring System'!$B$15)+ (R519*'Scoring System'!$B$16)</f>
        <v>2</v>
      </c>
      <c r="AB519" s="72" t="b">
        <f>IFERROR(match(C519,'Match Day Fees'!$B$2:$B$999,0),0)=0</f>
        <v>0</v>
      </c>
      <c r="AC519" s="73">
        <f t="shared" si="1"/>
        <v>0</v>
      </c>
      <c r="AD519" s="3" t="str">
        <f>VLOOKUP(D519,'Position Lookup'!A:B,1,FALSE)</f>
        <v>DEF</v>
      </c>
    </row>
    <row r="520" ht="17.25" customHeight="1">
      <c r="A520" s="32">
        <v>45192.0</v>
      </c>
      <c r="B520" s="5" t="s">
        <v>309</v>
      </c>
      <c r="C520" s="3" t="s">
        <v>76</v>
      </c>
      <c r="D520" s="3" t="s">
        <v>11</v>
      </c>
      <c r="E520" s="5">
        <v>1.0</v>
      </c>
      <c r="F520" s="3" t="s">
        <v>495</v>
      </c>
      <c r="G520" s="3" t="s">
        <v>224</v>
      </c>
      <c r="J520" s="5">
        <v>1.0</v>
      </c>
      <c r="N520" s="3" t="b">
        <v>0</v>
      </c>
      <c r="R520" s="3">
        <v>0.0</v>
      </c>
      <c r="T520" s="3">
        <v>10.0</v>
      </c>
      <c r="U520" s="3">
        <v>9.0</v>
      </c>
      <c r="V520" s="3" t="s">
        <v>500</v>
      </c>
      <c r="W520" s="74" t="s">
        <v>311</v>
      </c>
      <c r="X520" s="77" t="s">
        <v>497</v>
      </c>
      <c r="Y520" s="3">
        <v>2.0</v>
      </c>
      <c r="Z520" s="3">
        <v>1.0</v>
      </c>
      <c r="AA520" s="2">
        <f>2+ (P520*'Scoring System'!$B$3)+ (IF(OR(D520="DEF",D520="GK"),N520*'Scoring System'!$B$4,IF(D520="MID",N520*'Scoring System'!$B$5,0)))+ (IF(OR(D520="DEF",D520="GK"),H520*'Scoring System'!$B$6,IF(D520="MID",H520*'Scoring System'!$B$7,IF(D520="ATT",H520*'Scoring System'!$B$8,0))))+ IF(AND(OR(D520="GK",D520="DEF"),J520&gt;=3),1*'Scoring System'!$B$9,0)+ (I520*'Scoring System'!$B$10)+ (K520*'Scoring System'!$B$11)+ (M520*'Scoring System'!$B$12)+ (L520*'Scoring System'!$B$13)+ (O520*'Scoring System'!$B$14)+ (Q520*'Scoring System'!$B$15)+ (R520*'Scoring System'!$B$16)</f>
        <v>2</v>
      </c>
      <c r="AB520" s="72" t="b">
        <f>IFERROR(match(C520,'Match Day Fees'!$B$2:$B$999,0),0)=0</f>
        <v>0</v>
      </c>
      <c r="AC520" s="73">
        <f t="shared" si="1"/>
        <v>0</v>
      </c>
      <c r="AD520" s="3" t="str">
        <f>VLOOKUP(D520,'Position Lookup'!A:B,1,FALSE)</f>
        <v>DEF</v>
      </c>
    </row>
    <row r="521" ht="17.25" customHeight="1">
      <c r="A521" s="32">
        <v>45192.0</v>
      </c>
      <c r="B521" s="5" t="s">
        <v>309</v>
      </c>
      <c r="C521" s="3" t="s">
        <v>77</v>
      </c>
      <c r="D521" s="3" t="s">
        <v>11</v>
      </c>
      <c r="E521" s="5">
        <v>1.0</v>
      </c>
      <c r="F521" s="3" t="s">
        <v>495</v>
      </c>
      <c r="G521" s="3" t="s">
        <v>224</v>
      </c>
      <c r="J521" s="5">
        <v>1.0</v>
      </c>
      <c r="N521" s="3" t="b">
        <v>0</v>
      </c>
      <c r="R521" s="3">
        <v>0.0</v>
      </c>
      <c r="T521" s="3">
        <v>10.0</v>
      </c>
      <c r="U521" s="3">
        <v>8.0</v>
      </c>
      <c r="V521" s="3" t="s">
        <v>501</v>
      </c>
      <c r="W521" s="74" t="s">
        <v>311</v>
      </c>
      <c r="X521" s="77" t="s">
        <v>497</v>
      </c>
      <c r="Y521" s="3">
        <v>2.0</v>
      </c>
      <c r="Z521" s="3">
        <v>1.0</v>
      </c>
      <c r="AA521" s="2">
        <f>2+ (P521*'Scoring System'!$B$3)+ (IF(OR(D521="DEF",D521="GK"),N521*'Scoring System'!$B$4,IF(D521="MID",N521*'Scoring System'!$B$5,0)))+ (IF(OR(D521="DEF",D521="GK"),H521*'Scoring System'!$B$6,IF(D521="MID",H521*'Scoring System'!$B$7,IF(D521="ATT",H521*'Scoring System'!$B$8,0))))+ IF(AND(OR(D521="GK",D521="DEF"),J521&gt;=3),1*'Scoring System'!$B$9,0)+ (I521*'Scoring System'!$B$10)+ (K521*'Scoring System'!$B$11)+ (M521*'Scoring System'!$B$12)+ (L521*'Scoring System'!$B$13)+ (O521*'Scoring System'!$B$14)+ (Q521*'Scoring System'!$B$15)+ (R521*'Scoring System'!$B$16)</f>
        <v>2</v>
      </c>
      <c r="AB521" s="72" t="b">
        <f>IFERROR(match(C521,'Match Day Fees'!$B$2:$B$999,0),0)=0</f>
        <v>0</v>
      </c>
      <c r="AC521" s="73">
        <f t="shared" si="1"/>
        <v>0</v>
      </c>
      <c r="AD521" s="3" t="str">
        <f>VLOOKUP(D521,'Position Lookup'!A:B,1,FALSE)</f>
        <v>DEF</v>
      </c>
    </row>
    <row r="522" ht="17.25" customHeight="1">
      <c r="A522" s="32">
        <v>45192.0</v>
      </c>
      <c r="B522" s="5" t="s">
        <v>309</v>
      </c>
      <c r="C522" s="3" t="s">
        <v>107</v>
      </c>
      <c r="D522" s="5" t="s">
        <v>11</v>
      </c>
      <c r="E522" s="5">
        <v>1.0</v>
      </c>
      <c r="F522" s="3" t="s">
        <v>495</v>
      </c>
      <c r="G522" s="3" t="s">
        <v>224</v>
      </c>
      <c r="J522" s="5">
        <v>1.0</v>
      </c>
      <c r="N522" s="3" t="b">
        <v>0</v>
      </c>
      <c r="R522" s="3">
        <v>0.0</v>
      </c>
      <c r="T522" s="3">
        <v>7.0</v>
      </c>
      <c r="U522" s="3">
        <v>8.0</v>
      </c>
      <c r="V522" s="3" t="s">
        <v>502</v>
      </c>
      <c r="W522" s="74" t="s">
        <v>311</v>
      </c>
      <c r="X522" s="77" t="s">
        <v>497</v>
      </c>
      <c r="Y522" s="3">
        <v>2.0</v>
      </c>
      <c r="Z522" s="3">
        <v>1.0</v>
      </c>
      <c r="AA522" s="2">
        <f>2+ (P522*'Scoring System'!$B$3)+ (IF(OR(D522="DEF",D522="GK"),N522*'Scoring System'!$B$4,IF(D522="MID",N522*'Scoring System'!$B$5,0)))+ (IF(OR(D522="DEF",D522="GK"),H522*'Scoring System'!$B$6,IF(D522="MID",H522*'Scoring System'!$B$7,IF(D522="ATT",H522*'Scoring System'!$B$8,0))))+ IF(AND(OR(D522="GK",D522="DEF"),J522&gt;=3),1*'Scoring System'!$B$9,0)+ (I522*'Scoring System'!$B$10)+ (K522*'Scoring System'!$B$11)+ (M522*'Scoring System'!$B$12)+ (L522*'Scoring System'!$B$13)+ (O522*'Scoring System'!$B$14)+ (Q522*'Scoring System'!$B$15)+ (R522*'Scoring System'!$B$16)</f>
        <v>2</v>
      </c>
      <c r="AB522" s="72" t="b">
        <f>IFERROR(match(C522,'Match Day Fees'!$B$2:$B$999,0),0)=0</f>
        <v>0</v>
      </c>
      <c r="AC522" s="73">
        <f t="shared" si="1"/>
        <v>0</v>
      </c>
      <c r="AD522" s="3" t="str">
        <f>VLOOKUP(D522,'Position Lookup'!A:B,1,FALSE)</f>
        <v>DEF</v>
      </c>
    </row>
    <row r="523" ht="17.25" customHeight="1">
      <c r="A523" s="32">
        <v>45192.0</v>
      </c>
      <c r="B523" s="5" t="s">
        <v>309</v>
      </c>
      <c r="C523" s="3" t="s">
        <v>67</v>
      </c>
      <c r="D523" s="3" t="s">
        <v>10</v>
      </c>
      <c r="E523" s="5">
        <v>1.0</v>
      </c>
      <c r="F523" s="3" t="s">
        <v>495</v>
      </c>
      <c r="G523" s="3" t="s">
        <v>224</v>
      </c>
      <c r="J523" s="5">
        <v>1.0</v>
      </c>
      <c r="N523" s="3" t="b">
        <v>0</v>
      </c>
      <c r="R523" s="3">
        <v>0.0</v>
      </c>
      <c r="T523" s="3">
        <v>7.0</v>
      </c>
      <c r="U523" s="3">
        <v>7.0</v>
      </c>
      <c r="V523" s="3" t="s">
        <v>503</v>
      </c>
      <c r="W523" s="74" t="s">
        <v>311</v>
      </c>
      <c r="X523" s="77" t="s">
        <v>497</v>
      </c>
      <c r="Y523" s="3">
        <v>2.0</v>
      </c>
      <c r="Z523" s="3">
        <v>1.0</v>
      </c>
      <c r="AA523" s="2">
        <f>2+ (P523*'Scoring System'!$B$3)+ (IF(OR(D523="DEF",D523="GK"),N523*'Scoring System'!$B$4,IF(D523="MID",N523*'Scoring System'!$B$5,0)))+ (IF(OR(D523="DEF",D523="GK"),H523*'Scoring System'!$B$6,IF(D523="MID",H523*'Scoring System'!$B$7,IF(D523="ATT",H523*'Scoring System'!$B$8,0))))+ IF(AND(OR(D523="GK",D523="DEF"),J523&gt;=3),1*'Scoring System'!$B$9,0)+ (I523*'Scoring System'!$B$10)+ (K523*'Scoring System'!$B$11)+ (M523*'Scoring System'!$B$12)+ (L523*'Scoring System'!$B$13)+ (O523*'Scoring System'!$B$14)+ (Q523*'Scoring System'!$B$15)+ (R523*'Scoring System'!$B$16)</f>
        <v>2</v>
      </c>
      <c r="AB523" s="72" t="b">
        <f>IFERROR(match(C523,'Match Day Fees'!$B$2:$B$999,0),0)=0</f>
        <v>0</v>
      </c>
      <c r="AC523" s="73">
        <f t="shared" si="1"/>
        <v>0</v>
      </c>
      <c r="AD523" s="3" t="str">
        <f>VLOOKUP(D523,'Position Lookup'!A:B,1,FALSE)</f>
        <v>MID</v>
      </c>
    </row>
    <row r="524" ht="17.25" customHeight="1">
      <c r="A524" s="32">
        <v>45192.0</v>
      </c>
      <c r="B524" s="5" t="s">
        <v>309</v>
      </c>
      <c r="C524" s="3" t="s">
        <v>85</v>
      </c>
      <c r="D524" s="3" t="s">
        <v>10</v>
      </c>
      <c r="E524" s="5">
        <v>1.0</v>
      </c>
      <c r="F524" s="3" t="s">
        <v>495</v>
      </c>
      <c r="G524" s="3" t="s">
        <v>224</v>
      </c>
      <c r="J524" s="5">
        <v>1.0</v>
      </c>
      <c r="N524" s="3" t="b">
        <v>0</v>
      </c>
      <c r="R524" s="3">
        <v>1.0</v>
      </c>
      <c r="T524" s="3">
        <v>10.0</v>
      </c>
      <c r="U524" s="3">
        <v>9.5</v>
      </c>
      <c r="V524" s="3" t="s">
        <v>504</v>
      </c>
      <c r="W524" s="74" t="s">
        <v>311</v>
      </c>
      <c r="X524" s="77" t="s">
        <v>497</v>
      </c>
      <c r="Y524" s="3">
        <v>2.0</v>
      </c>
      <c r="Z524" s="3">
        <v>1.0</v>
      </c>
      <c r="AA524" s="2">
        <f>2+ (P524*'Scoring System'!$B$3)+ (IF(OR(D524="DEF",D524="GK"),N524*'Scoring System'!$B$4,IF(D524="MID",N524*'Scoring System'!$B$5,0)))+ (IF(OR(D524="DEF",D524="GK"),H524*'Scoring System'!$B$6,IF(D524="MID",H524*'Scoring System'!$B$7,IF(D524="ATT",H524*'Scoring System'!$B$8,0))))+ IF(AND(OR(D524="GK",D524="DEF"),J524&gt;=3),1*'Scoring System'!$B$9,0)+ (I524*'Scoring System'!$B$10)+ (K524*'Scoring System'!$B$11)+ (M524*'Scoring System'!$B$12)+ (L524*'Scoring System'!$B$13)+ (O524*'Scoring System'!$B$14)+ (Q524*'Scoring System'!$B$15)+ (R524*'Scoring System'!$B$16)</f>
        <v>7</v>
      </c>
      <c r="AB524" s="72" t="b">
        <f>IFERROR(match(C524,'Match Day Fees'!$B$2:$B$999,0),0)=0</f>
        <v>0</v>
      </c>
      <c r="AC524" s="73">
        <f t="shared" si="1"/>
        <v>0</v>
      </c>
      <c r="AD524" s="3" t="str">
        <f>VLOOKUP(D524,'Position Lookup'!A:B,1,FALSE)</f>
        <v>MID</v>
      </c>
    </row>
    <row r="525" ht="17.25" customHeight="1">
      <c r="A525" s="32">
        <v>45192.0</v>
      </c>
      <c r="B525" s="5" t="s">
        <v>309</v>
      </c>
      <c r="C525" s="3" t="s">
        <v>60</v>
      </c>
      <c r="D525" s="3" t="s">
        <v>10</v>
      </c>
      <c r="E525" s="5">
        <v>1.0</v>
      </c>
      <c r="F525" s="3" t="s">
        <v>495</v>
      </c>
      <c r="G525" s="3" t="s">
        <v>224</v>
      </c>
      <c r="I525" s="3">
        <v>1.0</v>
      </c>
      <c r="J525" s="5">
        <v>1.0</v>
      </c>
      <c r="N525" s="3" t="b">
        <v>0</v>
      </c>
      <c r="R525" s="3">
        <v>0.0</v>
      </c>
      <c r="T525" s="3">
        <v>10.0</v>
      </c>
      <c r="U525" s="3">
        <v>8.0</v>
      </c>
      <c r="V525" s="3" t="s">
        <v>505</v>
      </c>
      <c r="W525" s="74" t="s">
        <v>311</v>
      </c>
      <c r="X525" s="77" t="s">
        <v>497</v>
      </c>
      <c r="Y525" s="3">
        <v>2.0</v>
      </c>
      <c r="Z525" s="3">
        <v>1.0</v>
      </c>
      <c r="AA525" s="2">
        <f>2+ (P525*'Scoring System'!$B$3)+ (IF(OR(D525="DEF",D525="GK"),N525*'Scoring System'!$B$4,IF(D525="MID",N525*'Scoring System'!$B$5,0)))+ (IF(OR(D525="DEF",D525="GK"),H525*'Scoring System'!$B$6,IF(D525="MID",H525*'Scoring System'!$B$7,IF(D525="ATT",H525*'Scoring System'!$B$8,0))))+ IF(AND(OR(D525="GK",D525="DEF"),J525&gt;=3),1*'Scoring System'!$B$9,0)+ (I525*'Scoring System'!$B$10)+ (K525*'Scoring System'!$B$11)+ (M525*'Scoring System'!$B$12)+ (L525*'Scoring System'!$B$13)+ (O525*'Scoring System'!$B$14)+ (Q525*'Scoring System'!$B$15)+ (R525*'Scoring System'!$B$16)</f>
        <v>5</v>
      </c>
      <c r="AB525" s="72" t="b">
        <f>IFERROR(match(C525,'Match Day Fees'!$B$2:$B$999,0),0)=0</f>
        <v>0</v>
      </c>
      <c r="AC525" s="73">
        <f t="shared" si="1"/>
        <v>0</v>
      </c>
      <c r="AD525" s="3" t="str">
        <f>VLOOKUP(D525,'Position Lookup'!A:B,1,FALSE)</f>
        <v>MID</v>
      </c>
    </row>
    <row r="526" ht="17.25" customHeight="1">
      <c r="A526" s="32">
        <v>45192.0</v>
      </c>
      <c r="B526" s="5" t="s">
        <v>309</v>
      </c>
      <c r="C526" s="3" t="s">
        <v>47</v>
      </c>
      <c r="D526" s="3" t="s">
        <v>10</v>
      </c>
      <c r="E526" s="5">
        <v>1.0</v>
      </c>
      <c r="F526" s="3" t="s">
        <v>495</v>
      </c>
      <c r="G526" s="3" t="s">
        <v>224</v>
      </c>
      <c r="H526" s="3">
        <v>1.0</v>
      </c>
      <c r="J526" s="5">
        <v>1.0</v>
      </c>
      <c r="N526" s="3" t="b">
        <v>0</v>
      </c>
      <c r="R526" s="3">
        <v>0.0</v>
      </c>
      <c r="T526" s="3">
        <v>10.0</v>
      </c>
      <c r="U526" s="3">
        <v>9.0</v>
      </c>
      <c r="V526" s="3" t="s">
        <v>506</v>
      </c>
      <c r="W526" s="74" t="s">
        <v>311</v>
      </c>
      <c r="X526" s="77" t="s">
        <v>497</v>
      </c>
      <c r="Y526" s="3">
        <v>2.0</v>
      </c>
      <c r="Z526" s="3">
        <v>1.0</v>
      </c>
      <c r="AA526" s="2">
        <f>2+ (P526*'Scoring System'!$B$3)+ (IF(OR(D526="DEF",D526="GK"),N526*'Scoring System'!$B$4,IF(D526="MID",N526*'Scoring System'!$B$5,0)))+ (IF(OR(D526="DEF",D526="GK"),H526*'Scoring System'!$B$6,IF(D526="MID",H526*'Scoring System'!$B$7,IF(D526="ATT",H526*'Scoring System'!$B$8,0))))+ IF(AND(OR(D526="GK",D526="DEF"),J526&gt;=3),1*'Scoring System'!$B$9,0)+ (I526*'Scoring System'!$B$10)+ (K526*'Scoring System'!$B$11)+ (M526*'Scoring System'!$B$12)+ (L526*'Scoring System'!$B$13)+ (O526*'Scoring System'!$B$14)+ (Q526*'Scoring System'!$B$15)+ (R526*'Scoring System'!$B$16)</f>
        <v>7</v>
      </c>
      <c r="AB526" s="72" t="b">
        <f>IFERROR(match(C526,'Match Day Fees'!$B$2:$B$999,0),0)=0</f>
        <v>0</v>
      </c>
      <c r="AC526" s="73">
        <f t="shared" si="1"/>
        <v>0</v>
      </c>
      <c r="AD526" s="3" t="str">
        <f>VLOOKUP(D526,'Position Lookup'!A:B,1,FALSE)</f>
        <v>MID</v>
      </c>
    </row>
    <row r="527" ht="17.25" customHeight="1">
      <c r="A527" s="32">
        <v>45192.0</v>
      </c>
      <c r="B527" s="5" t="s">
        <v>309</v>
      </c>
      <c r="C527" s="3" t="s">
        <v>96</v>
      </c>
      <c r="D527" s="3" t="s">
        <v>9</v>
      </c>
      <c r="E527" s="5">
        <v>1.0</v>
      </c>
      <c r="F527" s="3" t="s">
        <v>495</v>
      </c>
      <c r="G527" s="3" t="s">
        <v>224</v>
      </c>
      <c r="H527" s="3">
        <v>1.0</v>
      </c>
      <c r="J527" s="5">
        <v>1.0</v>
      </c>
      <c r="N527" s="3" t="b">
        <v>0</v>
      </c>
      <c r="R527" s="3">
        <v>0.0</v>
      </c>
      <c r="T527" s="3">
        <v>7.0</v>
      </c>
      <c r="U527" s="3">
        <v>8.5</v>
      </c>
      <c r="V527" s="3" t="s">
        <v>507</v>
      </c>
      <c r="W527" s="74" t="s">
        <v>311</v>
      </c>
      <c r="X527" s="77" t="s">
        <v>497</v>
      </c>
      <c r="Y527" s="3">
        <v>2.0</v>
      </c>
      <c r="Z527" s="3">
        <v>1.0</v>
      </c>
      <c r="AA527" s="2">
        <f>2+ (P527*'Scoring System'!$B$3)+ (IF(OR(D527="DEF",D527="GK"),N527*'Scoring System'!$B$4,IF(D527="MID",N527*'Scoring System'!$B$5,0)))+ (IF(OR(D527="DEF",D527="GK"),H527*'Scoring System'!$B$6,IF(D527="MID",H527*'Scoring System'!$B$7,IF(D527="ATT",H527*'Scoring System'!$B$8,0))))+ IF(AND(OR(D527="GK",D527="DEF"),J527&gt;=3),1*'Scoring System'!$B$9,0)+ (I527*'Scoring System'!$B$10)+ (K527*'Scoring System'!$B$11)+ (M527*'Scoring System'!$B$12)+ (L527*'Scoring System'!$B$13)+ (O527*'Scoring System'!$B$14)+ (Q527*'Scoring System'!$B$15)+ (R527*'Scoring System'!$B$16)</f>
        <v>6</v>
      </c>
      <c r="AB527" s="72" t="b">
        <f>IFERROR(match(C527,'Match Day Fees'!$B$2:$B$999,0),0)=0</f>
        <v>0</v>
      </c>
      <c r="AC527" s="73">
        <f t="shared" si="1"/>
        <v>0</v>
      </c>
      <c r="AD527" s="3" t="str">
        <f>VLOOKUP(D527,'Position Lookup'!A:B,1,FALSE)</f>
        <v>ATT</v>
      </c>
    </row>
    <row r="528" ht="17.25" customHeight="1">
      <c r="A528" s="32">
        <v>45192.0</v>
      </c>
      <c r="B528" s="5" t="s">
        <v>309</v>
      </c>
      <c r="C528" s="3" t="s">
        <v>57</v>
      </c>
      <c r="D528" s="3" t="s">
        <v>11</v>
      </c>
      <c r="E528" s="5">
        <v>1.0</v>
      </c>
      <c r="F528" s="3" t="s">
        <v>495</v>
      </c>
      <c r="G528" s="3" t="s">
        <v>224</v>
      </c>
      <c r="I528" s="3">
        <v>1.0</v>
      </c>
      <c r="J528" s="5">
        <v>1.0</v>
      </c>
      <c r="N528" s="3" t="b">
        <v>0</v>
      </c>
      <c r="R528" s="3">
        <v>0.0</v>
      </c>
      <c r="T528" s="3">
        <v>2.5</v>
      </c>
      <c r="U528" s="3">
        <v>8.5</v>
      </c>
      <c r="V528" s="3" t="s">
        <v>508</v>
      </c>
      <c r="W528" s="74" t="s">
        <v>311</v>
      </c>
      <c r="X528" s="77" t="s">
        <v>497</v>
      </c>
      <c r="Y528" s="3">
        <v>2.0</v>
      </c>
      <c r="Z528" s="3">
        <v>1.0</v>
      </c>
      <c r="AA528" s="2">
        <f>2+ (P528*'Scoring System'!$B$3)+ (IF(OR(D528="DEF",D528="GK"),N528*'Scoring System'!$B$4,IF(D528="MID",N528*'Scoring System'!$B$5,0)))+ (IF(OR(D528="DEF",D528="GK"),H528*'Scoring System'!$B$6,IF(D528="MID",H528*'Scoring System'!$B$7,IF(D528="ATT",H528*'Scoring System'!$B$8,0))))+ IF(AND(OR(D528="GK",D528="DEF"),J528&gt;=3),1*'Scoring System'!$B$9,0)+ (I528*'Scoring System'!$B$10)+ (K528*'Scoring System'!$B$11)+ (M528*'Scoring System'!$B$12)+ (L528*'Scoring System'!$B$13)+ (O528*'Scoring System'!$B$14)+ (Q528*'Scoring System'!$B$15)+ (R528*'Scoring System'!$B$16)</f>
        <v>5</v>
      </c>
      <c r="AB528" s="72" t="b">
        <f>IFERROR(match(C528,'Match Day Fees'!$B$2:$B$999,0),0)=0</f>
        <v>0</v>
      </c>
      <c r="AC528" s="73">
        <f t="shared" si="1"/>
        <v>0</v>
      </c>
      <c r="AD528" s="3" t="str">
        <f>VLOOKUP(D528,'Position Lookup'!A:B,1,FALSE)</f>
        <v>DEF</v>
      </c>
    </row>
    <row r="529" ht="17.25" customHeight="1">
      <c r="A529" s="32">
        <v>45192.0</v>
      </c>
      <c r="B529" s="5" t="s">
        <v>309</v>
      </c>
      <c r="C529" s="3" t="s">
        <v>75</v>
      </c>
      <c r="D529" s="3" t="s">
        <v>9</v>
      </c>
      <c r="E529" s="5">
        <v>1.0</v>
      </c>
      <c r="F529" s="3" t="s">
        <v>495</v>
      </c>
      <c r="G529" s="3" t="s">
        <v>224</v>
      </c>
      <c r="J529" s="5">
        <v>1.0</v>
      </c>
      <c r="N529" s="3" t="b">
        <v>0</v>
      </c>
      <c r="R529" s="3">
        <v>0.0</v>
      </c>
      <c r="T529" s="3">
        <v>5.0</v>
      </c>
      <c r="U529" s="3">
        <v>8.0</v>
      </c>
      <c r="V529" s="3" t="s">
        <v>509</v>
      </c>
      <c r="W529" s="74" t="s">
        <v>311</v>
      </c>
      <c r="X529" s="77" t="s">
        <v>497</v>
      </c>
      <c r="Y529" s="3">
        <v>2.0</v>
      </c>
      <c r="Z529" s="3">
        <v>1.0</v>
      </c>
      <c r="AA529" s="2">
        <f>2+ (P529*'Scoring System'!$B$3)+ (IF(OR(D529="DEF",D529="GK"),N529*'Scoring System'!$B$4,IF(D529="MID",N529*'Scoring System'!$B$5,0)))+ (IF(OR(D529="DEF",D529="GK"),H529*'Scoring System'!$B$6,IF(D529="MID",H529*'Scoring System'!$B$7,IF(D529="ATT",H529*'Scoring System'!$B$8,0))))+ IF(AND(OR(D529="GK",D529="DEF"),J529&gt;=3),1*'Scoring System'!$B$9,0)+ (I529*'Scoring System'!$B$10)+ (K529*'Scoring System'!$B$11)+ (M529*'Scoring System'!$B$12)+ (L529*'Scoring System'!$B$13)+ (O529*'Scoring System'!$B$14)+ (Q529*'Scoring System'!$B$15)+ (R529*'Scoring System'!$B$16)</f>
        <v>2</v>
      </c>
      <c r="AB529" s="72" t="b">
        <f>IFERROR(match(C529,'Match Day Fees'!$B$2:$B$999,0),0)=0</f>
        <v>0</v>
      </c>
      <c r="AC529" s="73">
        <f t="shared" si="1"/>
        <v>0</v>
      </c>
      <c r="AD529" s="3" t="str">
        <f>VLOOKUP(D529,'Position Lookup'!A:B,1,FALSE)</f>
        <v>ATT</v>
      </c>
    </row>
    <row r="530" ht="17.25" customHeight="1">
      <c r="A530" s="32">
        <v>45192.0</v>
      </c>
      <c r="B530" s="5" t="s">
        <v>309</v>
      </c>
      <c r="C530" s="3" t="s">
        <v>272</v>
      </c>
      <c r="D530" s="3" t="s">
        <v>10</v>
      </c>
      <c r="E530" s="5">
        <v>1.0</v>
      </c>
      <c r="F530" s="3" t="s">
        <v>495</v>
      </c>
      <c r="G530" s="3" t="s">
        <v>224</v>
      </c>
      <c r="J530" s="5">
        <v>1.0</v>
      </c>
      <c r="N530" s="3" t="b">
        <v>0</v>
      </c>
      <c r="R530" s="3">
        <v>0.0</v>
      </c>
      <c r="T530" s="3">
        <v>5.0</v>
      </c>
      <c r="U530" s="3">
        <v>7.5</v>
      </c>
      <c r="V530" s="3" t="s">
        <v>510</v>
      </c>
      <c r="W530" s="74" t="s">
        <v>311</v>
      </c>
      <c r="X530" s="77" t="s">
        <v>497</v>
      </c>
      <c r="Y530" s="3">
        <v>2.0</v>
      </c>
      <c r="Z530" s="3">
        <v>1.0</v>
      </c>
      <c r="AA530" s="2">
        <f>2+ (P530*'Scoring System'!$B$3)+ (IF(OR(D530="DEF",D530="GK"),N530*'Scoring System'!$B$4,IF(D530="MID",N530*'Scoring System'!$B$5,0)))+ (IF(OR(D530="DEF",D530="GK"),H530*'Scoring System'!$B$6,IF(D530="MID",H530*'Scoring System'!$B$7,IF(D530="ATT",H530*'Scoring System'!$B$8,0))))+ IF(AND(OR(D530="GK",D530="DEF"),J530&gt;=3),1*'Scoring System'!$B$9,0)+ (I530*'Scoring System'!$B$10)+ (K530*'Scoring System'!$B$11)+ (M530*'Scoring System'!$B$12)+ (L530*'Scoring System'!$B$13)+ (O530*'Scoring System'!$B$14)+ (Q530*'Scoring System'!$B$15)+ (R530*'Scoring System'!$B$16)</f>
        <v>2</v>
      </c>
      <c r="AB530" s="72" t="b">
        <f>IFERROR(match(C530,'Match Day Fees'!$B$2:$B$999,0),0)=0</f>
        <v>0</v>
      </c>
      <c r="AC530" s="73">
        <f t="shared" si="1"/>
        <v>0</v>
      </c>
      <c r="AD530" s="3" t="str">
        <f>VLOOKUP(D530,'Position Lookup'!A:B,1,FALSE)</f>
        <v>MID</v>
      </c>
    </row>
    <row r="531" ht="17.25" customHeight="1">
      <c r="A531" s="32">
        <v>45192.0</v>
      </c>
      <c r="B531" s="5" t="s">
        <v>309</v>
      </c>
      <c r="C531" s="3" t="s">
        <v>38</v>
      </c>
      <c r="D531" s="3" t="s">
        <v>8</v>
      </c>
      <c r="E531" s="5">
        <v>2.0</v>
      </c>
      <c r="F531" s="3" t="s">
        <v>511</v>
      </c>
      <c r="G531" s="3" t="s">
        <v>242</v>
      </c>
      <c r="J531" s="5">
        <v>0.0</v>
      </c>
      <c r="N531" s="3" t="b">
        <v>1</v>
      </c>
      <c r="R531" s="3">
        <v>0.0</v>
      </c>
      <c r="T531" s="3">
        <v>10.0</v>
      </c>
      <c r="U531" s="3">
        <v>7.0</v>
      </c>
      <c r="V531" s="3" t="s">
        <v>512</v>
      </c>
      <c r="W531" s="74" t="s">
        <v>327</v>
      </c>
      <c r="X531" s="77" t="s">
        <v>513</v>
      </c>
      <c r="Y531" s="3">
        <v>0.0</v>
      </c>
      <c r="Z531" s="3">
        <v>0.0</v>
      </c>
      <c r="AA531" s="2">
        <f>2+ (P531*'Scoring System'!$B$3)+ (IF(OR(D531="DEF",D531="GK"),N531*'Scoring System'!$B$4,IF(D531="MID",N531*'Scoring System'!$B$5,0)))+ (IF(OR(D531="DEF",D531="GK"),H531*'Scoring System'!$B$6,IF(D531="MID",H531*'Scoring System'!$B$7,IF(D531="ATT",H531*'Scoring System'!$B$8,0))))+ IF(AND(OR(D531="GK",D531="DEF"),J531&gt;=3),1*'Scoring System'!$B$9,0)+ (I531*'Scoring System'!$B$10)+ (K531*'Scoring System'!$B$11)+ (M531*'Scoring System'!$B$12)+ (L531*'Scoring System'!$B$13)+ (O531*'Scoring System'!$B$14)+ (Q531*'Scoring System'!$B$15)+ (R531*'Scoring System'!$B$16)</f>
        <v>8</v>
      </c>
      <c r="AB531" s="72" t="b">
        <f>IFERROR(match(C531,'Match Day Fees'!$B$2:$B$999,0),0)=0</f>
        <v>0</v>
      </c>
      <c r="AC531" s="73">
        <f t="shared" si="1"/>
        <v>0</v>
      </c>
      <c r="AD531" s="3" t="str">
        <f>VLOOKUP(D531,'Position Lookup'!A:B,1,FALSE)</f>
        <v>GK</v>
      </c>
    </row>
    <row r="532" ht="17.25" customHeight="1">
      <c r="A532" s="32">
        <v>45192.0</v>
      </c>
      <c r="B532" s="5" t="s">
        <v>309</v>
      </c>
      <c r="C532" s="3" t="s">
        <v>81</v>
      </c>
      <c r="D532" s="3" t="s">
        <v>11</v>
      </c>
      <c r="E532" s="5">
        <v>2.0</v>
      </c>
      <c r="F532" s="3" t="s">
        <v>511</v>
      </c>
      <c r="G532" s="3" t="s">
        <v>242</v>
      </c>
      <c r="J532" s="5">
        <v>0.0</v>
      </c>
      <c r="N532" s="3" t="b">
        <v>1</v>
      </c>
      <c r="R532" s="3">
        <v>0.0</v>
      </c>
      <c r="T532" s="3">
        <v>10.0</v>
      </c>
      <c r="U532" s="3">
        <v>7.0</v>
      </c>
      <c r="V532" s="3" t="s">
        <v>514</v>
      </c>
      <c r="W532" s="74" t="s">
        <v>327</v>
      </c>
      <c r="X532" s="77" t="s">
        <v>513</v>
      </c>
      <c r="Y532" s="3">
        <v>0.0</v>
      </c>
      <c r="Z532" s="3">
        <v>0.0</v>
      </c>
      <c r="AA532" s="2">
        <f>2+ (P532*'Scoring System'!$B$3)+ (IF(OR(D532="DEF",D532="GK"),N532*'Scoring System'!$B$4,IF(D532="MID",N532*'Scoring System'!$B$5,0)))+ (IF(OR(D532="DEF",D532="GK"),H532*'Scoring System'!$B$6,IF(D532="MID",H532*'Scoring System'!$B$7,IF(D532="ATT",H532*'Scoring System'!$B$8,0))))+ IF(AND(OR(D532="GK",D532="DEF"),J532&gt;=3),1*'Scoring System'!$B$9,0)+ (I532*'Scoring System'!$B$10)+ (K532*'Scoring System'!$B$11)+ (M532*'Scoring System'!$B$12)+ (L532*'Scoring System'!$B$13)+ (O532*'Scoring System'!$B$14)+ (Q532*'Scoring System'!$B$15)+ (R532*'Scoring System'!$B$16)</f>
        <v>8</v>
      </c>
      <c r="AB532" s="72" t="b">
        <f>IFERROR(match(C532,'Match Day Fees'!$B$2:$B$999,0),0)=0</f>
        <v>0</v>
      </c>
      <c r="AC532" s="73">
        <f t="shared" si="1"/>
        <v>0</v>
      </c>
      <c r="AD532" s="3" t="str">
        <f>VLOOKUP(D532,'Position Lookup'!A:B,1,FALSE)</f>
        <v>DEF</v>
      </c>
    </row>
    <row r="533" ht="17.25" customHeight="1">
      <c r="A533" s="32">
        <v>45192.0</v>
      </c>
      <c r="B533" s="5" t="s">
        <v>309</v>
      </c>
      <c r="C533" s="3" t="s">
        <v>40</v>
      </c>
      <c r="D533" s="3" t="s">
        <v>11</v>
      </c>
      <c r="E533" s="5">
        <v>2.0</v>
      </c>
      <c r="F533" s="3" t="s">
        <v>511</v>
      </c>
      <c r="G533" s="3" t="s">
        <v>242</v>
      </c>
      <c r="J533" s="5">
        <v>0.0</v>
      </c>
      <c r="N533" s="3" t="b">
        <v>1</v>
      </c>
      <c r="R533" s="3">
        <v>1.0</v>
      </c>
      <c r="T533" s="3">
        <v>10.0</v>
      </c>
      <c r="U533" s="3">
        <v>8.0</v>
      </c>
      <c r="V533" s="3" t="s">
        <v>515</v>
      </c>
      <c r="W533" s="74" t="s">
        <v>327</v>
      </c>
      <c r="X533" s="77" t="s">
        <v>513</v>
      </c>
      <c r="Y533" s="3">
        <v>0.0</v>
      </c>
      <c r="Z533" s="3">
        <v>0.0</v>
      </c>
      <c r="AA533" s="2">
        <f>2+ (P533*'Scoring System'!$B$3)+ (IF(OR(D533="DEF",D533="GK"),N533*'Scoring System'!$B$4,IF(D533="MID",N533*'Scoring System'!$B$5,0)))+ (IF(OR(D533="DEF",D533="GK"),H533*'Scoring System'!$B$6,IF(D533="MID",H533*'Scoring System'!$B$7,IF(D533="ATT",H533*'Scoring System'!$B$8,0))))+ IF(AND(OR(D533="GK",D533="DEF"),J533&gt;=3),1*'Scoring System'!$B$9,0)+ (I533*'Scoring System'!$B$10)+ (K533*'Scoring System'!$B$11)+ (M533*'Scoring System'!$B$12)+ (L533*'Scoring System'!$B$13)+ (O533*'Scoring System'!$B$14)+ (Q533*'Scoring System'!$B$15)+ (R533*'Scoring System'!$B$16)</f>
        <v>13</v>
      </c>
      <c r="AB533" s="72" t="b">
        <f>IFERROR(match(C533,'Match Day Fees'!$B$2:$B$999,0),0)=0</f>
        <v>0</v>
      </c>
      <c r="AC533" s="73">
        <f t="shared" si="1"/>
        <v>0</v>
      </c>
      <c r="AD533" s="3" t="str">
        <f>VLOOKUP(D533,'Position Lookup'!A:B,1,FALSE)</f>
        <v>DEF</v>
      </c>
    </row>
    <row r="534" ht="17.25" customHeight="1">
      <c r="A534" s="32">
        <v>45192.0</v>
      </c>
      <c r="B534" s="5" t="s">
        <v>309</v>
      </c>
      <c r="C534" s="3" t="s">
        <v>82</v>
      </c>
      <c r="D534" s="3" t="s">
        <v>11</v>
      </c>
      <c r="E534" s="5">
        <v>2.0</v>
      </c>
      <c r="F534" s="3" t="s">
        <v>511</v>
      </c>
      <c r="G534" s="3" t="s">
        <v>242</v>
      </c>
      <c r="J534" s="5">
        <v>0.0</v>
      </c>
      <c r="N534" s="3" t="b">
        <v>1</v>
      </c>
      <c r="R534" s="3">
        <v>0.0</v>
      </c>
      <c r="T534" s="3">
        <v>10.0</v>
      </c>
      <c r="U534" s="3">
        <v>7.5</v>
      </c>
      <c r="V534" s="3" t="s">
        <v>516</v>
      </c>
      <c r="W534" s="74" t="s">
        <v>327</v>
      </c>
      <c r="X534" s="77" t="s">
        <v>513</v>
      </c>
      <c r="Y534" s="3">
        <v>0.0</v>
      </c>
      <c r="Z534" s="3">
        <v>0.0</v>
      </c>
      <c r="AA534" s="2">
        <f>2+ (P534*'Scoring System'!$B$3)+ (IF(OR(D534="DEF",D534="GK"),N534*'Scoring System'!$B$4,IF(D534="MID",N534*'Scoring System'!$B$5,0)))+ (IF(OR(D534="DEF",D534="GK"),H534*'Scoring System'!$B$6,IF(D534="MID",H534*'Scoring System'!$B$7,IF(D534="ATT",H534*'Scoring System'!$B$8,0))))+ IF(AND(OR(D534="GK",D534="DEF"),J534&gt;=3),1*'Scoring System'!$B$9,0)+ (I534*'Scoring System'!$B$10)+ (K534*'Scoring System'!$B$11)+ (M534*'Scoring System'!$B$12)+ (L534*'Scoring System'!$B$13)+ (O534*'Scoring System'!$B$14)+ (Q534*'Scoring System'!$B$15)+ (R534*'Scoring System'!$B$16)</f>
        <v>8</v>
      </c>
      <c r="AB534" s="72" t="b">
        <f>IFERROR(match(C534,'Match Day Fees'!$B$2:$B$999,0),0)=0</f>
        <v>0</v>
      </c>
      <c r="AC534" s="73">
        <f t="shared" si="1"/>
        <v>0</v>
      </c>
      <c r="AD534" s="3" t="str">
        <f>VLOOKUP(D534,'Position Lookup'!A:B,1,FALSE)</f>
        <v>DEF</v>
      </c>
    </row>
    <row r="535" ht="17.25" customHeight="1">
      <c r="A535" s="32">
        <v>45192.0</v>
      </c>
      <c r="B535" s="5" t="s">
        <v>309</v>
      </c>
      <c r="C535" s="3" t="s">
        <v>83</v>
      </c>
      <c r="D535" s="3" t="s">
        <v>11</v>
      </c>
      <c r="E535" s="5">
        <v>2.0</v>
      </c>
      <c r="F535" s="3" t="s">
        <v>511</v>
      </c>
      <c r="G535" s="3" t="s">
        <v>242</v>
      </c>
      <c r="J535" s="5">
        <v>0.0</v>
      </c>
      <c r="N535" s="3" t="b">
        <v>1</v>
      </c>
      <c r="R535" s="3">
        <v>0.0</v>
      </c>
      <c r="T535" s="3">
        <v>10.0</v>
      </c>
      <c r="U535" s="3">
        <v>6.0</v>
      </c>
      <c r="V535" s="3" t="s">
        <v>517</v>
      </c>
      <c r="W535" s="74" t="s">
        <v>327</v>
      </c>
      <c r="X535" s="77" t="s">
        <v>513</v>
      </c>
      <c r="Y535" s="3">
        <v>0.0</v>
      </c>
      <c r="Z535" s="3">
        <v>0.0</v>
      </c>
      <c r="AA535" s="2">
        <f>2+ (P535*'Scoring System'!$B$3)+ (IF(OR(D535="DEF",D535="GK"),N535*'Scoring System'!$B$4,IF(D535="MID",N535*'Scoring System'!$B$5,0)))+ (IF(OR(D535="DEF",D535="GK"),H535*'Scoring System'!$B$6,IF(D535="MID",H535*'Scoring System'!$B$7,IF(D535="ATT",H535*'Scoring System'!$B$8,0))))+ IF(AND(OR(D535="GK",D535="DEF"),J535&gt;=3),1*'Scoring System'!$B$9,0)+ (I535*'Scoring System'!$B$10)+ (K535*'Scoring System'!$B$11)+ (M535*'Scoring System'!$B$12)+ (L535*'Scoring System'!$B$13)+ (O535*'Scoring System'!$B$14)+ (Q535*'Scoring System'!$B$15)+ (R535*'Scoring System'!$B$16)</f>
        <v>8</v>
      </c>
      <c r="AB535" s="72" t="b">
        <f>IFERROR(match(C535,'Match Day Fees'!$B$2:$B$999,0),0)=0</f>
        <v>0</v>
      </c>
      <c r="AC535" s="73">
        <f t="shared" si="1"/>
        <v>0</v>
      </c>
      <c r="AD535" s="3" t="str">
        <f>VLOOKUP(D535,'Position Lookup'!A:B,1,FALSE)</f>
        <v>DEF</v>
      </c>
    </row>
    <row r="536" ht="17.25" customHeight="1">
      <c r="A536" s="32">
        <v>45192.0</v>
      </c>
      <c r="B536" s="5" t="s">
        <v>309</v>
      </c>
      <c r="C536" s="3" t="s">
        <v>92</v>
      </c>
      <c r="D536" s="3" t="s">
        <v>10</v>
      </c>
      <c r="E536" s="5">
        <v>2.0</v>
      </c>
      <c r="F536" s="3" t="s">
        <v>511</v>
      </c>
      <c r="G536" s="3" t="s">
        <v>242</v>
      </c>
      <c r="J536" s="5">
        <v>0.0</v>
      </c>
      <c r="N536" s="3" t="b">
        <v>1</v>
      </c>
      <c r="R536" s="3">
        <v>0.0</v>
      </c>
      <c r="S536" s="3" t="b">
        <v>1</v>
      </c>
      <c r="U536" s="3">
        <v>6.0</v>
      </c>
      <c r="V536" s="3" t="s">
        <v>518</v>
      </c>
      <c r="W536" s="74" t="s">
        <v>327</v>
      </c>
      <c r="X536" s="77" t="s">
        <v>513</v>
      </c>
      <c r="Y536" s="3">
        <v>0.0</v>
      </c>
      <c r="Z536" s="3">
        <v>0.0</v>
      </c>
      <c r="AA536" s="2">
        <f>2+ (P536*'Scoring System'!$B$3)+ (IF(OR(D536="DEF",D536="GK"),N536*'Scoring System'!$B$4,IF(D536="MID",N536*'Scoring System'!$B$5,0)))+ (IF(OR(D536="DEF",D536="GK"),H536*'Scoring System'!$B$6,IF(D536="MID",H536*'Scoring System'!$B$7,IF(D536="ATT",H536*'Scoring System'!$B$8,0))))+ IF(AND(OR(D536="GK",D536="DEF"),J536&gt;=3),1*'Scoring System'!$B$9,0)+ (I536*'Scoring System'!$B$10)+ (K536*'Scoring System'!$B$11)+ (M536*'Scoring System'!$B$12)+ (L536*'Scoring System'!$B$13)+ (O536*'Scoring System'!$B$14)+ (Q536*'Scoring System'!$B$15)+ (R536*'Scoring System'!$B$16)</f>
        <v>4</v>
      </c>
      <c r="AB536" s="72" t="b">
        <f>IFERROR(match(C536,'Match Day Fees'!$B$2:$B$999,0),0)=0</f>
        <v>0</v>
      </c>
      <c r="AC536" s="73">
        <f t="shared" si="1"/>
        <v>0</v>
      </c>
      <c r="AD536" s="3" t="str">
        <f>VLOOKUP(D536,'Position Lookup'!A:B,1,FALSE)</f>
        <v>MID</v>
      </c>
    </row>
    <row r="537" ht="17.25" customHeight="1">
      <c r="A537" s="32">
        <v>45192.0</v>
      </c>
      <c r="B537" s="5" t="s">
        <v>309</v>
      </c>
      <c r="C537" s="3" t="s">
        <v>276</v>
      </c>
      <c r="D537" s="3" t="s">
        <v>10</v>
      </c>
      <c r="E537" s="5">
        <v>2.0</v>
      </c>
      <c r="F537" s="3" t="s">
        <v>511</v>
      </c>
      <c r="G537" s="3" t="s">
        <v>242</v>
      </c>
      <c r="J537" s="5">
        <v>0.0</v>
      </c>
      <c r="N537" s="3" t="b">
        <v>1</v>
      </c>
      <c r="R537" s="3">
        <v>0.0</v>
      </c>
      <c r="T537" s="3">
        <v>10.0</v>
      </c>
      <c r="U537" s="3">
        <v>6.0</v>
      </c>
      <c r="V537" s="3" t="s">
        <v>519</v>
      </c>
      <c r="W537" s="74" t="s">
        <v>327</v>
      </c>
      <c r="X537" s="77" t="s">
        <v>513</v>
      </c>
      <c r="Y537" s="3">
        <v>0.0</v>
      </c>
      <c r="Z537" s="3">
        <v>0.0</v>
      </c>
      <c r="AA537" s="2">
        <f>2+ (P537*'Scoring System'!$B$3)+ (IF(OR(D537="DEF",D537="GK"),N537*'Scoring System'!$B$4,IF(D537="MID",N537*'Scoring System'!$B$5,0)))+ (IF(OR(D537="DEF",D537="GK"),H537*'Scoring System'!$B$6,IF(D537="MID",H537*'Scoring System'!$B$7,IF(D537="ATT",H537*'Scoring System'!$B$8,0))))+ IF(AND(OR(D537="GK",D537="DEF"),J537&gt;=3),1*'Scoring System'!$B$9,0)+ (I537*'Scoring System'!$B$10)+ (K537*'Scoring System'!$B$11)+ (M537*'Scoring System'!$B$12)+ (L537*'Scoring System'!$B$13)+ (O537*'Scoring System'!$B$14)+ (Q537*'Scoring System'!$B$15)+ (R537*'Scoring System'!$B$16)</f>
        <v>4</v>
      </c>
      <c r="AB537" s="72" t="b">
        <f>IFERROR(match(C537,'Match Day Fees'!$B$2:$B$999,0),0)=0</f>
        <v>0</v>
      </c>
      <c r="AC537" s="73">
        <f t="shared" si="1"/>
        <v>0</v>
      </c>
      <c r="AD537" s="3" t="str">
        <f>VLOOKUP(D537,'Position Lookup'!A:B,1,FALSE)</f>
        <v>MID</v>
      </c>
    </row>
    <row r="538" ht="17.25" customHeight="1">
      <c r="A538" s="32">
        <v>45192.0</v>
      </c>
      <c r="B538" s="5" t="s">
        <v>309</v>
      </c>
      <c r="C538" s="3" t="s">
        <v>123</v>
      </c>
      <c r="D538" s="3" t="s">
        <v>10</v>
      </c>
      <c r="E538" s="5">
        <v>2.0</v>
      </c>
      <c r="F538" s="3" t="s">
        <v>511</v>
      </c>
      <c r="G538" s="3" t="s">
        <v>242</v>
      </c>
      <c r="J538" s="5">
        <v>0.0</v>
      </c>
      <c r="N538" s="3" t="b">
        <v>1</v>
      </c>
      <c r="R538" s="3">
        <v>0.0</v>
      </c>
      <c r="T538" s="3">
        <v>10.0</v>
      </c>
      <c r="U538" s="3">
        <v>5.0</v>
      </c>
      <c r="V538" s="3" t="s">
        <v>520</v>
      </c>
      <c r="W538" s="74" t="s">
        <v>327</v>
      </c>
      <c r="X538" s="77" t="s">
        <v>513</v>
      </c>
      <c r="Y538" s="3">
        <v>0.0</v>
      </c>
      <c r="Z538" s="3">
        <v>0.0</v>
      </c>
      <c r="AA538" s="2">
        <f>2+ (P538*'Scoring System'!$B$3)+ (IF(OR(D538="DEF",D538="GK"),N538*'Scoring System'!$B$4,IF(D538="MID",N538*'Scoring System'!$B$5,0)))+ (IF(OR(D538="DEF",D538="GK"),H538*'Scoring System'!$B$6,IF(D538="MID",H538*'Scoring System'!$B$7,IF(D538="ATT",H538*'Scoring System'!$B$8,0))))+ IF(AND(OR(D538="GK",D538="DEF"),J538&gt;=3),1*'Scoring System'!$B$9,0)+ (I538*'Scoring System'!$B$10)+ (K538*'Scoring System'!$B$11)+ (M538*'Scoring System'!$B$12)+ (L538*'Scoring System'!$B$13)+ (O538*'Scoring System'!$B$14)+ (Q538*'Scoring System'!$B$15)+ (R538*'Scoring System'!$B$16)</f>
        <v>4</v>
      </c>
      <c r="AB538" s="72" t="b">
        <f>IFERROR(match(C538,'Match Day Fees'!$B$2:$B$999,0),0)=0</f>
        <v>0</v>
      </c>
      <c r="AC538" s="73">
        <f t="shared" si="1"/>
        <v>0</v>
      </c>
      <c r="AD538" s="3" t="str">
        <f>VLOOKUP(D538,'Position Lookup'!A:B,1,FALSE)</f>
        <v>MID</v>
      </c>
    </row>
    <row r="539" ht="17.25" customHeight="1">
      <c r="A539" s="32">
        <v>45192.0</v>
      </c>
      <c r="B539" s="5" t="s">
        <v>309</v>
      </c>
      <c r="C539" s="3" t="s">
        <v>78</v>
      </c>
      <c r="D539" s="3" t="s">
        <v>10</v>
      </c>
      <c r="E539" s="5">
        <v>2.0</v>
      </c>
      <c r="F539" s="3" t="s">
        <v>511</v>
      </c>
      <c r="G539" s="3" t="s">
        <v>242</v>
      </c>
      <c r="J539" s="5">
        <v>0.0</v>
      </c>
      <c r="N539" s="3" t="b">
        <v>1</v>
      </c>
      <c r="R539" s="3">
        <v>0.0</v>
      </c>
      <c r="T539" s="3">
        <v>10.0</v>
      </c>
      <c r="U539" s="3">
        <v>7.5</v>
      </c>
      <c r="V539" s="3" t="s">
        <v>521</v>
      </c>
      <c r="W539" s="74" t="s">
        <v>327</v>
      </c>
      <c r="X539" s="77" t="s">
        <v>513</v>
      </c>
      <c r="Y539" s="3">
        <v>0.0</v>
      </c>
      <c r="Z539" s="3">
        <v>0.0</v>
      </c>
      <c r="AA539" s="2">
        <f>2+ (P539*'Scoring System'!$B$3)+ (IF(OR(D539="DEF",D539="GK"),N539*'Scoring System'!$B$4,IF(D539="MID",N539*'Scoring System'!$B$5,0)))+ (IF(OR(D539="DEF",D539="GK"),H539*'Scoring System'!$B$6,IF(D539="MID",H539*'Scoring System'!$B$7,IF(D539="ATT",H539*'Scoring System'!$B$8,0))))+ IF(AND(OR(D539="GK",D539="DEF"),J539&gt;=3),1*'Scoring System'!$B$9,0)+ (I539*'Scoring System'!$B$10)+ (K539*'Scoring System'!$B$11)+ (M539*'Scoring System'!$B$12)+ (L539*'Scoring System'!$B$13)+ (O539*'Scoring System'!$B$14)+ (Q539*'Scoring System'!$B$15)+ (R539*'Scoring System'!$B$16)</f>
        <v>4</v>
      </c>
      <c r="AB539" s="72" t="b">
        <f>IFERROR(match(C539,'Match Day Fees'!$B$2:$B$999,0),0)=0</f>
        <v>0</v>
      </c>
      <c r="AC539" s="73">
        <f t="shared" si="1"/>
        <v>0</v>
      </c>
      <c r="AD539" s="3" t="str">
        <f>VLOOKUP(D539,'Position Lookup'!A:B,1,FALSE)</f>
        <v>MID</v>
      </c>
    </row>
    <row r="540" ht="17.25" customHeight="1">
      <c r="A540" s="32">
        <v>45192.0</v>
      </c>
      <c r="B540" s="5" t="s">
        <v>309</v>
      </c>
      <c r="C540" s="3" t="s">
        <v>79</v>
      </c>
      <c r="D540" s="3" t="s">
        <v>9</v>
      </c>
      <c r="E540" s="5">
        <v>2.0</v>
      </c>
      <c r="F540" s="3" t="s">
        <v>511</v>
      </c>
      <c r="G540" s="3" t="s">
        <v>242</v>
      </c>
      <c r="J540" s="5">
        <v>0.0</v>
      </c>
      <c r="N540" s="3" t="b">
        <v>1</v>
      </c>
      <c r="R540" s="3">
        <v>0.0</v>
      </c>
      <c r="T540" s="3">
        <v>10.0</v>
      </c>
      <c r="U540" s="3">
        <v>7.0</v>
      </c>
      <c r="V540" s="3" t="s">
        <v>522</v>
      </c>
      <c r="W540" s="74" t="s">
        <v>327</v>
      </c>
      <c r="X540" s="77" t="s">
        <v>513</v>
      </c>
      <c r="Y540" s="3">
        <v>0.0</v>
      </c>
      <c r="Z540" s="3">
        <v>0.0</v>
      </c>
      <c r="AA540" s="2">
        <f>2+ (P540*'Scoring System'!$B$3)+ (IF(OR(D540="DEF",D540="GK"),N540*'Scoring System'!$B$4,IF(D540="MID",N540*'Scoring System'!$B$5,0)))+ (IF(OR(D540="DEF",D540="GK"),H540*'Scoring System'!$B$6,IF(D540="MID",H540*'Scoring System'!$B$7,IF(D540="ATT",H540*'Scoring System'!$B$8,0))))+ IF(AND(OR(D540="GK",D540="DEF"),J540&gt;=3),1*'Scoring System'!$B$9,0)+ (I540*'Scoring System'!$B$10)+ (K540*'Scoring System'!$B$11)+ (M540*'Scoring System'!$B$12)+ (L540*'Scoring System'!$B$13)+ (O540*'Scoring System'!$B$14)+ (Q540*'Scoring System'!$B$15)+ (R540*'Scoring System'!$B$16)</f>
        <v>2</v>
      </c>
      <c r="AB540" s="72" t="b">
        <f>IFERROR(match(C540,'Match Day Fees'!$B$2:$B$999,0),0)=0</f>
        <v>0</v>
      </c>
      <c r="AC540" s="73">
        <f t="shared" si="1"/>
        <v>0</v>
      </c>
      <c r="AD540" s="3" t="str">
        <f>VLOOKUP(D540,'Position Lookup'!A:B,1,FALSE)</f>
        <v>ATT</v>
      </c>
    </row>
    <row r="541" ht="17.25" customHeight="1">
      <c r="A541" s="32">
        <v>45192.0</v>
      </c>
      <c r="B541" s="5" t="s">
        <v>309</v>
      </c>
      <c r="C541" s="3" t="s">
        <v>39</v>
      </c>
      <c r="D541" s="3" t="s">
        <v>10</v>
      </c>
      <c r="E541" s="5">
        <v>2.0</v>
      </c>
      <c r="F541" s="3" t="s">
        <v>511</v>
      </c>
      <c r="G541" s="3" t="s">
        <v>242</v>
      </c>
      <c r="J541" s="5">
        <v>0.0</v>
      </c>
      <c r="N541" s="3" t="b">
        <v>1</v>
      </c>
      <c r="R541" s="3">
        <v>0.0</v>
      </c>
      <c r="T541" s="3">
        <v>10.0</v>
      </c>
      <c r="U541" s="3">
        <v>8.0</v>
      </c>
      <c r="V541" s="3" t="s">
        <v>523</v>
      </c>
      <c r="W541" s="74" t="s">
        <v>327</v>
      </c>
      <c r="X541" s="77" t="s">
        <v>513</v>
      </c>
      <c r="Y541" s="3">
        <v>0.0</v>
      </c>
      <c r="Z541" s="3">
        <v>0.0</v>
      </c>
      <c r="AA541" s="2">
        <f>2+ (P541*'Scoring System'!$B$3)+ (IF(OR(D541="DEF",D541="GK"),N541*'Scoring System'!$B$4,IF(D541="MID",N541*'Scoring System'!$B$5,0)))+ (IF(OR(D541="DEF",D541="GK"),H541*'Scoring System'!$B$6,IF(D541="MID",H541*'Scoring System'!$B$7,IF(D541="ATT",H541*'Scoring System'!$B$8,0))))+ IF(AND(OR(D541="GK",D541="DEF"),J541&gt;=3),1*'Scoring System'!$B$9,0)+ (I541*'Scoring System'!$B$10)+ (K541*'Scoring System'!$B$11)+ (M541*'Scoring System'!$B$12)+ (L541*'Scoring System'!$B$13)+ (O541*'Scoring System'!$B$14)+ (Q541*'Scoring System'!$B$15)+ (R541*'Scoring System'!$B$16)</f>
        <v>4</v>
      </c>
      <c r="AB541" s="72" t="b">
        <f>IFERROR(match(C541,'Match Day Fees'!$B$2:$B$999,0),0)=0</f>
        <v>0</v>
      </c>
      <c r="AC541" s="73">
        <f t="shared" si="1"/>
        <v>0</v>
      </c>
      <c r="AD541" s="3" t="str">
        <f>VLOOKUP(D541,'Position Lookup'!A:B,1,FALSE)</f>
        <v>MID</v>
      </c>
    </row>
    <row r="542" ht="17.25" customHeight="1">
      <c r="A542" s="32">
        <v>45192.0</v>
      </c>
      <c r="B542" s="5" t="s">
        <v>309</v>
      </c>
      <c r="C542" s="3" t="s">
        <v>524</v>
      </c>
      <c r="D542" s="3" t="s">
        <v>9</v>
      </c>
      <c r="E542" s="5">
        <v>2.0</v>
      </c>
      <c r="F542" s="3" t="s">
        <v>511</v>
      </c>
      <c r="G542" s="3" t="s">
        <v>242</v>
      </c>
      <c r="J542" s="5">
        <v>0.0</v>
      </c>
      <c r="N542" s="3" t="b">
        <v>1</v>
      </c>
      <c r="R542" s="3">
        <v>0.0</v>
      </c>
      <c r="T542" s="3">
        <v>5.0</v>
      </c>
      <c r="U542" s="3">
        <v>8.0</v>
      </c>
      <c r="V542" s="3" t="s">
        <v>525</v>
      </c>
      <c r="W542" s="74" t="s">
        <v>327</v>
      </c>
      <c r="X542" s="77" t="s">
        <v>513</v>
      </c>
      <c r="Y542" s="3">
        <v>0.0</v>
      </c>
      <c r="Z542" s="3">
        <v>0.0</v>
      </c>
      <c r="AA542" s="2">
        <f>2+ (P542*'Scoring System'!$B$3)+ (IF(OR(D542="DEF",D542="GK"),N542*'Scoring System'!$B$4,IF(D542="MID",N542*'Scoring System'!$B$5,0)))+ (IF(OR(D542="DEF",D542="GK"),H542*'Scoring System'!$B$6,IF(D542="MID",H542*'Scoring System'!$B$7,IF(D542="ATT",H542*'Scoring System'!$B$8,0))))+ IF(AND(OR(D542="GK",D542="DEF"),J542&gt;=3),1*'Scoring System'!$B$9,0)+ (I542*'Scoring System'!$B$10)+ (K542*'Scoring System'!$B$11)+ (M542*'Scoring System'!$B$12)+ (L542*'Scoring System'!$B$13)+ (O542*'Scoring System'!$B$14)+ (Q542*'Scoring System'!$B$15)+ (R542*'Scoring System'!$B$16)</f>
        <v>2</v>
      </c>
      <c r="AB542" s="72" t="b">
        <f>IFERROR(match(C542,'Match Day Fees'!$B$2:$B$999,0),0)=0</f>
        <v>0</v>
      </c>
      <c r="AC542" s="73">
        <f t="shared" si="1"/>
        <v>0</v>
      </c>
      <c r="AD542" s="3" t="str">
        <f>VLOOKUP(D542,'Position Lookup'!A:B,1,FALSE)</f>
        <v>ATT</v>
      </c>
    </row>
    <row r="543" ht="17.25" customHeight="1">
      <c r="A543" s="32">
        <v>45192.0</v>
      </c>
      <c r="B543" s="5" t="s">
        <v>309</v>
      </c>
      <c r="C543" s="3" t="s">
        <v>155</v>
      </c>
      <c r="D543" s="3" t="s">
        <v>10</v>
      </c>
      <c r="E543" s="5">
        <v>2.0</v>
      </c>
      <c r="F543" s="3" t="s">
        <v>511</v>
      </c>
      <c r="G543" s="3" t="s">
        <v>242</v>
      </c>
      <c r="J543" s="5">
        <v>0.0</v>
      </c>
      <c r="N543" s="3" t="b">
        <v>1</v>
      </c>
      <c r="R543" s="3">
        <v>0.0</v>
      </c>
      <c r="T543" s="3">
        <v>10.0</v>
      </c>
      <c r="V543" s="3" t="s">
        <v>526</v>
      </c>
      <c r="W543" s="74" t="s">
        <v>327</v>
      </c>
      <c r="X543" s="77" t="s">
        <v>513</v>
      </c>
      <c r="Y543" s="3">
        <v>0.0</v>
      </c>
      <c r="Z543" s="3">
        <v>0.0</v>
      </c>
      <c r="AA543" s="2">
        <f>2+ (P543*'Scoring System'!$B$3)+ (IF(OR(D543="DEF",D543="GK"),N543*'Scoring System'!$B$4,IF(D543="MID",N543*'Scoring System'!$B$5,0)))+ (IF(OR(D543="DEF",D543="GK"),H543*'Scoring System'!$B$6,IF(D543="MID",H543*'Scoring System'!$B$7,IF(D543="ATT",H543*'Scoring System'!$B$8,0))))+ IF(AND(OR(D543="GK",D543="DEF"),J543&gt;=3),1*'Scoring System'!$B$9,0)+ (I543*'Scoring System'!$B$10)+ (K543*'Scoring System'!$B$11)+ (M543*'Scoring System'!$B$12)+ (L543*'Scoring System'!$B$13)+ (O543*'Scoring System'!$B$14)+ (Q543*'Scoring System'!$B$15)+ (R543*'Scoring System'!$B$16)</f>
        <v>4</v>
      </c>
      <c r="AB543" s="72" t="b">
        <f>IFERROR(match(C543,'Match Day Fees'!$B$2:$B$999,0),0)=0</f>
        <v>0</v>
      </c>
      <c r="AC543" s="73">
        <f t="shared" si="1"/>
        <v>0</v>
      </c>
      <c r="AD543" s="3" t="str">
        <f>VLOOKUP(D543,'Position Lookup'!A:B,1,FALSE)</f>
        <v>MID</v>
      </c>
    </row>
    <row r="544" ht="17.25" customHeight="1">
      <c r="A544" s="32">
        <v>45192.0</v>
      </c>
      <c r="B544" s="5" t="s">
        <v>309</v>
      </c>
      <c r="C544" s="3" t="s">
        <v>527</v>
      </c>
      <c r="D544" s="3" t="s">
        <v>8</v>
      </c>
      <c r="E544" s="5">
        <v>3.0</v>
      </c>
      <c r="F544" s="3" t="s">
        <v>528</v>
      </c>
      <c r="G544" s="3" t="s">
        <v>230</v>
      </c>
      <c r="J544" s="5">
        <v>3.0</v>
      </c>
      <c r="N544" s="3" t="b">
        <v>0</v>
      </c>
      <c r="R544" s="3">
        <v>0.0</v>
      </c>
      <c r="T544" s="3">
        <v>10.0</v>
      </c>
      <c r="U544" s="3">
        <v>5.0</v>
      </c>
      <c r="V544" s="3" t="s">
        <v>529</v>
      </c>
      <c r="W544" s="74" t="s">
        <v>344</v>
      </c>
      <c r="X544" s="77" t="s">
        <v>530</v>
      </c>
      <c r="Y544" s="3">
        <v>1.0</v>
      </c>
      <c r="Z544" s="3">
        <v>3.0</v>
      </c>
      <c r="AA544" s="2">
        <f>2+ (P544*'Scoring System'!$B$3)+ (IF(OR(D544="DEF",D544="GK"),N544*'Scoring System'!$B$4,IF(D544="MID",N544*'Scoring System'!$B$5,0)))+ (IF(OR(D544="DEF",D544="GK"),H544*'Scoring System'!$B$6,IF(D544="MID",H544*'Scoring System'!$B$7,IF(D544="ATT",H544*'Scoring System'!$B$8,0))))+ IF(AND(OR(D544="GK",D544="DEF"),J544&gt;=3),1*'Scoring System'!$B$9,0)+ (I544*'Scoring System'!$B$10)+ (K544*'Scoring System'!$B$11)+ (M544*'Scoring System'!$B$12)+ (L544*'Scoring System'!$B$13)+ (O544*'Scoring System'!$B$14)+ (Q544*'Scoring System'!$B$15)+ (R544*'Scoring System'!$B$16)</f>
        <v>1</v>
      </c>
      <c r="AB544" s="72" t="b">
        <f>IFERROR(match(C544,'Match Day Fees'!$B$2:$B$999,0),0)=0</f>
        <v>0</v>
      </c>
      <c r="AC544" s="73">
        <f t="shared" si="1"/>
        <v>0</v>
      </c>
      <c r="AD544" s="3" t="str">
        <f>VLOOKUP(D544,'Position Lookup'!A:B,1,FALSE)</f>
        <v>GK</v>
      </c>
    </row>
    <row r="545" ht="17.25" customHeight="1">
      <c r="A545" s="32">
        <v>45192.0</v>
      </c>
      <c r="B545" s="5" t="s">
        <v>309</v>
      </c>
      <c r="C545" s="3" t="s">
        <v>308</v>
      </c>
      <c r="D545" s="3" t="s">
        <v>11</v>
      </c>
      <c r="E545" s="5">
        <v>3.0</v>
      </c>
      <c r="F545" s="3" t="s">
        <v>528</v>
      </c>
      <c r="G545" s="3" t="s">
        <v>230</v>
      </c>
      <c r="J545" s="5">
        <v>3.0</v>
      </c>
      <c r="N545" s="3" t="b">
        <v>0</v>
      </c>
      <c r="R545" s="3">
        <v>0.0</v>
      </c>
      <c r="T545" s="3">
        <v>10.0</v>
      </c>
      <c r="U545" s="3">
        <v>7.0</v>
      </c>
      <c r="V545" s="3" t="s">
        <v>531</v>
      </c>
      <c r="W545" s="74" t="s">
        <v>344</v>
      </c>
      <c r="X545" s="78" t="s">
        <v>532</v>
      </c>
      <c r="Y545" s="3">
        <v>1.0</v>
      </c>
      <c r="Z545" s="3">
        <v>3.0</v>
      </c>
      <c r="AA545" s="2">
        <f>2+ (P545*'Scoring System'!$B$3)+ (IF(OR(D545="DEF",D545="GK"),N545*'Scoring System'!$B$4,IF(D545="MID",N545*'Scoring System'!$B$5,0)))+ (IF(OR(D545="DEF",D545="GK"),H545*'Scoring System'!$B$6,IF(D545="MID",H545*'Scoring System'!$B$7,IF(D545="ATT",H545*'Scoring System'!$B$8,0))))+ IF(AND(OR(D545="GK",D545="DEF"),J545&gt;=3),1*'Scoring System'!$B$9,0)+ (I545*'Scoring System'!$B$10)+ (K545*'Scoring System'!$B$11)+ (M545*'Scoring System'!$B$12)+ (L545*'Scoring System'!$B$13)+ (O545*'Scoring System'!$B$14)+ (Q545*'Scoring System'!$B$15)+ (R545*'Scoring System'!$B$16)</f>
        <v>1</v>
      </c>
      <c r="AB545" s="72" t="b">
        <f>IFERROR(match(C545,'Match Day Fees'!$B$2:$B$999,0),0)=0</f>
        <v>0</v>
      </c>
      <c r="AC545" s="73">
        <f t="shared" si="1"/>
        <v>0</v>
      </c>
      <c r="AD545" s="3" t="str">
        <f>VLOOKUP(D545,'Position Lookup'!A:B,1,FALSE)</f>
        <v>DEF</v>
      </c>
    </row>
    <row r="546" ht="17.25" customHeight="1">
      <c r="A546" s="32">
        <v>45192.0</v>
      </c>
      <c r="B546" s="5" t="s">
        <v>309</v>
      </c>
      <c r="C546" s="3" t="s">
        <v>55</v>
      </c>
      <c r="D546" s="3" t="s">
        <v>11</v>
      </c>
      <c r="E546" s="5">
        <v>3.0</v>
      </c>
      <c r="F546" s="3" t="s">
        <v>528</v>
      </c>
      <c r="G546" s="3" t="s">
        <v>230</v>
      </c>
      <c r="J546" s="5">
        <v>3.0</v>
      </c>
      <c r="N546" s="3" t="b">
        <v>0</v>
      </c>
      <c r="Q546" s="3">
        <v>1.0</v>
      </c>
      <c r="R546" s="3">
        <v>0.0</v>
      </c>
      <c r="S546" s="3" t="b">
        <v>1</v>
      </c>
      <c r="T546" s="3">
        <v>0.0</v>
      </c>
      <c r="U546" s="3">
        <v>5.0</v>
      </c>
      <c r="V546" s="3" t="s">
        <v>533</v>
      </c>
      <c r="W546" s="74" t="s">
        <v>344</v>
      </c>
      <c r="X546" s="77" t="s">
        <v>530</v>
      </c>
      <c r="Y546" s="3">
        <v>1.0</v>
      </c>
      <c r="Z546" s="3">
        <v>3.0</v>
      </c>
      <c r="AA546" s="2">
        <f>2+ (P546*'Scoring System'!$B$3)+ (IF(OR(D546="DEF",D546="GK"),N546*'Scoring System'!$B$4,IF(D546="MID",N546*'Scoring System'!$B$5,0)))+ (IF(OR(D546="DEF",D546="GK"),H546*'Scoring System'!$B$6,IF(D546="MID",H546*'Scoring System'!$B$7,IF(D546="ATT",H546*'Scoring System'!$B$8,0))))+ IF(AND(OR(D546="GK",D546="DEF"),J546&gt;=3),1*'Scoring System'!$B$9,0)+ (I546*'Scoring System'!$B$10)+ (K546*'Scoring System'!$B$11)+ (M546*'Scoring System'!$B$12)+ (L546*'Scoring System'!$B$13)+ (O546*'Scoring System'!$B$14)+ (Q546*'Scoring System'!$B$15)+ (R546*'Scoring System'!$B$16)</f>
        <v>-1</v>
      </c>
      <c r="AB546" s="72" t="b">
        <f>IFERROR(match(C546,'Match Day Fees'!$B$2:$B$999,0),0)=0</f>
        <v>0</v>
      </c>
      <c r="AC546" s="73">
        <f t="shared" si="1"/>
        <v>0</v>
      </c>
      <c r="AD546" s="3" t="str">
        <f>VLOOKUP(D546,'Position Lookup'!A:B,1,FALSE)</f>
        <v>DEF</v>
      </c>
    </row>
    <row r="547" ht="17.25" customHeight="1">
      <c r="A547" s="32">
        <v>45192.0</v>
      </c>
      <c r="B547" s="5" t="s">
        <v>309</v>
      </c>
      <c r="C547" s="3" t="s">
        <v>256</v>
      </c>
      <c r="D547" s="3" t="s">
        <v>11</v>
      </c>
      <c r="E547" s="5">
        <v>3.0</v>
      </c>
      <c r="F547" s="3" t="s">
        <v>528</v>
      </c>
      <c r="G547" s="3" t="s">
        <v>230</v>
      </c>
      <c r="J547" s="5">
        <v>3.0</v>
      </c>
      <c r="N547" s="3" t="b">
        <v>0</v>
      </c>
      <c r="R547" s="3">
        <v>0.0</v>
      </c>
      <c r="T547" s="3">
        <v>5.0</v>
      </c>
      <c r="U547" s="3">
        <v>8.0</v>
      </c>
      <c r="V547" s="3" t="s">
        <v>534</v>
      </c>
      <c r="W547" s="74" t="s">
        <v>344</v>
      </c>
      <c r="X547" s="77" t="s">
        <v>530</v>
      </c>
      <c r="Y547" s="3">
        <v>1.0</v>
      </c>
      <c r="Z547" s="3">
        <v>3.0</v>
      </c>
      <c r="AA547" s="2">
        <f>2+ (P547*'Scoring System'!$B$3)+ (IF(OR(D547="DEF",D547="GK"),N547*'Scoring System'!$B$4,IF(D547="MID",N547*'Scoring System'!$B$5,0)))+ (IF(OR(D547="DEF",D547="GK"),H547*'Scoring System'!$B$6,IF(D547="MID",H547*'Scoring System'!$B$7,IF(D547="ATT",H547*'Scoring System'!$B$8,0))))+ IF(AND(OR(D547="GK",D547="DEF"),J547&gt;=3),1*'Scoring System'!$B$9,0)+ (I547*'Scoring System'!$B$10)+ (K547*'Scoring System'!$B$11)+ (M547*'Scoring System'!$B$12)+ (L547*'Scoring System'!$B$13)+ (O547*'Scoring System'!$B$14)+ (Q547*'Scoring System'!$B$15)+ (R547*'Scoring System'!$B$16)</f>
        <v>1</v>
      </c>
      <c r="AB547" s="72" t="b">
        <f>IFERROR(match(C547,'Match Day Fees'!$B$2:$B$999,0),0)=0</f>
        <v>0</v>
      </c>
      <c r="AC547" s="73">
        <f t="shared" si="1"/>
        <v>0</v>
      </c>
      <c r="AD547" s="3" t="str">
        <f>VLOOKUP(D547,'Position Lookup'!A:B,1,FALSE)</f>
        <v>DEF</v>
      </c>
    </row>
    <row r="548" ht="17.25" customHeight="1">
      <c r="A548" s="32">
        <v>45192.0</v>
      </c>
      <c r="B548" s="5" t="s">
        <v>309</v>
      </c>
      <c r="C548" s="3" t="s">
        <v>119</v>
      </c>
      <c r="D548" s="3" t="s">
        <v>11</v>
      </c>
      <c r="E548" s="5">
        <v>3.0</v>
      </c>
      <c r="F548" s="3" t="s">
        <v>528</v>
      </c>
      <c r="G548" s="3" t="s">
        <v>230</v>
      </c>
      <c r="J548" s="5">
        <v>3.0</v>
      </c>
      <c r="N548" s="3" t="b">
        <v>0</v>
      </c>
      <c r="R548" s="3">
        <v>0.0</v>
      </c>
      <c r="T548" s="3">
        <v>10.0</v>
      </c>
      <c r="U548" s="3">
        <v>6.0</v>
      </c>
      <c r="V548" s="3" t="s">
        <v>535</v>
      </c>
      <c r="W548" s="74" t="s">
        <v>344</v>
      </c>
      <c r="X548" s="77" t="s">
        <v>530</v>
      </c>
      <c r="Y548" s="3">
        <v>1.0</v>
      </c>
      <c r="Z548" s="3">
        <v>3.0</v>
      </c>
      <c r="AA548" s="2">
        <f>2+ (P548*'Scoring System'!$B$3)+ (IF(OR(D548="DEF",D548="GK"),N548*'Scoring System'!$B$4,IF(D548="MID",N548*'Scoring System'!$B$5,0)))+ (IF(OR(D548="DEF",D548="GK"),H548*'Scoring System'!$B$6,IF(D548="MID",H548*'Scoring System'!$B$7,IF(D548="ATT",H548*'Scoring System'!$B$8,0))))+ IF(AND(OR(D548="GK",D548="DEF"),J548&gt;=3),1*'Scoring System'!$B$9,0)+ (I548*'Scoring System'!$B$10)+ (K548*'Scoring System'!$B$11)+ (M548*'Scoring System'!$B$12)+ (L548*'Scoring System'!$B$13)+ (O548*'Scoring System'!$B$14)+ (Q548*'Scoring System'!$B$15)+ (R548*'Scoring System'!$B$16)</f>
        <v>1</v>
      </c>
      <c r="AB548" s="72" t="b">
        <f>IFERROR(match(C548,'Match Day Fees'!$B$2:$B$999,0),0)=0</f>
        <v>0</v>
      </c>
      <c r="AC548" s="73">
        <f t="shared" si="1"/>
        <v>0</v>
      </c>
      <c r="AD548" s="3" t="str">
        <f>VLOOKUP(D548,'Position Lookup'!A:B,1,FALSE)</f>
        <v>DEF</v>
      </c>
    </row>
    <row r="549" ht="17.25" customHeight="1">
      <c r="A549" s="32">
        <v>45192.0</v>
      </c>
      <c r="B549" s="5" t="s">
        <v>309</v>
      </c>
      <c r="C549" s="3" t="s">
        <v>113</v>
      </c>
      <c r="D549" s="3" t="s">
        <v>10</v>
      </c>
      <c r="E549" s="5">
        <v>3.0</v>
      </c>
      <c r="F549" s="3" t="s">
        <v>528</v>
      </c>
      <c r="G549" s="3" t="s">
        <v>230</v>
      </c>
      <c r="J549" s="5">
        <v>3.0</v>
      </c>
      <c r="N549" s="3" t="b">
        <v>0</v>
      </c>
      <c r="R549" s="3">
        <v>0.0</v>
      </c>
      <c r="T549" s="3">
        <v>10.0</v>
      </c>
      <c r="U549" s="3">
        <v>6.0</v>
      </c>
      <c r="V549" s="3" t="s">
        <v>536</v>
      </c>
      <c r="W549" s="74" t="s">
        <v>344</v>
      </c>
      <c r="X549" s="77" t="s">
        <v>530</v>
      </c>
      <c r="Y549" s="3">
        <v>1.0</v>
      </c>
      <c r="Z549" s="3">
        <v>3.0</v>
      </c>
      <c r="AA549" s="2">
        <f>2+ (P549*'Scoring System'!$B$3)+ (IF(OR(D549="DEF",D549="GK"),N549*'Scoring System'!$B$4,IF(D549="MID",N549*'Scoring System'!$B$5,0)))+ (IF(OR(D549="DEF",D549="GK"),H549*'Scoring System'!$B$6,IF(D549="MID",H549*'Scoring System'!$B$7,IF(D549="ATT",H549*'Scoring System'!$B$8,0))))+ IF(AND(OR(D549="GK",D549="DEF"),J549&gt;=3),1*'Scoring System'!$B$9,0)+ (I549*'Scoring System'!$B$10)+ (K549*'Scoring System'!$B$11)+ (M549*'Scoring System'!$B$12)+ (L549*'Scoring System'!$B$13)+ (O549*'Scoring System'!$B$14)+ (Q549*'Scoring System'!$B$15)+ (R549*'Scoring System'!$B$16)</f>
        <v>2</v>
      </c>
      <c r="AB549" s="72" t="b">
        <f>IFERROR(match(C549,'Match Day Fees'!$B$2:$B$999,0),0)=0</f>
        <v>0</v>
      </c>
      <c r="AC549" s="73">
        <f t="shared" si="1"/>
        <v>0</v>
      </c>
      <c r="AD549" s="3" t="str">
        <f>VLOOKUP(D549,'Position Lookup'!A:B,1,FALSE)</f>
        <v>MID</v>
      </c>
    </row>
    <row r="550" ht="17.25" customHeight="1">
      <c r="A550" s="32">
        <v>45192.0</v>
      </c>
      <c r="B550" s="5" t="s">
        <v>309</v>
      </c>
      <c r="C550" s="3" t="s">
        <v>86</v>
      </c>
      <c r="D550" s="3" t="s">
        <v>10</v>
      </c>
      <c r="E550" s="5">
        <v>3.0</v>
      </c>
      <c r="F550" s="3" t="s">
        <v>528</v>
      </c>
      <c r="G550" s="3" t="s">
        <v>230</v>
      </c>
      <c r="J550" s="5">
        <v>3.0</v>
      </c>
      <c r="N550" s="3" t="b">
        <v>0</v>
      </c>
      <c r="R550" s="3">
        <v>1.0</v>
      </c>
      <c r="T550" s="3">
        <v>10.0</v>
      </c>
      <c r="U550" s="3">
        <v>9.0</v>
      </c>
      <c r="V550" s="3" t="s">
        <v>537</v>
      </c>
      <c r="W550" s="74" t="s">
        <v>344</v>
      </c>
      <c r="X550" s="77" t="s">
        <v>530</v>
      </c>
      <c r="Y550" s="3">
        <v>1.0</v>
      </c>
      <c r="Z550" s="3">
        <v>3.0</v>
      </c>
      <c r="AA550" s="2">
        <f>2+ (P550*'Scoring System'!$B$3)+ (IF(OR(D550="DEF",D550="GK"),N550*'Scoring System'!$B$4,IF(D550="MID",N550*'Scoring System'!$B$5,0)))+ (IF(OR(D550="DEF",D550="GK"),H550*'Scoring System'!$B$6,IF(D550="MID",H550*'Scoring System'!$B$7,IF(D550="ATT",H550*'Scoring System'!$B$8,0))))+ IF(AND(OR(D550="GK",D550="DEF"),J550&gt;=3),1*'Scoring System'!$B$9,0)+ (I550*'Scoring System'!$B$10)+ (K550*'Scoring System'!$B$11)+ (M550*'Scoring System'!$B$12)+ (L550*'Scoring System'!$B$13)+ (O550*'Scoring System'!$B$14)+ (Q550*'Scoring System'!$B$15)+ (R550*'Scoring System'!$B$16)</f>
        <v>7</v>
      </c>
      <c r="AB550" s="72" t="b">
        <f>IFERROR(match(C550,'Match Day Fees'!$B$2:$B$999,0),0)=0</f>
        <v>0</v>
      </c>
      <c r="AC550" s="73">
        <f t="shared" si="1"/>
        <v>0</v>
      </c>
      <c r="AD550" s="3" t="str">
        <f>VLOOKUP(D550,'Position Lookup'!A:B,1,FALSE)</f>
        <v>MID</v>
      </c>
    </row>
    <row r="551" ht="17.25" customHeight="1">
      <c r="A551" s="32">
        <v>45192.0</v>
      </c>
      <c r="B551" s="5" t="s">
        <v>309</v>
      </c>
      <c r="C551" s="3" t="s">
        <v>123</v>
      </c>
      <c r="D551" s="3" t="s">
        <v>10</v>
      </c>
      <c r="E551" s="5">
        <v>3.0</v>
      </c>
      <c r="F551" s="3" t="s">
        <v>528</v>
      </c>
      <c r="G551" s="3" t="s">
        <v>230</v>
      </c>
      <c r="J551" s="5">
        <v>3.0</v>
      </c>
      <c r="K551" s="3">
        <v>1.0</v>
      </c>
      <c r="L551" s="3" t="b">
        <v>1</v>
      </c>
      <c r="N551" s="3" t="b">
        <v>0</v>
      </c>
      <c r="R551" s="3">
        <v>0.0</v>
      </c>
      <c r="T551" s="3">
        <v>0.0</v>
      </c>
      <c r="U551" s="3">
        <v>5.0</v>
      </c>
      <c r="V551" s="3" t="s">
        <v>538</v>
      </c>
      <c r="W551" s="74" t="s">
        <v>344</v>
      </c>
      <c r="X551" s="77" t="s">
        <v>530</v>
      </c>
      <c r="Y551" s="3">
        <v>1.0</v>
      </c>
      <c r="Z551" s="3">
        <v>3.0</v>
      </c>
      <c r="AA551" s="2">
        <f>2+ (P551*'Scoring System'!$B$3)+ (IF(OR(D551="DEF",D551="GK"),N551*'Scoring System'!$B$4,IF(D551="MID",N551*'Scoring System'!$B$5,0)))+ (IF(OR(D551="DEF",D551="GK"),H551*'Scoring System'!$B$6,IF(D551="MID",H551*'Scoring System'!$B$7,IF(D551="ATT",H551*'Scoring System'!$B$8,0))))+ IF(AND(OR(D551="GK",D551="DEF"),J551&gt;=3),1*'Scoring System'!$B$9,0)+ (I551*'Scoring System'!$B$10)+ (K551*'Scoring System'!$B$11)+ (M551*'Scoring System'!$B$12)+ (L551*'Scoring System'!$B$13)+ (O551*'Scoring System'!$B$14)+ (Q551*'Scoring System'!$B$15)+ (R551*'Scoring System'!$B$16)</f>
        <v>-1</v>
      </c>
      <c r="AB551" s="72" t="b">
        <f>IFERROR(match(C551,'Match Day Fees'!$B$2:$B$999,0),0)=0</f>
        <v>0</v>
      </c>
      <c r="AC551" s="73">
        <f t="shared" si="1"/>
        <v>0</v>
      </c>
      <c r="AD551" s="3" t="str">
        <f>VLOOKUP(D551,'Position Lookup'!A:B,1,FALSE)</f>
        <v>MID</v>
      </c>
    </row>
    <row r="552" ht="17.25" customHeight="1">
      <c r="A552" s="32">
        <v>45192.0</v>
      </c>
      <c r="B552" s="5" t="s">
        <v>309</v>
      </c>
      <c r="C552" s="3" t="s">
        <v>105</v>
      </c>
      <c r="D552" s="3" t="s">
        <v>10</v>
      </c>
      <c r="E552" s="5">
        <v>3.0</v>
      </c>
      <c r="F552" s="3" t="s">
        <v>528</v>
      </c>
      <c r="G552" s="3" t="s">
        <v>230</v>
      </c>
      <c r="I552" s="3">
        <v>1.0</v>
      </c>
      <c r="J552" s="5">
        <v>3.0</v>
      </c>
      <c r="N552" s="3" t="b">
        <v>0</v>
      </c>
      <c r="R552" s="3">
        <v>0.0</v>
      </c>
      <c r="T552" s="3">
        <v>10.0</v>
      </c>
      <c r="U552" s="3">
        <v>7.0</v>
      </c>
      <c r="V552" s="3" t="s">
        <v>539</v>
      </c>
      <c r="W552" s="74" t="s">
        <v>344</v>
      </c>
      <c r="X552" s="77" t="s">
        <v>530</v>
      </c>
      <c r="Y552" s="3">
        <v>1.0</v>
      </c>
      <c r="Z552" s="3">
        <v>3.0</v>
      </c>
      <c r="AA552" s="2">
        <f>2+ (P552*'Scoring System'!$B$3)+ (IF(OR(D552="DEF",D552="GK"),N552*'Scoring System'!$B$4,IF(D552="MID",N552*'Scoring System'!$B$5,0)))+ (IF(OR(D552="DEF",D552="GK"),H552*'Scoring System'!$B$6,IF(D552="MID",H552*'Scoring System'!$B$7,IF(D552="ATT",H552*'Scoring System'!$B$8,0))))+ IF(AND(OR(D552="GK",D552="DEF"),J552&gt;=3),1*'Scoring System'!$B$9,0)+ (I552*'Scoring System'!$B$10)+ (K552*'Scoring System'!$B$11)+ (M552*'Scoring System'!$B$12)+ (L552*'Scoring System'!$B$13)+ (O552*'Scoring System'!$B$14)+ (Q552*'Scoring System'!$B$15)+ (R552*'Scoring System'!$B$16)</f>
        <v>5</v>
      </c>
      <c r="AB552" s="72" t="b">
        <f>IFERROR(match(C552,'Match Day Fees'!$B$2:$B$999,0),0)=0</f>
        <v>0</v>
      </c>
      <c r="AC552" s="73">
        <f t="shared" si="1"/>
        <v>0</v>
      </c>
      <c r="AD552" s="3" t="str">
        <f>VLOOKUP(D552,'Position Lookup'!A:B,1,FALSE)</f>
        <v>MID</v>
      </c>
    </row>
    <row r="553" ht="17.25" customHeight="1">
      <c r="A553" s="32">
        <v>45192.0</v>
      </c>
      <c r="B553" s="5" t="s">
        <v>309</v>
      </c>
      <c r="C553" s="3" t="s">
        <v>87</v>
      </c>
      <c r="D553" s="3" t="s">
        <v>10</v>
      </c>
      <c r="E553" s="5">
        <v>3.0</v>
      </c>
      <c r="F553" s="3" t="s">
        <v>528</v>
      </c>
      <c r="G553" s="3" t="s">
        <v>230</v>
      </c>
      <c r="H553" s="3">
        <v>1.0</v>
      </c>
      <c r="J553" s="5">
        <v>3.0</v>
      </c>
      <c r="N553" s="3" t="b">
        <v>0</v>
      </c>
      <c r="R553" s="3">
        <v>0.0</v>
      </c>
      <c r="T553" s="5">
        <v>5.0</v>
      </c>
      <c r="U553" s="3">
        <v>7.0</v>
      </c>
      <c r="V553" s="3" t="s">
        <v>540</v>
      </c>
      <c r="W553" s="74" t="s">
        <v>344</v>
      </c>
      <c r="X553" s="77" t="s">
        <v>530</v>
      </c>
      <c r="Y553" s="3">
        <v>1.0</v>
      </c>
      <c r="Z553" s="3">
        <v>3.0</v>
      </c>
      <c r="AA553" s="2">
        <f>2+ (P553*'Scoring System'!$B$3)+ (IF(OR(D553="DEF",D553="GK"),N553*'Scoring System'!$B$4,IF(D553="MID",N553*'Scoring System'!$B$5,0)))+ (IF(OR(D553="DEF",D553="GK"),H553*'Scoring System'!$B$6,IF(D553="MID",H553*'Scoring System'!$B$7,IF(D553="ATT",H553*'Scoring System'!$B$8,0))))+ IF(AND(OR(D553="GK",D553="DEF"),J553&gt;=3),1*'Scoring System'!$B$9,0)+ (I553*'Scoring System'!$B$10)+ (K553*'Scoring System'!$B$11)+ (M553*'Scoring System'!$B$12)+ (L553*'Scoring System'!$B$13)+ (O553*'Scoring System'!$B$14)+ (Q553*'Scoring System'!$B$15)+ (R553*'Scoring System'!$B$16)</f>
        <v>7</v>
      </c>
      <c r="AB553" s="72" t="b">
        <f>IFERROR(match(C553,'Match Day Fees'!$B$2:$B$999,0),0)=0</f>
        <v>0</v>
      </c>
      <c r="AC553" s="73">
        <f t="shared" si="1"/>
        <v>0</v>
      </c>
      <c r="AD553" s="3" t="str">
        <f>VLOOKUP(D553,'Position Lookup'!A:B,1,FALSE)</f>
        <v>MID</v>
      </c>
    </row>
    <row r="554" ht="17.25" customHeight="1">
      <c r="A554" s="32">
        <v>45192.0</v>
      </c>
      <c r="B554" s="5" t="s">
        <v>309</v>
      </c>
      <c r="C554" s="3" t="s">
        <v>74</v>
      </c>
      <c r="D554" s="3" t="s">
        <v>9</v>
      </c>
      <c r="E554" s="5">
        <v>3.0</v>
      </c>
      <c r="F554" s="3" t="s">
        <v>528</v>
      </c>
      <c r="G554" s="3" t="s">
        <v>230</v>
      </c>
      <c r="J554" s="5">
        <v>3.0</v>
      </c>
      <c r="K554" s="5">
        <v>1.0</v>
      </c>
      <c r="N554" s="3" t="b">
        <v>0</v>
      </c>
      <c r="R554" s="3">
        <v>0.0</v>
      </c>
      <c r="T554" s="3">
        <v>10.0</v>
      </c>
      <c r="U554" s="3">
        <v>5.0</v>
      </c>
      <c r="V554" s="3" t="s">
        <v>541</v>
      </c>
      <c r="W554" s="74" t="s">
        <v>344</v>
      </c>
      <c r="X554" s="77" t="s">
        <v>530</v>
      </c>
      <c r="Y554" s="3">
        <v>1.0</v>
      </c>
      <c r="Z554" s="3">
        <v>3.0</v>
      </c>
      <c r="AA554" s="2">
        <f>2+ (P554*'Scoring System'!$B$3)+ (IF(OR(D554="DEF",D554="GK"),N554*'Scoring System'!$B$4,IF(D554="MID",N554*'Scoring System'!$B$5,0)))+ (IF(OR(D554="DEF",D554="GK"),H554*'Scoring System'!$B$6,IF(D554="MID",H554*'Scoring System'!$B$7,IF(D554="ATT",H554*'Scoring System'!$B$8,0))))+ IF(AND(OR(D554="GK",D554="DEF"),J554&gt;=3),1*'Scoring System'!$B$9,0)+ (I554*'Scoring System'!$B$10)+ (K554*'Scoring System'!$B$11)+ (M554*'Scoring System'!$B$12)+ (L554*'Scoring System'!$B$13)+ (O554*'Scoring System'!$B$14)+ (Q554*'Scoring System'!$B$15)+ (R554*'Scoring System'!$B$16)</f>
        <v>1</v>
      </c>
      <c r="AB554" s="72" t="b">
        <f>IFERROR(match(C554,'Match Day Fees'!$B$2:$B$999,0),0)=0</f>
        <v>0</v>
      </c>
      <c r="AC554" s="73">
        <f t="shared" si="1"/>
        <v>0</v>
      </c>
      <c r="AD554" s="3" t="str">
        <f>VLOOKUP(D554,'Position Lookup'!A:B,1,FALSE)</f>
        <v>ATT</v>
      </c>
    </row>
    <row r="555" ht="17.25" customHeight="1">
      <c r="A555" s="32">
        <v>45192.0</v>
      </c>
      <c r="B555" s="5" t="s">
        <v>309</v>
      </c>
      <c r="C555" s="3" t="s">
        <v>71</v>
      </c>
      <c r="D555" s="3" t="s">
        <v>10</v>
      </c>
      <c r="E555" s="5">
        <v>3.0</v>
      </c>
      <c r="F555" s="3" t="s">
        <v>528</v>
      </c>
      <c r="G555" s="3" t="s">
        <v>230</v>
      </c>
      <c r="J555" s="5">
        <v>3.0</v>
      </c>
      <c r="N555" s="3" t="b">
        <v>0</v>
      </c>
      <c r="R555" s="3">
        <v>0.0</v>
      </c>
      <c r="T555" s="3">
        <v>10.0</v>
      </c>
      <c r="U555" s="3">
        <v>6.0</v>
      </c>
      <c r="V555" s="3" t="s">
        <v>542</v>
      </c>
      <c r="W555" s="74" t="s">
        <v>344</v>
      </c>
      <c r="X555" s="77" t="s">
        <v>530</v>
      </c>
      <c r="Y555" s="3">
        <v>1.0</v>
      </c>
      <c r="Z555" s="3">
        <v>3.0</v>
      </c>
      <c r="AA555" s="2">
        <f>2+ (P555*'Scoring System'!$B$3)+ (IF(OR(D555="DEF",D555="GK"),N555*'Scoring System'!$B$4,IF(D555="MID",N555*'Scoring System'!$B$5,0)))+ (IF(OR(D555="DEF",D555="GK"),H555*'Scoring System'!$B$6,IF(D555="MID",H555*'Scoring System'!$B$7,IF(D555="ATT",H555*'Scoring System'!$B$8,0))))+ IF(AND(OR(D555="GK",D555="DEF"),J555&gt;=3),1*'Scoring System'!$B$9,0)+ (I555*'Scoring System'!$B$10)+ (K555*'Scoring System'!$B$11)+ (M555*'Scoring System'!$B$12)+ (L555*'Scoring System'!$B$13)+ (O555*'Scoring System'!$B$14)+ (Q555*'Scoring System'!$B$15)+ (R555*'Scoring System'!$B$16)</f>
        <v>2</v>
      </c>
      <c r="AB555" s="72" t="b">
        <f>IFERROR(match(C555,'Match Day Fees'!$B$2:$B$999,0),0)=0</f>
        <v>0</v>
      </c>
      <c r="AC555" s="73">
        <f t="shared" si="1"/>
        <v>0</v>
      </c>
      <c r="AD555" s="3" t="str">
        <f>VLOOKUP(D555,'Position Lookup'!A:B,1,FALSE)</f>
        <v>MID</v>
      </c>
    </row>
    <row r="556" ht="17.25" customHeight="1">
      <c r="A556" s="32">
        <v>45192.0</v>
      </c>
      <c r="B556" s="5" t="s">
        <v>309</v>
      </c>
      <c r="C556" s="3" t="s">
        <v>133</v>
      </c>
      <c r="D556" s="3" t="s">
        <v>11</v>
      </c>
      <c r="E556" s="5">
        <v>3.0</v>
      </c>
      <c r="F556" s="3" t="s">
        <v>528</v>
      </c>
      <c r="G556" s="3" t="s">
        <v>230</v>
      </c>
      <c r="J556" s="5">
        <v>3.0</v>
      </c>
      <c r="N556" s="3" t="b">
        <v>0</v>
      </c>
      <c r="R556" s="3">
        <v>0.0</v>
      </c>
      <c r="T556" s="3">
        <v>10.0</v>
      </c>
      <c r="U556" s="3">
        <v>3.5</v>
      </c>
      <c r="V556" s="3" t="s">
        <v>543</v>
      </c>
      <c r="W556" s="74" t="s">
        <v>344</v>
      </c>
      <c r="X556" s="77" t="s">
        <v>530</v>
      </c>
      <c r="Y556" s="3">
        <v>1.0</v>
      </c>
      <c r="Z556" s="3">
        <v>3.0</v>
      </c>
      <c r="AA556" s="2">
        <f>2+ (P556*'Scoring System'!$B$3)+ (IF(OR(D556="DEF",D556="GK"),N556*'Scoring System'!$B$4,IF(D556="MID",N556*'Scoring System'!$B$5,0)))+ (IF(OR(D556="DEF",D556="GK"),H556*'Scoring System'!$B$6,IF(D556="MID",H556*'Scoring System'!$B$7,IF(D556="ATT",H556*'Scoring System'!$B$8,0))))+ IF(AND(OR(D556="GK",D556="DEF"),J556&gt;=3),1*'Scoring System'!$B$9,0)+ (I556*'Scoring System'!$B$10)+ (K556*'Scoring System'!$B$11)+ (M556*'Scoring System'!$B$12)+ (L556*'Scoring System'!$B$13)+ (O556*'Scoring System'!$B$14)+ (Q556*'Scoring System'!$B$15)+ (R556*'Scoring System'!$B$16)</f>
        <v>1</v>
      </c>
      <c r="AB556" s="72" t="b">
        <f>IFERROR(match(C556,'Match Day Fees'!$B$2:$B$999,0),0)=0</f>
        <v>0</v>
      </c>
      <c r="AC556" s="73">
        <f t="shared" si="1"/>
        <v>0</v>
      </c>
      <c r="AD556" s="3" t="str">
        <f>VLOOKUP(D556,'Position Lookup'!A:B,1,FALSE)</f>
        <v>DEF</v>
      </c>
    </row>
    <row r="557" ht="17.25" customHeight="1">
      <c r="A557" s="32">
        <v>45192.0</v>
      </c>
      <c r="B557" s="5" t="s">
        <v>309</v>
      </c>
      <c r="C557" s="3" t="s">
        <v>259</v>
      </c>
      <c r="D557" s="3" t="s">
        <v>8</v>
      </c>
      <c r="E557" s="5">
        <v>4.0</v>
      </c>
      <c r="F557" s="3" t="s">
        <v>544</v>
      </c>
      <c r="G557" s="3" t="s">
        <v>230</v>
      </c>
      <c r="J557" s="5">
        <v>7.0</v>
      </c>
      <c r="N557" s="3" t="b">
        <v>0</v>
      </c>
      <c r="R557" s="3">
        <v>0.0</v>
      </c>
      <c r="T557" s="3">
        <v>10.0</v>
      </c>
      <c r="U557" s="3">
        <v>5.0</v>
      </c>
      <c r="V557" s="3" t="s">
        <v>545</v>
      </c>
      <c r="W557" s="74" t="s">
        <v>448</v>
      </c>
      <c r="X557" s="77" t="s">
        <v>546</v>
      </c>
      <c r="Y557" s="3">
        <v>0.0</v>
      </c>
      <c r="Z557" s="3">
        <v>7.0</v>
      </c>
      <c r="AA557" s="2">
        <f>2+ (P557*'Scoring System'!$B$3)+ (IF(OR(D557="DEF",D557="GK"),N557*'Scoring System'!$B$4,IF(D557="MID",N557*'Scoring System'!$B$5,0)))+ (IF(OR(D557="DEF",D557="GK"),H557*'Scoring System'!$B$6,IF(D557="MID",H557*'Scoring System'!$B$7,IF(D557="ATT",H557*'Scoring System'!$B$8,0))))+ IF(AND(OR(D557="GK",D557="DEF"),J557&gt;=3),1*'Scoring System'!$B$9,0)+ (I557*'Scoring System'!$B$10)+ (K557*'Scoring System'!$B$11)+ (M557*'Scoring System'!$B$12)+ (L557*'Scoring System'!$B$13)+ (O557*'Scoring System'!$B$14)+ (Q557*'Scoring System'!$B$15)+ (R557*'Scoring System'!$B$16)</f>
        <v>1</v>
      </c>
      <c r="AB557" s="72" t="b">
        <f>IFERROR(match(C557,'Match Day Fees'!$B$2:$B$999,0),0)=0</f>
        <v>0</v>
      </c>
      <c r="AC557" s="73">
        <f t="shared" si="1"/>
        <v>0</v>
      </c>
      <c r="AD557" s="3" t="str">
        <f>VLOOKUP(D557,'Position Lookup'!A:B,1,FALSE)</f>
        <v>GK</v>
      </c>
    </row>
    <row r="558" ht="17.25" customHeight="1">
      <c r="A558" s="32">
        <v>45192.0</v>
      </c>
      <c r="B558" s="5" t="s">
        <v>309</v>
      </c>
      <c r="C558" s="3" t="s">
        <v>116</v>
      </c>
      <c r="D558" s="3" t="s">
        <v>11</v>
      </c>
      <c r="E558" s="5">
        <v>4.0</v>
      </c>
      <c r="F558" s="3" t="s">
        <v>544</v>
      </c>
      <c r="G558" s="3" t="s">
        <v>230</v>
      </c>
      <c r="J558" s="5">
        <v>7.0</v>
      </c>
      <c r="N558" s="3" t="b">
        <v>0</v>
      </c>
      <c r="R558" s="3">
        <v>0.0</v>
      </c>
      <c r="T558" s="3">
        <v>10.0</v>
      </c>
      <c r="U558" s="3">
        <v>6.0</v>
      </c>
      <c r="V558" s="3" t="s">
        <v>547</v>
      </c>
      <c r="W558" s="74" t="s">
        <v>448</v>
      </c>
      <c r="X558" s="77" t="s">
        <v>546</v>
      </c>
      <c r="Y558" s="3">
        <v>0.0</v>
      </c>
      <c r="Z558" s="3">
        <v>7.0</v>
      </c>
      <c r="AA558" s="2">
        <f>2+ (P558*'Scoring System'!$B$3)+ (IF(OR(D558="DEF",D558="GK"),N558*'Scoring System'!$B$4,IF(D558="MID",N558*'Scoring System'!$B$5,0)))+ (IF(OR(D558="DEF",D558="GK"),H558*'Scoring System'!$B$6,IF(D558="MID",H558*'Scoring System'!$B$7,IF(D558="ATT",H558*'Scoring System'!$B$8,0))))+ IF(AND(OR(D558="GK",D558="DEF"),J558&gt;=3),1*'Scoring System'!$B$9,0)+ (I558*'Scoring System'!$B$10)+ (K558*'Scoring System'!$B$11)+ (M558*'Scoring System'!$B$12)+ (L558*'Scoring System'!$B$13)+ (O558*'Scoring System'!$B$14)+ (Q558*'Scoring System'!$B$15)+ (R558*'Scoring System'!$B$16)</f>
        <v>1</v>
      </c>
      <c r="AB558" s="72" t="b">
        <f>IFERROR(match(C558,'Match Day Fees'!$B$2:$B$999,0),0)=0</f>
        <v>0</v>
      </c>
      <c r="AC558" s="73">
        <f t="shared" si="1"/>
        <v>0</v>
      </c>
      <c r="AD558" s="3" t="str">
        <f>VLOOKUP(D558,'Position Lookup'!A:B,1,FALSE)</f>
        <v>DEF</v>
      </c>
    </row>
    <row r="559" ht="17.25" customHeight="1">
      <c r="A559" s="32">
        <v>45192.0</v>
      </c>
      <c r="B559" s="5" t="s">
        <v>309</v>
      </c>
      <c r="C559" s="3" t="s">
        <v>126</v>
      </c>
      <c r="D559" s="3" t="s">
        <v>11</v>
      </c>
      <c r="E559" s="5">
        <v>4.0</v>
      </c>
      <c r="F559" s="3" t="s">
        <v>544</v>
      </c>
      <c r="G559" s="3" t="s">
        <v>230</v>
      </c>
      <c r="J559" s="5">
        <v>7.0</v>
      </c>
      <c r="N559" s="3" t="b">
        <v>0</v>
      </c>
      <c r="R559" s="3">
        <v>0.0</v>
      </c>
      <c r="T559" s="3">
        <v>5.0</v>
      </c>
      <c r="U559" s="3">
        <v>6.5</v>
      </c>
      <c r="V559" s="3" t="s">
        <v>548</v>
      </c>
      <c r="W559" s="74" t="s">
        <v>448</v>
      </c>
      <c r="X559" s="77" t="s">
        <v>546</v>
      </c>
      <c r="Y559" s="3">
        <v>0.0</v>
      </c>
      <c r="Z559" s="3">
        <v>7.0</v>
      </c>
      <c r="AA559" s="2">
        <f>2+ (P559*'Scoring System'!$B$3)+ (IF(OR(D559="DEF",D559="GK"),N559*'Scoring System'!$B$4,IF(D559="MID",N559*'Scoring System'!$B$5,0)))+ (IF(OR(D559="DEF",D559="GK"),H559*'Scoring System'!$B$6,IF(D559="MID",H559*'Scoring System'!$B$7,IF(D559="ATT",H559*'Scoring System'!$B$8,0))))+ IF(AND(OR(D559="GK",D559="DEF"),J559&gt;=3),1*'Scoring System'!$B$9,0)+ (I559*'Scoring System'!$B$10)+ (K559*'Scoring System'!$B$11)+ (M559*'Scoring System'!$B$12)+ (L559*'Scoring System'!$B$13)+ (O559*'Scoring System'!$B$14)+ (Q559*'Scoring System'!$B$15)+ (R559*'Scoring System'!$B$16)</f>
        <v>1</v>
      </c>
      <c r="AB559" s="72" t="b">
        <f>IFERROR(match(C559,'Match Day Fees'!$B$2:$B$999,0),0)=0</f>
        <v>0</v>
      </c>
      <c r="AC559" s="73">
        <f t="shared" si="1"/>
        <v>0</v>
      </c>
      <c r="AD559" s="3" t="str">
        <f>VLOOKUP(D559,'Position Lookup'!A:B,1,FALSE)</f>
        <v>DEF</v>
      </c>
    </row>
    <row r="560" ht="17.25" customHeight="1">
      <c r="A560" s="32">
        <v>45192.0</v>
      </c>
      <c r="B560" s="5" t="s">
        <v>309</v>
      </c>
      <c r="C560" s="3" t="s">
        <v>248</v>
      </c>
      <c r="D560" s="3" t="s">
        <v>11</v>
      </c>
      <c r="E560" s="5">
        <v>4.0</v>
      </c>
      <c r="F560" s="3" t="s">
        <v>544</v>
      </c>
      <c r="G560" s="3" t="s">
        <v>230</v>
      </c>
      <c r="J560" s="5">
        <v>7.0</v>
      </c>
      <c r="N560" s="3" t="b">
        <v>0</v>
      </c>
      <c r="R560" s="3">
        <v>0.0</v>
      </c>
      <c r="T560" s="3">
        <v>5.0</v>
      </c>
      <c r="U560" s="3">
        <v>7.0</v>
      </c>
      <c r="V560" s="3" t="s">
        <v>549</v>
      </c>
      <c r="W560" s="74" t="s">
        <v>448</v>
      </c>
      <c r="X560" s="77" t="s">
        <v>546</v>
      </c>
      <c r="Y560" s="3">
        <v>0.0</v>
      </c>
      <c r="Z560" s="3">
        <v>7.0</v>
      </c>
      <c r="AA560" s="2">
        <f>2+ (P560*'Scoring System'!$B$3)+ (IF(OR(D560="DEF",D560="GK"),N560*'Scoring System'!$B$4,IF(D560="MID",N560*'Scoring System'!$B$5,0)))+ (IF(OR(D560="DEF",D560="GK"),H560*'Scoring System'!$B$6,IF(D560="MID",H560*'Scoring System'!$B$7,IF(D560="ATT",H560*'Scoring System'!$B$8,0))))+ IF(AND(OR(D560="GK",D560="DEF"),J560&gt;=3),1*'Scoring System'!$B$9,0)+ (I560*'Scoring System'!$B$10)+ (K560*'Scoring System'!$B$11)+ (M560*'Scoring System'!$B$12)+ (L560*'Scoring System'!$B$13)+ (O560*'Scoring System'!$B$14)+ (Q560*'Scoring System'!$B$15)+ (R560*'Scoring System'!$B$16)</f>
        <v>1</v>
      </c>
      <c r="AB560" s="72" t="b">
        <f>IFERROR(match(C560,'Match Day Fees'!$B$2:$B$999,0),0)=0</f>
        <v>0</v>
      </c>
      <c r="AC560" s="73">
        <f t="shared" si="1"/>
        <v>0</v>
      </c>
      <c r="AD560" s="3" t="str">
        <f>VLOOKUP(D560,'Position Lookup'!A:B,1,FALSE)</f>
        <v>DEF</v>
      </c>
    </row>
    <row r="561" ht="17.25" customHeight="1">
      <c r="A561" s="32">
        <v>45192.0</v>
      </c>
      <c r="B561" s="5" t="s">
        <v>309</v>
      </c>
      <c r="C561" s="3" t="s">
        <v>44</v>
      </c>
      <c r="D561" s="3" t="s">
        <v>11</v>
      </c>
      <c r="E561" s="5">
        <v>4.0</v>
      </c>
      <c r="F561" s="3" t="s">
        <v>544</v>
      </c>
      <c r="G561" s="3" t="s">
        <v>230</v>
      </c>
      <c r="J561" s="5">
        <v>7.0</v>
      </c>
      <c r="N561" s="3" t="b">
        <v>0</v>
      </c>
      <c r="R561" s="3">
        <v>0.0</v>
      </c>
      <c r="T561" s="3">
        <v>5.0</v>
      </c>
      <c r="U561" s="3">
        <v>7.0</v>
      </c>
      <c r="V561" s="3" t="s">
        <v>550</v>
      </c>
      <c r="W561" s="74" t="s">
        <v>448</v>
      </c>
      <c r="X561" s="77" t="s">
        <v>546</v>
      </c>
      <c r="Y561" s="3">
        <v>0.0</v>
      </c>
      <c r="Z561" s="3">
        <v>7.0</v>
      </c>
      <c r="AA561" s="2">
        <f>2+ (P561*'Scoring System'!$B$3)+ (IF(OR(D561="DEF",D561="GK"),N561*'Scoring System'!$B$4,IF(D561="MID",N561*'Scoring System'!$B$5,0)))+ (IF(OR(D561="DEF",D561="GK"),H561*'Scoring System'!$B$6,IF(D561="MID",H561*'Scoring System'!$B$7,IF(D561="ATT",H561*'Scoring System'!$B$8,0))))+ IF(AND(OR(D561="GK",D561="DEF"),J561&gt;=3),1*'Scoring System'!$B$9,0)+ (I561*'Scoring System'!$B$10)+ (K561*'Scoring System'!$B$11)+ (M561*'Scoring System'!$B$12)+ (L561*'Scoring System'!$B$13)+ (O561*'Scoring System'!$B$14)+ (Q561*'Scoring System'!$B$15)+ (R561*'Scoring System'!$B$16)</f>
        <v>1</v>
      </c>
      <c r="AB561" s="72" t="b">
        <f>IFERROR(match(C561,'Match Day Fees'!$B$2:$B$999,0),0)=0</f>
        <v>0</v>
      </c>
      <c r="AC561" s="73">
        <f t="shared" si="1"/>
        <v>0</v>
      </c>
      <c r="AD561" s="3" t="str">
        <f>VLOOKUP(D561,'Position Lookup'!A:B,1,FALSE)</f>
        <v>DEF</v>
      </c>
    </row>
    <row r="562" ht="17.25" customHeight="1">
      <c r="A562" s="32">
        <v>45192.0</v>
      </c>
      <c r="B562" s="5" t="s">
        <v>309</v>
      </c>
      <c r="C562" s="3" t="s">
        <v>125</v>
      </c>
      <c r="D562" s="3" t="s">
        <v>11</v>
      </c>
      <c r="E562" s="5">
        <v>4.0</v>
      </c>
      <c r="F562" s="3" t="s">
        <v>544</v>
      </c>
      <c r="G562" s="3" t="s">
        <v>230</v>
      </c>
      <c r="J562" s="5">
        <v>7.0</v>
      </c>
      <c r="N562" s="3" t="b">
        <v>0</v>
      </c>
      <c r="R562" s="3">
        <v>1.0</v>
      </c>
      <c r="T562" s="3">
        <v>10.0</v>
      </c>
      <c r="U562" s="3">
        <v>8.0</v>
      </c>
      <c r="V562" s="3" t="s">
        <v>551</v>
      </c>
      <c r="W562" s="74" t="s">
        <v>448</v>
      </c>
      <c r="X562" s="77" t="s">
        <v>546</v>
      </c>
      <c r="Y562" s="3">
        <v>0.0</v>
      </c>
      <c r="Z562" s="3">
        <v>7.0</v>
      </c>
      <c r="AA562" s="2">
        <f>2+ (P562*'Scoring System'!$B$3)+ (IF(OR(D562="DEF",D562="GK"),N562*'Scoring System'!$B$4,IF(D562="MID",N562*'Scoring System'!$B$5,0)))+ (IF(OR(D562="DEF",D562="GK"),H562*'Scoring System'!$B$6,IF(D562="MID",H562*'Scoring System'!$B$7,IF(D562="ATT",H562*'Scoring System'!$B$8,0))))+ IF(AND(OR(D562="GK",D562="DEF"),J562&gt;=3),1*'Scoring System'!$B$9,0)+ (I562*'Scoring System'!$B$10)+ (K562*'Scoring System'!$B$11)+ (M562*'Scoring System'!$B$12)+ (L562*'Scoring System'!$B$13)+ (O562*'Scoring System'!$B$14)+ (Q562*'Scoring System'!$B$15)+ (R562*'Scoring System'!$B$16)</f>
        <v>6</v>
      </c>
      <c r="AB562" s="72" t="b">
        <f>IFERROR(match(C562,'Match Day Fees'!$B$2:$B$999,0),0)=0</f>
        <v>0</v>
      </c>
      <c r="AC562" s="73">
        <f t="shared" si="1"/>
        <v>0</v>
      </c>
      <c r="AD562" s="3" t="str">
        <f>VLOOKUP(D562,'Position Lookup'!A:B,1,FALSE)</f>
        <v>DEF</v>
      </c>
    </row>
    <row r="563" ht="17.25" customHeight="1">
      <c r="A563" s="32">
        <v>45192.0</v>
      </c>
      <c r="B563" s="5" t="s">
        <v>309</v>
      </c>
      <c r="C563" s="3" t="s">
        <v>296</v>
      </c>
      <c r="D563" s="3" t="s">
        <v>10</v>
      </c>
      <c r="E563" s="5">
        <v>4.0</v>
      </c>
      <c r="F563" s="3" t="s">
        <v>544</v>
      </c>
      <c r="G563" s="3" t="s">
        <v>230</v>
      </c>
      <c r="J563" s="5">
        <v>7.0</v>
      </c>
      <c r="N563" s="3" t="b">
        <v>0</v>
      </c>
      <c r="R563" s="3">
        <v>0.0</v>
      </c>
      <c r="T563" s="3">
        <v>10.0</v>
      </c>
      <c r="U563" s="3">
        <v>7.0</v>
      </c>
      <c r="V563" s="3" t="s">
        <v>552</v>
      </c>
      <c r="W563" s="74" t="s">
        <v>448</v>
      </c>
      <c r="X563" s="77" t="s">
        <v>546</v>
      </c>
      <c r="Y563" s="3">
        <v>0.0</v>
      </c>
      <c r="Z563" s="3">
        <v>7.0</v>
      </c>
      <c r="AA563" s="2">
        <f>2+ (P563*'Scoring System'!$B$3)+ (IF(OR(D563="DEF",D563="GK"),N563*'Scoring System'!$B$4,IF(D563="MID",N563*'Scoring System'!$B$5,0)))+ (IF(OR(D563="DEF",D563="GK"),H563*'Scoring System'!$B$6,IF(D563="MID",H563*'Scoring System'!$B$7,IF(D563="ATT",H563*'Scoring System'!$B$8,0))))+ IF(AND(OR(D563="GK",D563="DEF"),J563&gt;=3),1*'Scoring System'!$B$9,0)+ (I563*'Scoring System'!$B$10)+ (K563*'Scoring System'!$B$11)+ (M563*'Scoring System'!$B$12)+ (L563*'Scoring System'!$B$13)+ (O563*'Scoring System'!$B$14)+ (Q563*'Scoring System'!$B$15)+ (R563*'Scoring System'!$B$16)</f>
        <v>2</v>
      </c>
      <c r="AB563" s="72" t="b">
        <f>IFERROR(match(C563,'Match Day Fees'!$B$2:$B$999,0),0)=0</f>
        <v>0</v>
      </c>
      <c r="AC563" s="73">
        <f t="shared" si="1"/>
        <v>0</v>
      </c>
      <c r="AD563" s="3" t="str">
        <f>VLOOKUP(D563,'Position Lookup'!A:B,1,FALSE)</f>
        <v>MID</v>
      </c>
    </row>
    <row r="564" ht="17.25" customHeight="1">
      <c r="A564" s="32">
        <v>45192.0</v>
      </c>
      <c r="B564" s="5" t="s">
        <v>309</v>
      </c>
      <c r="C564" s="3" t="s">
        <v>94</v>
      </c>
      <c r="D564" s="3" t="s">
        <v>10</v>
      </c>
      <c r="E564" s="5">
        <v>4.0</v>
      </c>
      <c r="F564" s="3" t="s">
        <v>544</v>
      </c>
      <c r="G564" s="3" t="s">
        <v>230</v>
      </c>
      <c r="J564" s="5">
        <v>7.0</v>
      </c>
      <c r="N564" s="3" t="b">
        <v>0</v>
      </c>
      <c r="R564" s="3">
        <v>0.0</v>
      </c>
      <c r="T564" s="3">
        <v>10.0</v>
      </c>
      <c r="U564" s="3">
        <v>7.0</v>
      </c>
      <c r="V564" s="3" t="s">
        <v>553</v>
      </c>
      <c r="W564" s="74" t="s">
        <v>448</v>
      </c>
      <c r="X564" s="77" t="s">
        <v>546</v>
      </c>
      <c r="Y564" s="3">
        <v>0.0</v>
      </c>
      <c r="Z564" s="3">
        <v>7.0</v>
      </c>
      <c r="AA564" s="2">
        <f>2+ (P564*'Scoring System'!$B$3)+ (IF(OR(D564="DEF",D564="GK"),N564*'Scoring System'!$B$4,IF(D564="MID",N564*'Scoring System'!$B$5,0)))+ (IF(OR(D564="DEF",D564="GK"),H564*'Scoring System'!$B$6,IF(D564="MID",H564*'Scoring System'!$B$7,IF(D564="ATT",H564*'Scoring System'!$B$8,0))))+ IF(AND(OR(D564="GK",D564="DEF"),J564&gt;=3),1*'Scoring System'!$B$9,0)+ (I564*'Scoring System'!$B$10)+ (K564*'Scoring System'!$B$11)+ (M564*'Scoring System'!$B$12)+ (L564*'Scoring System'!$B$13)+ (O564*'Scoring System'!$B$14)+ (Q564*'Scoring System'!$B$15)+ (R564*'Scoring System'!$B$16)</f>
        <v>2</v>
      </c>
      <c r="AB564" s="72" t="b">
        <f>IFERROR(match(C564,'Match Day Fees'!$B$2:$B$999,0),0)=0</f>
        <v>0</v>
      </c>
      <c r="AC564" s="73">
        <f t="shared" si="1"/>
        <v>0</v>
      </c>
      <c r="AD564" s="3" t="str">
        <f>VLOOKUP(D564,'Position Lookup'!A:B,1,FALSE)</f>
        <v>MID</v>
      </c>
    </row>
    <row r="565" ht="17.25" customHeight="1">
      <c r="A565" s="32">
        <v>45192.0</v>
      </c>
      <c r="B565" s="5" t="s">
        <v>309</v>
      </c>
      <c r="C565" s="3" t="s">
        <v>136</v>
      </c>
      <c r="D565" s="3" t="s">
        <v>10</v>
      </c>
      <c r="E565" s="5">
        <v>4.0</v>
      </c>
      <c r="F565" s="3" t="s">
        <v>544</v>
      </c>
      <c r="G565" s="3" t="s">
        <v>230</v>
      </c>
      <c r="J565" s="5">
        <v>7.0</v>
      </c>
      <c r="N565" s="3" t="b">
        <v>0</v>
      </c>
      <c r="R565" s="3">
        <v>0.0</v>
      </c>
      <c r="S565" s="3" t="b">
        <v>1</v>
      </c>
      <c r="T565" s="3">
        <v>0.0</v>
      </c>
      <c r="U565" s="3">
        <v>7.0</v>
      </c>
      <c r="V565" s="3" t="s">
        <v>554</v>
      </c>
      <c r="W565" s="74" t="s">
        <v>448</v>
      </c>
      <c r="X565" s="77" t="s">
        <v>546</v>
      </c>
      <c r="Y565" s="3">
        <v>0.0</v>
      </c>
      <c r="Z565" s="3">
        <v>7.0</v>
      </c>
      <c r="AA565" s="2">
        <f>2+ (P565*'Scoring System'!$B$3)+ (IF(OR(D565="DEF",D565="GK"),N565*'Scoring System'!$B$4,IF(D565="MID",N565*'Scoring System'!$B$5,0)))+ (IF(OR(D565="DEF",D565="GK"),H565*'Scoring System'!$B$6,IF(D565="MID",H565*'Scoring System'!$B$7,IF(D565="ATT",H565*'Scoring System'!$B$8,0))))+ IF(AND(OR(D565="GK",D565="DEF"),J565&gt;=3),1*'Scoring System'!$B$9,0)+ (I565*'Scoring System'!$B$10)+ (K565*'Scoring System'!$B$11)+ (M565*'Scoring System'!$B$12)+ (L565*'Scoring System'!$B$13)+ (O565*'Scoring System'!$B$14)+ (Q565*'Scoring System'!$B$15)+ (R565*'Scoring System'!$B$16)</f>
        <v>2</v>
      </c>
      <c r="AB565" s="72" t="b">
        <f>IFERROR(match(C565,'Match Day Fees'!$B$2:$B$999,0),0)=0</f>
        <v>0</v>
      </c>
      <c r="AC565" s="73">
        <f t="shared" si="1"/>
        <v>0</v>
      </c>
      <c r="AD565" s="3" t="str">
        <f>VLOOKUP(D565,'Position Lookup'!A:B,1,FALSE)</f>
        <v>MID</v>
      </c>
    </row>
    <row r="566" ht="17.25" customHeight="1">
      <c r="A566" s="32">
        <v>45192.0</v>
      </c>
      <c r="B566" s="5" t="s">
        <v>309</v>
      </c>
      <c r="C566" s="3" t="s">
        <v>70</v>
      </c>
      <c r="D566" s="3" t="s">
        <v>10</v>
      </c>
      <c r="E566" s="5">
        <v>4.0</v>
      </c>
      <c r="F566" s="3" t="s">
        <v>544</v>
      </c>
      <c r="G566" s="3" t="s">
        <v>230</v>
      </c>
      <c r="J566" s="5">
        <v>7.0</v>
      </c>
      <c r="N566" s="3" t="b">
        <v>0</v>
      </c>
      <c r="R566" s="3">
        <v>0.0</v>
      </c>
      <c r="T566" s="3">
        <v>10.0</v>
      </c>
      <c r="U566" s="3">
        <v>6.5</v>
      </c>
      <c r="V566" s="3" t="s">
        <v>555</v>
      </c>
      <c r="W566" s="74" t="s">
        <v>448</v>
      </c>
      <c r="X566" s="77" t="s">
        <v>546</v>
      </c>
      <c r="Y566" s="3">
        <v>0.0</v>
      </c>
      <c r="Z566" s="3">
        <v>7.0</v>
      </c>
      <c r="AA566" s="2">
        <f>2+ (P566*'Scoring System'!$B$3)+ (IF(OR(D566="DEF",D566="GK"),N566*'Scoring System'!$B$4,IF(D566="MID",N566*'Scoring System'!$B$5,0)))+ (IF(OR(D566="DEF",D566="GK"),H566*'Scoring System'!$B$6,IF(D566="MID",H566*'Scoring System'!$B$7,IF(D566="ATT",H566*'Scoring System'!$B$8,0))))+ IF(AND(OR(D566="GK",D566="DEF"),J566&gt;=3),1*'Scoring System'!$B$9,0)+ (I566*'Scoring System'!$B$10)+ (K566*'Scoring System'!$B$11)+ (M566*'Scoring System'!$B$12)+ (L566*'Scoring System'!$B$13)+ (O566*'Scoring System'!$B$14)+ (Q566*'Scoring System'!$B$15)+ (R566*'Scoring System'!$B$16)</f>
        <v>2</v>
      </c>
      <c r="AB566" s="72" t="b">
        <f>IFERROR(match(C566,'Match Day Fees'!$B$2:$B$999,0),0)=0</f>
        <v>0</v>
      </c>
      <c r="AC566" s="73">
        <f t="shared" si="1"/>
        <v>0</v>
      </c>
      <c r="AD566" s="3" t="str">
        <f>VLOOKUP(D566,'Position Lookup'!A:B,1,FALSE)</f>
        <v>MID</v>
      </c>
    </row>
    <row r="567" ht="17.25" customHeight="1">
      <c r="A567" s="32">
        <v>45192.0</v>
      </c>
      <c r="B567" s="5" t="s">
        <v>309</v>
      </c>
      <c r="C567" s="3" t="s">
        <v>124</v>
      </c>
      <c r="D567" s="3" t="s">
        <v>9</v>
      </c>
      <c r="E567" s="5">
        <v>4.0</v>
      </c>
      <c r="F567" s="3" t="s">
        <v>544</v>
      </c>
      <c r="G567" s="3" t="s">
        <v>230</v>
      </c>
      <c r="J567" s="5">
        <v>7.0</v>
      </c>
      <c r="N567" s="3" t="b">
        <v>0</v>
      </c>
      <c r="R567" s="3">
        <v>0.0</v>
      </c>
      <c r="T567" s="3">
        <v>10.0</v>
      </c>
      <c r="U567" s="3">
        <v>6.5</v>
      </c>
      <c r="V567" s="3" t="s">
        <v>556</v>
      </c>
      <c r="W567" s="74" t="s">
        <v>448</v>
      </c>
      <c r="X567" s="77" t="s">
        <v>546</v>
      </c>
      <c r="Y567" s="3">
        <v>0.0</v>
      </c>
      <c r="Z567" s="3">
        <v>7.0</v>
      </c>
      <c r="AA567" s="2">
        <f>2+ (P567*'Scoring System'!$B$3)+ (IF(OR(D567="DEF",D567="GK"),N567*'Scoring System'!$B$4,IF(D567="MID",N567*'Scoring System'!$B$5,0)))+ (IF(OR(D567="DEF",D567="GK"),H567*'Scoring System'!$B$6,IF(D567="MID",H567*'Scoring System'!$B$7,IF(D567="ATT",H567*'Scoring System'!$B$8,0))))+ IF(AND(OR(D567="GK",D567="DEF"),J567&gt;=3),1*'Scoring System'!$B$9,0)+ (I567*'Scoring System'!$B$10)+ (K567*'Scoring System'!$B$11)+ (M567*'Scoring System'!$B$12)+ (L567*'Scoring System'!$B$13)+ (O567*'Scoring System'!$B$14)+ (Q567*'Scoring System'!$B$15)+ (R567*'Scoring System'!$B$16)</f>
        <v>2</v>
      </c>
      <c r="AB567" s="72" t="b">
        <f>IFERROR(match(C567,'Match Day Fees'!$B$2:$B$999,0),0)=0</f>
        <v>0</v>
      </c>
      <c r="AC567" s="73">
        <f t="shared" si="1"/>
        <v>0</v>
      </c>
      <c r="AD567" s="3" t="str">
        <f>VLOOKUP(D567,'Position Lookup'!A:B,1,FALSE)</f>
        <v>ATT</v>
      </c>
    </row>
    <row r="568" ht="17.25" customHeight="1">
      <c r="A568" s="32">
        <v>45192.0</v>
      </c>
      <c r="B568" s="5" t="s">
        <v>309</v>
      </c>
      <c r="C568" s="3" t="s">
        <v>266</v>
      </c>
      <c r="D568" s="2" t="s">
        <v>10</v>
      </c>
      <c r="E568" s="5">
        <v>4.0</v>
      </c>
      <c r="F568" s="3" t="s">
        <v>544</v>
      </c>
      <c r="G568" s="3" t="s">
        <v>230</v>
      </c>
      <c r="J568" s="5">
        <v>7.0</v>
      </c>
      <c r="N568" s="3" t="b">
        <v>0</v>
      </c>
      <c r="R568" s="3">
        <v>0.0</v>
      </c>
      <c r="T568" s="3">
        <v>5.0</v>
      </c>
      <c r="U568" s="3">
        <v>6.0</v>
      </c>
      <c r="V568" s="3" t="s">
        <v>557</v>
      </c>
      <c r="W568" s="74" t="s">
        <v>448</v>
      </c>
      <c r="X568" s="77" t="s">
        <v>546</v>
      </c>
      <c r="Y568" s="3">
        <v>0.0</v>
      </c>
      <c r="Z568" s="3">
        <v>7.0</v>
      </c>
      <c r="AA568" s="2">
        <f>2+ (P568*'Scoring System'!$B$3)+ (IF(OR(D568="DEF",D568="GK"),N568*'Scoring System'!$B$4,IF(D568="MID",N568*'Scoring System'!$B$5,0)))+ (IF(OR(D568="DEF",D568="GK"),H568*'Scoring System'!$B$6,IF(D568="MID",H568*'Scoring System'!$B$7,IF(D568="ATT",H568*'Scoring System'!$B$8,0))))+ IF(AND(OR(D568="GK",D568="DEF"),J568&gt;=3),1*'Scoring System'!$B$9,0)+ (I568*'Scoring System'!$B$10)+ (K568*'Scoring System'!$B$11)+ (M568*'Scoring System'!$B$12)+ (L568*'Scoring System'!$B$13)+ (O568*'Scoring System'!$B$14)+ (Q568*'Scoring System'!$B$15)+ (R568*'Scoring System'!$B$16)</f>
        <v>2</v>
      </c>
      <c r="AB568" s="72" t="b">
        <f>IFERROR(match(C568,'Match Day Fees'!$B$2:$B$999,0),0)=0</f>
        <v>0</v>
      </c>
      <c r="AC568" s="73">
        <f t="shared" si="1"/>
        <v>0</v>
      </c>
      <c r="AD568" s="3" t="str">
        <f>VLOOKUP(D568,'Position Lookup'!A:B,1,FALSE)</f>
        <v>MID</v>
      </c>
    </row>
    <row r="569" ht="17.25" customHeight="1">
      <c r="A569" s="32">
        <v>45192.0</v>
      </c>
      <c r="B569" s="5" t="s">
        <v>309</v>
      </c>
      <c r="C569" s="3" t="s">
        <v>558</v>
      </c>
      <c r="D569" s="2" t="s">
        <v>10</v>
      </c>
      <c r="E569" s="5">
        <v>4.0</v>
      </c>
      <c r="F569" s="3" t="s">
        <v>544</v>
      </c>
      <c r="G569" s="3" t="s">
        <v>230</v>
      </c>
      <c r="J569" s="5">
        <v>7.0</v>
      </c>
      <c r="N569" s="3" t="b">
        <v>0</v>
      </c>
      <c r="R569" s="3">
        <v>0.0</v>
      </c>
      <c r="T569" s="3">
        <v>2.5</v>
      </c>
      <c r="U569" s="3">
        <v>6.5</v>
      </c>
      <c r="V569" s="3" t="s">
        <v>559</v>
      </c>
      <c r="W569" s="74" t="s">
        <v>448</v>
      </c>
      <c r="X569" s="77" t="s">
        <v>546</v>
      </c>
      <c r="Y569" s="3">
        <v>0.0</v>
      </c>
      <c r="Z569" s="3">
        <v>7.0</v>
      </c>
      <c r="AA569" s="2">
        <f>2+ (P569*'Scoring System'!$B$3)+ (IF(OR(D569="DEF",D569="GK"),N569*'Scoring System'!$B$4,IF(D569="MID",N569*'Scoring System'!$B$5,0)))+ (IF(OR(D569="DEF",D569="GK"),H569*'Scoring System'!$B$6,IF(D569="MID",H569*'Scoring System'!$B$7,IF(D569="ATT",H569*'Scoring System'!$B$8,0))))+ IF(AND(OR(D569="GK",D569="DEF"),J569&gt;=3),1*'Scoring System'!$B$9,0)+ (I569*'Scoring System'!$B$10)+ (K569*'Scoring System'!$B$11)+ (M569*'Scoring System'!$B$12)+ (L569*'Scoring System'!$B$13)+ (O569*'Scoring System'!$B$14)+ (Q569*'Scoring System'!$B$15)+ (R569*'Scoring System'!$B$16)</f>
        <v>2</v>
      </c>
      <c r="AB569" s="72" t="b">
        <f>IFERROR(match(C569,'Match Day Fees'!$B$2:$B$999,0),0)=0</f>
        <v>0</v>
      </c>
      <c r="AC569" s="73">
        <f t="shared" si="1"/>
        <v>0</v>
      </c>
      <c r="AD569" s="3" t="str">
        <f>VLOOKUP(D569,'Position Lookup'!A:B,1,FALSE)</f>
        <v>MID</v>
      </c>
    </row>
    <row r="570" ht="17.25" customHeight="1">
      <c r="A570" s="32">
        <v>45192.0</v>
      </c>
      <c r="B570" s="5" t="s">
        <v>309</v>
      </c>
      <c r="C570" s="3" t="s">
        <v>45</v>
      </c>
      <c r="D570" s="2" t="s">
        <v>10</v>
      </c>
      <c r="E570" s="5">
        <v>4.0</v>
      </c>
      <c r="F570" s="3" t="s">
        <v>544</v>
      </c>
      <c r="G570" s="3" t="s">
        <v>230</v>
      </c>
      <c r="J570" s="5">
        <v>7.0</v>
      </c>
      <c r="N570" s="3" t="b">
        <v>0</v>
      </c>
      <c r="R570" s="3">
        <v>0.0</v>
      </c>
      <c r="T570" s="3">
        <v>10.0</v>
      </c>
      <c r="U570" s="3">
        <v>6.5</v>
      </c>
      <c r="V570" s="3" t="s">
        <v>560</v>
      </c>
      <c r="W570" s="74" t="s">
        <v>448</v>
      </c>
      <c r="X570" s="77" t="s">
        <v>546</v>
      </c>
      <c r="Y570" s="3">
        <v>0.0</v>
      </c>
      <c r="Z570" s="3">
        <v>7.0</v>
      </c>
      <c r="AA570" s="2">
        <f>2+ (P570*'Scoring System'!$B$3)+ (IF(OR(D570="DEF",D570="GK"),N570*'Scoring System'!$B$4,IF(D570="MID",N570*'Scoring System'!$B$5,0)))+ (IF(OR(D570="DEF",D570="GK"),H570*'Scoring System'!$B$6,IF(D570="MID",H570*'Scoring System'!$B$7,IF(D570="ATT",H570*'Scoring System'!$B$8,0))))+ IF(AND(OR(D570="GK",D570="DEF"),J570&gt;=3),1*'Scoring System'!$B$9,0)+ (I570*'Scoring System'!$B$10)+ (K570*'Scoring System'!$B$11)+ (M570*'Scoring System'!$B$12)+ (L570*'Scoring System'!$B$13)+ (O570*'Scoring System'!$B$14)+ (Q570*'Scoring System'!$B$15)+ (R570*'Scoring System'!$B$16)</f>
        <v>2</v>
      </c>
      <c r="AB570" s="72" t="b">
        <f>IFERROR(match(C570,'Match Day Fees'!$B$2:$B$999,0),0)=0</f>
        <v>0</v>
      </c>
      <c r="AC570" s="73">
        <f t="shared" si="1"/>
        <v>0</v>
      </c>
      <c r="AD570" s="3" t="str">
        <f>VLOOKUP(D570,'Position Lookup'!A:B,1,FALSE)</f>
        <v>MID</v>
      </c>
    </row>
    <row r="571" ht="17.25" customHeight="1">
      <c r="A571" s="32">
        <v>45192.0</v>
      </c>
      <c r="B571" s="5" t="s">
        <v>309</v>
      </c>
      <c r="C571" s="3" t="s">
        <v>106</v>
      </c>
      <c r="D571" s="3" t="s">
        <v>8</v>
      </c>
      <c r="E571" s="5">
        <v>5.0</v>
      </c>
      <c r="F571" s="3" t="s">
        <v>561</v>
      </c>
      <c r="G571" s="3" t="s">
        <v>230</v>
      </c>
      <c r="J571" s="5">
        <v>4.0</v>
      </c>
      <c r="N571" s="3" t="b">
        <v>0</v>
      </c>
      <c r="R571" s="3">
        <v>0.0</v>
      </c>
      <c r="S571" s="3" t="b">
        <v>1</v>
      </c>
      <c r="U571" s="3">
        <v>6.5</v>
      </c>
      <c r="V571" s="3" t="s">
        <v>562</v>
      </c>
      <c r="W571" s="74" t="s">
        <v>344</v>
      </c>
      <c r="X571" s="77" t="s">
        <v>563</v>
      </c>
      <c r="Y571" s="3">
        <v>2.0</v>
      </c>
      <c r="Z571" s="3">
        <v>4.0</v>
      </c>
      <c r="AA571" s="2">
        <f>2+ (P571*'Scoring System'!$B$3)+ (IF(OR(D571="DEF",D571="GK"),N571*'Scoring System'!$B$4,IF(D571="MID",N571*'Scoring System'!$B$5,0)))+ (IF(OR(D571="DEF",D571="GK"),H571*'Scoring System'!$B$6,IF(D571="MID",H571*'Scoring System'!$B$7,IF(D571="ATT",H571*'Scoring System'!$B$8,0))))+ IF(AND(OR(D571="GK",D571="DEF"),J571&gt;=3),1*'Scoring System'!$B$9,0)+ (I571*'Scoring System'!$B$10)+ (K571*'Scoring System'!$B$11)+ (M571*'Scoring System'!$B$12)+ (L571*'Scoring System'!$B$13)+ (O571*'Scoring System'!$B$14)+ (Q571*'Scoring System'!$B$15)+ (R571*'Scoring System'!$B$16)</f>
        <v>1</v>
      </c>
      <c r="AB571" s="72" t="b">
        <f>IFERROR(match(C571,'Match Day Fees'!$B$2:$B$999,0),0)=0</f>
        <v>0</v>
      </c>
      <c r="AC571" s="73">
        <f t="shared" si="1"/>
        <v>0</v>
      </c>
      <c r="AD571" s="3" t="str">
        <f>VLOOKUP(D571,'Position Lookup'!A:B,1,FALSE)</f>
        <v>GK</v>
      </c>
    </row>
    <row r="572" ht="17.25" customHeight="1">
      <c r="A572" s="32">
        <v>45192.0</v>
      </c>
      <c r="B572" s="5" t="s">
        <v>309</v>
      </c>
      <c r="C572" s="3" t="s">
        <v>270</v>
      </c>
      <c r="D572" s="3" t="s">
        <v>11</v>
      </c>
      <c r="E572" s="5">
        <v>5.0</v>
      </c>
      <c r="F572" s="3" t="s">
        <v>561</v>
      </c>
      <c r="G572" s="3" t="s">
        <v>230</v>
      </c>
      <c r="J572" s="5">
        <v>4.0</v>
      </c>
      <c r="N572" s="3" t="b">
        <v>0</v>
      </c>
      <c r="R572" s="3">
        <v>1.0</v>
      </c>
      <c r="T572" s="3">
        <v>10.0</v>
      </c>
      <c r="U572" s="3">
        <v>7.5</v>
      </c>
      <c r="V572" s="3" t="s">
        <v>564</v>
      </c>
      <c r="W572" s="74" t="s">
        <v>344</v>
      </c>
      <c r="X572" s="77" t="s">
        <v>563</v>
      </c>
      <c r="Y572" s="3">
        <v>2.0</v>
      </c>
      <c r="Z572" s="3">
        <v>4.0</v>
      </c>
      <c r="AA572" s="2">
        <f>2+ (P572*'Scoring System'!$B$3)+ (IF(OR(D572="DEF",D572="GK"),N572*'Scoring System'!$B$4,IF(D572="MID",N572*'Scoring System'!$B$5,0)))+ (IF(OR(D572="DEF",D572="GK"),H572*'Scoring System'!$B$6,IF(D572="MID",H572*'Scoring System'!$B$7,IF(D572="ATT",H572*'Scoring System'!$B$8,0))))+ IF(AND(OR(D572="GK",D572="DEF"),J572&gt;=3),1*'Scoring System'!$B$9,0)+ (I572*'Scoring System'!$B$10)+ (K572*'Scoring System'!$B$11)+ (M572*'Scoring System'!$B$12)+ (L572*'Scoring System'!$B$13)+ (O572*'Scoring System'!$B$14)+ (Q572*'Scoring System'!$B$15)+ (R572*'Scoring System'!$B$16)</f>
        <v>6</v>
      </c>
      <c r="AB572" s="72" t="b">
        <f>IFERROR(match(C572,'Match Day Fees'!$B$2:$B$999,0),0)=0</f>
        <v>0</v>
      </c>
      <c r="AC572" s="73">
        <f t="shared" si="1"/>
        <v>0</v>
      </c>
      <c r="AD572" s="3" t="str">
        <f>VLOOKUP(D572,'Position Lookup'!A:B,1,FALSE)</f>
        <v>DEF</v>
      </c>
    </row>
    <row r="573" ht="17.25" customHeight="1">
      <c r="A573" s="32">
        <v>45192.0</v>
      </c>
      <c r="B573" s="5" t="s">
        <v>309</v>
      </c>
      <c r="C573" s="3" t="s">
        <v>154</v>
      </c>
      <c r="D573" s="3" t="s">
        <v>11</v>
      </c>
      <c r="E573" s="5">
        <v>5.0</v>
      </c>
      <c r="F573" s="3" t="s">
        <v>561</v>
      </c>
      <c r="G573" s="3" t="s">
        <v>230</v>
      </c>
      <c r="J573" s="5">
        <v>4.0</v>
      </c>
      <c r="N573" s="3" t="b">
        <v>0</v>
      </c>
      <c r="R573" s="3">
        <v>0.0</v>
      </c>
      <c r="T573" s="3">
        <v>10.0</v>
      </c>
      <c r="U573" s="3">
        <v>7.0</v>
      </c>
      <c r="V573" s="3" t="s">
        <v>565</v>
      </c>
      <c r="W573" s="74" t="s">
        <v>344</v>
      </c>
      <c r="X573" s="77" t="s">
        <v>563</v>
      </c>
      <c r="Y573" s="3">
        <v>2.0</v>
      </c>
      <c r="Z573" s="3">
        <v>4.0</v>
      </c>
      <c r="AA573" s="2">
        <f>2+ (P573*'Scoring System'!$B$3)+ (IF(OR(D573="DEF",D573="GK"),N573*'Scoring System'!$B$4,IF(D573="MID",N573*'Scoring System'!$B$5,0)))+ (IF(OR(D573="DEF",D573="GK"),H573*'Scoring System'!$B$6,IF(D573="MID",H573*'Scoring System'!$B$7,IF(D573="ATT",H573*'Scoring System'!$B$8,0))))+ IF(AND(OR(D573="GK",D573="DEF"),J573&gt;=3),1*'Scoring System'!$B$9,0)+ (I573*'Scoring System'!$B$10)+ (K573*'Scoring System'!$B$11)+ (M573*'Scoring System'!$B$12)+ (L573*'Scoring System'!$B$13)+ (O573*'Scoring System'!$B$14)+ (Q573*'Scoring System'!$B$15)+ (R573*'Scoring System'!$B$16)</f>
        <v>1</v>
      </c>
      <c r="AB573" s="72" t="b">
        <f>IFERROR(match(C573,'Match Day Fees'!$B$2:$B$999,0),0)=0</f>
        <v>0</v>
      </c>
      <c r="AC573" s="73">
        <f t="shared" si="1"/>
        <v>0</v>
      </c>
      <c r="AD573" s="3" t="str">
        <f>VLOOKUP(D573,'Position Lookup'!A:B,1,FALSE)</f>
        <v>DEF</v>
      </c>
    </row>
    <row r="574" ht="17.25" customHeight="1">
      <c r="A574" s="32">
        <v>45192.0</v>
      </c>
      <c r="B574" s="5" t="s">
        <v>309</v>
      </c>
      <c r="C574" s="3" t="s">
        <v>84</v>
      </c>
      <c r="D574" s="3" t="s">
        <v>11</v>
      </c>
      <c r="E574" s="5">
        <v>5.0</v>
      </c>
      <c r="F574" s="3" t="s">
        <v>561</v>
      </c>
      <c r="G574" s="3" t="s">
        <v>230</v>
      </c>
      <c r="H574" s="3">
        <v>1.0</v>
      </c>
      <c r="J574" s="5">
        <v>4.0</v>
      </c>
      <c r="N574" s="3" t="b">
        <v>0</v>
      </c>
      <c r="R574" s="3">
        <v>0.0</v>
      </c>
      <c r="T574" s="3">
        <v>5.0</v>
      </c>
      <c r="U574" s="3">
        <v>7.5</v>
      </c>
      <c r="V574" s="3" t="s">
        <v>566</v>
      </c>
      <c r="W574" s="74" t="s">
        <v>344</v>
      </c>
      <c r="X574" s="77" t="s">
        <v>563</v>
      </c>
      <c r="Y574" s="3">
        <v>2.0</v>
      </c>
      <c r="Z574" s="3">
        <v>4.0</v>
      </c>
      <c r="AA574" s="2">
        <f>2+ (P574*'Scoring System'!$B$3)+ (IF(OR(D574="DEF",D574="GK"),N574*'Scoring System'!$B$4,IF(D574="MID",N574*'Scoring System'!$B$5,0)))+ (IF(OR(D574="DEF",D574="GK"),H574*'Scoring System'!$B$6,IF(D574="MID",H574*'Scoring System'!$B$7,IF(D574="ATT",H574*'Scoring System'!$B$8,0))))+ IF(AND(OR(D574="GK",D574="DEF"),J574&gt;=3),1*'Scoring System'!$B$9,0)+ (I574*'Scoring System'!$B$10)+ (K574*'Scoring System'!$B$11)+ (M574*'Scoring System'!$B$12)+ (L574*'Scoring System'!$B$13)+ (O574*'Scoring System'!$B$14)+ (Q574*'Scoring System'!$B$15)+ (R574*'Scoring System'!$B$16)</f>
        <v>7</v>
      </c>
      <c r="AB574" s="72" t="b">
        <f>IFERROR(match(C574,'Match Day Fees'!$B$2:$B$999,0),0)=0</f>
        <v>0</v>
      </c>
      <c r="AC574" s="73">
        <f t="shared" si="1"/>
        <v>0</v>
      </c>
      <c r="AD574" s="3" t="str">
        <f>VLOOKUP(D574,'Position Lookup'!A:B,1,FALSE)</f>
        <v>DEF</v>
      </c>
    </row>
    <row r="575" ht="17.25" customHeight="1">
      <c r="A575" s="32">
        <v>45192.0</v>
      </c>
      <c r="B575" s="5" t="s">
        <v>309</v>
      </c>
      <c r="C575" s="3" t="s">
        <v>145</v>
      </c>
      <c r="D575" s="3" t="s">
        <v>11</v>
      </c>
      <c r="E575" s="5">
        <v>5.0</v>
      </c>
      <c r="F575" s="3" t="s">
        <v>561</v>
      </c>
      <c r="G575" s="3" t="s">
        <v>230</v>
      </c>
      <c r="J575" s="5">
        <v>4.0</v>
      </c>
      <c r="N575" s="3" t="b">
        <v>0</v>
      </c>
      <c r="R575" s="3">
        <v>0.0</v>
      </c>
      <c r="T575" s="3">
        <v>10.0</v>
      </c>
      <c r="U575" s="3">
        <v>7.5</v>
      </c>
      <c r="V575" s="3" t="s">
        <v>567</v>
      </c>
      <c r="W575" s="74" t="s">
        <v>344</v>
      </c>
      <c r="X575" s="77" t="s">
        <v>563</v>
      </c>
      <c r="Y575" s="3">
        <v>2.0</v>
      </c>
      <c r="Z575" s="3">
        <v>4.0</v>
      </c>
      <c r="AA575" s="2">
        <f>2+ (P575*'Scoring System'!$B$3)+ (IF(OR(D575="DEF",D575="GK"),N575*'Scoring System'!$B$4,IF(D575="MID",N575*'Scoring System'!$B$5,0)))+ (IF(OR(D575="DEF",D575="GK"),H575*'Scoring System'!$B$6,IF(D575="MID",H575*'Scoring System'!$B$7,IF(D575="ATT",H575*'Scoring System'!$B$8,0))))+ IF(AND(OR(D575="GK",D575="DEF"),J575&gt;=3),1*'Scoring System'!$B$9,0)+ (I575*'Scoring System'!$B$10)+ (K575*'Scoring System'!$B$11)+ (M575*'Scoring System'!$B$12)+ (L575*'Scoring System'!$B$13)+ (O575*'Scoring System'!$B$14)+ (Q575*'Scoring System'!$B$15)+ (R575*'Scoring System'!$B$16)</f>
        <v>1</v>
      </c>
      <c r="AB575" s="72" t="b">
        <f>IFERROR(match(C575,'Match Day Fees'!$B$2:$B$999,0),0)=0</f>
        <v>0</v>
      </c>
      <c r="AC575" s="73">
        <f t="shared" si="1"/>
        <v>0</v>
      </c>
      <c r="AD575" s="3" t="str">
        <f>VLOOKUP(D575,'Position Lookup'!A:B,1,FALSE)</f>
        <v>DEF</v>
      </c>
    </row>
    <row r="576" ht="17.25" customHeight="1">
      <c r="A576" s="32">
        <v>45192.0</v>
      </c>
      <c r="B576" s="5" t="s">
        <v>309</v>
      </c>
      <c r="C576" s="3" t="s">
        <v>117</v>
      </c>
      <c r="D576" s="3" t="s">
        <v>11</v>
      </c>
      <c r="E576" s="5">
        <v>5.0</v>
      </c>
      <c r="F576" s="3" t="s">
        <v>561</v>
      </c>
      <c r="G576" s="3" t="s">
        <v>230</v>
      </c>
      <c r="J576" s="5">
        <v>4.0</v>
      </c>
      <c r="N576" s="3" t="b">
        <v>0</v>
      </c>
      <c r="R576" s="3">
        <v>0.0</v>
      </c>
      <c r="T576" s="3">
        <v>5.0</v>
      </c>
      <c r="U576" s="3">
        <v>7.5</v>
      </c>
      <c r="V576" s="3" t="s">
        <v>568</v>
      </c>
      <c r="W576" s="74" t="s">
        <v>344</v>
      </c>
      <c r="X576" s="77" t="s">
        <v>563</v>
      </c>
      <c r="Y576" s="3">
        <v>2.0</v>
      </c>
      <c r="Z576" s="3">
        <v>4.0</v>
      </c>
      <c r="AA576" s="2">
        <f>2+ (P576*'Scoring System'!$B$3)+ (IF(OR(D576="DEF",D576="GK"),N576*'Scoring System'!$B$4,IF(D576="MID",N576*'Scoring System'!$B$5,0)))+ (IF(OR(D576="DEF",D576="GK"),H576*'Scoring System'!$B$6,IF(D576="MID",H576*'Scoring System'!$B$7,IF(D576="ATT",H576*'Scoring System'!$B$8,0))))+ IF(AND(OR(D576="GK",D576="DEF"),J576&gt;=3),1*'Scoring System'!$B$9,0)+ (I576*'Scoring System'!$B$10)+ (K576*'Scoring System'!$B$11)+ (M576*'Scoring System'!$B$12)+ (L576*'Scoring System'!$B$13)+ (O576*'Scoring System'!$B$14)+ (Q576*'Scoring System'!$B$15)+ (R576*'Scoring System'!$B$16)</f>
        <v>1</v>
      </c>
      <c r="AB576" s="72" t="b">
        <f>IFERROR(match(C576,'Match Day Fees'!$B$2:$B$999,0),0)=0</f>
        <v>0</v>
      </c>
      <c r="AC576" s="73">
        <f t="shared" si="1"/>
        <v>0</v>
      </c>
      <c r="AD576" s="3" t="str">
        <f>VLOOKUP(D576,'Position Lookup'!A:B,1,FALSE)</f>
        <v>DEF</v>
      </c>
    </row>
    <row r="577" ht="17.25" customHeight="1">
      <c r="A577" s="32">
        <v>45192.0</v>
      </c>
      <c r="B577" s="5" t="s">
        <v>309</v>
      </c>
      <c r="C577" s="3" t="s">
        <v>237</v>
      </c>
      <c r="D577" s="3" t="s">
        <v>10</v>
      </c>
      <c r="E577" s="5">
        <v>5.0</v>
      </c>
      <c r="F577" s="3" t="s">
        <v>561</v>
      </c>
      <c r="G577" s="3" t="s">
        <v>230</v>
      </c>
      <c r="J577" s="5">
        <v>4.0</v>
      </c>
      <c r="N577" s="3" t="b">
        <v>0</v>
      </c>
      <c r="R577" s="3">
        <v>0.0</v>
      </c>
      <c r="T577" s="3">
        <v>10.0</v>
      </c>
      <c r="U577" s="3">
        <v>7.0</v>
      </c>
      <c r="V577" s="3" t="s">
        <v>569</v>
      </c>
      <c r="W577" s="74" t="s">
        <v>344</v>
      </c>
      <c r="X577" s="77" t="s">
        <v>563</v>
      </c>
      <c r="Y577" s="3">
        <v>2.0</v>
      </c>
      <c r="Z577" s="3">
        <v>4.0</v>
      </c>
      <c r="AA577" s="2">
        <f>2+ (P577*'Scoring System'!$B$3)+ (IF(OR(D577="DEF",D577="GK"),N577*'Scoring System'!$B$4,IF(D577="MID",N577*'Scoring System'!$B$5,0)))+ (IF(OR(D577="DEF",D577="GK"),H577*'Scoring System'!$B$6,IF(D577="MID",H577*'Scoring System'!$B$7,IF(D577="ATT",H577*'Scoring System'!$B$8,0))))+ IF(AND(OR(D577="GK",D577="DEF"),J577&gt;=3),1*'Scoring System'!$B$9,0)+ (I577*'Scoring System'!$B$10)+ (K577*'Scoring System'!$B$11)+ (M577*'Scoring System'!$B$12)+ (L577*'Scoring System'!$B$13)+ (O577*'Scoring System'!$B$14)+ (Q577*'Scoring System'!$B$15)+ (R577*'Scoring System'!$B$16)</f>
        <v>2</v>
      </c>
      <c r="AB577" s="72" t="b">
        <f>IFERROR(match(C577,'Match Day Fees'!$B$2:$B$999,0),0)=0</f>
        <v>0</v>
      </c>
      <c r="AC577" s="73">
        <f t="shared" si="1"/>
        <v>0</v>
      </c>
      <c r="AD577" s="3" t="str">
        <f>VLOOKUP(D577,'Position Lookup'!A:B,1,FALSE)</f>
        <v>MID</v>
      </c>
    </row>
    <row r="578" ht="17.25" customHeight="1">
      <c r="A578" s="32">
        <v>45192.0</v>
      </c>
      <c r="B578" s="5" t="s">
        <v>309</v>
      </c>
      <c r="C578" s="3" t="s">
        <v>95</v>
      </c>
      <c r="D578" s="3" t="s">
        <v>10</v>
      </c>
      <c r="E578" s="5">
        <v>5.0</v>
      </c>
      <c r="F578" s="3" t="s">
        <v>561</v>
      </c>
      <c r="G578" s="3" t="s">
        <v>230</v>
      </c>
      <c r="J578" s="5">
        <v>4.0</v>
      </c>
      <c r="N578" s="3" t="b">
        <v>0</v>
      </c>
      <c r="R578" s="3">
        <v>0.0</v>
      </c>
      <c r="T578" s="3">
        <v>10.0</v>
      </c>
      <c r="U578" s="3">
        <v>6.5</v>
      </c>
      <c r="V578" s="3" t="s">
        <v>570</v>
      </c>
      <c r="W578" s="74" t="s">
        <v>344</v>
      </c>
      <c r="X578" s="77" t="s">
        <v>563</v>
      </c>
      <c r="Y578" s="3">
        <v>2.0</v>
      </c>
      <c r="Z578" s="3">
        <v>4.0</v>
      </c>
      <c r="AA578" s="2">
        <f>2+ (P578*'Scoring System'!$B$3)+ (IF(OR(D578="DEF",D578="GK"),N578*'Scoring System'!$B$4,IF(D578="MID",N578*'Scoring System'!$B$5,0)))+ (IF(OR(D578="DEF",D578="GK"),H578*'Scoring System'!$B$6,IF(D578="MID",H578*'Scoring System'!$B$7,IF(D578="ATT",H578*'Scoring System'!$B$8,0))))+ IF(AND(OR(D578="GK",D578="DEF"),J578&gt;=3),1*'Scoring System'!$B$9,0)+ (I578*'Scoring System'!$B$10)+ (K578*'Scoring System'!$B$11)+ (M578*'Scoring System'!$B$12)+ (L578*'Scoring System'!$B$13)+ (O578*'Scoring System'!$B$14)+ (Q578*'Scoring System'!$B$15)+ (R578*'Scoring System'!$B$16)</f>
        <v>2</v>
      </c>
      <c r="AB578" s="72" t="b">
        <f>IFERROR(match(C578,'Match Day Fees'!$B$2:$B$999,0),0)=0</f>
        <v>0</v>
      </c>
      <c r="AC578" s="73">
        <f t="shared" si="1"/>
        <v>0</v>
      </c>
      <c r="AD578" s="3" t="str">
        <f>VLOOKUP(D578,'Position Lookup'!A:B,1,FALSE)</f>
        <v>MID</v>
      </c>
    </row>
    <row r="579" ht="17.25" customHeight="1">
      <c r="A579" s="32">
        <v>45192.0</v>
      </c>
      <c r="B579" s="5" t="s">
        <v>309</v>
      </c>
      <c r="C579" s="3" t="s">
        <v>72</v>
      </c>
      <c r="D579" s="3" t="s">
        <v>10</v>
      </c>
      <c r="E579" s="5">
        <v>5.0</v>
      </c>
      <c r="F579" s="3" t="s">
        <v>561</v>
      </c>
      <c r="G579" s="3" t="s">
        <v>230</v>
      </c>
      <c r="J579" s="5">
        <v>4.0</v>
      </c>
      <c r="N579" s="3" t="b">
        <v>0</v>
      </c>
      <c r="R579" s="3">
        <v>0.0</v>
      </c>
      <c r="T579" s="3">
        <v>10.0</v>
      </c>
      <c r="U579" s="3">
        <v>7.5</v>
      </c>
      <c r="V579" s="3" t="s">
        <v>571</v>
      </c>
      <c r="W579" s="74" t="s">
        <v>344</v>
      </c>
      <c r="X579" s="77" t="s">
        <v>563</v>
      </c>
      <c r="Y579" s="3">
        <v>2.0</v>
      </c>
      <c r="Z579" s="3">
        <v>4.0</v>
      </c>
      <c r="AA579" s="2">
        <f>2+ (P579*'Scoring System'!$B$3)+ (IF(OR(D579="DEF",D579="GK"),N579*'Scoring System'!$B$4,IF(D579="MID",N579*'Scoring System'!$B$5,0)))+ (IF(OR(D579="DEF",D579="GK"),H579*'Scoring System'!$B$6,IF(D579="MID",H579*'Scoring System'!$B$7,IF(D579="ATT",H579*'Scoring System'!$B$8,0))))+ IF(AND(OR(D579="GK",D579="DEF"),J579&gt;=3),1*'Scoring System'!$B$9,0)+ (I579*'Scoring System'!$B$10)+ (K579*'Scoring System'!$B$11)+ (M579*'Scoring System'!$B$12)+ (L579*'Scoring System'!$B$13)+ (O579*'Scoring System'!$B$14)+ (Q579*'Scoring System'!$B$15)+ (R579*'Scoring System'!$B$16)</f>
        <v>2</v>
      </c>
      <c r="AB579" s="72" t="b">
        <f>IFERROR(match(C579,'Match Day Fees'!$B$2:$B$999,0),0)=0</f>
        <v>0</v>
      </c>
      <c r="AC579" s="73">
        <f t="shared" si="1"/>
        <v>0</v>
      </c>
      <c r="AD579" s="3" t="str">
        <f>VLOOKUP(D579,'Position Lookup'!A:B,1,FALSE)</f>
        <v>MID</v>
      </c>
    </row>
    <row r="580" ht="17.25" customHeight="1">
      <c r="A580" s="32">
        <v>45192.0</v>
      </c>
      <c r="B580" s="5" t="s">
        <v>309</v>
      </c>
      <c r="C580" s="3" t="s">
        <v>474</v>
      </c>
      <c r="D580" s="3" t="s">
        <v>10</v>
      </c>
      <c r="E580" s="5">
        <v>5.0</v>
      </c>
      <c r="F580" s="3" t="s">
        <v>561</v>
      </c>
      <c r="G580" s="3" t="s">
        <v>230</v>
      </c>
      <c r="J580" s="5">
        <v>4.0</v>
      </c>
      <c r="N580" s="3" t="b">
        <v>0</v>
      </c>
      <c r="R580" s="3">
        <v>0.0</v>
      </c>
      <c r="T580" s="3">
        <v>10.0</v>
      </c>
      <c r="U580" s="3">
        <v>7.0</v>
      </c>
      <c r="V580" s="3" t="s">
        <v>572</v>
      </c>
      <c r="W580" s="74" t="s">
        <v>344</v>
      </c>
      <c r="X580" s="77" t="s">
        <v>563</v>
      </c>
      <c r="Y580" s="3">
        <v>2.0</v>
      </c>
      <c r="Z580" s="3">
        <v>4.0</v>
      </c>
      <c r="AA580" s="2">
        <f>2+ (P580*'Scoring System'!$B$3)+ (IF(OR(D580="DEF",D580="GK"),N580*'Scoring System'!$B$4,IF(D580="MID",N580*'Scoring System'!$B$5,0)))+ (IF(OR(D580="DEF",D580="GK"),H580*'Scoring System'!$B$6,IF(D580="MID",H580*'Scoring System'!$B$7,IF(D580="ATT",H580*'Scoring System'!$B$8,0))))+ IF(AND(OR(D580="GK",D580="DEF"),J580&gt;=3),1*'Scoring System'!$B$9,0)+ (I580*'Scoring System'!$B$10)+ (K580*'Scoring System'!$B$11)+ (M580*'Scoring System'!$B$12)+ (L580*'Scoring System'!$B$13)+ (O580*'Scoring System'!$B$14)+ (Q580*'Scoring System'!$B$15)+ (R580*'Scoring System'!$B$16)</f>
        <v>2</v>
      </c>
      <c r="AB580" s="72" t="b">
        <f>IFERROR(match(C580,'Match Day Fees'!$B$2:$B$999,0),0)=0</f>
        <v>0</v>
      </c>
      <c r="AC580" s="73">
        <f t="shared" si="1"/>
        <v>0</v>
      </c>
      <c r="AD580" s="3" t="str">
        <f>VLOOKUP(D580,'Position Lookup'!A:B,1,FALSE)</f>
        <v>MID</v>
      </c>
    </row>
    <row r="581" ht="17.25" customHeight="1">
      <c r="A581" s="32">
        <v>45192.0</v>
      </c>
      <c r="B581" s="5" t="s">
        <v>309</v>
      </c>
      <c r="C581" s="3" t="s">
        <v>139</v>
      </c>
      <c r="D581" s="3" t="s">
        <v>9</v>
      </c>
      <c r="E581" s="5">
        <v>5.0</v>
      </c>
      <c r="F581" s="3" t="s">
        <v>561</v>
      </c>
      <c r="G581" s="3" t="s">
        <v>230</v>
      </c>
      <c r="H581" s="3">
        <v>1.0</v>
      </c>
      <c r="J581" s="5">
        <v>4.0</v>
      </c>
      <c r="N581" s="3" t="b">
        <v>0</v>
      </c>
      <c r="R581" s="3">
        <v>0.0</v>
      </c>
      <c r="T581" s="3">
        <v>10.0</v>
      </c>
      <c r="U581" s="3">
        <v>7.0</v>
      </c>
      <c r="V581" s="3" t="s">
        <v>573</v>
      </c>
      <c r="W581" s="74" t="s">
        <v>344</v>
      </c>
      <c r="X581" s="77" t="s">
        <v>563</v>
      </c>
      <c r="Y581" s="3">
        <v>2.0</v>
      </c>
      <c r="Z581" s="3">
        <v>4.0</v>
      </c>
      <c r="AA581" s="2">
        <f>2+ (P581*'Scoring System'!$B$3)+ (IF(OR(D581="DEF",D581="GK"),N581*'Scoring System'!$B$4,IF(D581="MID",N581*'Scoring System'!$B$5,0)))+ (IF(OR(D581="DEF",D581="GK"),H581*'Scoring System'!$B$6,IF(D581="MID",H581*'Scoring System'!$B$7,IF(D581="ATT",H581*'Scoring System'!$B$8,0))))+ IF(AND(OR(D581="GK",D581="DEF"),J581&gt;=3),1*'Scoring System'!$B$9,0)+ (I581*'Scoring System'!$B$10)+ (K581*'Scoring System'!$B$11)+ (M581*'Scoring System'!$B$12)+ (L581*'Scoring System'!$B$13)+ (O581*'Scoring System'!$B$14)+ (Q581*'Scoring System'!$B$15)+ (R581*'Scoring System'!$B$16)</f>
        <v>6</v>
      </c>
      <c r="AB581" s="72" t="b">
        <f>IFERROR(match(C581,'Match Day Fees'!$B$2:$B$999,0),0)=0</f>
        <v>0</v>
      </c>
      <c r="AC581" s="73">
        <f t="shared" si="1"/>
        <v>0</v>
      </c>
      <c r="AD581" s="3" t="str">
        <f>VLOOKUP(D581,'Position Lookup'!A:B,1,FALSE)</f>
        <v>ATT</v>
      </c>
    </row>
    <row r="582" ht="17.25" customHeight="1">
      <c r="A582" s="32">
        <v>45192.0</v>
      </c>
      <c r="B582" s="5" t="s">
        <v>309</v>
      </c>
      <c r="C582" s="3" t="s">
        <v>89</v>
      </c>
      <c r="D582" s="3" t="s">
        <v>9</v>
      </c>
      <c r="E582" s="5">
        <v>5.0</v>
      </c>
      <c r="F582" s="3" t="s">
        <v>561</v>
      </c>
      <c r="G582" s="3" t="s">
        <v>230</v>
      </c>
      <c r="I582" s="3">
        <v>2.0</v>
      </c>
      <c r="J582" s="5">
        <v>4.0</v>
      </c>
      <c r="N582" s="3" t="b">
        <v>0</v>
      </c>
      <c r="R582" s="3">
        <v>0.0</v>
      </c>
      <c r="T582" s="3">
        <v>10.0</v>
      </c>
      <c r="U582" s="3">
        <v>7.5</v>
      </c>
      <c r="V582" s="3" t="s">
        <v>574</v>
      </c>
      <c r="W582" s="74" t="s">
        <v>344</v>
      </c>
      <c r="X582" s="77" t="s">
        <v>563</v>
      </c>
      <c r="Y582" s="3">
        <v>2.0</v>
      </c>
      <c r="Z582" s="3">
        <v>4.0</v>
      </c>
      <c r="AA582" s="2">
        <f>2+ (P582*'Scoring System'!$B$3)+ (IF(OR(D582="DEF",D582="GK"),N582*'Scoring System'!$B$4,IF(D582="MID",N582*'Scoring System'!$B$5,0)))+ (IF(OR(D582="DEF",D582="GK"),H582*'Scoring System'!$B$6,IF(D582="MID",H582*'Scoring System'!$B$7,IF(D582="ATT",H582*'Scoring System'!$B$8,0))))+ IF(AND(OR(D582="GK",D582="DEF"),J582&gt;=3),1*'Scoring System'!$B$9,0)+ (I582*'Scoring System'!$B$10)+ (K582*'Scoring System'!$B$11)+ (M582*'Scoring System'!$B$12)+ (L582*'Scoring System'!$B$13)+ (O582*'Scoring System'!$B$14)+ (Q582*'Scoring System'!$B$15)+ (R582*'Scoring System'!$B$16)</f>
        <v>8</v>
      </c>
      <c r="AB582" s="72" t="b">
        <f>IFERROR(match(C582,'Match Day Fees'!$B$2:$B$999,0),0)=0</f>
        <v>0</v>
      </c>
      <c r="AC582" s="73">
        <f t="shared" si="1"/>
        <v>0</v>
      </c>
      <c r="AD582" s="3" t="str">
        <f>VLOOKUP(D582,'Position Lookup'!A:B,1,FALSE)</f>
        <v>ATT</v>
      </c>
    </row>
    <row r="583" ht="17.25" customHeight="1">
      <c r="A583" s="32">
        <v>45192.0</v>
      </c>
      <c r="B583" s="5" t="s">
        <v>309</v>
      </c>
      <c r="C583" s="3" t="s">
        <v>140</v>
      </c>
      <c r="D583" s="3" t="s">
        <v>9</v>
      </c>
      <c r="E583" s="5">
        <v>5.0</v>
      </c>
      <c r="F583" s="3" t="s">
        <v>561</v>
      </c>
      <c r="G583" s="3" t="s">
        <v>230</v>
      </c>
      <c r="J583" s="5">
        <v>4.0</v>
      </c>
      <c r="N583" s="3" t="b">
        <v>0</v>
      </c>
      <c r="R583" s="3">
        <v>0.0</v>
      </c>
      <c r="T583" s="3">
        <v>10.0</v>
      </c>
      <c r="U583" s="3">
        <v>7.5</v>
      </c>
      <c r="V583" s="3" t="s">
        <v>575</v>
      </c>
      <c r="W583" s="74" t="s">
        <v>344</v>
      </c>
      <c r="X583" s="77" t="s">
        <v>563</v>
      </c>
      <c r="Y583" s="3">
        <v>2.0</v>
      </c>
      <c r="Z583" s="3">
        <v>4.0</v>
      </c>
      <c r="AA583" s="2">
        <f>2+ (P583*'Scoring System'!$B$3)+ (IF(OR(D583="DEF",D583="GK"),N583*'Scoring System'!$B$4,IF(D583="MID",N583*'Scoring System'!$B$5,0)))+ (IF(OR(D583="DEF",D583="GK"),H583*'Scoring System'!$B$6,IF(D583="MID",H583*'Scoring System'!$B$7,IF(D583="ATT",H583*'Scoring System'!$B$8,0))))+ IF(AND(OR(D583="GK",D583="DEF"),J583&gt;=3),1*'Scoring System'!$B$9,0)+ (I583*'Scoring System'!$B$10)+ (K583*'Scoring System'!$B$11)+ (M583*'Scoring System'!$B$12)+ (L583*'Scoring System'!$B$13)+ (O583*'Scoring System'!$B$14)+ (Q583*'Scoring System'!$B$15)+ (R583*'Scoring System'!$B$16)</f>
        <v>2</v>
      </c>
      <c r="AB583" s="72" t="b">
        <f>IFERROR(match(C583,'Match Day Fees'!$B$2:$B$999,0),0)=0</f>
        <v>0</v>
      </c>
      <c r="AC583" s="73">
        <f t="shared" si="1"/>
        <v>0</v>
      </c>
      <c r="AD583" s="3" t="str">
        <f>VLOOKUP(D583,'Position Lookup'!A:B,1,FALSE)</f>
        <v>ATT</v>
      </c>
    </row>
    <row r="584" ht="17.25" customHeight="1">
      <c r="A584" s="32">
        <v>45192.0</v>
      </c>
      <c r="B584" s="5" t="s">
        <v>309</v>
      </c>
      <c r="C584" s="3" t="s">
        <v>576</v>
      </c>
      <c r="D584" s="3" t="s">
        <v>10</v>
      </c>
      <c r="E584" s="5">
        <v>5.0</v>
      </c>
      <c r="F584" s="3" t="s">
        <v>561</v>
      </c>
      <c r="G584" s="3" t="s">
        <v>230</v>
      </c>
      <c r="J584" s="5">
        <v>4.0</v>
      </c>
      <c r="N584" s="3" t="b">
        <v>0</v>
      </c>
      <c r="R584" s="3">
        <v>0.0</v>
      </c>
      <c r="T584" s="3">
        <v>10.0</v>
      </c>
      <c r="U584" s="3">
        <v>6.5</v>
      </c>
      <c r="V584" s="3" t="s">
        <v>577</v>
      </c>
      <c r="W584" s="74" t="s">
        <v>344</v>
      </c>
      <c r="X584" s="77" t="s">
        <v>563</v>
      </c>
      <c r="Y584" s="3">
        <v>2.0</v>
      </c>
      <c r="Z584" s="3">
        <v>4.0</v>
      </c>
      <c r="AA584" s="2">
        <f>2+ (P584*'Scoring System'!$B$3)+ (IF(OR(D584="DEF",D584="GK"),N584*'Scoring System'!$B$4,IF(D584="MID",N584*'Scoring System'!$B$5,0)))+ (IF(OR(D584="DEF",D584="GK"),H584*'Scoring System'!$B$6,IF(D584="MID",H584*'Scoring System'!$B$7,IF(D584="ATT",H584*'Scoring System'!$B$8,0))))+ IF(AND(OR(D584="GK",D584="DEF"),J584&gt;=3),1*'Scoring System'!$B$9,0)+ (I584*'Scoring System'!$B$10)+ (K584*'Scoring System'!$B$11)+ (M584*'Scoring System'!$B$12)+ (L584*'Scoring System'!$B$13)+ (O584*'Scoring System'!$B$14)+ (Q584*'Scoring System'!$B$15)+ (R584*'Scoring System'!$B$16)</f>
        <v>2</v>
      </c>
      <c r="AB584" s="72" t="b">
        <f>IFERROR(match(C584,'Match Day Fees'!$B$2:$B$999,0),0)=0</f>
        <v>0</v>
      </c>
      <c r="AC584" s="73">
        <f t="shared" si="1"/>
        <v>0</v>
      </c>
      <c r="AD584" s="3" t="str">
        <f>VLOOKUP(D584,'Position Lookup'!A:B,1,FALSE)</f>
        <v>MID</v>
      </c>
    </row>
    <row r="585" ht="17.25" customHeight="1">
      <c r="A585" s="32">
        <v>45192.0</v>
      </c>
      <c r="B585" s="5" t="s">
        <v>309</v>
      </c>
      <c r="C585" s="3" t="s">
        <v>234</v>
      </c>
      <c r="D585" s="3" t="s">
        <v>8</v>
      </c>
      <c r="E585" s="5">
        <v>6.0</v>
      </c>
      <c r="F585" s="3" t="s">
        <v>578</v>
      </c>
      <c r="G585" s="3" t="s">
        <v>230</v>
      </c>
      <c r="J585" s="5">
        <v>3.0</v>
      </c>
      <c r="N585" s="3" t="b">
        <v>0</v>
      </c>
      <c r="R585" s="3">
        <v>1.0</v>
      </c>
      <c r="T585" s="3">
        <v>10.0</v>
      </c>
      <c r="U585" s="3">
        <v>8.0</v>
      </c>
      <c r="V585" s="3" t="s">
        <v>579</v>
      </c>
      <c r="W585" s="74" t="s">
        <v>344</v>
      </c>
      <c r="X585" s="77" t="s">
        <v>580</v>
      </c>
      <c r="Y585" s="3">
        <v>0.0</v>
      </c>
      <c r="Z585" s="3">
        <v>3.0</v>
      </c>
      <c r="AA585" s="2">
        <f>2+ (P585*'Scoring System'!$B$3)+ (IF(OR(D585="DEF",D585="GK"),N585*'Scoring System'!$B$4,IF(D585="MID",N585*'Scoring System'!$B$5,0)))+ (IF(OR(D585="DEF",D585="GK"),H585*'Scoring System'!$B$6,IF(D585="MID",H585*'Scoring System'!$B$7,IF(D585="ATT",H585*'Scoring System'!$B$8,0))))+ IF(AND(OR(D585="GK",D585="DEF"),J585&gt;=3),1*'Scoring System'!$B$9,0)+ (I585*'Scoring System'!$B$10)+ (K585*'Scoring System'!$B$11)+ (M585*'Scoring System'!$B$12)+ (L585*'Scoring System'!$B$13)+ (O585*'Scoring System'!$B$14)+ (Q585*'Scoring System'!$B$15)+ (R585*'Scoring System'!$B$16)</f>
        <v>6</v>
      </c>
      <c r="AB585" s="72" t="b">
        <f>IFERROR(match(C585,'Match Day Fees'!$B$2:$B$999,0),0)=0</f>
        <v>0</v>
      </c>
      <c r="AC585" s="73">
        <f t="shared" si="1"/>
        <v>0</v>
      </c>
      <c r="AD585" s="3" t="str">
        <f>VLOOKUP(D585,'Position Lookup'!A:B,1,FALSE)</f>
        <v>GK</v>
      </c>
    </row>
    <row r="586" ht="17.25" customHeight="1">
      <c r="A586" s="32">
        <v>45192.0</v>
      </c>
      <c r="B586" s="5" t="s">
        <v>309</v>
      </c>
      <c r="C586" s="3" t="s">
        <v>97</v>
      </c>
      <c r="D586" s="3" t="s">
        <v>11</v>
      </c>
      <c r="E586" s="5">
        <v>6.0</v>
      </c>
      <c r="F586" s="3" t="s">
        <v>578</v>
      </c>
      <c r="G586" s="3" t="s">
        <v>230</v>
      </c>
      <c r="J586" s="5">
        <v>3.0</v>
      </c>
      <c r="N586" s="3" t="b">
        <v>0</v>
      </c>
      <c r="R586" s="3">
        <v>0.0</v>
      </c>
      <c r="T586" s="3">
        <v>5.0</v>
      </c>
      <c r="U586" s="3">
        <v>6.0</v>
      </c>
      <c r="V586" s="3" t="s">
        <v>581</v>
      </c>
      <c r="W586" s="74" t="s">
        <v>344</v>
      </c>
      <c r="X586" s="77" t="s">
        <v>580</v>
      </c>
      <c r="Y586" s="3">
        <v>0.0</v>
      </c>
      <c r="Z586" s="3">
        <v>3.0</v>
      </c>
      <c r="AA586" s="2">
        <f>2+ (P586*'Scoring System'!$B$3)+ (IF(OR(D586="DEF",D586="GK"),N586*'Scoring System'!$B$4,IF(D586="MID",N586*'Scoring System'!$B$5,0)))+ (IF(OR(D586="DEF",D586="GK"),H586*'Scoring System'!$B$6,IF(D586="MID",H586*'Scoring System'!$B$7,IF(D586="ATT",H586*'Scoring System'!$B$8,0))))+ IF(AND(OR(D586="GK",D586="DEF"),J586&gt;=3),1*'Scoring System'!$B$9,0)+ (I586*'Scoring System'!$B$10)+ (K586*'Scoring System'!$B$11)+ (M586*'Scoring System'!$B$12)+ (L586*'Scoring System'!$B$13)+ (O586*'Scoring System'!$B$14)+ (Q586*'Scoring System'!$B$15)+ (R586*'Scoring System'!$B$16)</f>
        <v>1</v>
      </c>
      <c r="AB586" s="72" t="b">
        <f>IFERROR(match(C586,'Match Day Fees'!$B$2:$B$999,0),0)=0</f>
        <v>0</v>
      </c>
      <c r="AC586" s="73">
        <f t="shared" si="1"/>
        <v>0</v>
      </c>
      <c r="AD586" s="3" t="str">
        <f>VLOOKUP(D586,'Position Lookup'!A:B,1,FALSE)</f>
        <v>DEF</v>
      </c>
    </row>
    <row r="587" ht="17.25" customHeight="1">
      <c r="A587" s="32">
        <v>45192.0</v>
      </c>
      <c r="B587" s="5" t="s">
        <v>309</v>
      </c>
      <c r="C587" s="3" t="s">
        <v>282</v>
      </c>
      <c r="D587" s="3" t="s">
        <v>11</v>
      </c>
      <c r="E587" s="5">
        <v>6.0</v>
      </c>
      <c r="F587" s="3" t="s">
        <v>578</v>
      </c>
      <c r="G587" s="3" t="s">
        <v>230</v>
      </c>
      <c r="J587" s="5">
        <v>3.0</v>
      </c>
      <c r="N587" s="3" t="b">
        <v>0</v>
      </c>
      <c r="R587" s="3">
        <v>0.0</v>
      </c>
      <c r="T587" s="3">
        <v>10.0</v>
      </c>
      <c r="U587" s="3">
        <v>6.0</v>
      </c>
      <c r="V587" s="3" t="s">
        <v>582</v>
      </c>
      <c r="W587" s="74" t="s">
        <v>344</v>
      </c>
      <c r="X587" s="77" t="s">
        <v>580</v>
      </c>
      <c r="Y587" s="3">
        <v>0.0</v>
      </c>
      <c r="Z587" s="3">
        <v>3.0</v>
      </c>
      <c r="AA587" s="2">
        <f>2+ (P587*'Scoring System'!$B$3)+ (IF(OR(D587="DEF",D587="GK"),N587*'Scoring System'!$B$4,IF(D587="MID",N587*'Scoring System'!$B$5,0)))+ (IF(OR(D587="DEF",D587="GK"),H587*'Scoring System'!$B$6,IF(D587="MID",H587*'Scoring System'!$B$7,IF(D587="ATT",H587*'Scoring System'!$B$8,0))))+ IF(AND(OR(D587="GK",D587="DEF"),J587&gt;=3),1*'Scoring System'!$B$9,0)+ (I587*'Scoring System'!$B$10)+ (K587*'Scoring System'!$B$11)+ (M587*'Scoring System'!$B$12)+ (L587*'Scoring System'!$B$13)+ (O587*'Scoring System'!$B$14)+ (Q587*'Scoring System'!$B$15)+ (R587*'Scoring System'!$B$16)</f>
        <v>1</v>
      </c>
      <c r="AB587" s="72" t="b">
        <f>IFERROR(match(C587,'Match Day Fees'!$B$2:$B$999,0),0)=0</f>
        <v>0</v>
      </c>
      <c r="AC587" s="73">
        <f t="shared" si="1"/>
        <v>0</v>
      </c>
      <c r="AD587" s="3" t="str">
        <f>VLOOKUP(D587,'Position Lookup'!A:B,1,FALSE)</f>
        <v>DEF</v>
      </c>
    </row>
    <row r="588" ht="17.25" customHeight="1">
      <c r="A588" s="32">
        <v>45192.0</v>
      </c>
      <c r="B588" s="5" t="s">
        <v>309</v>
      </c>
      <c r="C588" s="3" t="s">
        <v>99</v>
      </c>
      <c r="D588" s="3" t="s">
        <v>11</v>
      </c>
      <c r="E588" s="5">
        <v>6.0</v>
      </c>
      <c r="F588" s="3" t="s">
        <v>578</v>
      </c>
      <c r="G588" s="3" t="s">
        <v>230</v>
      </c>
      <c r="J588" s="5">
        <v>3.0</v>
      </c>
      <c r="N588" s="3" t="b">
        <v>0</v>
      </c>
      <c r="R588" s="3">
        <v>0.0</v>
      </c>
      <c r="T588" s="3">
        <v>10.0</v>
      </c>
      <c r="U588" s="3">
        <v>7.0</v>
      </c>
      <c r="V588" s="3" t="s">
        <v>583</v>
      </c>
      <c r="W588" s="74" t="s">
        <v>344</v>
      </c>
      <c r="X588" s="77" t="s">
        <v>580</v>
      </c>
      <c r="Y588" s="3">
        <v>0.0</v>
      </c>
      <c r="Z588" s="3">
        <v>3.0</v>
      </c>
      <c r="AA588" s="2">
        <f>2+ (P588*'Scoring System'!$B$3)+ (IF(OR(D588="DEF",D588="GK"),N588*'Scoring System'!$B$4,IF(D588="MID",N588*'Scoring System'!$B$5,0)))+ (IF(OR(D588="DEF",D588="GK"),H588*'Scoring System'!$B$6,IF(D588="MID",H588*'Scoring System'!$B$7,IF(D588="ATT",H588*'Scoring System'!$B$8,0))))+ IF(AND(OR(D588="GK",D588="DEF"),J588&gt;=3),1*'Scoring System'!$B$9,0)+ (I588*'Scoring System'!$B$10)+ (K588*'Scoring System'!$B$11)+ (M588*'Scoring System'!$B$12)+ (L588*'Scoring System'!$B$13)+ (O588*'Scoring System'!$B$14)+ (Q588*'Scoring System'!$B$15)+ (R588*'Scoring System'!$B$16)</f>
        <v>1</v>
      </c>
      <c r="AB588" s="72" t="b">
        <f>IFERROR(match(C588,'Match Day Fees'!$B$2:$B$999,0),0)=0</f>
        <v>0</v>
      </c>
      <c r="AC588" s="73">
        <f t="shared" si="1"/>
        <v>0</v>
      </c>
      <c r="AD588" s="3" t="str">
        <f>VLOOKUP(D588,'Position Lookup'!A:B,1,FALSE)</f>
        <v>DEF</v>
      </c>
    </row>
    <row r="589" ht="17.25" customHeight="1">
      <c r="A589" s="32">
        <v>45192.0</v>
      </c>
      <c r="B589" s="5" t="s">
        <v>309</v>
      </c>
      <c r="C589" s="3" t="s">
        <v>98</v>
      </c>
      <c r="D589" s="3" t="s">
        <v>11</v>
      </c>
      <c r="E589" s="5">
        <v>6.0</v>
      </c>
      <c r="F589" s="3" t="s">
        <v>578</v>
      </c>
      <c r="G589" s="3" t="s">
        <v>230</v>
      </c>
      <c r="J589" s="5">
        <v>3.0</v>
      </c>
      <c r="N589" s="3" t="b">
        <v>0</v>
      </c>
      <c r="R589" s="3">
        <v>0.0</v>
      </c>
      <c r="T589" s="3">
        <v>10.0</v>
      </c>
      <c r="U589" s="3">
        <v>7.0</v>
      </c>
      <c r="V589" s="3" t="s">
        <v>584</v>
      </c>
      <c r="W589" s="74" t="s">
        <v>344</v>
      </c>
      <c r="X589" s="77" t="s">
        <v>580</v>
      </c>
      <c r="Y589" s="3">
        <v>0.0</v>
      </c>
      <c r="Z589" s="3">
        <v>3.0</v>
      </c>
      <c r="AA589" s="2">
        <f>2+ (P589*'Scoring System'!$B$3)+ (IF(OR(D589="DEF",D589="GK"),N589*'Scoring System'!$B$4,IF(D589="MID",N589*'Scoring System'!$B$5,0)))+ (IF(OR(D589="DEF",D589="GK"),H589*'Scoring System'!$B$6,IF(D589="MID",H589*'Scoring System'!$B$7,IF(D589="ATT",H589*'Scoring System'!$B$8,0))))+ IF(AND(OR(D589="GK",D589="DEF"),J589&gt;=3),1*'Scoring System'!$B$9,0)+ (I589*'Scoring System'!$B$10)+ (K589*'Scoring System'!$B$11)+ (M589*'Scoring System'!$B$12)+ (L589*'Scoring System'!$B$13)+ (O589*'Scoring System'!$B$14)+ (Q589*'Scoring System'!$B$15)+ (R589*'Scoring System'!$B$16)</f>
        <v>1</v>
      </c>
      <c r="AB589" s="72" t="b">
        <f>IFERROR(match(C589,'Match Day Fees'!$B$2:$B$999,0),0)=0</f>
        <v>0</v>
      </c>
      <c r="AC589" s="73">
        <f t="shared" si="1"/>
        <v>0</v>
      </c>
      <c r="AD589" s="3" t="str">
        <f>VLOOKUP(D589,'Position Lookup'!A:B,1,FALSE)</f>
        <v>DEF</v>
      </c>
    </row>
    <row r="590" ht="17.25" customHeight="1">
      <c r="A590" s="32">
        <v>45192.0</v>
      </c>
      <c r="B590" s="5" t="s">
        <v>309</v>
      </c>
      <c r="C590" s="3" t="s">
        <v>58</v>
      </c>
      <c r="D590" s="3" t="s">
        <v>9</v>
      </c>
      <c r="E590" s="5">
        <v>6.0</v>
      </c>
      <c r="F590" s="3" t="s">
        <v>578</v>
      </c>
      <c r="G590" s="3" t="s">
        <v>230</v>
      </c>
      <c r="J590" s="5">
        <v>3.0</v>
      </c>
      <c r="N590" s="3" t="b">
        <v>0</v>
      </c>
      <c r="R590" s="3">
        <v>0.0</v>
      </c>
      <c r="T590" s="3">
        <v>10.0</v>
      </c>
      <c r="U590" s="3">
        <v>6.5</v>
      </c>
      <c r="V590" s="3" t="s">
        <v>585</v>
      </c>
      <c r="W590" s="74" t="s">
        <v>344</v>
      </c>
      <c r="X590" s="77" t="s">
        <v>580</v>
      </c>
      <c r="Y590" s="3">
        <v>0.0</v>
      </c>
      <c r="Z590" s="3">
        <v>3.0</v>
      </c>
      <c r="AA590" s="2">
        <f>2+ (P590*'Scoring System'!$B$3)+ (IF(OR(D590="DEF",D590="GK"),N590*'Scoring System'!$B$4,IF(D590="MID",N590*'Scoring System'!$B$5,0)))+ (IF(OR(D590="DEF",D590="GK"),H590*'Scoring System'!$B$6,IF(D590="MID",H590*'Scoring System'!$B$7,IF(D590="ATT",H590*'Scoring System'!$B$8,0))))+ IF(AND(OR(D590="GK",D590="DEF"),J590&gt;=3),1*'Scoring System'!$B$9,0)+ (I590*'Scoring System'!$B$10)+ (K590*'Scoring System'!$B$11)+ (M590*'Scoring System'!$B$12)+ (L590*'Scoring System'!$B$13)+ (O590*'Scoring System'!$B$14)+ (Q590*'Scoring System'!$B$15)+ (R590*'Scoring System'!$B$16)</f>
        <v>2</v>
      </c>
      <c r="AB590" s="72" t="b">
        <f>IFERROR(match(C590,'Match Day Fees'!$B$2:$B$999,0),0)=0</f>
        <v>0</v>
      </c>
      <c r="AC590" s="73">
        <f t="shared" si="1"/>
        <v>0</v>
      </c>
      <c r="AD590" s="3" t="str">
        <f>VLOOKUP(D590,'Position Lookup'!A:B,1,FALSE)</f>
        <v>ATT</v>
      </c>
    </row>
    <row r="591" ht="17.25" customHeight="1">
      <c r="A591" s="32">
        <v>45192.0</v>
      </c>
      <c r="B591" s="5" t="s">
        <v>309</v>
      </c>
      <c r="C591" s="3" t="s">
        <v>233</v>
      </c>
      <c r="D591" s="3" t="s">
        <v>10</v>
      </c>
      <c r="E591" s="5">
        <v>6.0</v>
      </c>
      <c r="F591" s="3" t="s">
        <v>578</v>
      </c>
      <c r="G591" s="3" t="s">
        <v>230</v>
      </c>
      <c r="J591" s="5">
        <v>3.0</v>
      </c>
      <c r="N591" s="3" t="b">
        <v>0</v>
      </c>
      <c r="R591" s="3">
        <v>0.0</v>
      </c>
      <c r="T591" s="3">
        <v>10.0</v>
      </c>
      <c r="U591" s="3">
        <v>6.0</v>
      </c>
      <c r="V591" s="3" t="s">
        <v>586</v>
      </c>
      <c r="W591" s="74" t="s">
        <v>344</v>
      </c>
      <c r="X591" s="77" t="s">
        <v>580</v>
      </c>
      <c r="Y591" s="3">
        <v>0.0</v>
      </c>
      <c r="Z591" s="3">
        <v>3.0</v>
      </c>
      <c r="AA591" s="2">
        <f>2+ (P591*'Scoring System'!$B$3)+ (IF(OR(D591="DEF",D591="GK"),N591*'Scoring System'!$B$4,IF(D591="MID",N591*'Scoring System'!$B$5,0)))+ (IF(OR(D591="DEF",D591="GK"),H591*'Scoring System'!$B$6,IF(D591="MID",H591*'Scoring System'!$B$7,IF(D591="ATT",H591*'Scoring System'!$B$8,0))))+ IF(AND(OR(D591="GK",D591="DEF"),J591&gt;=3),1*'Scoring System'!$B$9,0)+ (I591*'Scoring System'!$B$10)+ (K591*'Scoring System'!$B$11)+ (M591*'Scoring System'!$B$12)+ (L591*'Scoring System'!$B$13)+ (O591*'Scoring System'!$B$14)+ (Q591*'Scoring System'!$B$15)+ (R591*'Scoring System'!$B$16)</f>
        <v>2</v>
      </c>
      <c r="AB591" s="72" t="b">
        <f>IFERROR(match(C591,'Match Day Fees'!$B$2:$B$999,0),0)=0</f>
        <v>0</v>
      </c>
      <c r="AC591" s="73">
        <f t="shared" si="1"/>
        <v>0</v>
      </c>
      <c r="AD591" s="3" t="str">
        <f>VLOOKUP(D591,'Position Lookup'!A:B,1,FALSE)</f>
        <v>MID</v>
      </c>
    </row>
    <row r="592" ht="17.25" customHeight="1">
      <c r="A592" s="32">
        <v>45192.0</v>
      </c>
      <c r="B592" s="5" t="s">
        <v>309</v>
      </c>
      <c r="C592" s="3" t="s">
        <v>231</v>
      </c>
      <c r="D592" s="3" t="s">
        <v>10</v>
      </c>
      <c r="E592" s="5">
        <v>6.0</v>
      </c>
      <c r="F592" s="3" t="s">
        <v>578</v>
      </c>
      <c r="G592" s="3" t="s">
        <v>230</v>
      </c>
      <c r="J592" s="5">
        <v>3.0</v>
      </c>
      <c r="N592" s="3" t="b">
        <v>0</v>
      </c>
      <c r="R592" s="3">
        <v>0.0</v>
      </c>
      <c r="T592" s="3">
        <v>10.0</v>
      </c>
      <c r="U592" s="3">
        <v>6.5</v>
      </c>
      <c r="V592" s="3" t="s">
        <v>587</v>
      </c>
      <c r="W592" s="74" t="s">
        <v>344</v>
      </c>
      <c r="X592" s="77" t="s">
        <v>580</v>
      </c>
      <c r="Y592" s="3">
        <v>0.0</v>
      </c>
      <c r="Z592" s="3">
        <v>3.0</v>
      </c>
      <c r="AA592" s="2">
        <f>2+ (P592*'Scoring System'!$B$3)+ (IF(OR(D592="DEF",D592="GK"),N592*'Scoring System'!$B$4,IF(D592="MID",N592*'Scoring System'!$B$5,0)))+ (IF(OR(D592="DEF",D592="GK"),H592*'Scoring System'!$B$6,IF(D592="MID",H592*'Scoring System'!$B$7,IF(D592="ATT",H592*'Scoring System'!$B$8,0))))+ IF(AND(OR(D592="GK",D592="DEF"),J592&gt;=3),1*'Scoring System'!$B$9,0)+ (I592*'Scoring System'!$B$10)+ (K592*'Scoring System'!$B$11)+ (M592*'Scoring System'!$B$12)+ (L592*'Scoring System'!$B$13)+ (O592*'Scoring System'!$B$14)+ (Q592*'Scoring System'!$B$15)+ (R592*'Scoring System'!$B$16)</f>
        <v>2</v>
      </c>
      <c r="AB592" s="72" t="b">
        <f>IFERROR(match(C592,'Match Day Fees'!$B$2:$B$999,0),0)=0</f>
        <v>0</v>
      </c>
      <c r="AC592" s="73">
        <f t="shared" si="1"/>
        <v>0</v>
      </c>
      <c r="AD592" s="3" t="str">
        <f>VLOOKUP(D592,'Position Lookup'!A:B,1,FALSE)</f>
        <v>MID</v>
      </c>
    </row>
    <row r="593" ht="17.25" customHeight="1">
      <c r="A593" s="32">
        <v>45192.0</v>
      </c>
      <c r="B593" s="5" t="s">
        <v>309</v>
      </c>
      <c r="C593" s="3" t="s">
        <v>588</v>
      </c>
      <c r="D593" s="3" t="s">
        <v>10</v>
      </c>
      <c r="E593" s="5">
        <v>6.0</v>
      </c>
      <c r="F593" s="3" t="s">
        <v>578</v>
      </c>
      <c r="G593" s="3" t="s">
        <v>230</v>
      </c>
      <c r="J593" s="5">
        <v>3.0</v>
      </c>
      <c r="N593" s="3" t="b">
        <v>0</v>
      </c>
      <c r="R593" s="3">
        <v>0.0</v>
      </c>
      <c r="T593" s="3">
        <v>10.0</v>
      </c>
      <c r="U593" s="3">
        <v>6.0</v>
      </c>
      <c r="V593" s="3" t="s">
        <v>589</v>
      </c>
      <c r="W593" s="74" t="s">
        <v>344</v>
      </c>
      <c r="X593" s="77" t="s">
        <v>580</v>
      </c>
      <c r="Y593" s="3">
        <v>0.0</v>
      </c>
      <c r="Z593" s="3">
        <v>3.0</v>
      </c>
      <c r="AA593" s="2">
        <f>2+ (P593*'Scoring System'!$B$3)+ (IF(OR(D593="DEF",D593="GK"),N593*'Scoring System'!$B$4,IF(D593="MID",N593*'Scoring System'!$B$5,0)))+ (IF(OR(D593="DEF",D593="GK"),H593*'Scoring System'!$B$6,IF(D593="MID",H593*'Scoring System'!$B$7,IF(D593="ATT",H593*'Scoring System'!$B$8,0))))+ IF(AND(OR(D593="GK",D593="DEF"),J593&gt;=3),1*'Scoring System'!$B$9,0)+ (I593*'Scoring System'!$B$10)+ (K593*'Scoring System'!$B$11)+ (M593*'Scoring System'!$B$12)+ (L593*'Scoring System'!$B$13)+ (O593*'Scoring System'!$B$14)+ (Q593*'Scoring System'!$B$15)+ (R593*'Scoring System'!$B$16)</f>
        <v>2</v>
      </c>
      <c r="AB593" s="72" t="b">
        <f>IFERROR(match(C593,'Match Day Fees'!$B$2:$B$999,0),0)=0</f>
        <v>0</v>
      </c>
      <c r="AC593" s="73">
        <f t="shared" si="1"/>
        <v>0</v>
      </c>
      <c r="AD593" s="3" t="str">
        <f>VLOOKUP(D593,'Position Lookup'!A:B,1,FALSE)</f>
        <v>MID</v>
      </c>
    </row>
    <row r="594" ht="17.25" customHeight="1">
      <c r="A594" s="32">
        <v>45192.0</v>
      </c>
      <c r="B594" s="5" t="s">
        <v>309</v>
      </c>
      <c r="C594" s="3" t="s">
        <v>391</v>
      </c>
      <c r="D594" s="3" t="s">
        <v>10</v>
      </c>
      <c r="E594" s="5">
        <v>6.0</v>
      </c>
      <c r="F594" s="3" t="s">
        <v>578</v>
      </c>
      <c r="G594" s="3" t="s">
        <v>230</v>
      </c>
      <c r="J594" s="5">
        <v>3.0</v>
      </c>
      <c r="N594" s="3" t="b">
        <v>0</v>
      </c>
      <c r="R594" s="3">
        <v>0.0</v>
      </c>
      <c r="T594" s="3">
        <v>10.0</v>
      </c>
      <c r="U594" s="3">
        <v>7.0</v>
      </c>
      <c r="V594" s="3" t="s">
        <v>590</v>
      </c>
      <c r="W594" s="74" t="s">
        <v>344</v>
      </c>
      <c r="X594" s="77" t="s">
        <v>580</v>
      </c>
      <c r="Y594" s="3">
        <v>0.0</v>
      </c>
      <c r="Z594" s="3">
        <v>3.0</v>
      </c>
      <c r="AA594" s="2">
        <f>2+ (P594*'Scoring System'!$B$3)+ (IF(OR(D594="DEF",D594="GK"),N594*'Scoring System'!$B$4,IF(D594="MID",N594*'Scoring System'!$B$5,0)))+ (IF(OR(D594="DEF",D594="GK"),H594*'Scoring System'!$B$6,IF(D594="MID",H594*'Scoring System'!$B$7,IF(D594="ATT",H594*'Scoring System'!$B$8,0))))+ IF(AND(OR(D594="GK",D594="DEF"),J594&gt;=3),1*'Scoring System'!$B$9,0)+ (I594*'Scoring System'!$B$10)+ (K594*'Scoring System'!$B$11)+ (M594*'Scoring System'!$B$12)+ (L594*'Scoring System'!$B$13)+ (O594*'Scoring System'!$B$14)+ (Q594*'Scoring System'!$B$15)+ (R594*'Scoring System'!$B$16)</f>
        <v>2</v>
      </c>
      <c r="AB594" s="72" t="b">
        <f>IFERROR(match(C594,'Match Day Fees'!$B$2:$B$999,0),0)=0</f>
        <v>0</v>
      </c>
      <c r="AC594" s="73">
        <f t="shared" si="1"/>
        <v>0</v>
      </c>
      <c r="AD594" s="3" t="str">
        <f>VLOOKUP(D594,'Position Lookup'!A:B,1,FALSE)</f>
        <v>MID</v>
      </c>
    </row>
    <row r="595" ht="17.25" customHeight="1">
      <c r="A595" s="32">
        <v>45192.0</v>
      </c>
      <c r="B595" s="5" t="s">
        <v>309</v>
      </c>
      <c r="C595" s="3" t="s">
        <v>591</v>
      </c>
      <c r="D595" s="3" t="s">
        <v>9</v>
      </c>
      <c r="E595" s="5">
        <v>6.0</v>
      </c>
      <c r="F595" s="3" t="s">
        <v>578</v>
      </c>
      <c r="G595" s="3" t="s">
        <v>230</v>
      </c>
      <c r="J595" s="5">
        <v>3.0</v>
      </c>
      <c r="N595" s="3" t="b">
        <v>0</v>
      </c>
      <c r="R595" s="3">
        <v>0.0</v>
      </c>
      <c r="T595" s="3">
        <v>5.0</v>
      </c>
      <c r="U595" s="3">
        <v>6.5</v>
      </c>
      <c r="V595" s="3" t="s">
        <v>592</v>
      </c>
      <c r="W595" s="74" t="s">
        <v>344</v>
      </c>
      <c r="X595" s="77" t="s">
        <v>580</v>
      </c>
      <c r="Y595" s="3">
        <v>0.0</v>
      </c>
      <c r="Z595" s="3">
        <v>3.0</v>
      </c>
      <c r="AA595" s="2">
        <f>2+ (P595*'Scoring System'!$B$3)+ (IF(OR(D595="DEF",D595="GK"),N595*'Scoring System'!$B$4,IF(D595="MID",N595*'Scoring System'!$B$5,0)))+ (IF(OR(D595="DEF",D595="GK"),H595*'Scoring System'!$B$6,IF(D595="MID",H595*'Scoring System'!$B$7,IF(D595="ATT",H595*'Scoring System'!$B$8,0))))+ IF(AND(OR(D595="GK",D595="DEF"),J595&gt;=3),1*'Scoring System'!$B$9,0)+ (I595*'Scoring System'!$B$10)+ (K595*'Scoring System'!$B$11)+ (M595*'Scoring System'!$B$12)+ (L595*'Scoring System'!$B$13)+ (O595*'Scoring System'!$B$14)+ (Q595*'Scoring System'!$B$15)+ (R595*'Scoring System'!$B$16)</f>
        <v>2</v>
      </c>
      <c r="AB595" s="72" t="b">
        <f>IFERROR(match(C595,'Match Day Fees'!$B$2:$B$999,0),0)=0</f>
        <v>0</v>
      </c>
      <c r="AC595" s="73">
        <f t="shared" si="1"/>
        <v>0</v>
      </c>
      <c r="AD595" s="3" t="str">
        <f>VLOOKUP(D595,'Position Lookup'!A:B,1,FALSE)</f>
        <v>ATT</v>
      </c>
    </row>
    <row r="596" ht="17.25" customHeight="1">
      <c r="A596" s="32">
        <v>45192.0</v>
      </c>
      <c r="B596" s="5" t="s">
        <v>309</v>
      </c>
      <c r="C596" s="3" t="s">
        <v>147</v>
      </c>
      <c r="D596" s="3" t="s">
        <v>9</v>
      </c>
      <c r="E596" s="5">
        <v>6.0</v>
      </c>
      <c r="F596" s="3" t="s">
        <v>578</v>
      </c>
      <c r="G596" s="3" t="s">
        <v>230</v>
      </c>
      <c r="J596" s="5">
        <v>3.0</v>
      </c>
      <c r="N596" s="3" t="b">
        <v>0</v>
      </c>
      <c r="R596" s="3">
        <v>0.0</v>
      </c>
      <c r="S596" s="3" t="b">
        <v>1</v>
      </c>
      <c r="U596" s="3">
        <v>7.0</v>
      </c>
      <c r="V596" s="3" t="s">
        <v>593</v>
      </c>
      <c r="W596" s="74" t="s">
        <v>344</v>
      </c>
      <c r="X596" s="77" t="s">
        <v>580</v>
      </c>
      <c r="Y596" s="3">
        <v>0.0</v>
      </c>
      <c r="Z596" s="3">
        <v>3.0</v>
      </c>
      <c r="AA596" s="2">
        <f>2+ (P596*'Scoring System'!$B$3)+ (IF(OR(D596="DEF",D596="GK"),N596*'Scoring System'!$B$4,IF(D596="MID",N596*'Scoring System'!$B$5,0)))+ (IF(OR(D596="DEF",D596="GK"),H596*'Scoring System'!$B$6,IF(D596="MID",H596*'Scoring System'!$B$7,IF(D596="ATT",H596*'Scoring System'!$B$8,0))))+ IF(AND(OR(D596="GK",D596="DEF"),J596&gt;=3),1*'Scoring System'!$B$9,0)+ (I596*'Scoring System'!$B$10)+ (K596*'Scoring System'!$B$11)+ (M596*'Scoring System'!$B$12)+ (L596*'Scoring System'!$B$13)+ (O596*'Scoring System'!$B$14)+ (Q596*'Scoring System'!$B$15)+ (R596*'Scoring System'!$B$16)</f>
        <v>2</v>
      </c>
      <c r="AB596" s="72" t="b">
        <f>IFERROR(match(C596,'Match Day Fees'!$B$2:$B$999,0),0)=0</f>
        <v>0</v>
      </c>
      <c r="AC596" s="73">
        <f t="shared" si="1"/>
        <v>0</v>
      </c>
      <c r="AD596" s="3" t="str">
        <f>VLOOKUP(D596,'Position Lookup'!A:B,1,FALSE)</f>
        <v>ATT</v>
      </c>
    </row>
    <row r="597" ht="17.25" customHeight="1">
      <c r="A597" s="32">
        <v>45192.0</v>
      </c>
      <c r="B597" s="5" t="s">
        <v>309</v>
      </c>
      <c r="C597" s="3" t="s">
        <v>392</v>
      </c>
      <c r="D597" s="3" t="s">
        <v>9</v>
      </c>
      <c r="E597" s="5">
        <v>6.0</v>
      </c>
      <c r="F597" s="3" t="s">
        <v>578</v>
      </c>
      <c r="G597" s="3" t="s">
        <v>230</v>
      </c>
      <c r="J597" s="5">
        <v>3.0</v>
      </c>
      <c r="N597" s="3" t="b">
        <v>0</v>
      </c>
      <c r="R597" s="3">
        <v>0.0</v>
      </c>
      <c r="T597" s="3">
        <v>10.0</v>
      </c>
      <c r="U597" s="3">
        <v>6.5</v>
      </c>
      <c r="V597" s="3" t="s">
        <v>594</v>
      </c>
      <c r="W597" s="74" t="s">
        <v>344</v>
      </c>
      <c r="X597" s="77" t="s">
        <v>580</v>
      </c>
      <c r="Y597" s="3">
        <v>0.0</v>
      </c>
      <c r="Z597" s="3">
        <v>3.0</v>
      </c>
      <c r="AA597" s="2">
        <f>2+ (P597*'Scoring System'!$B$3)+ (IF(OR(D597="DEF",D597="GK"),N597*'Scoring System'!$B$4,IF(D597="MID",N597*'Scoring System'!$B$5,0)))+ (IF(OR(D597="DEF",D597="GK"),H597*'Scoring System'!$B$6,IF(D597="MID",H597*'Scoring System'!$B$7,IF(D597="ATT",H597*'Scoring System'!$B$8,0))))+ IF(AND(OR(D597="GK",D597="DEF"),J597&gt;=3),1*'Scoring System'!$B$9,0)+ (I597*'Scoring System'!$B$10)+ (K597*'Scoring System'!$B$11)+ (M597*'Scoring System'!$B$12)+ (L597*'Scoring System'!$B$13)+ (O597*'Scoring System'!$B$14)+ (Q597*'Scoring System'!$B$15)+ (R597*'Scoring System'!$B$16)</f>
        <v>2</v>
      </c>
      <c r="AB597" s="72" t="b">
        <f>IFERROR(match(C597,'Match Day Fees'!$B$2:$B$999,0),0)=0</f>
        <v>0</v>
      </c>
      <c r="AC597" s="73">
        <f t="shared" si="1"/>
        <v>0</v>
      </c>
      <c r="AD597" s="3" t="str">
        <f>VLOOKUP(D597,'Position Lookup'!A:B,1,FALSE)</f>
        <v>ATT</v>
      </c>
    </row>
    <row r="598" ht="17.25" customHeight="1">
      <c r="A598" s="32">
        <v>45192.0</v>
      </c>
      <c r="B598" s="5" t="s">
        <v>309</v>
      </c>
      <c r="C598" s="3" t="s">
        <v>236</v>
      </c>
      <c r="D598" s="3" t="s">
        <v>10</v>
      </c>
      <c r="E598" s="5">
        <v>6.0</v>
      </c>
      <c r="F598" s="3" t="s">
        <v>578</v>
      </c>
      <c r="G598" s="3" t="s">
        <v>230</v>
      </c>
      <c r="J598" s="5">
        <v>3.0</v>
      </c>
      <c r="N598" s="3" t="b">
        <v>0</v>
      </c>
      <c r="R598" s="3">
        <v>0.0</v>
      </c>
      <c r="T598" s="5">
        <v>0.0</v>
      </c>
      <c r="U598" s="3">
        <v>5.0</v>
      </c>
      <c r="V598" s="3" t="s">
        <v>595</v>
      </c>
      <c r="W598" s="74" t="s">
        <v>344</v>
      </c>
      <c r="X598" s="77" t="s">
        <v>580</v>
      </c>
      <c r="Y598" s="3">
        <v>0.0</v>
      </c>
      <c r="Z598" s="3">
        <v>3.0</v>
      </c>
      <c r="AA598" s="2">
        <f>2+ (P598*'Scoring System'!$B$3)+ (IF(OR(D598="DEF",D598="GK"),N598*'Scoring System'!$B$4,IF(D598="MID",N598*'Scoring System'!$B$5,0)))+ (IF(OR(D598="DEF",D598="GK"),H598*'Scoring System'!$B$6,IF(D598="MID",H598*'Scoring System'!$B$7,IF(D598="ATT",H598*'Scoring System'!$B$8,0))))+ IF(AND(OR(D598="GK",D598="DEF"),J598&gt;=3),1*'Scoring System'!$B$9,0)+ (I598*'Scoring System'!$B$10)+ (K598*'Scoring System'!$B$11)+ (M598*'Scoring System'!$B$12)+ (L598*'Scoring System'!$B$13)+ (O598*'Scoring System'!$B$14)+ (Q598*'Scoring System'!$B$15)+ (R598*'Scoring System'!$B$16)</f>
        <v>2</v>
      </c>
      <c r="AB598" s="72" t="b">
        <f>IFERROR(match(C598,'Match Day Fees'!$B$2:$B$999,0),0)=0</f>
        <v>0</v>
      </c>
      <c r="AC598" s="73">
        <f t="shared" si="1"/>
        <v>0</v>
      </c>
      <c r="AD598" s="3" t="str">
        <f>VLOOKUP(D598,'Position Lookup'!A:B,1,FALSE)</f>
        <v>MID</v>
      </c>
    </row>
    <row r="599" ht="17.25" customHeight="1">
      <c r="A599" s="32">
        <v>45199.0</v>
      </c>
      <c r="B599" s="5" t="s">
        <v>309</v>
      </c>
      <c r="C599" s="3" t="s">
        <v>53</v>
      </c>
      <c r="D599" s="3" t="s">
        <v>8</v>
      </c>
      <c r="E599" s="5">
        <v>1.0</v>
      </c>
      <c r="F599" s="3" t="s">
        <v>596</v>
      </c>
      <c r="G599" s="3" t="s">
        <v>224</v>
      </c>
      <c r="J599" s="5">
        <v>1.0</v>
      </c>
      <c r="N599" s="3" t="b">
        <v>0</v>
      </c>
      <c r="R599" s="3">
        <v>0.0</v>
      </c>
      <c r="T599" s="3">
        <v>10.0</v>
      </c>
      <c r="U599" s="3">
        <v>8.0</v>
      </c>
      <c r="V599" s="3" t="s">
        <v>597</v>
      </c>
      <c r="W599" s="74"/>
      <c r="X599" s="77" t="s">
        <v>598</v>
      </c>
      <c r="Y599" s="3">
        <v>3.0</v>
      </c>
      <c r="Z599" s="3">
        <v>1.0</v>
      </c>
      <c r="AA599" s="2">
        <f>2+ (P599*'Scoring System'!$B$3)+ (IF(OR(D599="DEF",D599="GK"),N599*'Scoring System'!$B$4,IF(D599="MID",N599*'Scoring System'!$B$5,0)))+ (IF(OR(D599="DEF",D599="GK"),H599*'Scoring System'!$B$6,IF(D599="MID",H599*'Scoring System'!$B$7,IF(D599="ATT",H599*'Scoring System'!$B$8,0))))+ IF(AND(OR(D599="GK",D599="DEF"),J599&gt;=3),1*'Scoring System'!$B$9,0)+ (I599*'Scoring System'!$B$10)+ (K599*'Scoring System'!$B$11)+ (M599*'Scoring System'!$B$12)+ (L599*'Scoring System'!$B$13)+ (O599*'Scoring System'!$B$14)+ (Q599*'Scoring System'!$B$15)+ (R599*'Scoring System'!$B$16)</f>
        <v>2</v>
      </c>
      <c r="AB599" s="72" t="b">
        <f>IFERROR(match(C599,'Match Day Fees'!$B$2:$B$999,0),0)=0</f>
        <v>0</v>
      </c>
      <c r="AC599" s="73">
        <f t="shared" si="1"/>
        <v>0</v>
      </c>
      <c r="AD599" s="3" t="str">
        <f>VLOOKUP(D599,'Position Lookup'!A:B,1,FALSE)</f>
        <v>GK</v>
      </c>
    </row>
    <row r="600" ht="17.25" customHeight="1">
      <c r="A600" s="32">
        <v>45199.0</v>
      </c>
      <c r="B600" s="5" t="s">
        <v>309</v>
      </c>
      <c r="C600" s="3" t="s">
        <v>67</v>
      </c>
      <c r="D600" s="3" t="s">
        <v>11</v>
      </c>
      <c r="E600" s="5">
        <v>1.0</v>
      </c>
      <c r="F600" s="3" t="s">
        <v>596</v>
      </c>
      <c r="G600" s="3" t="s">
        <v>224</v>
      </c>
      <c r="J600" s="5">
        <v>1.0</v>
      </c>
      <c r="N600" s="3" t="b">
        <v>0</v>
      </c>
      <c r="R600" s="3">
        <v>0.0</v>
      </c>
      <c r="T600" s="3">
        <v>10.0</v>
      </c>
      <c r="U600" s="3">
        <v>8.5</v>
      </c>
      <c r="V600" s="3" t="s">
        <v>599</v>
      </c>
      <c r="W600" s="74"/>
      <c r="X600" s="77" t="s">
        <v>598</v>
      </c>
      <c r="Y600" s="3">
        <v>3.0</v>
      </c>
      <c r="Z600" s="3">
        <v>1.0</v>
      </c>
      <c r="AA600" s="2">
        <f>2+ (P600*'Scoring System'!$B$3)+ (IF(OR(D600="DEF",D600="GK"),N600*'Scoring System'!$B$4,IF(D600="MID",N600*'Scoring System'!$B$5,0)))+ (IF(OR(D600="DEF",D600="GK"),H600*'Scoring System'!$B$6,IF(D600="MID",H600*'Scoring System'!$B$7,IF(D600="ATT",H600*'Scoring System'!$B$8,0))))+ IF(AND(OR(D600="GK",D600="DEF"),J600&gt;=3),1*'Scoring System'!$B$9,0)+ (I600*'Scoring System'!$B$10)+ (K600*'Scoring System'!$B$11)+ (M600*'Scoring System'!$B$12)+ (L600*'Scoring System'!$B$13)+ (O600*'Scoring System'!$B$14)+ (Q600*'Scoring System'!$B$15)+ (R600*'Scoring System'!$B$16)</f>
        <v>2</v>
      </c>
      <c r="AB600" s="72" t="b">
        <f>IFERROR(match(C600,'Match Day Fees'!$B$2:$B$999,0),0)=0</f>
        <v>0</v>
      </c>
      <c r="AC600" s="73">
        <f t="shared" si="1"/>
        <v>0</v>
      </c>
      <c r="AD600" s="3" t="str">
        <f>VLOOKUP(D600,'Position Lookup'!A:B,1,FALSE)</f>
        <v>DEF</v>
      </c>
    </row>
    <row r="601" ht="17.25" customHeight="1">
      <c r="A601" s="32">
        <v>45199.0</v>
      </c>
      <c r="B601" s="5" t="s">
        <v>309</v>
      </c>
      <c r="C601" s="3" t="s">
        <v>68</v>
      </c>
      <c r="D601" s="3" t="s">
        <v>11</v>
      </c>
      <c r="E601" s="5">
        <v>1.0</v>
      </c>
      <c r="F601" s="3" t="s">
        <v>596</v>
      </c>
      <c r="G601" s="3" t="s">
        <v>224</v>
      </c>
      <c r="J601" s="5">
        <v>1.0</v>
      </c>
      <c r="N601" s="3" t="b">
        <v>0</v>
      </c>
      <c r="R601" s="3">
        <v>0.0</v>
      </c>
      <c r="T601" s="3">
        <v>10.0</v>
      </c>
      <c r="U601" s="3">
        <v>9.0</v>
      </c>
      <c r="V601" s="3" t="s">
        <v>600</v>
      </c>
      <c r="W601" s="74"/>
      <c r="X601" s="77" t="s">
        <v>598</v>
      </c>
      <c r="Y601" s="3">
        <v>3.0</v>
      </c>
      <c r="Z601" s="3">
        <v>1.0</v>
      </c>
      <c r="AA601" s="2">
        <f>2+ (P601*'Scoring System'!$B$3)+ (IF(OR(D601="DEF",D601="GK"),N601*'Scoring System'!$B$4,IF(D601="MID",N601*'Scoring System'!$B$5,0)))+ (IF(OR(D601="DEF",D601="GK"),H601*'Scoring System'!$B$6,IF(D601="MID",H601*'Scoring System'!$B$7,IF(D601="ATT",H601*'Scoring System'!$B$8,0))))+ IF(AND(OR(D601="GK",D601="DEF"),J601&gt;=3),1*'Scoring System'!$B$9,0)+ (I601*'Scoring System'!$B$10)+ (K601*'Scoring System'!$B$11)+ (M601*'Scoring System'!$B$12)+ (L601*'Scoring System'!$B$13)+ (O601*'Scoring System'!$B$14)+ (Q601*'Scoring System'!$B$15)+ (R601*'Scoring System'!$B$16)</f>
        <v>2</v>
      </c>
      <c r="AB601" s="72" t="b">
        <f>IFERROR(match(C601,'Match Day Fees'!$B$2:$B$999,0),0)=0</f>
        <v>0</v>
      </c>
      <c r="AC601" s="73">
        <f t="shared" si="1"/>
        <v>0</v>
      </c>
      <c r="AD601" s="3" t="str">
        <f>VLOOKUP(D601,'Position Lookup'!A:B,1,FALSE)</f>
        <v>DEF</v>
      </c>
    </row>
    <row r="602" ht="17.25" customHeight="1">
      <c r="A602" s="32">
        <v>45199.0</v>
      </c>
      <c r="B602" s="5" t="s">
        <v>309</v>
      </c>
      <c r="C602" s="3" t="s">
        <v>76</v>
      </c>
      <c r="D602" s="3" t="s">
        <v>11</v>
      </c>
      <c r="E602" s="5">
        <v>1.0</v>
      </c>
      <c r="F602" s="3" t="s">
        <v>596</v>
      </c>
      <c r="G602" s="3" t="s">
        <v>224</v>
      </c>
      <c r="J602" s="5">
        <v>1.0</v>
      </c>
      <c r="N602" s="3" t="b">
        <v>0</v>
      </c>
      <c r="R602" s="3">
        <v>0.0</v>
      </c>
      <c r="T602" s="3">
        <v>10.0</v>
      </c>
      <c r="U602" s="3">
        <v>8.0</v>
      </c>
      <c r="V602" s="3" t="s">
        <v>601</v>
      </c>
      <c r="W602" s="74"/>
      <c r="X602" s="77" t="s">
        <v>598</v>
      </c>
      <c r="Y602" s="3">
        <v>3.0</v>
      </c>
      <c r="Z602" s="3">
        <v>1.0</v>
      </c>
      <c r="AA602" s="2">
        <f>2+ (P602*'Scoring System'!$B$3)+ (IF(OR(D602="DEF",D602="GK"),N602*'Scoring System'!$B$4,IF(D602="MID",N602*'Scoring System'!$B$5,0)))+ (IF(OR(D602="DEF",D602="GK"),H602*'Scoring System'!$B$6,IF(D602="MID",H602*'Scoring System'!$B$7,IF(D602="ATT",H602*'Scoring System'!$B$8,0))))+ IF(AND(OR(D602="GK",D602="DEF"),J602&gt;=3),1*'Scoring System'!$B$9,0)+ (I602*'Scoring System'!$B$10)+ (K602*'Scoring System'!$B$11)+ (M602*'Scoring System'!$B$12)+ (L602*'Scoring System'!$B$13)+ (O602*'Scoring System'!$B$14)+ (Q602*'Scoring System'!$B$15)+ (R602*'Scoring System'!$B$16)</f>
        <v>2</v>
      </c>
      <c r="AB602" s="72" t="b">
        <f>IFERROR(match(C602,'Match Day Fees'!$B$2:$B$999,0),0)=0</f>
        <v>0</v>
      </c>
      <c r="AC602" s="73">
        <f t="shared" si="1"/>
        <v>0</v>
      </c>
      <c r="AD602" s="3" t="str">
        <f>VLOOKUP(D602,'Position Lookup'!A:B,1,FALSE)</f>
        <v>DEF</v>
      </c>
    </row>
    <row r="603" ht="17.25" customHeight="1">
      <c r="A603" s="32">
        <v>45199.0</v>
      </c>
      <c r="B603" s="5" t="s">
        <v>309</v>
      </c>
      <c r="C603" s="3" t="s">
        <v>75</v>
      </c>
      <c r="D603" s="3" t="s">
        <v>10</v>
      </c>
      <c r="E603" s="5">
        <v>1.0</v>
      </c>
      <c r="F603" s="3" t="s">
        <v>596</v>
      </c>
      <c r="G603" s="3" t="s">
        <v>224</v>
      </c>
      <c r="J603" s="5">
        <v>1.0</v>
      </c>
      <c r="N603" s="3" t="b">
        <v>0</v>
      </c>
      <c r="R603" s="3">
        <v>0.0</v>
      </c>
      <c r="S603" s="3" t="b">
        <v>1</v>
      </c>
      <c r="T603" s="3">
        <v>0.0</v>
      </c>
      <c r="U603" s="3">
        <v>8.0</v>
      </c>
      <c r="V603" s="3" t="s">
        <v>602</v>
      </c>
      <c r="W603" s="74"/>
      <c r="X603" s="77" t="s">
        <v>598</v>
      </c>
      <c r="Y603" s="3">
        <v>3.0</v>
      </c>
      <c r="Z603" s="3">
        <v>1.0</v>
      </c>
      <c r="AA603" s="2">
        <f>2+ (P603*'Scoring System'!$B$3)+ (IF(OR(D603="DEF",D603="GK"),N603*'Scoring System'!$B$4,IF(D603="MID",N603*'Scoring System'!$B$5,0)))+ (IF(OR(D603="DEF",D603="GK"),H603*'Scoring System'!$B$6,IF(D603="MID",H603*'Scoring System'!$B$7,IF(D603="ATT",H603*'Scoring System'!$B$8,0))))+ IF(AND(OR(D603="GK",D603="DEF"),J603&gt;=3),1*'Scoring System'!$B$9,0)+ (I603*'Scoring System'!$B$10)+ (K603*'Scoring System'!$B$11)+ (M603*'Scoring System'!$B$12)+ (L603*'Scoring System'!$B$13)+ (O603*'Scoring System'!$B$14)+ (Q603*'Scoring System'!$B$15)+ (R603*'Scoring System'!$B$16)</f>
        <v>2</v>
      </c>
      <c r="AB603" s="72" t="b">
        <f>IFERROR(match(C603,'Match Day Fees'!$B$2:$B$999,0),0)=0</f>
        <v>0</v>
      </c>
      <c r="AC603" s="73">
        <f t="shared" si="1"/>
        <v>0</v>
      </c>
      <c r="AD603" s="3" t="str">
        <f>VLOOKUP(D603,'Position Lookup'!A:B,1,FALSE)</f>
        <v>MID</v>
      </c>
    </row>
    <row r="604" ht="17.25" customHeight="1">
      <c r="A604" s="32">
        <v>45199.0</v>
      </c>
      <c r="B604" s="5" t="s">
        <v>309</v>
      </c>
      <c r="C604" s="3" t="s">
        <v>107</v>
      </c>
      <c r="D604" s="3" t="s">
        <v>10</v>
      </c>
      <c r="E604" s="5">
        <v>1.0</v>
      </c>
      <c r="F604" s="3" t="s">
        <v>596</v>
      </c>
      <c r="G604" s="3" t="s">
        <v>224</v>
      </c>
      <c r="J604" s="5">
        <v>1.0</v>
      </c>
      <c r="N604" s="3" t="b">
        <v>0</v>
      </c>
      <c r="R604" s="3">
        <v>0.0</v>
      </c>
      <c r="T604" s="3">
        <v>10.0</v>
      </c>
      <c r="U604" s="3">
        <v>8.5</v>
      </c>
      <c r="V604" s="3" t="s">
        <v>603</v>
      </c>
      <c r="W604" s="74"/>
      <c r="X604" s="77" t="s">
        <v>598</v>
      </c>
      <c r="Y604" s="3">
        <v>3.0</v>
      </c>
      <c r="Z604" s="3">
        <v>1.0</v>
      </c>
      <c r="AA604" s="2">
        <f>2+ (P604*'Scoring System'!$B$3)+ (IF(OR(D604="DEF",D604="GK"),N604*'Scoring System'!$B$4,IF(D604="MID",N604*'Scoring System'!$B$5,0)))+ (IF(OR(D604="DEF",D604="GK"),H604*'Scoring System'!$B$6,IF(D604="MID",H604*'Scoring System'!$B$7,IF(D604="ATT",H604*'Scoring System'!$B$8,0))))+ IF(AND(OR(D604="GK",D604="DEF"),J604&gt;=3),1*'Scoring System'!$B$9,0)+ (I604*'Scoring System'!$B$10)+ (K604*'Scoring System'!$B$11)+ (M604*'Scoring System'!$B$12)+ (L604*'Scoring System'!$B$13)+ (O604*'Scoring System'!$B$14)+ (Q604*'Scoring System'!$B$15)+ (R604*'Scoring System'!$B$16)</f>
        <v>2</v>
      </c>
      <c r="AB604" s="72" t="b">
        <f>IFERROR(match(C604,'Match Day Fees'!$B$2:$B$999,0),0)=0</f>
        <v>0</v>
      </c>
      <c r="AC604" s="73">
        <f t="shared" si="1"/>
        <v>0</v>
      </c>
      <c r="AD604" s="3" t="str">
        <f>VLOOKUP(D604,'Position Lookup'!A:B,1,FALSE)</f>
        <v>MID</v>
      </c>
    </row>
    <row r="605" ht="17.25" customHeight="1">
      <c r="A605" s="32">
        <v>45199.0</v>
      </c>
      <c r="B605" s="5" t="s">
        <v>309</v>
      </c>
      <c r="C605" s="3" t="s">
        <v>85</v>
      </c>
      <c r="D605" s="3" t="s">
        <v>10</v>
      </c>
      <c r="E605" s="5">
        <v>1.0</v>
      </c>
      <c r="F605" s="3" t="s">
        <v>596</v>
      </c>
      <c r="G605" s="3" t="s">
        <v>224</v>
      </c>
      <c r="J605" s="5">
        <v>1.0</v>
      </c>
      <c r="N605" s="3" t="b">
        <v>0</v>
      </c>
      <c r="R605" s="3">
        <v>0.0</v>
      </c>
      <c r="T605" s="3">
        <v>10.0</v>
      </c>
      <c r="U605" s="3">
        <v>8.5</v>
      </c>
      <c r="V605" s="3" t="s">
        <v>604</v>
      </c>
      <c r="W605" s="74"/>
      <c r="X605" s="77" t="s">
        <v>598</v>
      </c>
      <c r="Y605" s="3">
        <v>3.0</v>
      </c>
      <c r="Z605" s="3">
        <v>1.0</v>
      </c>
      <c r="AA605" s="2">
        <f>2+ (P605*'Scoring System'!$B$3)+ (IF(OR(D605="DEF",D605="GK"),N605*'Scoring System'!$B$4,IF(D605="MID",N605*'Scoring System'!$B$5,0)))+ (IF(OR(D605="DEF",D605="GK"),H605*'Scoring System'!$B$6,IF(D605="MID",H605*'Scoring System'!$B$7,IF(D605="ATT",H605*'Scoring System'!$B$8,0))))+ IF(AND(OR(D605="GK",D605="DEF"),J605&gt;=3),1*'Scoring System'!$B$9,0)+ (I605*'Scoring System'!$B$10)+ (K605*'Scoring System'!$B$11)+ (M605*'Scoring System'!$B$12)+ (L605*'Scoring System'!$B$13)+ (O605*'Scoring System'!$B$14)+ (Q605*'Scoring System'!$B$15)+ (R605*'Scoring System'!$B$16)</f>
        <v>2</v>
      </c>
      <c r="AB605" s="72" t="b">
        <f>IFERROR(match(C605,'Match Day Fees'!$B$2:$B$999,0),0)=0</f>
        <v>0</v>
      </c>
      <c r="AC605" s="73">
        <f t="shared" si="1"/>
        <v>0</v>
      </c>
      <c r="AD605" s="3" t="str">
        <f>VLOOKUP(D605,'Position Lookup'!A:B,1,FALSE)</f>
        <v>MID</v>
      </c>
    </row>
    <row r="606" ht="17.25" customHeight="1">
      <c r="A606" s="32">
        <v>45199.0</v>
      </c>
      <c r="B606" s="5" t="s">
        <v>309</v>
      </c>
      <c r="C606" s="3" t="s">
        <v>60</v>
      </c>
      <c r="D606" s="3" t="s">
        <v>10</v>
      </c>
      <c r="E606" s="5">
        <v>1.0</v>
      </c>
      <c r="F606" s="3" t="s">
        <v>596</v>
      </c>
      <c r="G606" s="3" t="s">
        <v>224</v>
      </c>
      <c r="H606" s="3">
        <v>2.0</v>
      </c>
      <c r="I606" s="3">
        <v>1.0</v>
      </c>
      <c r="J606" s="5">
        <v>1.0</v>
      </c>
      <c r="K606" s="5">
        <v>1.0</v>
      </c>
      <c r="N606" s="3" t="b">
        <v>0</v>
      </c>
      <c r="R606" s="3">
        <v>1.0</v>
      </c>
      <c r="T606" s="3">
        <v>10.0</v>
      </c>
      <c r="U606" s="3">
        <v>9.0</v>
      </c>
      <c r="V606" s="3" t="s">
        <v>605</v>
      </c>
      <c r="W606" s="74"/>
      <c r="X606" s="77" t="s">
        <v>598</v>
      </c>
      <c r="Y606" s="3">
        <v>3.0</v>
      </c>
      <c r="Z606" s="3">
        <v>1.0</v>
      </c>
      <c r="AA606" s="2">
        <f>2+ (P606*'Scoring System'!$B$3)+ (IF(OR(D606="DEF",D606="GK"),N606*'Scoring System'!$B$4,IF(D606="MID",N606*'Scoring System'!$B$5,0)))+ (IF(OR(D606="DEF",D606="GK"),H606*'Scoring System'!$B$6,IF(D606="MID",H606*'Scoring System'!$B$7,IF(D606="ATT",H606*'Scoring System'!$B$8,0))))+ IF(AND(OR(D606="GK",D606="DEF"),J606&gt;=3),1*'Scoring System'!$B$9,0)+ (I606*'Scoring System'!$B$10)+ (K606*'Scoring System'!$B$11)+ (M606*'Scoring System'!$B$12)+ (L606*'Scoring System'!$B$13)+ (O606*'Scoring System'!$B$14)+ (Q606*'Scoring System'!$B$15)+ (R606*'Scoring System'!$B$16)</f>
        <v>19</v>
      </c>
      <c r="AB606" s="72" t="b">
        <f>IFERROR(match(C606,'Match Day Fees'!$B$2:$B$999,0),0)=0</f>
        <v>0</v>
      </c>
      <c r="AC606" s="73">
        <f t="shared" si="1"/>
        <v>0</v>
      </c>
      <c r="AD606" s="3" t="str">
        <f>VLOOKUP(D606,'Position Lookup'!A:B,1,FALSE)</f>
        <v>MID</v>
      </c>
    </row>
    <row r="607" ht="17.25" customHeight="1">
      <c r="A607" s="32">
        <v>45199.0</v>
      </c>
      <c r="B607" s="5" t="s">
        <v>309</v>
      </c>
      <c r="C607" s="3" t="s">
        <v>272</v>
      </c>
      <c r="D607" s="3" t="s">
        <v>10</v>
      </c>
      <c r="E607" s="5">
        <v>1.0</v>
      </c>
      <c r="F607" s="3" t="s">
        <v>596</v>
      </c>
      <c r="G607" s="3" t="s">
        <v>224</v>
      </c>
      <c r="J607" s="5">
        <v>1.0</v>
      </c>
      <c r="N607" s="3" t="b">
        <v>0</v>
      </c>
      <c r="R607" s="3">
        <v>0.0</v>
      </c>
      <c r="T607" s="3">
        <v>7.0</v>
      </c>
      <c r="U607" s="3">
        <v>8.0</v>
      </c>
      <c r="V607" s="3" t="s">
        <v>606</v>
      </c>
      <c r="W607" s="74"/>
      <c r="X607" s="77" t="s">
        <v>598</v>
      </c>
      <c r="Y607" s="3">
        <v>3.0</v>
      </c>
      <c r="Z607" s="3">
        <v>1.0</v>
      </c>
      <c r="AA607" s="2">
        <f>2+ (P607*'Scoring System'!$B$3)+ (IF(OR(D607="DEF",D607="GK"),N607*'Scoring System'!$B$4,IF(D607="MID",N607*'Scoring System'!$B$5,0)))+ (IF(OR(D607="DEF",D607="GK"),H607*'Scoring System'!$B$6,IF(D607="MID",H607*'Scoring System'!$B$7,IF(D607="ATT",H607*'Scoring System'!$B$8,0))))+ IF(AND(OR(D607="GK",D607="DEF"),J607&gt;=3),1*'Scoring System'!$B$9,0)+ (I607*'Scoring System'!$B$10)+ (K607*'Scoring System'!$B$11)+ (M607*'Scoring System'!$B$12)+ (L607*'Scoring System'!$B$13)+ (O607*'Scoring System'!$B$14)+ (Q607*'Scoring System'!$B$15)+ (R607*'Scoring System'!$B$16)</f>
        <v>2</v>
      </c>
      <c r="AB607" s="72" t="b">
        <f>IFERROR(match(C607,'Match Day Fees'!$B$2:$B$999,0),0)=0</f>
        <v>0</v>
      </c>
      <c r="AC607" s="73">
        <f t="shared" si="1"/>
        <v>0</v>
      </c>
      <c r="AD607" s="3" t="str">
        <f>VLOOKUP(D607,'Position Lookup'!A:B,1,FALSE)</f>
        <v>MID</v>
      </c>
    </row>
    <row r="608" ht="17.25" customHeight="1">
      <c r="A608" s="32">
        <v>45199.0</v>
      </c>
      <c r="B608" s="5" t="s">
        <v>309</v>
      </c>
      <c r="C608" s="3" t="s">
        <v>96</v>
      </c>
      <c r="D608" s="3" t="s">
        <v>9</v>
      </c>
      <c r="E608" s="5">
        <v>1.0</v>
      </c>
      <c r="F608" s="3" t="s">
        <v>596</v>
      </c>
      <c r="G608" s="3" t="s">
        <v>224</v>
      </c>
      <c r="H608" s="3">
        <v>1.0</v>
      </c>
      <c r="J608" s="5">
        <v>1.0</v>
      </c>
      <c r="N608" s="3" t="b">
        <v>0</v>
      </c>
      <c r="R608" s="3">
        <v>0.0</v>
      </c>
      <c r="T608" s="3">
        <v>7.0</v>
      </c>
      <c r="U608" s="3">
        <v>8.0</v>
      </c>
      <c r="V608" s="3" t="s">
        <v>607</v>
      </c>
      <c r="W608" s="74"/>
      <c r="X608" s="77" t="s">
        <v>598</v>
      </c>
      <c r="Y608" s="3">
        <v>3.0</v>
      </c>
      <c r="Z608" s="3">
        <v>1.0</v>
      </c>
      <c r="AA608" s="2">
        <f>2+ (P608*'Scoring System'!$B$3)+ (IF(OR(D608="DEF",D608="GK"),N608*'Scoring System'!$B$4,IF(D608="MID",N608*'Scoring System'!$B$5,0)))+ (IF(OR(D608="DEF",D608="GK"),H608*'Scoring System'!$B$6,IF(D608="MID",H608*'Scoring System'!$B$7,IF(D608="ATT",H608*'Scoring System'!$B$8,0))))+ IF(AND(OR(D608="GK",D608="DEF"),J608&gt;=3),1*'Scoring System'!$B$9,0)+ (I608*'Scoring System'!$B$10)+ (K608*'Scoring System'!$B$11)+ (M608*'Scoring System'!$B$12)+ (L608*'Scoring System'!$B$13)+ (O608*'Scoring System'!$B$14)+ (Q608*'Scoring System'!$B$15)+ (R608*'Scoring System'!$B$16)</f>
        <v>6</v>
      </c>
      <c r="AB608" s="72" t="b">
        <f>IFERROR(match(C608,'Match Day Fees'!$B$2:$B$999,0),0)=0</f>
        <v>0</v>
      </c>
      <c r="AC608" s="73">
        <f t="shared" si="1"/>
        <v>0</v>
      </c>
      <c r="AD608" s="3" t="str">
        <f>VLOOKUP(D608,'Position Lookup'!A:B,1,FALSE)</f>
        <v>ATT</v>
      </c>
    </row>
    <row r="609" ht="17.25" customHeight="1">
      <c r="A609" s="32">
        <v>45199.0</v>
      </c>
      <c r="B609" s="5" t="s">
        <v>309</v>
      </c>
      <c r="C609" s="3" t="s">
        <v>47</v>
      </c>
      <c r="D609" s="3" t="s">
        <v>9</v>
      </c>
      <c r="E609" s="5">
        <v>1.0</v>
      </c>
      <c r="F609" s="3" t="s">
        <v>596</v>
      </c>
      <c r="G609" s="3" t="s">
        <v>224</v>
      </c>
      <c r="J609" s="5">
        <v>1.0</v>
      </c>
      <c r="L609" s="3" t="b">
        <v>1</v>
      </c>
      <c r="N609" s="3" t="b">
        <v>0</v>
      </c>
      <c r="R609" s="3">
        <v>0.0</v>
      </c>
      <c r="T609" s="3">
        <v>10.0</v>
      </c>
      <c r="U609" s="3">
        <v>7.0</v>
      </c>
      <c r="V609" s="3" t="s">
        <v>608</v>
      </c>
      <c r="W609" s="74"/>
      <c r="X609" s="77" t="s">
        <v>598</v>
      </c>
      <c r="Y609" s="3">
        <v>3.0</v>
      </c>
      <c r="Z609" s="3">
        <v>1.0</v>
      </c>
      <c r="AA609" s="2">
        <f>2+ (P609*'Scoring System'!$B$3)+ (IF(OR(D609="DEF",D609="GK"),N609*'Scoring System'!$B$4,IF(D609="MID",N609*'Scoring System'!$B$5,0)))+ (IF(OR(D609="DEF",D609="GK"),H609*'Scoring System'!$B$6,IF(D609="MID",H609*'Scoring System'!$B$7,IF(D609="ATT",H609*'Scoring System'!$B$8,0))))+ IF(AND(OR(D609="GK",D609="DEF"),J609&gt;=3),1*'Scoring System'!$B$9,0)+ (I609*'Scoring System'!$B$10)+ (K609*'Scoring System'!$B$11)+ (M609*'Scoring System'!$B$12)+ (L609*'Scoring System'!$B$13)+ (O609*'Scoring System'!$B$14)+ (Q609*'Scoring System'!$B$15)+ (R609*'Scoring System'!$B$16)</f>
        <v>0</v>
      </c>
      <c r="AB609" s="72" t="b">
        <f>IFERROR(match(C609,'Match Day Fees'!$B$2:$B$999,0),0)=0</f>
        <v>0</v>
      </c>
      <c r="AC609" s="73">
        <f t="shared" si="1"/>
        <v>0</v>
      </c>
      <c r="AD609" s="3" t="str">
        <f>VLOOKUP(D609,'Position Lookup'!A:B,1,FALSE)</f>
        <v>ATT</v>
      </c>
    </row>
    <row r="610" ht="17.25" customHeight="1">
      <c r="A610" s="32">
        <v>45199.0</v>
      </c>
      <c r="B610" s="5" t="s">
        <v>309</v>
      </c>
      <c r="C610" s="3" t="s">
        <v>57</v>
      </c>
      <c r="D610" s="3" t="s">
        <v>9</v>
      </c>
      <c r="E610" s="5">
        <v>1.0</v>
      </c>
      <c r="F610" s="3" t="s">
        <v>596</v>
      </c>
      <c r="G610" s="3" t="s">
        <v>224</v>
      </c>
      <c r="I610" s="3">
        <v>1.0</v>
      </c>
      <c r="J610" s="5">
        <v>1.0</v>
      </c>
      <c r="N610" s="3" t="b">
        <v>0</v>
      </c>
      <c r="R610" s="3">
        <v>0.0</v>
      </c>
      <c r="T610" s="3">
        <v>2.5</v>
      </c>
      <c r="U610" s="3">
        <v>8.5</v>
      </c>
      <c r="V610" s="3" t="s">
        <v>609</v>
      </c>
      <c r="W610" s="74"/>
      <c r="X610" s="77" t="s">
        <v>598</v>
      </c>
      <c r="Y610" s="3">
        <v>3.0</v>
      </c>
      <c r="Z610" s="3">
        <v>1.0</v>
      </c>
      <c r="AA610" s="2">
        <f>2+ (P610*'Scoring System'!$B$3)+ (IF(OR(D610="DEF",D610="GK"),N610*'Scoring System'!$B$4,IF(D610="MID",N610*'Scoring System'!$B$5,0)))+ (IF(OR(D610="DEF",D610="GK"),H610*'Scoring System'!$B$6,IF(D610="MID",H610*'Scoring System'!$B$7,IF(D610="ATT",H610*'Scoring System'!$B$8,0))))+ IF(AND(OR(D610="GK",D610="DEF"),J610&gt;=3),1*'Scoring System'!$B$9,0)+ (I610*'Scoring System'!$B$10)+ (K610*'Scoring System'!$B$11)+ (M610*'Scoring System'!$B$12)+ (L610*'Scoring System'!$B$13)+ (O610*'Scoring System'!$B$14)+ (Q610*'Scoring System'!$B$15)+ (R610*'Scoring System'!$B$16)</f>
        <v>5</v>
      </c>
      <c r="AB610" s="72" t="b">
        <f>IFERROR(match(C610,'Match Day Fees'!$B$2:$B$999,0),0)=0</f>
        <v>0</v>
      </c>
      <c r="AC610" s="73">
        <f t="shared" si="1"/>
        <v>0</v>
      </c>
      <c r="AD610" s="3" t="str">
        <f>VLOOKUP(D610,'Position Lookup'!A:B,1,FALSE)</f>
        <v>ATT</v>
      </c>
    </row>
    <row r="611" ht="17.25" customHeight="1">
      <c r="A611" s="32">
        <v>45199.0</v>
      </c>
      <c r="B611" s="5" t="s">
        <v>309</v>
      </c>
      <c r="C611" s="3" t="s">
        <v>77</v>
      </c>
      <c r="D611" s="3" t="s">
        <v>10</v>
      </c>
      <c r="E611" s="5">
        <v>1.0</v>
      </c>
      <c r="F611" s="3" t="s">
        <v>596</v>
      </c>
      <c r="G611" s="3" t="s">
        <v>224</v>
      </c>
      <c r="I611" s="3">
        <v>1.0</v>
      </c>
      <c r="J611" s="5">
        <v>1.0</v>
      </c>
      <c r="N611" s="3" t="b">
        <v>0</v>
      </c>
      <c r="R611" s="3">
        <v>0.0</v>
      </c>
      <c r="T611" s="3">
        <v>5.0</v>
      </c>
      <c r="U611" s="3">
        <v>8.5</v>
      </c>
      <c r="V611" s="3" t="s">
        <v>610</v>
      </c>
      <c r="W611" s="74"/>
      <c r="X611" s="77" t="s">
        <v>598</v>
      </c>
      <c r="Y611" s="3">
        <v>3.0</v>
      </c>
      <c r="Z611" s="3">
        <v>1.0</v>
      </c>
      <c r="AA611" s="2">
        <f>2+ (P611*'Scoring System'!$B$3)+ (IF(OR(D611="DEF",D611="GK"),N611*'Scoring System'!$B$4,IF(D611="MID",N611*'Scoring System'!$B$5,0)))+ (IF(OR(D611="DEF",D611="GK"),H611*'Scoring System'!$B$6,IF(D611="MID",H611*'Scoring System'!$B$7,IF(D611="ATT",H611*'Scoring System'!$B$8,0))))+ IF(AND(OR(D611="GK",D611="DEF"),J611&gt;=3),1*'Scoring System'!$B$9,0)+ (I611*'Scoring System'!$B$10)+ (K611*'Scoring System'!$B$11)+ (M611*'Scoring System'!$B$12)+ (L611*'Scoring System'!$B$13)+ (O611*'Scoring System'!$B$14)+ (Q611*'Scoring System'!$B$15)+ (R611*'Scoring System'!$B$16)</f>
        <v>5</v>
      </c>
      <c r="AB611" s="72" t="b">
        <f>IFERROR(match(C611,'Match Day Fees'!$B$2:$B$999,0),0)=0</f>
        <v>0</v>
      </c>
      <c r="AC611" s="73">
        <f t="shared" si="1"/>
        <v>0</v>
      </c>
      <c r="AD611" s="3" t="str">
        <f>VLOOKUP(D611,'Position Lookup'!A:B,1,FALSE)</f>
        <v>MID</v>
      </c>
    </row>
    <row r="612" ht="17.25" customHeight="1">
      <c r="A612" s="32">
        <v>45199.0</v>
      </c>
      <c r="B612" s="5" t="s">
        <v>309</v>
      </c>
      <c r="C612" s="3" t="s">
        <v>137</v>
      </c>
      <c r="D612" s="3" t="s">
        <v>10</v>
      </c>
      <c r="E612" s="5">
        <v>1.0</v>
      </c>
      <c r="F612" s="3" t="s">
        <v>596</v>
      </c>
      <c r="G612" s="3" t="s">
        <v>224</v>
      </c>
      <c r="J612" s="5">
        <v>1.0</v>
      </c>
      <c r="N612" s="3" t="b">
        <v>0</v>
      </c>
      <c r="R612" s="3">
        <v>0.0</v>
      </c>
      <c r="T612" s="3">
        <v>5.0</v>
      </c>
      <c r="U612" s="3">
        <v>7.0</v>
      </c>
      <c r="V612" s="3" t="s">
        <v>611</v>
      </c>
      <c r="W612" s="74"/>
      <c r="X612" s="77" t="s">
        <v>598</v>
      </c>
      <c r="Y612" s="3">
        <v>3.0</v>
      </c>
      <c r="Z612" s="3">
        <v>1.0</v>
      </c>
      <c r="AA612" s="2">
        <f>2+ (P612*'Scoring System'!$B$3)+ (IF(OR(D612="DEF",D612="GK"),N612*'Scoring System'!$B$4,IF(D612="MID",N612*'Scoring System'!$B$5,0)))+ (IF(OR(D612="DEF",D612="GK"),H612*'Scoring System'!$B$6,IF(D612="MID",H612*'Scoring System'!$B$7,IF(D612="ATT",H612*'Scoring System'!$B$8,0))))+ IF(AND(OR(D612="GK",D612="DEF"),J612&gt;=3),1*'Scoring System'!$B$9,0)+ (I612*'Scoring System'!$B$10)+ (K612*'Scoring System'!$B$11)+ (M612*'Scoring System'!$B$12)+ (L612*'Scoring System'!$B$13)+ (O612*'Scoring System'!$B$14)+ (Q612*'Scoring System'!$B$15)+ (R612*'Scoring System'!$B$16)</f>
        <v>2</v>
      </c>
      <c r="AB612" s="72" t="b">
        <f>IFERROR(match(C612,'Match Day Fees'!$B$2:$B$999,0),0)=0</f>
        <v>0</v>
      </c>
      <c r="AC612" s="73">
        <f t="shared" si="1"/>
        <v>0</v>
      </c>
      <c r="AD612" s="3" t="str">
        <f>VLOOKUP(D612,'Position Lookup'!A:B,1,FALSE)</f>
        <v>MID</v>
      </c>
    </row>
    <row r="613" ht="17.25" customHeight="1">
      <c r="A613" s="32">
        <v>45199.0</v>
      </c>
      <c r="B613" s="5" t="s">
        <v>309</v>
      </c>
      <c r="C613" s="3" t="s">
        <v>259</v>
      </c>
      <c r="D613" s="3" t="s">
        <v>8</v>
      </c>
      <c r="E613" s="5">
        <v>6.0</v>
      </c>
      <c r="F613" s="3" t="s">
        <v>612</v>
      </c>
      <c r="G613" s="3" t="s">
        <v>224</v>
      </c>
      <c r="J613" s="5">
        <v>1.0</v>
      </c>
      <c r="K613" s="3">
        <v>1.0</v>
      </c>
      <c r="N613" s="3" t="b">
        <v>0</v>
      </c>
      <c r="R613" s="3">
        <v>0.0</v>
      </c>
      <c r="T613" s="3">
        <v>10.0</v>
      </c>
      <c r="U613" s="3">
        <v>6.5</v>
      </c>
      <c r="V613" s="3" t="s">
        <v>613</v>
      </c>
      <c r="W613" s="74" t="s">
        <v>327</v>
      </c>
      <c r="X613" s="77" t="s">
        <v>614</v>
      </c>
      <c r="Y613" s="3">
        <v>2.0</v>
      </c>
      <c r="Z613" s="3">
        <v>1.0</v>
      </c>
      <c r="AA613" s="2">
        <f>2+ (P613*'Scoring System'!$B$3)+ (IF(OR(D613="DEF",D613="GK"),N613*'Scoring System'!$B$4,IF(D613="MID",N613*'Scoring System'!$B$5,0)))+ (IF(OR(D613="DEF",D613="GK"),H613*'Scoring System'!$B$6,IF(D613="MID",H613*'Scoring System'!$B$7,IF(D613="ATT",H613*'Scoring System'!$B$8,0))))+ IF(AND(OR(D613="GK",D613="DEF"),J613&gt;=3),1*'Scoring System'!$B$9,0)+ (I613*'Scoring System'!$B$10)+ (K613*'Scoring System'!$B$11)+ (M613*'Scoring System'!$B$12)+ (L613*'Scoring System'!$B$13)+ (O613*'Scoring System'!$B$14)+ (Q613*'Scoring System'!$B$15)+ (R613*'Scoring System'!$B$16)</f>
        <v>1</v>
      </c>
      <c r="AB613" s="72" t="b">
        <f>IFERROR(match(C613,'Match Day Fees'!$B$2:$B$999,0),0)=0</f>
        <v>0</v>
      </c>
      <c r="AC613" s="73">
        <f t="shared" si="1"/>
        <v>0</v>
      </c>
      <c r="AD613" s="3" t="str">
        <f>VLOOKUP(D613,'Position Lookup'!A:B,1,FALSE)</f>
        <v>GK</v>
      </c>
    </row>
    <row r="614" ht="17.25" customHeight="1">
      <c r="A614" s="32">
        <v>45199.0</v>
      </c>
      <c r="B614" s="5" t="s">
        <v>309</v>
      </c>
      <c r="C614" s="3" t="s">
        <v>98</v>
      </c>
      <c r="D614" s="3" t="s">
        <v>11</v>
      </c>
      <c r="E614" s="5">
        <v>6.0</v>
      </c>
      <c r="F614" s="3" t="s">
        <v>612</v>
      </c>
      <c r="G614" s="3" t="s">
        <v>224</v>
      </c>
      <c r="J614" s="5">
        <v>1.0</v>
      </c>
      <c r="N614" s="3" t="b">
        <v>0</v>
      </c>
      <c r="R614" s="3">
        <v>0.0</v>
      </c>
      <c r="T614" s="3">
        <v>10.0</v>
      </c>
      <c r="U614" s="3">
        <v>7.5</v>
      </c>
      <c r="V614" s="3" t="s">
        <v>615</v>
      </c>
      <c r="W614" s="74" t="s">
        <v>327</v>
      </c>
      <c r="X614" s="77" t="s">
        <v>614</v>
      </c>
      <c r="Y614" s="3">
        <v>2.0</v>
      </c>
      <c r="Z614" s="3">
        <v>1.0</v>
      </c>
      <c r="AA614" s="2">
        <f>2+ (P614*'Scoring System'!$B$3)+ (IF(OR(D614="DEF",D614="GK"),N614*'Scoring System'!$B$4,IF(D614="MID",N614*'Scoring System'!$B$5,0)))+ (IF(OR(D614="DEF",D614="GK"),H614*'Scoring System'!$B$6,IF(D614="MID",H614*'Scoring System'!$B$7,IF(D614="ATT",H614*'Scoring System'!$B$8,0))))+ IF(AND(OR(D614="GK",D614="DEF"),J614&gt;=3),1*'Scoring System'!$B$9,0)+ (I614*'Scoring System'!$B$10)+ (K614*'Scoring System'!$B$11)+ (M614*'Scoring System'!$B$12)+ (L614*'Scoring System'!$B$13)+ (O614*'Scoring System'!$B$14)+ (Q614*'Scoring System'!$B$15)+ (R614*'Scoring System'!$B$16)</f>
        <v>2</v>
      </c>
      <c r="AB614" s="72" t="b">
        <f>IFERROR(match(C614,'Match Day Fees'!$B$2:$B$999,0),0)=0</f>
        <v>0</v>
      </c>
      <c r="AC614" s="73">
        <f t="shared" si="1"/>
        <v>0</v>
      </c>
      <c r="AD614" s="3" t="str">
        <f>VLOOKUP(D614,'Position Lookup'!A:B,1,FALSE)</f>
        <v>DEF</v>
      </c>
    </row>
    <row r="615" ht="17.25" customHeight="1">
      <c r="A615" s="32">
        <v>45199.0</v>
      </c>
      <c r="B615" s="5" t="s">
        <v>309</v>
      </c>
      <c r="C615" s="3" t="s">
        <v>97</v>
      </c>
      <c r="D615" s="3" t="s">
        <v>11</v>
      </c>
      <c r="E615" s="5">
        <v>6.0</v>
      </c>
      <c r="F615" s="3" t="s">
        <v>612</v>
      </c>
      <c r="G615" s="3" t="s">
        <v>224</v>
      </c>
      <c r="J615" s="5">
        <v>1.0</v>
      </c>
      <c r="N615" s="3" t="b">
        <v>0</v>
      </c>
      <c r="R615" s="3">
        <v>0.0</v>
      </c>
      <c r="T615" s="3">
        <v>5.0</v>
      </c>
      <c r="U615" s="3">
        <v>7.5</v>
      </c>
      <c r="V615" s="3" t="s">
        <v>616</v>
      </c>
      <c r="W615" s="74" t="s">
        <v>327</v>
      </c>
      <c r="X615" s="77" t="s">
        <v>614</v>
      </c>
      <c r="Y615" s="3">
        <v>2.0</v>
      </c>
      <c r="Z615" s="3">
        <v>1.0</v>
      </c>
      <c r="AA615" s="2">
        <f>2+ (P615*'Scoring System'!$B$3)+ (IF(OR(D615="DEF",D615="GK"),N615*'Scoring System'!$B$4,IF(D615="MID",N615*'Scoring System'!$B$5,0)))+ (IF(OR(D615="DEF",D615="GK"),H615*'Scoring System'!$B$6,IF(D615="MID",H615*'Scoring System'!$B$7,IF(D615="ATT",H615*'Scoring System'!$B$8,0))))+ IF(AND(OR(D615="GK",D615="DEF"),J615&gt;=3),1*'Scoring System'!$B$9,0)+ (I615*'Scoring System'!$B$10)+ (K615*'Scoring System'!$B$11)+ (M615*'Scoring System'!$B$12)+ (L615*'Scoring System'!$B$13)+ (O615*'Scoring System'!$B$14)+ (Q615*'Scoring System'!$B$15)+ (R615*'Scoring System'!$B$16)</f>
        <v>2</v>
      </c>
      <c r="AB615" s="72" t="b">
        <f>IFERROR(match(C615,'Match Day Fees'!$B$2:$B$999,0),0)=0</f>
        <v>0</v>
      </c>
      <c r="AC615" s="73">
        <f t="shared" si="1"/>
        <v>0</v>
      </c>
      <c r="AD615" s="3" t="str">
        <f>VLOOKUP(D615,'Position Lookup'!A:B,1,FALSE)</f>
        <v>DEF</v>
      </c>
    </row>
    <row r="616" ht="17.25" customHeight="1">
      <c r="A616" s="32">
        <v>45199.0</v>
      </c>
      <c r="B616" s="5" t="s">
        <v>309</v>
      </c>
      <c r="C616" s="3" t="s">
        <v>90</v>
      </c>
      <c r="D616" s="3" t="s">
        <v>11</v>
      </c>
      <c r="E616" s="5">
        <v>6.0</v>
      </c>
      <c r="F616" s="3" t="s">
        <v>612</v>
      </c>
      <c r="G616" s="3" t="s">
        <v>224</v>
      </c>
      <c r="I616" s="3">
        <v>1.0</v>
      </c>
      <c r="J616" s="5">
        <v>1.0</v>
      </c>
      <c r="N616" s="3" t="b">
        <v>0</v>
      </c>
      <c r="R616" s="3">
        <v>0.0</v>
      </c>
      <c r="T616" s="3">
        <v>10.0</v>
      </c>
      <c r="U616" s="3">
        <v>7.0</v>
      </c>
      <c r="V616" s="3" t="s">
        <v>617</v>
      </c>
      <c r="W616" s="74" t="s">
        <v>327</v>
      </c>
      <c r="X616" s="77" t="s">
        <v>614</v>
      </c>
      <c r="Y616" s="3">
        <v>2.0</v>
      </c>
      <c r="Z616" s="3">
        <v>1.0</v>
      </c>
      <c r="AA616" s="2">
        <f>2+ (P616*'Scoring System'!$B$3)+ (IF(OR(D616="DEF",D616="GK"),N616*'Scoring System'!$B$4,IF(D616="MID",N616*'Scoring System'!$B$5,0)))+ (IF(OR(D616="DEF",D616="GK"),H616*'Scoring System'!$B$6,IF(D616="MID",H616*'Scoring System'!$B$7,IF(D616="ATT",H616*'Scoring System'!$B$8,0))))+ IF(AND(OR(D616="GK",D616="DEF"),J616&gt;=3),1*'Scoring System'!$B$9,0)+ (I616*'Scoring System'!$B$10)+ (K616*'Scoring System'!$B$11)+ (M616*'Scoring System'!$B$12)+ (L616*'Scoring System'!$B$13)+ (O616*'Scoring System'!$B$14)+ (Q616*'Scoring System'!$B$15)+ (R616*'Scoring System'!$B$16)</f>
        <v>5</v>
      </c>
      <c r="AB616" s="72" t="b">
        <f>IFERROR(match(C616,'Match Day Fees'!$B$2:$B$999,0),0)=0</f>
        <v>0</v>
      </c>
      <c r="AC616" s="73">
        <f t="shared" si="1"/>
        <v>0</v>
      </c>
      <c r="AD616" s="3" t="str">
        <f>VLOOKUP(D616,'Position Lookup'!A:B,1,FALSE)</f>
        <v>DEF</v>
      </c>
    </row>
    <row r="617" ht="17.25" customHeight="1">
      <c r="A617" s="32">
        <v>45199.0</v>
      </c>
      <c r="B617" s="5" t="s">
        <v>309</v>
      </c>
      <c r="C617" s="3" t="s">
        <v>253</v>
      </c>
      <c r="D617" s="3" t="s">
        <v>10</v>
      </c>
      <c r="E617" s="5">
        <v>6.0</v>
      </c>
      <c r="F617" s="3" t="s">
        <v>612</v>
      </c>
      <c r="G617" s="3" t="s">
        <v>224</v>
      </c>
      <c r="H617" s="3">
        <v>1.0</v>
      </c>
      <c r="J617" s="5">
        <v>1.0</v>
      </c>
      <c r="N617" s="3" t="b">
        <v>0</v>
      </c>
      <c r="R617" s="3">
        <v>0.0</v>
      </c>
      <c r="T617" s="3">
        <v>10.0</v>
      </c>
      <c r="U617" s="3">
        <v>6.5</v>
      </c>
      <c r="V617" s="3" t="s">
        <v>618</v>
      </c>
      <c r="W617" s="74" t="s">
        <v>327</v>
      </c>
      <c r="X617" s="77" t="s">
        <v>614</v>
      </c>
      <c r="Y617" s="3">
        <v>2.0</v>
      </c>
      <c r="Z617" s="3">
        <v>1.0</v>
      </c>
      <c r="AA617" s="2">
        <f>2+ (P617*'Scoring System'!$B$3)+ (IF(OR(D617="DEF",D617="GK"),N617*'Scoring System'!$B$4,IF(D617="MID",N617*'Scoring System'!$B$5,0)))+ (IF(OR(D617="DEF",D617="GK"),H617*'Scoring System'!$B$6,IF(D617="MID",H617*'Scoring System'!$B$7,IF(D617="ATT",H617*'Scoring System'!$B$8,0))))+ IF(AND(OR(D617="GK",D617="DEF"),J617&gt;=3),1*'Scoring System'!$B$9,0)+ (I617*'Scoring System'!$B$10)+ (K617*'Scoring System'!$B$11)+ (M617*'Scoring System'!$B$12)+ (L617*'Scoring System'!$B$13)+ (O617*'Scoring System'!$B$14)+ (Q617*'Scoring System'!$B$15)+ (R617*'Scoring System'!$B$16)</f>
        <v>7</v>
      </c>
      <c r="AB617" s="72" t="b">
        <f>IFERROR(match(C617,'Match Day Fees'!$B$2:$B$999,0),0)=0</f>
        <v>0</v>
      </c>
      <c r="AC617" s="73">
        <f t="shared" si="1"/>
        <v>0</v>
      </c>
      <c r="AD617" s="3" t="str">
        <f>VLOOKUP(D617,'Position Lookup'!A:B,1,FALSE)</f>
        <v>MID</v>
      </c>
    </row>
    <row r="618" ht="17.25" customHeight="1">
      <c r="A618" s="32">
        <v>45199.0</v>
      </c>
      <c r="B618" s="5" t="s">
        <v>309</v>
      </c>
      <c r="C618" s="3" t="s">
        <v>588</v>
      </c>
      <c r="D618" s="3" t="s">
        <v>11</v>
      </c>
      <c r="E618" s="5">
        <v>6.0</v>
      </c>
      <c r="F618" s="3" t="s">
        <v>612</v>
      </c>
      <c r="G618" s="3" t="s">
        <v>224</v>
      </c>
      <c r="J618" s="5">
        <v>1.0</v>
      </c>
      <c r="N618" s="3" t="b">
        <v>0</v>
      </c>
      <c r="R618" s="3">
        <v>0.0</v>
      </c>
      <c r="T618" s="3">
        <v>10.0</v>
      </c>
      <c r="U618" s="3">
        <v>5.0</v>
      </c>
      <c r="V618" s="3" t="s">
        <v>619</v>
      </c>
      <c r="W618" s="74" t="s">
        <v>327</v>
      </c>
      <c r="X618" s="77" t="s">
        <v>614</v>
      </c>
      <c r="Y618" s="3">
        <v>2.0</v>
      </c>
      <c r="Z618" s="3">
        <v>1.0</v>
      </c>
      <c r="AA618" s="2">
        <f>2+ (P618*'Scoring System'!$B$3)+ (IF(OR(D618="DEF",D618="GK"),N618*'Scoring System'!$B$4,IF(D618="MID",N618*'Scoring System'!$B$5,0)))+ (IF(OR(D618="DEF",D618="GK"),H618*'Scoring System'!$B$6,IF(D618="MID",H618*'Scoring System'!$B$7,IF(D618="ATT",H618*'Scoring System'!$B$8,0))))+ IF(AND(OR(D618="GK",D618="DEF"),J618&gt;=3),1*'Scoring System'!$B$9,0)+ (I618*'Scoring System'!$B$10)+ (K618*'Scoring System'!$B$11)+ (M618*'Scoring System'!$B$12)+ (L618*'Scoring System'!$B$13)+ (O618*'Scoring System'!$B$14)+ (Q618*'Scoring System'!$B$15)+ (R618*'Scoring System'!$B$16)</f>
        <v>2</v>
      </c>
      <c r="AB618" s="72" t="b">
        <f>IFERROR(match(C618,'Match Day Fees'!$B$2:$B$999,0),0)=0</f>
        <v>0</v>
      </c>
      <c r="AC618" s="73">
        <f t="shared" si="1"/>
        <v>0</v>
      </c>
      <c r="AD618" s="3" t="str">
        <f>VLOOKUP(D618,'Position Lookup'!A:B,1,FALSE)</f>
        <v>DEF</v>
      </c>
    </row>
    <row r="619" ht="17.25" customHeight="1">
      <c r="A619" s="32">
        <v>45199.0</v>
      </c>
      <c r="B619" s="5" t="s">
        <v>309</v>
      </c>
      <c r="C619" s="3" t="s">
        <v>94</v>
      </c>
      <c r="D619" s="3" t="s">
        <v>10</v>
      </c>
      <c r="E619" s="5">
        <v>6.0</v>
      </c>
      <c r="F619" s="3" t="s">
        <v>612</v>
      </c>
      <c r="G619" s="3" t="s">
        <v>224</v>
      </c>
      <c r="J619" s="5">
        <v>1.0</v>
      </c>
      <c r="N619" s="3" t="b">
        <v>0</v>
      </c>
      <c r="R619" s="3">
        <v>1.0</v>
      </c>
      <c r="S619" s="3" t="b">
        <v>1</v>
      </c>
      <c r="U619" s="3">
        <v>8.0</v>
      </c>
      <c r="V619" s="3" t="s">
        <v>620</v>
      </c>
      <c r="W619" s="74" t="s">
        <v>327</v>
      </c>
      <c r="X619" s="77" t="s">
        <v>614</v>
      </c>
      <c r="Y619" s="3">
        <v>2.0</v>
      </c>
      <c r="Z619" s="3">
        <v>1.0</v>
      </c>
      <c r="AA619" s="2">
        <f>2+ (P619*'Scoring System'!$B$3)+ (IF(OR(D619="DEF",D619="GK"),N619*'Scoring System'!$B$4,IF(D619="MID",N619*'Scoring System'!$B$5,0)))+ (IF(OR(D619="DEF",D619="GK"),H619*'Scoring System'!$B$6,IF(D619="MID",H619*'Scoring System'!$B$7,IF(D619="ATT",H619*'Scoring System'!$B$8,0))))+ IF(AND(OR(D619="GK",D619="DEF"),J619&gt;=3),1*'Scoring System'!$B$9,0)+ (I619*'Scoring System'!$B$10)+ (K619*'Scoring System'!$B$11)+ (M619*'Scoring System'!$B$12)+ (L619*'Scoring System'!$B$13)+ (O619*'Scoring System'!$B$14)+ (Q619*'Scoring System'!$B$15)+ (R619*'Scoring System'!$B$16)</f>
        <v>7</v>
      </c>
      <c r="AB619" s="72" t="b">
        <f>IFERROR(match(C619,'Match Day Fees'!$B$2:$B$999,0),0)=0</f>
        <v>0</v>
      </c>
      <c r="AC619" s="73">
        <f t="shared" si="1"/>
        <v>0</v>
      </c>
      <c r="AD619" s="3" t="str">
        <f>VLOOKUP(D619,'Position Lookup'!A:B,1,FALSE)</f>
        <v>MID</v>
      </c>
    </row>
    <row r="620" ht="17.25" customHeight="1">
      <c r="A620" s="32">
        <v>45199.0</v>
      </c>
      <c r="B620" s="5" t="s">
        <v>309</v>
      </c>
      <c r="C620" s="3" t="s">
        <v>142</v>
      </c>
      <c r="D620" s="3" t="s">
        <v>10</v>
      </c>
      <c r="E620" s="5">
        <v>6.0</v>
      </c>
      <c r="F620" s="3" t="s">
        <v>612</v>
      </c>
      <c r="G620" s="3" t="s">
        <v>224</v>
      </c>
      <c r="J620" s="5">
        <v>1.0</v>
      </c>
      <c r="N620" s="3" t="b">
        <v>0</v>
      </c>
      <c r="R620" s="3">
        <v>0.0</v>
      </c>
      <c r="T620" s="3">
        <v>10.0</v>
      </c>
      <c r="U620" s="3">
        <v>6.5</v>
      </c>
      <c r="V620" s="3" t="s">
        <v>621</v>
      </c>
      <c r="W620" s="74" t="s">
        <v>327</v>
      </c>
      <c r="X620" s="77" t="s">
        <v>614</v>
      </c>
      <c r="Y620" s="3">
        <v>2.0</v>
      </c>
      <c r="Z620" s="3">
        <v>1.0</v>
      </c>
      <c r="AA620" s="2">
        <f>2+ (P620*'Scoring System'!$B$3)+ (IF(OR(D620="DEF",D620="GK"),N620*'Scoring System'!$B$4,IF(D620="MID",N620*'Scoring System'!$B$5,0)))+ (IF(OR(D620="DEF",D620="GK"),H620*'Scoring System'!$B$6,IF(D620="MID",H620*'Scoring System'!$B$7,IF(D620="ATT",H620*'Scoring System'!$B$8,0))))+ IF(AND(OR(D620="GK",D620="DEF"),J620&gt;=3),1*'Scoring System'!$B$9,0)+ (I620*'Scoring System'!$B$10)+ (K620*'Scoring System'!$B$11)+ (M620*'Scoring System'!$B$12)+ (L620*'Scoring System'!$B$13)+ (O620*'Scoring System'!$B$14)+ (Q620*'Scoring System'!$B$15)+ (R620*'Scoring System'!$B$16)</f>
        <v>2</v>
      </c>
      <c r="AB620" s="72" t="b">
        <f>IFERROR(match(C620,'Match Day Fees'!$B$2:$B$999,0),0)=0</f>
        <v>0</v>
      </c>
      <c r="AC620" s="73">
        <f t="shared" si="1"/>
        <v>0</v>
      </c>
      <c r="AD620" s="3" t="str">
        <f>VLOOKUP(D620,'Position Lookup'!A:B,1,FALSE)</f>
        <v>MID</v>
      </c>
    </row>
    <row r="621" ht="17.25" customHeight="1">
      <c r="A621" s="32">
        <v>45199.0</v>
      </c>
      <c r="B621" s="5" t="s">
        <v>309</v>
      </c>
      <c r="C621" s="3" t="s">
        <v>392</v>
      </c>
      <c r="D621" s="3" t="s">
        <v>9</v>
      </c>
      <c r="E621" s="5">
        <v>6.0</v>
      </c>
      <c r="F621" s="3" t="s">
        <v>612</v>
      </c>
      <c r="G621" s="3" t="s">
        <v>224</v>
      </c>
      <c r="J621" s="5">
        <v>1.0</v>
      </c>
      <c r="N621" s="3" t="b">
        <v>0</v>
      </c>
      <c r="R621" s="3">
        <v>0.0</v>
      </c>
      <c r="T621" s="3">
        <v>10.0</v>
      </c>
      <c r="U621" s="3">
        <v>6.5</v>
      </c>
      <c r="V621" s="3" t="s">
        <v>622</v>
      </c>
      <c r="W621" s="74" t="s">
        <v>327</v>
      </c>
      <c r="X621" s="77" t="s">
        <v>614</v>
      </c>
      <c r="Y621" s="3">
        <v>2.0</v>
      </c>
      <c r="Z621" s="3">
        <v>1.0</v>
      </c>
      <c r="AA621" s="2">
        <f>2+ (P621*'Scoring System'!$B$3)+ (IF(OR(D621="DEF",D621="GK"),N621*'Scoring System'!$B$4,IF(D621="MID",N621*'Scoring System'!$B$5,0)))+ (IF(OR(D621="DEF",D621="GK"),H621*'Scoring System'!$B$6,IF(D621="MID",H621*'Scoring System'!$B$7,IF(D621="ATT",H621*'Scoring System'!$B$8,0))))+ IF(AND(OR(D621="GK",D621="DEF"),J621&gt;=3),1*'Scoring System'!$B$9,0)+ (I621*'Scoring System'!$B$10)+ (K621*'Scoring System'!$B$11)+ (M621*'Scoring System'!$B$12)+ (L621*'Scoring System'!$B$13)+ (O621*'Scoring System'!$B$14)+ (Q621*'Scoring System'!$B$15)+ (R621*'Scoring System'!$B$16)</f>
        <v>2</v>
      </c>
      <c r="AB621" s="72" t="b">
        <f>IFERROR(match(C621,'Match Day Fees'!$B$2:$B$999,0),0)=0</f>
        <v>0</v>
      </c>
      <c r="AC621" s="73">
        <f t="shared" si="1"/>
        <v>0</v>
      </c>
      <c r="AD621" s="3" t="str">
        <f>VLOOKUP(D621,'Position Lookup'!A:B,1,FALSE)</f>
        <v>ATT</v>
      </c>
    </row>
    <row r="622" ht="17.25" customHeight="1">
      <c r="A622" s="32">
        <v>45199.0</v>
      </c>
      <c r="B622" s="5" t="s">
        <v>309</v>
      </c>
      <c r="C622" s="3" t="s">
        <v>147</v>
      </c>
      <c r="D622" s="3" t="s">
        <v>10</v>
      </c>
      <c r="E622" s="5">
        <v>6.0</v>
      </c>
      <c r="F622" s="3" t="s">
        <v>612</v>
      </c>
      <c r="G622" s="3" t="s">
        <v>224</v>
      </c>
      <c r="I622" s="3">
        <v>1.0</v>
      </c>
      <c r="J622" s="5">
        <v>1.0</v>
      </c>
      <c r="N622" s="3" t="b">
        <v>0</v>
      </c>
      <c r="R622" s="3">
        <v>0.0</v>
      </c>
      <c r="T622" s="3">
        <v>10.0</v>
      </c>
      <c r="U622" s="3">
        <v>7.0</v>
      </c>
      <c r="V622" s="3" t="s">
        <v>623</v>
      </c>
      <c r="W622" s="74" t="s">
        <v>327</v>
      </c>
      <c r="X622" s="77" t="s">
        <v>614</v>
      </c>
      <c r="Y622" s="3">
        <v>2.0</v>
      </c>
      <c r="Z622" s="3">
        <v>1.0</v>
      </c>
      <c r="AA622" s="2">
        <f>2+ (P622*'Scoring System'!$B$3)+ (IF(OR(D622="DEF",D622="GK"),N622*'Scoring System'!$B$4,IF(D622="MID",N622*'Scoring System'!$B$5,0)))+ (IF(OR(D622="DEF",D622="GK"),H622*'Scoring System'!$B$6,IF(D622="MID",H622*'Scoring System'!$B$7,IF(D622="ATT",H622*'Scoring System'!$B$8,0))))+ IF(AND(OR(D622="GK",D622="DEF"),J622&gt;=3),1*'Scoring System'!$B$9,0)+ (I622*'Scoring System'!$B$10)+ (K622*'Scoring System'!$B$11)+ (M622*'Scoring System'!$B$12)+ (L622*'Scoring System'!$B$13)+ (O622*'Scoring System'!$B$14)+ (Q622*'Scoring System'!$B$15)+ (R622*'Scoring System'!$B$16)</f>
        <v>5</v>
      </c>
      <c r="AB622" s="72" t="b">
        <f>IFERROR(match(C622,'Match Day Fees'!$B$2:$B$999,0),0)=0</f>
        <v>0</v>
      </c>
      <c r="AC622" s="73">
        <f t="shared" si="1"/>
        <v>0</v>
      </c>
      <c r="AD622" s="3" t="str">
        <f>VLOOKUP(D622,'Position Lookup'!A:B,1,FALSE)</f>
        <v>MID</v>
      </c>
    </row>
    <row r="623" ht="17.25" customHeight="1">
      <c r="A623" s="32">
        <v>45199.0</v>
      </c>
      <c r="B623" s="5" t="s">
        <v>309</v>
      </c>
      <c r="C623" s="3" t="s">
        <v>266</v>
      </c>
      <c r="D623" s="3" t="s">
        <v>10</v>
      </c>
      <c r="E623" s="5">
        <v>6.0</v>
      </c>
      <c r="F623" s="3" t="s">
        <v>612</v>
      </c>
      <c r="G623" s="3" t="s">
        <v>224</v>
      </c>
      <c r="J623" s="5">
        <v>1.0</v>
      </c>
      <c r="N623" s="3" t="b">
        <v>0</v>
      </c>
      <c r="R623" s="3">
        <v>0.0</v>
      </c>
      <c r="T623" s="3">
        <v>10.0</v>
      </c>
      <c r="U623" s="3">
        <v>6.0</v>
      </c>
      <c r="V623" s="3" t="s">
        <v>624</v>
      </c>
      <c r="W623" s="74" t="s">
        <v>327</v>
      </c>
      <c r="X623" s="77" t="s">
        <v>614</v>
      </c>
      <c r="Y623" s="3">
        <v>2.0</v>
      </c>
      <c r="Z623" s="3">
        <v>1.0</v>
      </c>
      <c r="AA623" s="2">
        <f>2+ (P623*'Scoring System'!$B$3)+ (IF(OR(D623="DEF",D623="GK"),N623*'Scoring System'!$B$4,IF(D623="MID",N623*'Scoring System'!$B$5,0)))+ (IF(OR(D623="DEF",D623="GK"),H623*'Scoring System'!$B$6,IF(D623="MID",H623*'Scoring System'!$B$7,IF(D623="ATT",H623*'Scoring System'!$B$8,0))))+ IF(AND(OR(D623="GK",D623="DEF"),J623&gt;=3),1*'Scoring System'!$B$9,0)+ (I623*'Scoring System'!$B$10)+ (K623*'Scoring System'!$B$11)+ (M623*'Scoring System'!$B$12)+ (L623*'Scoring System'!$B$13)+ (O623*'Scoring System'!$B$14)+ (Q623*'Scoring System'!$B$15)+ (R623*'Scoring System'!$B$16)</f>
        <v>2</v>
      </c>
      <c r="AB623" s="72" t="b">
        <f>IFERROR(match(C623,'Match Day Fees'!$B$2:$B$999,0),0)=0</f>
        <v>0</v>
      </c>
      <c r="AC623" s="73">
        <f t="shared" si="1"/>
        <v>0</v>
      </c>
      <c r="AD623" s="3" t="str">
        <f>VLOOKUP(D623,'Position Lookup'!A:B,1,FALSE)</f>
        <v>MID</v>
      </c>
    </row>
    <row r="624" ht="17.25" customHeight="1">
      <c r="A624" s="32">
        <v>45199.0</v>
      </c>
      <c r="B624" s="5" t="s">
        <v>309</v>
      </c>
      <c r="C624" s="3" t="s">
        <v>235</v>
      </c>
      <c r="D624" s="3" t="s">
        <v>9</v>
      </c>
      <c r="E624" s="5">
        <v>6.0</v>
      </c>
      <c r="F624" s="3" t="s">
        <v>612</v>
      </c>
      <c r="G624" s="3" t="s">
        <v>224</v>
      </c>
      <c r="H624" s="3">
        <v>1.0</v>
      </c>
      <c r="J624" s="5">
        <v>1.0</v>
      </c>
      <c r="N624" s="3" t="b">
        <v>0</v>
      </c>
      <c r="R624" s="3">
        <v>0.0</v>
      </c>
      <c r="T624" s="3">
        <v>10.0</v>
      </c>
      <c r="U624" s="3">
        <v>7.5</v>
      </c>
      <c r="V624" s="3" t="s">
        <v>625</v>
      </c>
      <c r="W624" s="74" t="s">
        <v>327</v>
      </c>
      <c r="X624" s="77" t="s">
        <v>614</v>
      </c>
      <c r="Y624" s="3">
        <v>2.0</v>
      </c>
      <c r="Z624" s="3">
        <v>1.0</v>
      </c>
      <c r="AA624" s="2">
        <f>2+ (P624*'Scoring System'!$B$3)+ (IF(OR(D624="DEF",D624="GK"),N624*'Scoring System'!$B$4,IF(D624="MID",N624*'Scoring System'!$B$5,0)))+ (IF(OR(D624="DEF",D624="GK"),H624*'Scoring System'!$B$6,IF(D624="MID",H624*'Scoring System'!$B$7,IF(D624="ATT",H624*'Scoring System'!$B$8,0))))+ IF(AND(OR(D624="GK",D624="DEF"),J624&gt;=3),1*'Scoring System'!$B$9,0)+ (I624*'Scoring System'!$B$10)+ (K624*'Scoring System'!$B$11)+ (M624*'Scoring System'!$B$12)+ (L624*'Scoring System'!$B$13)+ (O624*'Scoring System'!$B$14)+ (Q624*'Scoring System'!$B$15)+ (R624*'Scoring System'!$B$16)</f>
        <v>6</v>
      </c>
      <c r="AB624" s="72" t="b">
        <f>IFERROR(match(C624,'Match Day Fees'!$B$2:$B$999,0),0)=0</f>
        <v>0</v>
      </c>
      <c r="AC624" s="73">
        <f t="shared" si="1"/>
        <v>0</v>
      </c>
      <c r="AD624" s="3" t="str">
        <f>VLOOKUP(D624,'Position Lookup'!A:B,1,FALSE)</f>
        <v>ATT</v>
      </c>
    </row>
    <row r="625" ht="17.25" customHeight="1">
      <c r="A625" s="32">
        <v>45199.0</v>
      </c>
      <c r="B625" s="79" t="s">
        <v>626</v>
      </c>
      <c r="C625" s="3" t="s">
        <v>278</v>
      </c>
      <c r="D625" s="3" t="s">
        <v>8</v>
      </c>
      <c r="E625" s="5">
        <v>2.0</v>
      </c>
      <c r="F625" s="3" t="s">
        <v>627</v>
      </c>
      <c r="G625" s="3" t="s">
        <v>230</v>
      </c>
      <c r="J625" s="5">
        <v>4.0</v>
      </c>
      <c r="N625" s="3" t="b">
        <v>0</v>
      </c>
      <c r="R625" s="3">
        <v>0.0</v>
      </c>
      <c r="T625" s="5">
        <v>0.0</v>
      </c>
      <c r="U625" s="5">
        <v>6.0</v>
      </c>
      <c r="V625" s="3" t="s">
        <v>628</v>
      </c>
      <c r="W625" s="80" t="s">
        <v>629</v>
      </c>
      <c r="X625" s="77" t="s">
        <v>630</v>
      </c>
      <c r="Y625" s="3">
        <v>3.0</v>
      </c>
      <c r="Z625" s="3">
        <v>4.0</v>
      </c>
      <c r="AA625" s="2">
        <f>2+ (P625*'Scoring System'!$B$3)+ (IF(OR(D625="DEF",D625="GK"),N625*'Scoring System'!$B$4,IF(D625="MID",N625*'Scoring System'!$B$5,0)))+ (IF(OR(D625="DEF",D625="GK"),H625*'Scoring System'!$B$6,IF(D625="MID",H625*'Scoring System'!$B$7,IF(D625="ATT",H625*'Scoring System'!$B$8,0))))+ IF(AND(OR(D625="GK",D625="DEF"),J625&gt;=3),1*'Scoring System'!$B$9,0)+ (I625*'Scoring System'!$B$10)+ (K625*'Scoring System'!$B$11)+ (M625*'Scoring System'!$B$12)+ (L625*'Scoring System'!$B$13)+ (O625*'Scoring System'!$B$14)+ (Q625*'Scoring System'!$B$15)+ (R625*'Scoring System'!$B$16)</f>
        <v>1</v>
      </c>
      <c r="AB625" s="72" t="b">
        <f>IFERROR(match(C625,'Match Day Fees'!$B$2:$B$999,0),0)=0</f>
        <v>0</v>
      </c>
      <c r="AC625" s="73">
        <f t="shared" si="1"/>
        <v>0</v>
      </c>
      <c r="AD625" s="3" t="str">
        <f>VLOOKUP(D625,'Position Lookup'!A:B,1,FALSE)</f>
        <v>GK</v>
      </c>
    </row>
    <row r="626" ht="17.25" customHeight="1">
      <c r="A626" s="32">
        <v>45199.0</v>
      </c>
      <c r="B626" s="79" t="s">
        <v>626</v>
      </c>
      <c r="C626" s="3" t="s">
        <v>92</v>
      </c>
      <c r="D626" s="3" t="s">
        <v>10</v>
      </c>
      <c r="E626" s="5">
        <v>2.0</v>
      </c>
      <c r="F626" s="3" t="s">
        <v>627</v>
      </c>
      <c r="G626" s="3" t="s">
        <v>230</v>
      </c>
      <c r="H626" s="3">
        <v>2.0</v>
      </c>
      <c r="I626" s="3">
        <v>1.0</v>
      </c>
      <c r="J626" s="5">
        <v>4.0</v>
      </c>
      <c r="N626" s="3" t="b">
        <v>0</v>
      </c>
      <c r="R626" s="3">
        <v>0.0</v>
      </c>
      <c r="S626" s="3" t="b">
        <v>1</v>
      </c>
      <c r="U626" s="5">
        <v>9.0</v>
      </c>
      <c r="V626" s="3" t="s">
        <v>631</v>
      </c>
      <c r="W626" s="80" t="s">
        <v>629</v>
      </c>
      <c r="X626" s="77" t="s">
        <v>630</v>
      </c>
      <c r="Y626" s="3">
        <v>3.0</v>
      </c>
      <c r="Z626" s="3">
        <v>4.0</v>
      </c>
      <c r="AA626" s="2">
        <f>2+ (P626*'Scoring System'!$B$3)+ (IF(OR(D626="DEF",D626="GK"),N626*'Scoring System'!$B$4,IF(D626="MID",N626*'Scoring System'!$B$5,0)))+ (IF(OR(D626="DEF",D626="GK"),H626*'Scoring System'!$B$6,IF(D626="MID",H626*'Scoring System'!$B$7,IF(D626="ATT",H626*'Scoring System'!$B$8,0))))+ IF(AND(OR(D626="GK",D626="DEF"),J626&gt;=3),1*'Scoring System'!$B$9,0)+ (I626*'Scoring System'!$B$10)+ (K626*'Scoring System'!$B$11)+ (M626*'Scoring System'!$B$12)+ (L626*'Scoring System'!$B$13)+ (O626*'Scoring System'!$B$14)+ (Q626*'Scoring System'!$B$15)+ (R626*'Scoring System'!$B$16)</f>
        <v>15</v>
      </c>
      <c r="AB626" s="72" t="b">
        <f>IFERROR(match(C626,'Match Day Fees'!$B$2:$B$999,0),0)=0</f>
        <v>0</v>
      </c>
      <c r="AC626" s="73">
        <f t="shared" si="1"/>
        <v>0</v>
      </c>
      <c r="AD626" s="3" t="str">
        <f>VLOOKUP(D626,'Position Lookup'!A:B,1,FALSE)</f>
        <v>MID</v>
      </c>
    </row>
    <row r="627" ht="17.25" customHeight="1">
      <c r="A627" s="32">
        <v>45199.0</v>
      </c>
      <c r="B627" s="79" t="s">
        <v>626</v>
      </c>
      <c r="C627" s="3" t="s">
        <v>93</v>
      </c>
      <c r="D627" s="3" t="s">
        <v>10</v>
      </c>
      <c r="E627" s="5">
        <v>2.0</v>
      </c>
      <c r="F627" s="3" t="s">
        <v>627</v>
      </c>
      <c r="G627" s="3" t="s">
        <v>230</v>
      </c>
      <c r="I627" s="3">
        <v>1.0</v>
      </c>
      <c r="J627" s="5">
        <v>4.0</v>
      </c>
      <c r="N627" s="3" t="b">
        <v>0</v>
      </c>
      <c r="R627" s="3">
        <v>1.0</v>
      </c>
      <c r="T627" s="3">
        <v>10.0</v>
      </c>
      <c r="U627" s="5">
        <v>9.0</v>
      </c>
      <c r="V627" s="3" t="s">
        <v>632</v>
      </c>
      <c r="W627" s="80" t="s">
        <v>629</v>
      </c>
      <c r="X627" s="77" t="s">
        <v>630</v>
      </c>
      <c r="Y627" s="3">
        <v>3.0</v>
      </c>
      <c r="Z627" s="3">
        <v>4.0</v>
      </c>
      <c r="AA627" s="2">
        <f>2+ (P627*'Scoring System'!$B$3)+ (IF(OR(D627="DEF",D627="GK"),N627*'Scoring System'!$B$4,IF(D627="MID",N627*'Scoring System'!$B$5,0)))+ (IF(OR(D627="DEF",D627="GK"),H627*'Scoring System'!$B$6,IF(D627="MID",H627*'Scoring System'!$B$7,IF(D627="ATT",H627*'Scoring System'!$B$8,0))))+ IF(AND(OR(D627="GK",D627="DEF"),J627&gt;=3),1*'Scoring System'!$B$9,0)+ (I627*'Scoring System'!$B$10)+ (K627*'Scoring System'!$B$11)+ (M627*'Scoring System'!$B$12)+ (L627*'Scoring System'!$B$13)+ (O627*'Scoring System'!$B$14)+ (Q627*'Scoring System'!$B$15)+ (R627*'Scoring System'!$B$16)</f>
        <v>10</v>
      </c>
      <c r="AB627" s="72" t="b">
        <f>IFERROR(match(C627,'Match Day Fees'!$B$2:$B$999,0),0)=0</f>
        <v>0</v>
      </c>
      <c r="AC627" s="73">
        <f t="shared" si="1"/>
        <v>0</v>
      </c>
      <c r="AD627" s="3" t="str">
        <f>VLOOKUP(D627,'Position Lookup'!A:B,1,FALSE)</f>
        <v>MID</v>
      </c>
    </row>
    <row r="628" ht="17.25" customHeight="1">
      <c r="A628" s="32">
        <v>45199.0</v>
      </c>
      <c r="B628" s="79" t="s">
        <v>626</v>
      </c>
      <c r="C628" s="3" t="s">
        <v>123</v>
      </c>
      <c r="D628" s="3" t="s">
        <v>9</v>
      </c>
      <c r="E628" s="5">
        <v>2.0</v>
      </c>
      <c r="F628" s="3" t="s">
        <v>627</v>
      </c>
      <c r="G628" s="3" t="s">
        <v>230</v>
      </c>
      <c r="J628" s="5">
        <v>4.0</v>
      </c>
      <c r="N628" s="3" t="b">
        <v>0</v>
      </c>
      <c r="R628" s="3">
        <v>0.0</v>
      </c>
      <c r="T628" s="3">
        <v>10.0</v>
      </c>
      <c r="U628" s="5">
        <v>5.0</v>
      </c>
      <c r="V628" s="3" t="s">
        <v>633</v>
      </c>
      <c r="W628" s="80" t="s">
        <v>629</v>
      </c>
      <c r="X628" s="77" t="s">
        <v>630</v>
      </c>
      <c r="Y628" s="3">
        <v>3.0</v>
      </c>
      <c r="Z628" s="3">
        <v>4.0</v>
      </c>
      <c r="AA628" s="2">
        <f>2+ (P628*'Scoring System'!$B$3)+ (IF(OR(D628="DEF",D628="GK"),N628*'Scoring System'!$B$4,IF(D628="MID",N628*'Scoring System'!$B$5,0)))+ (IF(OR(D628="DEF",D628="GK"),H628*'Scoring System'!$B$6,IF(D628="MID",H628*'Scoring System'!$B$7,IF(D628="ATT",H628*'Scoring System'!$B$8,0))))+ IF(AND(OR(D628="GK",D628="DEF"),J628&gt;=3),1*'Scoring System'!$B$9,0)+ (I628*'Scoring System'!$B$10)+ (K628*'Scoring System'!$B$11)+ (M628*'Scoring System'!$B$12)+ (L628*'Scoring System'!$B$13)+ (O628*'Scoring System'!$B$14)+ (Q628*'Scoring System'!$B$15)+ (R628*'Scoring System'!$B$16)</f>
        <v>2</v>
      </c>
      <c r="AB628" s="72" t="b">
        <f>IFERROR(match(C628,'Match Day Fees'!$B$2:$B$999,0),0)=0</f>
        <v>0</v>
      </c>
      <c r="AC628" s="73">
        <f t="shared" si="1"/>
        <v>0</v>
      </c>
      <c r="AD628" s="3" t="str">
        <f>VLOOKUP(D628,'Position Lookup'!A:B,1,FALSE)</f>
        <v>ATT</v>
      </c>
    </row>
    <row r="629" ht="17.25" customHeight="1">
      <c r="A629" s="32">
        <v>45199.0</v>
      </c>
      <c r="B629" s="79" t="s">
        <v>626</v>
      </c>
      <c r="C629" s="3" t="s">
        <v>114</v>
      </c>
      <c r="D629" s="3" t="s">
        <v>11</v>
      </c>
      <c r="E629" s="5">
        <v>2.0</v>
      </c>
      <c r="F629" s="3" t="s">
        <v>627</v>
      </c>
      <c r="G629" s="3" t="s">
        <v>230</v>
      </c>
      <c r="J629" s="5">
        <v>4.0</v>
      </c>
      <c r="L629" s="3" t="b">
        <v>1</v>
      </c>
      <c r="M629" s="3" t="b">
        <v>0</v>
      </c>
      <c r="N629" s="3" t="b">
        <v>0</v>
      </c>
      <c r="R629" s="3">
        <v>0.0</v>
      </c>
      <c r="T629" s="3">
        <v>10.0</v>
      </c>
      <c r="U629" s="5">
        <v>5.0</v>
      </c>
      <c r="V629" s="3" t="s">
        <v>634</v>
      </c>
      <c r="W629" s="80" t="s">
        <v>629</v>
      </c>
      <c r="X629" s="77" t="s">
        <v>630</v>
      </c>
      <c r="Y629" s="3">
        <v>3.0</v>
      </c>
      <c r="Z629" s="3">
        <v>4.0</v>
      </c>
      <c r="AA629" s="2">
        <f>2+ (P629*'Scoring System'!$B$3)+ (IF(OR(D629="DEF",D629="GK"),N629*'Scoring System'!$B$4,IF(D629="MID",N629*'Scoring System'!$B$5,0)))+ (IF(OR(D629="DEF",D629="GK"),H629*'Scoring System'!$B$6,IF(D629="MID",H629*'Scoring System'!$B$7,IF(D629="ATT",H629*'Scoring System'!$B$8,0))))+ IF(AND(OR(D629="GK",D629="DEF"),J629&gt;=3),1*'Scoring System'!$B$9,0)+ (I629*'Scoring System'!$B$10)+ (K629*'Scoring System'!$B$11)+ (M629*'Scoring System'!$B$12)+ (L629*'Scoring System'!$B$13)+ (O629*'Scoring System'!$B$14)+ (Q629*'Scoring System'!$B$15)+ (R629*'Scoring System'!$B$16)</f>
        <v>-1</v>
      </c>
      <c r="AB629" s="72" t="b">
        <f>IFERROR(match(C629,'Match Day Fees'!$B$2:$B$999,0),0)=0</f>
        <v>0</v>
      </c>
      <c r="AC629" s="73">
        <f t="shared" si="1"/>
        <v>0</v>
      </c>
      <c r="AD629" s="3" t="str">
        <f>VLOOKUP(D629,'Position Lookup'!A:B,1,FALSE)</f>
        <v>DEF</v>
      </c>
    </row>
    <row r="630" ht="17.25" customHeight="1">
      <c r="A630" s="32">
        <v>45199.0</v>
      </c>
      <c r="B630" s="79" t="s">
        <v>626</v>
      </c>
      <c r="C630" s="3" t="s">
        <v>78</v>
      </c>
      <c r="D630" s="3" t="s">
        <v>9</v>
      </c>
      <c r="E630" s="5">
        <v>2.0</v>
      </c>
      <c r="F630" s="3" t="s">
        <v>627</v>
      </c>
      <c r="G630" s="3" t="s">
        <v>230</v>
      </c>
      <c r="J630" s="5">
        <v>4.0</v>
      </c>
      <c r="N630" s="3" t="b">
        <v>0</v>
      </c>
      <c r="R630" s="3">
        <v>0.0</v>
      </c>
      <c r="T630" s="3">
        <v>10.0</v>
      </c>
      <c r="U630" s="5">
        <v>6.5</v>
      </c>
      <c r="V630" s="3" t="s">
        <v>635</v>
      </c>
      <c r="W630" s="80" t="s">
        <v>629</v>
      </c>
      <c r="X630" s="77" t="s">
        <v>630</v>
      </c>
      <c r="Y630" s="3">
        <v>3.0</v>
      </c>
      <c r="Z630" s="3">
        <v>4.0</v>
      </c>
      <c r="AA630" s="2">
        <f>2+ (P630*'Scoring System'!$B$3)+ (IF(OR(D630="DEF",D630="GK"),N630*'Scoring System'!$B$4,IF(D630="MID",N630*'Scoring System'!$B$5,0)))+ (IF(OR(D630="DEF",D630="GK"),H630*'Scoring System'!$B$6,IF(D630="MID",H630*'Scoring System'!$B$7,IF(D630="ATT",H630*'Scoring System'!$B$8,0))))+ IF(AND(OR(D630="GK",D630="DEF"),J630&gt;=3),1*'Scoring System'!$B$9,0)+ (I630*'Scoring System'!$B$10)+ (K630*'Scoring System'!$B$11)+ (M630*'Scoring System'!$B$12)+ (L630*'Scoring System'!$B$13)+ (O630*'Scoring System'!$B$14)+ (Q630*'Scoring System'!$B$15)+ (R630*'Scoring System'!$B$16)</f>
        <v>2</v>
      </c>
      <c r="AB630" s="72" t="b">
        <f>IFERROR(match(C630,'Match Day Fees'!$B$2:$B$999,0),0)=0</f>
        <v>0</v>
      </c>
      <c r="AC630" s="73">
        <f t="shared" si="1"/>
        <v>0</v>
      </c>
      <c r="AD630" s="3" t="str">
        <f>VLOOKUP(D630,'Position Lookup'!A:B,1,FALSE)</f>
        <v>ATT</v>
      </c>
    </row>
    <row r="631" ht="17.25" customHeight="1">
      <c r="A631" s="32">
        <v>45199.0</v>
      </c>
      <c r="B631" s="79" t="s">
        <v>626</v>
      </c>
      <c r="C631" s="3" t="s">
        <v>39</v>
      </c>
      <c r="D631" s="3" t="s">
        <v>11</v>
      </c>
      <c r="E631" s="5">
        <v>2.0</v>
      </c>
      <c r="F631" s="3" t="s">
        <v>627</v>
      </c>
      <c r="G631" s="3" t="s">
        <v>230</v>
      </c>
      <c r="J631" s="5">
        <v>4.0</v>
      </c>
      <c r="N631" s="3" t="b">
        <v>0</v>
      </c>
      <c r="R631" s="3">
        <v>0.0</v>
      </c>
      <c r="T631" s="3">
        <v>10.0</v>
      </c>
      <c r="U631" s="5">
        <v>7.0</v>
      </c>
      <c r="V631" s="3" t="s">
        <v>636</v>
      </c>
      <c r="W631" s="80" t="s">
        <v>629</v>
      </c>
      <c r="X631" s="77" t="s">
        <v>630</v>
      </c>
      <c r="Y631" s="3">
        <v>3.0</v>
      </c>
      <c r="Z631" s="3">
        <v>4.0</v>
      </c>
      <c r="AA631" s="2">
        <f>2+ (P631*'Scoring System'!$B$3)+ (IF(OR(D631="DEF",D631="GK"),N631*'Scoring System'!$B$4,IF(D631="MID",N631*'Scoring System'!$B$5,0)))+ (IF(OR(D631="DEF",D631="GK"),H631*'Scoring System'!$B$6,IF(D631="MID",H631*'Scoring System'!$B$7,IF(D631="ATT",H631*'Scoring System'!$B$8,0))))+ IF(AND(OR(D631="GK",D631="DEF"),J631&gt;=3),1*'Scoring System'!$B$9,0)+ (I631*'Scoring System'!$B$10)+ (K631*'Scoring System'!$B$11)+ (M631*'Scoring System'!$B$12)+ (L631*'Scoring System'!$B$13)+ (O631*'Scoring System'!$B$14)+ (Q631*'Scoring System'!$B$15)+ (R631*'Scoring System'!$B$16)</f>
        <v>1</v>
      </c>
      <c r="AB631" s="72" t="b">
        <f>IFERROR(match(C631,'Match Day Fees'!$B$2:$B$999,0),0)=0</f>
        <v>0</v>
      </c>
      <c r="AC631" s="73">
        <f t="shared" si="1"/>
        <v>0</v>
      </c>
      <c r="AD631" s="3" t="str">
        <f>VLOOKUP(D631,'Position Lookup'!A:B,1,FALSE)</f>
        <v>DEF</v>
      </c>
    </row>
    <row r="632" ht="17.25" customHeight="1">
      <c r="A632" s="32">
        <v>45199.0</v>
      </c>
      <c r="B632" s="79" t="s">
        <v>626</v>
      </c>
      <c r="C632" s="3" t="s">
        <v>111</v>
      </c>
      <c r="D632" s="3" t="s">
        <v>10</v>
      </c>
      <c r="E632" s="5">
        <v>2.0</v>
      </c>
      <c r="F632" s="3" t="s">
        <v>627</v>
      </c>
      <c r="G632" s="3" t="s">
        <v>230</v>
      </c>
      <c r="J632" s="5">
        <v>4.0</v>
      </c>
      <c r="N632" s="3" t="b">
        <v>0</v>
      </c>
      <c r="R632" s="3">
        <v>0.0</v>
      </c>
      <c r="T632" s="3">
        <v>10.0</v>
      </c>
      <c r="U632" s="5">
        <v>7.0</v>
      </c>
      <c r="V632" s="3" t="s">
        <v>637</v>
      </c>
      <c r="W632" s="80" t="s">
        <v>629</v>
      </c>
      <c r="X632" s="77" t="s">
        <v>630</v>
      </c>
      <c r="Y632" s="3">
        <v>3.0</v>
      </c>
      <c r="Z632" s="3">
        <v>4.0</v>
      </c>
      <c r="AA632" s="2">
        <f>2+ (P632*'Scoring System'!$B$3)+ (IF(OR(D632="DEF",D632="GK"),N632*'Scoring System'!$B$4,IF(D632="MID",N632*'Scoring System'!$B$5,0)))+ (IF(OR(D632="DEF",D632="GK"),H632*'Scoring System'!$B$6,IF(D632="MID",H632*'Scoring System'!$B$7,IF(D632="ATT",H632*'Scoring System'!$B$8,0))))+ IF(AND(OR(D632="GK",D632="DEF"),J632&gt;=3),1*'Scoring System'!$B$9,0)+ (I632*'Scoring System'!$B$10)+ (K632*'Scoring System'!$B$11)+ (M632*'Scoring System'!$B$12)+ (L632*'Scoring System'!$B$13)+ (O632*'Scoring System'!$B$14)+ (Q632*'Scoring System'!$B$15)+ (R632*'Scoring System'!$B$16)</f>
        <v>2</v>
      </c>
      <c r="AB632" s="72" t="b">
        <f>IFERROR(match(C632,'Match Day Fees'!$B$2:$B$999,0),0)=0</f>
        <v>0</v>
      </c>
      <c r="AC632" s="73">
        <f t="shared" si="1"/>
        <v>0</v>
      </c>
      <c r="AD632" s="3" t="str">
        <f>VLOOKUP(D632,'Position Lookup'!A:B,1,FALSE)</f>
        <v>MID</v>
      </c>
    </row>
    <row r="633" ht="17.25" customHeight="1">
      <c r="A633" s="32">
        <v>45199.0</v>
      </c>
      <c r="B633" s="79" t="s">
        <v>626</v>
      </c>
      <c r="C633" s="3" t="s">
        <v>91</v>
      </c>
      <c r="D633" s="3" t="s">
        <v>11</v>
      </c>
      <c r="E633" s="5">
        <v>2.0</v>
      </c>
      <c r="F633" s="3" t="s">
        <v>627</v>
      </c>
      <c r="G633" s="3" t="s">
        <v>230</v>
      </c>
      <c r="I633" s="3">
        <v>1.0</v>
      </c>
      <c r="J633" s="5">
        <v>4.0</v>
      </c>
      <c r="N633" s="3" t="b">
        <v>0</v>
      </c>
      <c r="R633" s="3">
        <v>0.0</v>
      </c>
      <c r="T633" s="3">
        <v>5.0</v>
      </c>
      <c r="U633" s="5">
        <v>8.0</v>
      </c>
      <c r="V633" s="3" t="s">
        <v>638</v>
      </c>
      <c r="W633" s="80" t="s">
        <v>629</v>
      </c>
      <c r="X633" s="77" t="s">
        <v>630</v>
      </c>
      <c r="Y633" s="3">
        <v>3.0</v>
      </c>
      <c r="Z633" s="3">
        <v>4.0</v>
      </c>
      <c r="AA633" s="2">
        <f>2+ (P633*'Scoring System'!$B$3)+ (IF(OR(D633="DEF",D633="GK"),N633*'Scoring System'!$B$4,IF(D633="MID",N633*'Scoring System'!$B$5,0)))+ (IF(OR(D633="DEF",D633="GK"),H633*'Scoring System'!$B$6,IF(D633="MID",H633*'Scoring System'!$B$7,IF(D633="ATT",H633*'Scoring System'!$B$8,0))))+ IF(AND(OR(D633="GK",D633="DEF"),J633&gt;=3),1*'Scoring System'!$B$9,0)+ (I633*'Scoring System'!$B$10)+ (K633*'Scoring System'!$B$11)+ (M633*'Scoring System'!$B$12)+ (L633*'Scoring System'!$B$13)+ (O633*'Scoring System'!$B$14)+ (Q633*'Scoring System'!$B$15)+ (R633*'Scoring System'!$B$16)</f>
        <v>4</v>
      </c>
      <c r="AB633" s="72" t="b">
        <f>IFERROR(match(C633,'Match Day Fees'!$B$2:$B$999,0),0)=0</f>
        <v>0</v>
      </c>
      <c r="AC633" s="73">
        <f t="shared" si="1"/>
        <v>0</v>
      </c>
      <c r="AD633" s="3" t="str">
        <f>VLOOKUP(D633,'Position Lookup'!A:B,1,FALSE)</f>
        <v>DEF</v>
      </c>
    </row>
    <row r="634" ht="17.25" customHeight="1">
      <c r="A634" s="32">
        <v>45199.0</v>
      </c>
      <c r="B634" s="79" t="s">
        <v>626</v>
      </c>
      <c r="C634" s="3" t="s">
        <v>73</v>
      </c>
      <c r="D634" s="3" t="s">
        <v>10</v>
      </c>
      <c r="E634" s="5">
        <v>2.0</v>
      </c>
      <c r="F634" s="3" t="s">
        <v>627</v>
      </c>
      <c r="G634" s="3" t="s">
        <v>230</v>
      </c>
      <c r="J634" s="5">
        <v>4.0</v>
      </c>
      <c r="N634" s="3" t="b">
        <v>0</v>
      </c>
      <c r="R634" s="3">
        <v>0.0</v>
      </c>
      <c r="T634" s="3">
        <v>0.0</v>
      </c>
      <c r="U634" s="5">
        <v>10.0</v>
      </c>
      <c r="V634" s="3" t="s">
        <v>639</v>
      </c>
      <c r="W634" s="80" t="s">
        <v>629</v>
      </c>
      <c r="X634" s="77" t="s">
        <v>630</v>
      </c>
      <c r="Y634" s="3">
        <v>3.0</v>
      </c>
      <c r="Z634" s="3">
        <v>4.0</v>
      </c>
      <c r="AA634" s="2">
        <f>2+ (P634*'Scoring System'!$B$3)+ (IF(OR(D634="DEF",D634="GK"),N634*'Scoring System'!$B$4,IF(D634="MID",N634*'Scoring System'!$B$5,0)))+ (IF(OR(D634="DEF",D634="GK"),H634*'Scoring System'!$B$6,IF(D634="MID",H634*'Scoring System'!$B$7,IF(D634="ATT",H634*'Scoring System'!$B$8,0))))+ IF(AND(OR(D634="GK",D634="DEF"),J634&gt;=3),1*'Scoring System'!$B$9,0)+ (I634*'Scoring System'!$B$10)+ (K634*'Scoring System'!$B$11)+ (M634*'Scoring System'!$B$12)+ (L634*'Scoring System'!$B$13)+ (O634*'Scoring System'!$B$14)+ (Q634*'Scoring System'!$B$15)+ (R634*'Scoring System'!$B$16)</f>
        <v>2</v>
      </c>
      <c r="AB634" s="72" t="b">
        <f>IFERROR(match(C634,'Match Day Fees'!$B$2:$B$999,0),0)=0</f>
        <v>0</v>
      </c>
      <c r="AC634" s="73">
        <f t="shared" si="1"/>
        <v>0</v>
      </c>
      <c r="AD634" s="3" t="str">
        <f>VLOOKUP(D634,'Position Lookup'!A:B,1,FALSE)</f>
        <v>MID</v>
      </c>
    </row>
    <row r="635" ht="17.25" customHeight="1">
      <c r="A635" s="32">
        <v>45199.0</v>
      </c>
      <c r="B635" s="79" t="s">
        <v>626</v>
      </c>
      <c r="C635" s="3" t="s">
        <v>81</v>
      </c>
      <c r="D635" s="3" t="s">
        <v>11</v>
      </c>
      <c r="E635" s="5">
        <v>2.0</v>
      </c>
      <c r="F635" s="3" t="s">
        <v>627</v>
      </c>
      <c r="G635" s="3" t="s">
        <v>230</v>
      </c>
      <c r="J635" s="5">
        <v>4.0</v>
      </c>
      <c r="N635" s="3" t="b">
        <v>0</v>
      </c>
      <c r="R635" s="3">
        <v>0.0</v>
      </c>
      <c r="T635" s="3">
        <v>10.0</v>
      </c>
      <c r="U635" s="5">
        <v>8.0</v>
      </c>
      <c r="V635" s="3" t="s">
        <v>640</v>
      </c>
      <c r="W635" s="80" t="s">
        <v>629</v>
      </c>
      <c r="X635" s="77" t="s">
        <v>630</v>
      </c>
      <c r="Y635" s="3">
        <v>3.0</v>
      </c>
      <c r="Z635" s="3">
        <v>4.0</v>
      </c>
      <c r="AA635" s="2">
        <f>2+ (P635*'Scoring System'!$B$3)+ (IF(OR(D635="DEF",D635="GK"),N635*'Scoring System'!$B$4,IF(D635="MID",N635*'Scoring System'!$B$5,0)))+ (IF(OR(D635="DEF",D635="GK"),H635*'Scoring System'!$B$6,IF(D635="MID",H635*'Scoring System'!$B$7,IF(D635="ATT",H635*'Scoring System'!$B$8,0))))+ IF(AND(OR(D635="GK",D635="DEF"),J635&gt;=3),1*'Scoring System'!$B$9,0)+ (I635*'Scoring System'!$B$10)+ (K635*'Scoring System'!$B$11)+ (M635*'Scoring System'!$B$12)+ (L635*'Scoring System'!$B$13)+ (O635*'Scoring System'!$B$14)+ (Q635*'Scoring System'!$B$15)+ (R635*'Scoring System'!$B$16)</f>
        <v>1</v>
      </c>
      <c r="AB635" s="72" t="b">
        <f>IFERROR(match(C635,'Match Day Fees'!$B$2:$B$999,0),0)=0</f>
        <v>0</v>
      </c>
      <c r="AC635" s="73">
        <f t="shared" si="1"/>
        <v>0</v>
      </c>
      <c r="AD635" s="3" t="str">
        <f>VLOOKUP(D635,'Position Lookup'!A:B,1,FALSE)</f>
        <v>DEF</v>
      </c>
    </row>
    <row r="636" ht="17.25" customHeight="1">
      <c r="A636" s="32">
        <v>45199.0</v>
      </c>
      <c r="B636" s="79" t="s">
        <v>626</v>
      </c>
      <c r="C636" s="3" t="s">
        <v>256</v>
      </c>
      <c r="D636" s="3" t="s">
        <v>11</v>
      </c>
      <c r="E636" s="5">
        <v>2.0</v>
      </c>
      <c r="F636" s="3" t="s">
        <v>627</v>
      </c>
      <c r="G636" s="3" t="s">
        <v>230</v>
      </c>
      <c r="J636" s="5">
        <v>4.0</v>
      </c>
      <c r="N636" s="3" t="b">
        <v>0</v>
      </c>
      <c r="R636" s="3">
        <v>0.0</v>
      </c>
      <c r="T636" s="3">
        <v>5.0</v>
      </c>
      <c r="U636" s="5">
        <v>6.5</v>
      </c>
      <c r="V636" s="3" t="s">
        <v>641</v>
      </c>
      <c r="W636" s="80" t="s">
        <v>629</v>
      </c>
      <c r="X636" s="77" t="s">
        <v>630</v>
      </c>
      <c r="Y636" s="3">
        <v>3.0</v>
      </c>
      <c r="Z636" s="3">
        <v>4.0</v>
      </c>
      <c r="AA636" s="2">
        <f>2+ (P636*'Scoring System'!$B$3)+ (IF(OR(D636="DEF",D636="GK"),N636*'Scoring System'!$B$4,IF(D636="MID",N636*'Scoring System'!$B$5,0)))+ (IF(OR(D636="DEF",D636="GK"),H636*'Scoring System'!$B$6,IF(D636="MID",H636*'Scoring System'!$B$7,IF(D636="ATT",H636*'Scoring System'!$B$8,0))))+ IF(AND(OR(D636="GK",D636="DEF"),J636&gt;=3),1*'Scoring System'!$B$9,0)+ (I636*'Scoring System'!$B$10)+ (K636*'Scoring System'!$B$11)+ (M636*'Scoring System'!$B$12)+ (L636*'Scoring System'!$B$13)+ (O636*'Scoring System'!$B$14)+ (Q636*'Scoring System'!$B$15)+ (R636*'Scoring System'!$B$16)</f>
        <v>1</v>
      </c>
      <c r="AB636" s="72" t="b">
        <f>IFERROR(match(C636,'Match Day Fees'!$B$2:$B$999,0),0)=0</f>
        <v>0</v>
      </c>
      <c r="AC636" s="73">
        <f t="shared" si="1"/>
        <v>0</v>
      </c>
      <c r="AD636" s="3" t="str">
        <f>VLOOKUP(D636,'Position Lookup'!A:B,1,FALSE)</f>
        <v>DEF</v>
      </c>
    </row>
    <row r="637" ht="17.25" customHeight="1">
      <c r="A637" s="32">
        <v>45199.0</v>
      </c>
      <c r="B637" s="79" t="s">
        <v>626</v>
      </c>
      <c r="C637" s="3" t="s">
        <v>276</v>
      </c>
      <c r="D637" s="3" t="s">
        <v>10</v>
      </c>
      <c r="E637" s="5">
        <v>2.0</v>
      </c>
      <c r="F637" s="3" t="s">
        <v>627</v>
      </c>
      <c r="G637" s="3" t="s">
        <v>230</v>
      </c>
      <c r="H637" s="3">
        <v>1.0</v>
      </c>
      <c r="J637" s="5">
        <v>4.0</v>
      </c>
      <c r="N637" s="3" t="b">
        <v>0</v>
      </c>
      <c r="R637" s="3">
        <v>0.0</v>
      </c>
      <c r="T637" s="3">
        <v>10.0</v>
      </c>
      <c r="U637" s="5">
        <v>7.0</v>
      </c>
      <c r="V637" s="3" t="s">
        <v>642</v>
      </c>
      <c r="W637" s="80" t="s">
        <v>629</v>
      </c>
      <c r="X637" s="77" t="s">
        <v>630</v>
      </c>
      <c r="Y637" s="3">
        <v>3.0</v>
      </c>
      <c r="Z637" s="3">
        <v>4.0</v>
      </c>
      <c r="AA637" s="2">
        <f>2+ (P637*'Scoring System'!$B$3)+ (IF(OR(D637="DEF",D637="GK"),N637*'Scoring System'!$B$4,IF(D637="MID",N637*'Scoring System'!$B$5,0)))+ (IF(OR(D637="DEF",D637="GK"),H637*'Scoring System'!$B$6,IF(D637="MID",H637*'Scoring System'!$B$7,IF(D637="ATT",H637*'Scoring System'!$B$8,0))))+ IF(AND(OR(D637="GK",D637="DEF"),J637&gt;=3),1*'Scoring System'!$B$9,0)+ (I637*'Scoring System'!$B$10)+ (K637*'Scoring System'!$B$11)+ (M637*'Scoring System'!$B$12)+ (L637*'Scoring System'!$B$13)+ (O637*'Scoring System'!$B$14)+ (Q637*'Scoring System'!$B$15)+ (R637*'Scoring System'!$B$16)</f>
        <v>7</v>
      </c>
      <c r="AB637" s="72" t="b">
        <f>IFERROR(match(C637,'Match Day Fees'!$B$2:$B$999,0),0)=0</f>
        <v>0</v>
      </c>
      <c r="AC637" s="73">
        <f t="shared" si="1"/>
        <v>0</v>
      </c>
      <c r="AD637" s="3" t="str">
        <f>VLOOKUP(D637,'Position Lookup'!A:B,1,FALSE)</f>
        <v>MID</v>
      </c>
    </row>
    <row r="638" ht="17.25" customHeight="1">
      <c r="A638" s="32">
        <v>45199.0</v>
      </c>
      <c r="B638" s="79" t="s">
        <v>626</v>
      </c>
      <c r="C638" s="3" t="s">
        <v>79</v>
      </c>
      <c r="D638" s="3" t="s">
        <v>9</v>
      </c>
      <c r="E638" s="5">
        <v>2.0</v>
      </c>
      <c r="F638" s="3" t="s">
        <v>627</v>
      </c>
      <c r="G638" s="3" t="s">
        <v>230</v>
      </c>
      <c r="J638" s="5">
        <v>4.0</v>
      </c>
      <c r="N638" s="3" t="b">
        <v>0</v>
      </c>
      <c r="R638" s="3">
        <v>0.0</v>
      </c>
      <c r="T638" s="3">
        <v>10.0</v>
      </c>
      <c r="U638" s="5">
        <v>6.0</v>
      </c>
      <c r="V638" s="3" t="s">
        <v>643</v>
      </c>
      <c r="W638" s="80" t="s">
        <v>629</v>
      </c>
      <c r="X638" s="77" t="s">
        <v>630</v>
      </c>
      <c r="Y638" s="3">
        <v>3.0</v>
      </c>
      <c r="Z638" s="3">
        <v>4.0</v>
      </c>
      <c r="AA638" s="2">
        <f>2+ (P638*'Scoring System'!$B$3)+ (IF(OR(D638="DEF",D638="GK"),N638*'Scoring System'!$B$4,IF(D638="MID",N638*'Scoring System'!$B$5,0)))+ (IF(OR(D638="DEF",D638="GK"),H638*'Scoring System'!$B$6,IF(D638="MID",H638*'Scoring System'!$B$7,IF(D638="ATT",H638*'Scoring System'!$B$8,0))))+ IF(AND(OR(D638="GK",D638="DEF"),J638&gt;=3),1*'Scoring System'!$B$9,0)+ (I638*'Scoring System'!$B$10)+ (K638*'Scoring System'!$B$11)+ (M638*'Scoring System'!$B$12)+ (L638*'Scoring System'!$B$13)+ (O638*'Scoring System'!$B$14)+ (Q638*'Scoring System'!$B$15)+ (R638*'Scoring System'!$B$16)</f>
        <v>2</v>
      </c>
      <c r="AB638" s="72" t="b">
        <f>IFERROR(match(C638,'Match Day Fees'!$B$2:$B$999,0),0)=0</f>
        <v>0</v>
      </c>
      <c r="AC638" s="73">
        <f t="shared" si="1"/>
        <v>0</v>
      </c>
      <c r="AD638" s="3" t="str">
        <f>VLOOKUP(D638,'Position Lookup'!A:B,1,FALSE)</f>
        <v>ATT</v>
      </c>
    </row>
    <row r="639" ht="17.25" customHeight="1">
      <c r="A639" s="32">
        <v>45199.0</v>
      </c>
      <c r="B639" s="5" t="s">
        <v>309</v>
      </c>
      <c r="C639" s="3" t="s">
        <v>527</v>
      </c>
      <c r="D639" s="3" t="s">
        <v>8</v>
      </c>
      <c r="E639" s="5">
        <v>5.0</v>
      </c>
      <c r="F639" s="3" t="s">
        <v>644</v>
      </c>
      <c r="G639" s="3" t="s">
        <v>230</v>
      </c>
      <c r="J639" s="5">
        <v>7.0</v>
      </c>
      <c r="N639" s="3" t="b">
        <v>0</v>
      </c>
      <c r="R639" s="3">
        <v>0.0</v>
      </c>
      <c r="T639" s="3">
        <v>10.0</v>
      </c>
      <c r="U639" s="3">
        <v>6.5</v>
      </c>
      <c r="V639" s="3" t="s">
        <v>645</v>
      </c>
      <c r="W639" s="74" t="s">
        <v>344</v>
      </c>
      <c r="X639" s="77" t="s">
        <v>646</v>
      </c>
      <c r="Y639" s="3">
        <v>2.0</v>
      </c>
      <c r="Z639" s="3">
        <v>7.0</v>
      </c>
      <c r="AA639" s="2">
        <f>2+ (P639*'Scoring System'!$B$3)+ (IF(OR(D639="DEF",D639="GK"),N639*'Scoring System'!$B$4,IF(D639="MID",N639*'Scoring System'!$B$5,0)))+ (IF(OR(D639="DEF",D639="GK"),H639*'Scoring System'!$B$6,IF(D639="MID",H639*'Scoring System'!$B$7,IF(D639="ATT",H639*'Scoring System'!$B$8,0))))+ IF(AND(OR(D639="GK",D639="DEF"),J639&gt;=3),1*'Scoring System'!$B$9,0)+ (I639*'Scoring System'!$B$10)+ (K639*'Scoring System'!$B$11)+ (M639*'Scoring System'!$B$12)+ (L639*'Scoring System'!$B$13)+ (O639*'Scoring System'!$B$14)+ (Q639*'Scoring System'!$B$15)+ (R639*'Scoring System'!$B$16)</f>
        <v>1</v>
      </c>
      <c r="AB639" s="72" t="b">
        <f>IFERROR(match(C639,'Match Day Fees'!$B$2:$B$999,0),0)=0</f>
        <v>0</v>
      </c>
      <c r="AC639" s="73">
        <f t="shared" si="1"/>
        <v>0</v>
      </c>
      <c r="AD639" s="3" t="str">
        <f>VLOOKUP(D639,'Position Lookup'!A:B,1,FALSE)</f>
        <v>GK</v>
      </c>
    </row>
    <row r="640" ht="17.25" customHeight="1">
      <c r="A640" s="32">
        <v>45199.0</v>
      </c>
      <c r="B640" s="5" t="s">
        <v>309</v>
      </c>
      <c r="C640" s="3" t="s">
        <v>248</v>
      </c>
      <c r="D640" s="3" t="s">
        <v>11</v>
      </c>
      <c r="E640" s="5">
        <v>5.0</v>
      </c>
      <c r="F640" s="3" t="s">
        <v>644</v>
      </c>
      <c r="G640" s="3" t="s">
        <v>230</v>
      </c>
      <c r="J640" s="5">
        <v>7.0</v>
      </c>
      <c r="N640" s="3" t="b">
        <v>0</v>
      </c>
      <c r="R640" s="3">
        <v>0.0</v>
      </c>
      <c r="T640" s="3">
        <v>2.5</v>
      </c>
      <c r="U640" s="3">
        <v>6.5</v>
      </c>
      <c r="V640" s="3" t="s">
        <v>647</v>
      </c>
      <c r="W640" s="74" t="s">
        <v>344</v>
      </c>
      <c r="X640" s="77" t="s">
        <v>646</v>
      </c>
      <c r="Y640" s="3">
        <v>2.0</v>
      </c>
      <c r="Z640" s="3">
        <v>7.0</v>
      </c>
      <c r="AA640" s="2">
        <f>2+ (P640*'Scoring System'!$B$3)+ (IF(OR(D640="DEF",D640="GK"),N640*'Scoring System'!$B$4,IF(D640="MID",N640*'Scoring System'!$B$5,0)))+ (IF(OR(D640="DEF",D640="GK"),H640*'Scoring System'!$B$6,IF(D640="MID",H640*'Scoring System'!$B$7,IF(D640="ATT",H640*'Scoring System'!$B$8,0))))+ IF(AND(OR(D640="GK",D640="DEF"),J640&gt;=3),1*'Scoring System'!$B$9,0)+ (I640*'Scoring System'!$B$10)+ (K640*'Scoring System'!$B$11)+ (M640*'Scoring System'!$B$12)+ (L640*'Scoring System'!$B$13)+ (O640*'Scoring System'!$B$14)+ (Q640*'Scoring System'!$B$15)+ (R640*'Scoring System'!$B$16)</f>
        <v>1</v>
      </c>
      <c r="AB640" s="72" t="b">
        <f>IFERROR(match(C640,'Match Day Fees'!$B$2:$B$999,0),0)=0</f>
        <v>0</v>
      </c>
      <c r="AC640" s="73">
        <f t="shared" si="1"/>
        <v>0</v>
      </c>
      <c r="AD640" s="3" t="str">
        <f>VLOOKUP(D640,'Position Lookup'!A:B,1,FALSE)</f>
        <v>DEF</v>
      </c>
    </row>
    <row r="641" ht="17.25" customHeight="1">
      <c r="A641" s="32">
        <v>45199.0</v>
      </c>
      <c r="B641" s="5" t="s">
        <v>309</v>
      </c>
      <c r="C641" s="3" t="s">
        <v>261</v>
      </c>
      <c r="D641" s="3" t="s">
        <v>11</v>
      </c>
      <c r="E641" s="5">
        <v>5.0</v>
      </c>
      <c r="F641" s="3" t="s">
        <v>644</v>
      </c>
      <c r="G641" s="3" t="s">
        <v>230</v>
      </c>
      <c r="J641" s="5">
        <v>7.0</v>
      </c>
      <c r="N641" s="3" t="b">
        <v>0</v>
      </c>
      <c r="R641" s="3">
        <v>0.0</v>
      </c>
      <c r="T641" s="3">
        <v>7.0</v>
      </c>
      <c r="U641" s="3">
        <v>6.0</v>
      </c>
      <c r="V641" s="3" t="s">
        <v>648</v>
      </c>
      <c r="W641" s="74" t="s">
        <v>344</v>
      </c>
      <c r="X641" s="77" t="s">
        <v>646</v>
      </c>
      <c r="Y641" s="3">
        <v>2.0</v>
      </c>
      <c r="Z641" s="3">
        <v>7.0</v>
      </c>
      <c r="AA641" s="2">
        <f>2+ (P641*'Scoring System'!$B$3)+ (IF(OR(D641="DEF",D641="GK"),N641*'Scoring System'!$B$4,IF(D641="MID",N641*'Scoring System'!$B$5,0)))+ (IF(OR(D641="DEF",D641="GK"),H641*'Scoring System'!$B$6,IF(D641="MID",H641*'Scoring System'!$B$7,IF(D641="ATT",H641*'Scoring System'!$B$8,0))))+ IF(AND(OR(D641="GK",D641="DEF"),J641&gt;=3),1*'Scoring System'!$B$9,0)+ (I641*'Scoring System'!$B$10)+ (K641*'Scoring System'!$B$11)+ (M641*'Scoring System'!$B$12)+ (L641*'Scoring System'!$B$13)+ (O641*'Scoring System'!$B$14)+ (Q641*'Scoring System'!$B$15)+ (R641*'Scoring System'!$B$16)</f>
        <v>1</v>
      </c>
      <c r="AB641" s="72" t="b">
        <f>IFERROR(match(C641,'Match Day Fees'!$B$2:$B$999,0),0)=0</f>
        <v>0</v>
      </c>
      <c r="AC641" s="73">
        <f t="shared" si="1"/>
        <v>0</v>
      </c>
      <c r="AD641" s="3" t="str">
        <f>VLOOKUP(D641,'Position Lookup'!A:B,1,FALSE)</f>
        <v>DEF</v>
      </c>
    </row>
    <row r="642" ht="17.25" customHeight="1">
      <c r="A642" s="32">
        <v>45199.0</v>
      </c>
      <c r="B642" s="5" t="s">
        <v>309</v>
      </c>
      <c r="C642" s="3" t="s">
        <v>270</v>
      </c>
      <c r="D642" s="3" t="s">
        <v>11</v>
      </c>
      <c r="E642" s="5">
        <v>5.0</v>
      </c>
      <c r="F642" s="3" t="s">
        <v>644</v>
      </c>
      <c r="G642" s="3" t="s">
        <v>230</v>
      </c>
      <c r="J642" s="5">
        <v>7.0</v>
      </c>
      <c r="N642" s="3" t="b">
        <v>0</v>
      </c>
      <c r="R642" s="3">
        <v>0.0</v>
      </c>
      <c r="T642" s="3">
        <v>3.0</v>
      </c>
      <c r="U642" s="3">
        <v>5.5</v>
      </c>
      <c r="V642" s="3" t="s">
        <v>649</v>
      </c>
      <c r="W642" s="74" t="s">
        <v>344</v>
      </c>
      <c r="X642" s="77" t="s">
        <v>646</v>
      </c>
      <c r="Y642" s="3">
        <v>2.0</v>
      </c>
      <c r="Z642" s="3">
        <v>7.0</v>
      </c>
      <c r="AA642" s="2">
        <f>2+ (P642*'Scoring System'!$B$3)+ (IF(OR(D642="DEF",D642="GK"),N642*'Scoring System'!$B$4,IF(D642="MID",N642*'Scoring System'!$B$5,0)))+ (IF(OR(D642="DEF",D642="GK"),H642*'Scoring System'!$B$6,IF(D642="MID",H642*'Scoring System'!$B$7,IF(D642="ATT",H642*'Scoring System'!$B$8,0))))+ IF(AND(OR(D642="GK",D642="DEF"),J642&gt;=3),1*'Scoring System'!$B$9,0)+ (I642*'Scoring System'!$B$10)+ (K642*'Scoring System'!$B$11)+ (M642*'Scoring System'!$B$12)+ (L642*'Scoring System'!$B$13)+ (O642*'Scoring System'!$B$14)+ (Q642*'Scoring System'!$B$15)+ (R642*'Scoring System'!$B$16)</f>
        <v>1</v>
      </c>
      <c r="AB642" s="72" t="b">
        <f>IFERROR(match(C642,'Match Day Fees'!$B$2:$B$999,0),0)=0</f>
        <v>0</v>
      </c>
      <c r="AC642" s="73">
        <f t="shared" si="1"/>
        <v>0</v>
      </c>
      <c r="AD642" s="3" t="str">
        <f>VLOOKUP(D642,'Position Lookup'!A:B,1,FALSE)</f>
        <v>DEF</v>
      </c>
    </row>
    <row r="643" ht="17.25" customHeight="1">
      <c r="A643" s="32">
        <v>45199.0</v>
      </c>
      <c r="B643" s="5" t="s">
        <v>309</v>
      </c>
      <c r="C643" s="3" t="s">
        <v>302</v>
      </c>
      <c r="D643" s="3" t="s">
        <v>11</v>
      </c>
      <c r="E643" s="5">
        <v>5.0</v>
      </c>
      <c r="F643" s="3" t="s">
        <v>644</v>
      </c>
      <c r="G643" s="3" t="s">
        <v>230</v>
      </c>
      <c r="J643" s="5">
        <v>7.0</v>
      </c>
      <c r="N643" s="3" t="b">
        <v>0</v>
      </c>
      <c r="R643" s="3">
        <v>0.0</v>
      </c>
      <c r="T643" s="3">
        <v>10.0</v>
      </c>
      <c r="U643" s="3">
        <v>6.0</v>
      </c>
      <c r="V643" s="3" t="s">
        <v>650</v>
      </c>
      <c r="W643" s="74" t="s">
        <v>344</v>
      </c>
      <c r="X643" s="77" t="s">
        <v>646</v>
      </c>
      <c r="Y643" s="3">
        <v>2.0</v>
      </c>
      <c r="Z643" s="3">
        <v>7.0</v>
      </c>
      <c r="AA643" s="2">
        <f>2+ (P643*'Scoring System'!$B$3)+ (IF(OR(D643="DEF",D643="GK"),N643*'Scoring System'!$B$4,IF(D643="MID",N643*'Scoring System'!$B$5,0)))+ (IF(OR(D643="DEF",D643="GK"),H643*'Scoring System'!$B$6,IF(D643="MID",H643*'Scoring System'!$B$7,IF(D643="ATT",H643*'Scoring System'!$B$8,0))))+ IF(AND(OR(D643="GK",D643="DEF"),J643&gt;=3),1*'Scoring System'!$B$9,0)+ (I643*'Scoring System'!$B$10)+ (K643*'Scoring System'!$B$11)+ (M643*'Scoring System'!$B$12)+ (L643*'Scoring System'!$B$13)+ (O643*'Scoring System'!$B$14)+ (Q643*'Scoring System'!$B$15)+ (R643*'Scoring System'!$B$16)</f>
        <v>1</v>
      </c>
      <c r="AB643" s="72" t="b">
        <f>IFERROR(match(C643,'Match Day Fees'!$B$2:$B$999,0),0)=0</f>
        <v>0</v>
      </c>
      <c r="AC643" s="73">
        <f t="shared" si="1"/>
        <v>0</v>
      </c>
      <c r="AD643" s="3" t="str">
        <f>VLOOKUP(D643,'Position Lookup'!A:B,1,FALSE)</f>
        <v>DEF</v>
      </c>
    </row>
    <row r="644" ht="17.25" customHeight="1">
      <c r="A644" s="32">
        <v>45199.0</v>
      </c>
      <c r="B644" s="5" t="s">
        <v>309</v>
      </c>
      <c r="C644" s="3" t="s">
        <v>226</v>
      </c>
      <c r="D644" s="3" t="s">
        <v>11</v>
      </c>
      <c r="E644" s="5">
        <v>5.0</v>
      </c>
      <c r="F644" s="3" t="s">
        <v>644</v>
      </c>
      <c r="G644" s="3" t="s">
        <v>230</v>
      </c>
      <c r="J644" s="5">
        <v>7.0</v>
      </c>
      <c r="N644" s="3" t="b">
        <v>0</v>
      </c>
      <c r="R644" s="3">
        <v>0.0</v>
      </c>
      <c r="T644" s="3">
        <v>10.0</v>
      </c>
      <c r="U644" s="3">
        <v>4.5</v>
      </c>
      <c r="V644" s="3" t="s">
        <v>651</v>
      </c>
      <c r="W644" s="74" t="s">
        <v>344</v>
      </c>
      <c r="X644" s="77" t="s">
        <v>646</v>
      </c>
      <c r="Y644" s="3">
        <v>2.0</v>
      </c>
      <c r="Z644" s="3">
        <v>7.0</v>
      </c>
      <c r="AA644" s="2">
        <f>2+ (P644*'Scoring System'!$B$3)+ (IF(OR(D644="DEF",D644="GK"),N644*'Scoring System'!$B$4,IF(D644="MID",N644*'Scoring System'!$B$5,0)))+ (IF(OR(D644="DEF",D644="GK"),H644*'Scoring System'!$B$6,IF(D644="MID",H644*'Scoring System'!$B$7,IF(D644="ATT",H644*'Scoring System'!$B$8,0))))+ IF(AND(OR(D644="GK",D644="DEF"),J644&gt;=3),1*'Scoring System'!$B$9,0)+ (I644*'Scoring System'!$B$10)+ (K644*'Scoring System'!$B$11)+ (M644*'Scoring System'!$B$12)+ (L644*'Scoring System'!$B$13)+ (O644*'Scoring System'!$B$14)+ (Q644*'Scoring System'!$B$15)+ (R644*'Scoring System'!$B$16)</f>
        <v>1</v>
      </c>
      <c r="AB644" s="72" t="b">
        <f>IFERROR(match(C644,'Match Day Fees'!$B$2:$B$999,0),0)=0</f>
        <v>0</v>
      </c>
      <c r="AC644" s="73">
        <f t="shared" si="1"/>
        <v>0</v>
      </c>
      <c r="AD644" s="3" t="str">
        <f>VLOOKUP(D644,'Position Lookup'!A:B,1,FALSE)</f>
        <v>DEF</v>
      </c>
    </row>
    <row r="645" ht="17.25" customHeight="1">
      <c r="A645" s="32">
        <v>45199.0</v>
      </c>
      <c r="B645" s="5" t="s">
        <v>309</v>
      </c>
      <c r="C645" s="3" t="s">
        <v>296</v>
      </c>
      <c r="D645" s="3" t="s">
        <v>10</v>
      </c>
      <c r="E645" s="5">
        <v>5.0</v>
      </c>
      <c r="F645" s="3" t="s">
        <v>644</v>
      </c>
      <c r="G645" s="3" t="s">
        <v>230</v>
      </c>
      <c r="J645" s="5">
        <v>7.0</v>
      </c>
      <c r="N645" s="3" t="b">
        <v>0</v>
      </c>
      <c r="R645" s="3">
        <v>0.0</v>
      </c>
      <c r="T645" s="3">
        <v>10.0</v>
      </c>
      <c r="U645" s="3">
        <v>6.5</v>
      </c>
      <c r="V645" s="3" t="s">
        <v>652</v>
      </c>
      <c r="W645" s="74" t="s">
        <v>344</v>
      </c>
      <c r="X645" s="77" t="s">
        <v>646</v>
      </c>
      <c r="Y645" s="3">
        <v>2.0</v>
      </c>
      <c r="Z645" s="3">
        <v>7.0</v>
      </c>
      <c r="AA645" s="2">
        <f>2+ (P645*'Scoring System'!$B$3)+ (IF(OR(D645="DEF",D645="GK"),N645*'Scoring System'!$B$4,IF(D645="MID",N645*'Scoring System'!$B$5,0)))+ (IF(OR(D645="DEF",D645="GK"),H645*'Scoring System'!$B$6,IF(D645="MID",H645*'Scoring System'!$B$7,IF(D645="ATT",H645*'Scoring System'!$B$8,0))))+ IF(AND(OR(D645="GK",D645="DEF"),J645&gt;=3),1*'Scoring System'!$B$9,0)+ (I645*'Scoring System'!$B$10)+ (K645*'Scoring System'!$B$11)+ (M645*'Scoring System'!$B$12)+ (L645*'Scoring System'!$B$13)+ (O645*'Scoring System'!$B$14)+ (Q645*'Scoring System'!$B$15)+ (R645*'Scoring System'!$B$16)</f>
        <v>2</v>
      </c>
      <c r="AB645" s="72" t="b">
        <f>IFERROR(match(C645,'Match Day Fees'!$B$2:$B$999,0),0)=0</f>
        <v>0</v>
      </c>
      <c r="AC645" s="73">
        <f t="shared" si="1"/>
        <v>0</v>
      </c>
      <c r="AD645" s="3" t="str">
        <f>VLOOKUP(D645,'Position Lookup'!A:B,1,FALSE)</f>
        <v>MID</v>
      </c>
    </row>
    <row r="646" ht="17.25" customHeight="1">
      <c r="A646" s="32">
        <v>45199.0</v>
      </c>
      <c r="B646" s="5" t="s">
        <v>309</v>
      </c>
      <c r="C646" s="3" t="s">
        <v>72</v>
      </c>
      <c r="D646" s="3" t="s">
        <v>10</v>
      </c>
      <c r="E646" s="5">
        <v>5.0</v>
      </c>
      <c r="F646" s="3" t="s">
        <v>644</v>
      </c>
      <c r="G646" s="3" t="s">
        <v>230</v>
      </c>
      <c r="H646" s="3">
        <v>1.0</v>
      </c>
      <c r="J646" s="5">
        <v>7.0</v>
      </c>
      <c r="N646" s="3" t="b">
        <v>0</v>
      </c>
      <c r="R646" s="3">
        <v>0.0</v>
      </c>
      <c r="T646" s="3">
        <v>10.0</v>
      </c>
      <c r="U646" s="3">
        <v>6.5</v>
      </c>
      <c r="V646" s="3" t="s">
        <v>653</v>
      </c>
      <c r="W646" s="74" t="s">
        <v>344</v>
      </c>
      <c r="X646" s="77" t="s">
        <v>646</v>
      </c>
      <c r="Y646" s="3">
        <v>2.0</v>
      </c>
      <c r="Z646" s="3">
        <v>7.0</v>
      </c>
      <c r="AA646" s="2">
        <f>2+ (P646*'Scoring System'!$B$3)+ (IF(OR(D646="DEF",D646="GK"),N646*'Scoring System'!$B$4,IF(D646="MID",N646*'Scoring System'!$B$5,0)))+ (IF(OR(D646="DEF",D646="GK"),H646*'Scoring System'!$B$6,IF(D646="MID",H646*'Scoring System'!$B$7,IF(D646="ATT",H646*'Scoring System'!$B$8,0))))+ IF(AND(OR(D646="GK",D646="DEF"),J646&gt;=3),1*'Scoring System'!$B$9,0)+ (I646*'Scoring System'!$B$10)+ (K646*'Scoring System'!$B$11)+ (M646*'Scoring System'!$B$12)+ (L646*'Scoring System'!$B$13)+ (O646*'Scoring System'!$B$14)+ (Q646*'Scoring System'!$B$15)+ (R646*'Scoring System'!$B$16)</f>
        <v>7</v>
      </c>
      <c r="AB646" s="72" t="b">
        <f>IFERROR(match(C646,'Match Day Fees'!$B$2:$B$999,0),0)=0</f>
        <v>0</v>
      </c>
      <c r="AC646" s="73">
        <f t="shared" si="1"/>
        <v>0</v>
      </c>
      <c r="AD646" s="3" t="str">
        <f>VLOOKUP(D646,'Position Lookup'!A:B,1,FALSE)</f>
        <v>MID</v>
      </c>
    </row>
    <row r="647" ht="17.25" customHeight="1">
      <c r="A647" s="32">
        <v>45199.0</v>
      </c>
      <c r="B647" s="5" t="s">
        <v>309</v>
      </c>
      <c r="C647" s="3" t="s">
        <v>237</v>
      </c>
      <c r="D647" s="3" t="s">
        <v>10</v>
      </c>
      <c r="E647" s="5">
        <v>5.0</v>
      </c>
      <c r="F647" s="3" t="s">
        <v>644</v>
      </c>
      <c r="G647" s="3" t="s">
        <v>230</v>
      </c>
      <c r="J647" s="5">
        <v>7.0</v>
      </c>
      <c r="N647" s="3" t="b">
        <v>0</v>
      </c>
      <c r="R647" s="3">
        <v>0.0</v>
      </c>
      <c r="T647" s="3">
        <v>5.0</v>
      </c>
      <c r="U647" s="3">
        <v>6.5</v>
      </c>
      <c r="V647" s="3" t="s">
        <v>654</v>
      </c>
      <c r="W647" s="74" t="s">
        <v>344</v>
      </c>
      <c r="X647" s="77" t="s">
        <v>646</v>
      </c>
      <c r="Y647" s="3">
        <v>2.0</v>
      </c>
      <c r="Z647" s="3">
        <v>7.0</v>
      </c>
      <c r="AA647" s="2">
        <f>2+ (P647*'Scoring System'!$B$3)+ (IF(OR(D647="DEF",D647="GK"),N647*'Scoring System'!$B$4,IF(D647="MID",N647*'Scoring System'!$B$5,0)))+ (IF(OR(D647="DEF",D647="GK"),H647*'Scoring System'!$B$6,IF(D647="MID",H647*'Scoring System'!$B$7,IF(D647="ATT",H647*'Scoring System'!$B$8,0))))+ IF(AND(OR(D647="GK",D647="DEF"),J647&gt;=3),1*'Scoring System'!$B$9,0)+ (I647*'Scoring System'!$B$10)+ (K647*'Scoring System'!$B$11)+ (M647*'Scoring System'!$B$12)+ (L647*'Scoring System'!$B$13)+ (O647*'Scoring System'!$B$14)+ (Q647*'Scoring System'!$B$15)+ (R647*'Scoring System'!$B$16)</f>
        <v>2</v>
      </c>
      <c r="AB647" s="72" t="b">
        <f>IFERROR(match(C647,'Match Day Fees'!$B$2:$B$999,0),0)=0</f>
        <v>0</v>
      </c>
      <c r="AC647" s="73">
        <f t="shared" si="1"/>
        <v>0</v>
      </c>
      <c r="AD647" s="3" t="str">
        <f>VLOOKUP(D647,'Position Lookup'!A:B,1,FALSE)</f>
        <v>MID</v>
      </c>
    </row>
    <row r="648" ht="17.25" customHeight="1">
      <c r="A648" s="32">
        <v>45199.0</v>
      </c>
      <c r="B648" s="5" t="s">
        <v>309</v>
      </c>
      <c r="C648" s="3" t="s">
        <v>95</v>
      </c>
      <c r="D648" s="3" t="s">
        <v>9</v>
      </c>
      <c r="E648" s="5">
        <v>5.0</v>
      </c>
      <c r="F648" s="3" t="s">
        <v>644</v>
      </c>
      <c r="G648" s="3" t="s">
        <v>230</v>
      </c>
      <c r="I648" s="3">
        <v>1.0</v>
      </c>
      <c r="J648" s="5">
        <v>7.0</v>
      </c>
      <c r="N648" s="3" t="b">
        <v>0</v>
      </c>
      <c r="R648" s="3">
        <v>1.0</v>
      </c>
      <c r="T648" s="3">
        <v>10.0</v>
      </c>
      <c r="U648" s="3">
        <v>7.0</v>
      </c>
      <c r="V648" s="3" t="s">
        <v>655</v>
      </c>
      <c r="W648" s="74" t="s">
        <v>344</v>
      </c>
      <c r="X648" s="77" t="s">
        <v>646</v>
      </c>
      <c r="Y648" s="3">
        <v>2.0</v>
      </c>
      <c r="Z648" s="3">
        <v>7.0</v>
      </c>
      <c r="AA648" s="2">
        <f>2+ (P648*'Scoring System'!$B$3)+ (IF(OR(D648="DEF",D648="GK"),N648*'Scoring System'!$B$4,IF(D648="MID",N648*'Scoring System'!$B$5,0)))+ (IF(OR(D648="DEF",D648="GK"),H648*'Scoring System'!$B$6,IF(D648="MID",H648*'Scoring System'!$B$7,IF(D648="ATT",H648*'Scoring System'!$B$8,0))))+ IF(AND(OR(D648="GK",D648="DEF"),J648&gt;=3),1*'Scoring System'!$B$9,0)+ (I648*'Scoring System'!$B$10)+ (K648*'Scoring System'!$B$11)+ (M648*'Scoring System'!$B$12)+ (L648*'Scoring System'!$B$13)+ (O648*'Scoring System'!$B$14)+ (Q648*'Scoring System'!$B$15)+ (R648*'Scoring System'!$B$16)</f>
        <v>10</v>
      </c>
      <c r="AB648" s="72" t="b">
        <f>IFERROR(match(C648,'Match Day Fees'!$B$2:$B$999,0),0)=0</f>
        <v>0</v>
      </c>
      <c r="AC648" s="73">
        <f t="shared" si="1"/>
        <v>0</v>
      </c>
      <c r="AD648" s="3" t="str">
        <f>VLOOKUP(D648,'Position Lookup'!A:B,1,FALSE)</f>
        <v>ATT</v>
      </c>
    </row>
    <row r="649" ht="17.25" customHeight="1">
      <c r="A649" s="32">
        <v>45199.0</v>
      </c>
      <c r="B649" s="5" t="s">
        <v>309</v>
      </c>
      <c r="C649" s="3" t="s">
        <v>139</v>
      </c>
      <c r="D649" s="3" t="s">
        <v>9</v>
      </c>
      <c r="E649" s="5">
        <v>5.0</v>
      </c>
      <c r="F649" s="3" t="s">
        <v>644</v>
      </c>
      <c r="G649" s="3" t="s">
        <v>230</v>
      </c>
      <c r="H649" s="3">
        <v>1.0</v>
      </c>
      <c r="J649" s="5">
        <v>7.0</v>
      </c>
      <c r="N649" s="3" t="b">
        <v>0</v>
      </c>
      <c r="R649" s="3">
        <v>0.0</v>
      </c>
      <c r="T649" s="3">
        <v>10.0</v>
      </c>
      <c r="U649" s="3">
        <v>6.5</v>
      </c>
      <c r="V649" s="3" t="s">
        <v>656</v>
      </c>
      <c r="W649" s="74" t="s">
        <v>344</v>
      </c>
      <c r="X649" s="77" t="s">
        <v>646</v>
      </c>
      <c r="Y649" s="3">
        <v>2.0</v>
      </c>
      <c r="Z649" s="3">
        <v>7.0</v>
      </c>
      <c r="AA649" s="2">
        <f>2+ (P649*'Scoring System'!$B$3)+ (IF(OR(D649="DEF",D649="GK"),N649*'Scoring System'!$B$4,IF(D649="MID",N649*'Scoring System'!$B$5,0)))+ (IF(OR(D649="DEF",D649="GK"),H649*'Scoring System'!$B$6,IF(D649="MID",H649*'Scoring System'!$B$7,IF(D649="ATT",H649*'Scoring System'!$B$8,0))))+ IF(AND(OR(D649="GK",D649="DEF"),J649&gt;=3),1*'Scoring System'!$B$9,0)+ (I649*'Scoring System'!$B$10)+ (K649*'Scoring System'!$B$11)+ (M649*'Scoring System'!$B$12)+ (L649*'Scoring System'!$B$13)+ (O649*'Scoring System'!$B$14)+ (Q649*'Scoring System'!$B$15)+ (R649*'Scoring System'!$B$16)</f>
        <v>6</v>
      </c>
      <c r="AB649" s="72" t="b">
        <f>IFERROR(match(C649,'Match Day Fees'!$B$2:$B$999,0),0)=0</f>
        <v>0</v>
      </c>
      <c r="AC649" s="73">
        <f t="shared" si="1"/>
        <v>0</v>
      </c>
      <c r="AD649" s="3" t="str">
        <f>VLOOKUP(D649,'Position Lookup'!A:B,1,FALSE)</f>
        <v>ATT</v>
      </c>
    </row>
    <row r="650" ht="17.25" customHeight="1">
      <c r="A650" s="32">
        <v>45199.0</v>
      </c>
      <c r="B650" s="5" t="s">
        <v>309</v>
      </c>
      <c r="C650" s="3" t="s">
        <v>127</v>
      </c>
      <c r="D650" s="3" t="s">
        <v>10</v>
      </c>
      <c r="E650" s="5">
        <v>5.0</v>
      </c>
      <c r="F650" s="3" t="s">
        <v>644</v>
      </c>
      <c r="G650" s="3" t="s">
        <v>230</v>
      </c>
      <c r="J650" s="5">
        <v>7.0</v>
      </c>
      <c r="N650" s="3" t="b">
        <v>0</v>
      </c>
      <c r="R650" s="3">
        <v>0.0</v>
      </c>
      <c r="T650" s="3">
        <v>10.0</v>
      </c>
      <c r="U650" s="3">
        <v>7.0</v>
      </c>
      <c r="V650" s="3" t="s">
        <v>657</v>
      </c>
      <c r="W650" s="74" t="s">
        <v>344</v>
      </c>
      <c r="X650" s="77" t="s">
        <v>646</v>
      </c>
      <c r="Y650" s="3">
        <v>2.0</v>
      </c>
      <c r="Z650" s="3">
        <v>7.0</v>
      </c>
      <c r="AA650" s="2">
        <f>2+ (P650*'Scoring System'!$B$3)+ (IF(OR(D650="DEF",D650="GK"),N650*'Scoring System'!$B$4,IF(D650="MID",N650*'Scoring System'!$B$5,0)))+ (IF(OR(D650="DEF",D650="GK"),H650*'Scoring System'!$B$6,IF(D650="MID",H650*'Scoring System'!$B$7,IF(D650="ATT",H650*'Scoring System'!$B$8,0))))+ IF(AND(OR(D650="GK",D650="DEF"),J650&gt;=3),1*'Scoring System'!$B$9,0)+ (I650*'Scoring System'!$B$10)+ (K650*'Scoring System'!$B$11)+ (M650*'Scoring System'!$B$12)+ (L650*'Scoring System'!$B$13)+ (O650*'Scoring System'!$B$14)+ (Q650*'Scoring System'!$B$15)+ (R650*'Scoring System'!$B$16)</f>
        <v>2</v>
      </c>
      <c r="AB650" s="72" t="b">
        <f>IFERROR(match(C650,'Match Day Fees'!$B$2:$B$999,0),0)=0</f>
        <v>0</v>
      </c>
      <c r="AC650" s="73">
        <f t="shared" si="1"/>
        <v>0</v>
      </c>
      <c r="AD650" s="3" t="str">
        <f>VLOOKUP(D650,'Position Lookup'!A:B,1,FALSE)</f>
        <v>MID</v>
      </c>
    </row>
    <row r="651" ht="17.25" customHeight="1">
      <c r="A651" s="32">
        <v>45199.0</v>
      </c>
      <c r="B651" s="5" t="s">
        <v>309</v>
      </c>
      <c r="C651" s="3" t="s">
        <v>89</v>
      </c>
      <c r="D651" s="3" t="s">
        <v>9</v>
      </c>
      <c r="E651" s="5">
        <v>5.0</v>
      </c>
      <c r="F651" s="3" t="s">
        <v>644</v>
      </c>
      <c r="G651" s="3" t="s">
        <v>230</v>
      </c>
      <c r="J651" s="5">
        <v>7.0</v>
      </c>
      <c r="N651" s="3" t="b">
        <v>0</v>
      </c>
      <c r="R651" s="3">
        <v>0.0</v>
      </c>
      <c r="T651" s="3">
        <v>10.0</v>
      </c>
      <c r="U651" s="3">
        <v>6.5</v>
      </c>
      <c r="V651" s="3" t="s">
        <v>658</v>
      </c>
      <c r="W651" s="74" t="s">
        <v>344</v>
      </c>
      <c r="X651" s="77" t="s">
        <v>646</v>
      </c>
      <c r="Y651" s="3">
        <v>2.0</v>
      </c>
      <c r="Z651" s="3">
        <v>7.0</v>
      </c>
      <c r="AA651" s="2">
        <f>2+ (P651*'Scoring System'!$B$3)+ (IF(OR(D651="DEF",D651="GK"),N651*'Scoring System'!$B$4,IF(D651="MID",N651*'Scoring System'!$B$5,0)))+ (IF(OR(D651="DEF",D651="GK"),H651*'Scoring System'!$B$6,IF(D651="MID",H651*'Scoring System'!$B$7,IF(D651="ATT",H651*'Scoring System'!$B$8,0))))+ IF(AND(OR(D651="GK",D651="DEF"),J651&gt;=3),1*'Scoring System'!$B$9,0)+ (I651*'Scoring System'!$B$10)+ (K651*'Scoring System'!$B$11)+ (M651*'Scoring System'!$B$12)+ (L651*'Scoring System'!$B$13)+ (O651*'Scoring System'!$B$14)+ (Q651*'Scoring System'!$B$15)+ (R651*'Scoring System'!$B$16)</f>
        <v>2</v>
      </c>
      <c r="AB651" s="72" t="b">
        <f>IFERROR(match(C651,'Match Day Fees'!$B$2:$B$999,0),0)=0</f>
        <v>0</v>
      </c>
      <c r="AC651" s="73">
        <f t="shared" si="1"/>
        <v>0</v>
      </c>
      <c r="AD651" s="3" t="str">
        <f>VLOOKUP(D651,'Position Lookup'!A:B,1,FALSE)</f>
        <v>ATT</v>
      </c>
    </row>
    <row r="652" ht="17.25" customHeight="1">
      <c r="A652" s="32">
        <v>45199.0</v>
      </c>
      <c r="B652" s="5" t="s">
        <v>309</v>
      </c>
      <c r="C652" s="3" t="s">
        <v>140</v>
      </c>
      <c r="D652" s="3" t="s">
        <v>9</v>
      </c>
      <c r="E652" s="5">
        <v>5.0</v>
      </c>
      <c r="F652" s="3" t="s">
        <v>644</v>
      </c>
      <c r="G652" s="3" t="s">
        <v>230</v>
      </c>
      <c r="J652" s="5">
        <v>7.0</v>
      </c>
      <c r="N652" s="3" t="b">
        <v>0</v>
      </c>
      <c r="R652" s="3">
        <v>0.0</v>
      </c>
      <c r="T652" s="3">
        <v>10.0</v>
      </c>
      <c r="U652" s="3">
        <v>6.5</v>
      </c>
      <c r="V652" s="3" t="s">
        <v>659</v>
      </c>
      <c r="W652" s="74" t="s">
        <v>344</v>
      </c>
      <c r="X652" s="77" t="s">
        <v>646</v>
      </c>
      <c r="Y652" s="3">
        <v>2.0</v>
      </c>
      <c r="Z652" s="3">
        <v>7.0</v>
      </c>
      <c r="AA652" s="2">
        <f>2+ (P652*'Scoring System'!$B$3)+ (IF(OR(D652="DEF",D652="GK"),N652*'Scoring System'!$B$4,IF(D652="MID",N652*'Scoring System'!$B$5,0)))+ (IF(OR(D652="DEF",D652="GK"),H652*'Scoring System'!$B$6,IF(D652="MID",H652*'Scoring System'!$B$7,IF(D652="ATT",H652*'Scoring System'!$B$8,0))))+ IF(AND(OR(D652="GK",D652="DEF"),J652&gt;=3),1*'Scoring System'!$B$9,0)+ (I652*'Scoring System'!$B$10)+ (K652*'Scoring System'!$B$11)+ (M652*'Scoring System'!$B$12)+ (L652*'Scoring System'!$B$13)+ (O652*'Scoring System'!$B$14)+ (Q652*'Scoring System'!$B$15)+ (R652*'Scoring System'!$B$16)</f>
        <v>2</v>
      </c>
      <c r="AB652" s="72" t="b">
        <f>IFERROR(match(C652,'Match Day Fees'!$B$2:$B$999,0),0)=0</f>
        <v>0</v>
      </c>
      <c r="AC652" s="73">
        <f t="shared" si="1"/>
        <v>0</v>
      </c>
      <c r="AD652" s="3" t="str">
        <f>VLOOKUP(D652,'Position Lookup'!A:B,1,FALSE)</f>
        <v>ATT</v>
      </c>
    </row>
    <row r="653" ht="17.25" customHeight="1">
      <c r="A653" s="32">
        <v>45199.0</v>
      </c>
      <c r="B653" s="5" t="s">
        <v>309</v>
      </c>
      <c r="C653" s="3" t="s">
        <v>118</v>
      </c>
      <c r="D653" s="3" t="s">
        <v>8</v>
      </c>
      <c r="E653" s="5">
        <v>4.0</v>
      </c>
      <c r="F653" s="3" t="s">
        <v>660</v>
      </c>
      <c r="G653" s="3" t="s">
        <v>230</v>
      </c>
      <c r="J653" s="5">
        <v>2.0</v>
      </c>
      <c r="N653" s="3" t="b">
        <v>0</v>
      </c>
      <c r="R653" s="3">
        <v>0.0</v>
      </c>
      <c r="T653" s="3">
        <v>10.0</v>
      </c>
      <c r="U653" s="3">
        <v>7.0</v>
      </c>
      <c r="V653" s="3" t="s">
        <v>661</v>
      </c>
      <c r="W653" s="74" t="s">
        <v>448</v>
      </c>
      <c r="X653" s="77" t="s">
        <v>662</v>
      </c>
      <c r="Y653" s="3">
        <v>0.0</v>
      </c>
      <c r="Z653" s="3">
        <v>2.0</v>
      </c>
      <c r="AA653" s="2">
        <f>2+ (P653*'Scoring System'!$B$3)+ (IF(OR(D653="DEF",D653="GK"),N653*'Scoring System'!$B$4,IF(D653="MID",N653*'Scoring System'!$B$5,0)))+ (IF(OR(D653="DEF",D653="GK"),H653*'Scoring System'!$B$6,IF(D653="MID",H653*'Scoring System'!$B$7,IF(D653="ATT",H653*'Scoring System'!$B$8,0))))+ IF(AND(OR(D653="GK",D653="DEF"),J653&gt;=3),1*'Scoring System'!$B$9,0)+ (I653*'Scoring System'!$B$10)+ (K653*'Scoring System'!$B$11)+ (M653*'Scoring System'!$B$12)+ (L653*'Scoring System'!$B$13)+ (O653*'Scoring System'!$B$14)+ (Q653*'Scoring System'!$B$15)+ (R653*'Scoring System'!$B$16)</f>
        <v>2</v>
      </c>
      <c r="AB653" s="72" t="b">
        <f>IFERROR(match(C653,'Match Day Fees'!$B$2:$B$999,0),0)=0</f>
        <v>0</v>
      </c>
      <c r="AC653" s="73">
        <f t="shared" si="1"/>
        <v>0</v>
      </c>
      <c r="AD653" s="3" t="str">
        <f>VLOOKUP(D653,'Position Lookup'!A:B,1,FALSE)</f>
        <v>GK</v>
      </c>
    </row>
    <row r="654" ht="17.25" customHeight="1">
      <c r="A654" s="32">
        <v>45199.0</v>
      </c>
      <c r="B654" s="5" t="s">
        <v>309</v>
      </c>
      <c r="C654" s="3" t="s">
        <v>83</v>
      </c>
      <c r="D654" s="3" t="s">
        <v>11</v>
      </c>
      <c r="E654" s="5">
        <v>4.0</v>
      </c>
      <c r="F654" s="3" t="s">
        <v>660</v>
      </c>
      <c r="G654" s="3" t="s">
        <v>230</v>
      </c>
      <c r="J654" s="5">
        <v>2.0</v>
      </c>
      <c r="N654" s="3" t="b">
        <v>0</v>
      </c>
      <c r="R654" s="3">
        <v>0.0</v>
      </c>
      <c r="T654" s="3">
        <v>5.0</v>
      </c>
      <c r="U654" s="3">
        <v>7.0</v>
      </c>
      <c r="V654" s="3" t="s">
        <v>663</v>
      </c>
      <c r="W654" s="74" t="s">
        <v>448</v>
      </c>
      <c r="X654" s="77" t="s">
        <v>662</v>
      </c>
      <c r="Y654" s="3">
        <v>0.0</v>
      </c>
      <c r="Z654" s="3">
        <v>2.0</v>
      </c>
      <c r="AA654" s="2">
        <f>2+ (P654*'Scoring System'!$B$3)+ (IF(OR(D654="DEF",D654="GK"),N654*'Scoring System'!$B$4,IF(D654="MID",N654*'Scoring System'!$B$5,0)))+ (IF(OR(D654="DEF",D654="GK"),H654*'Scoring System'!$B$6,IF(D654="MID",H654*'Scoring System'!$B$7,IF(D654="ATT",H654*'Scoring System'!$B$8,0))))+ IF(AND(OR(D654="GK",D654="DEF"),J654&gt;=3),1*'Scoring System'!$B$9,0)+ (I654*'Scoring System'!$B$10)+ (K654*'Scoring System'!$B$11)+ (M654*'Scoring System'!$B$12)+ (L654*'Scoring System'!$B$13)+ (O654*'Scoring System'!$B$14)+ (Q654*'Scoring System'!$B$15)+ (R654*'Scoring System'!$B$16)</f>
        <v>2</v>
      </c>
      <c r="AB654" s="72" t="b">
        <f>IFERROR(match(C654,'Match Day Fees'!$B$2:$B$999,0),0)=0</f>
        <v>0</v>
      </c>
      <c r="AC654" s="73">
        <f t="shared" si="1"/>
        <v>0</v>
      </c>
      <c r="AD654" s="3" t="str">
        <f>VLOOKUP(D654,'Position Lookup'!A:B,1,FALSE)</f>
        <v>DEF</v>
      </c>
    </row>
    <row r="655" ht="17.25" customHeight="1">
      <c r="A655" s="32">
        <v>45199.0</v>
      </c>
      <c r="B655" s="5" t="s">
        <v>309</v>
      </c>
      <c r="C655" s="3" t="s">
        <v>119</v>
      </c>
      <c r="D655" s="3" t="s">
        <v>11</v>
      </c>
      <c r="E655" s="5">
        <v>4.0</v>
      </c>
      <c r="F655" s="3" t="s">
        <v>660</v>
      </c>
      <c r="G655" s="3" t="s">
        <v>230</v>
      </c>
      <c r="J655" s="5">
        <v>2.0</v>
      </c>
      <c r="N655" s="3" t="b">
        <v>0</v>
      </c>
      <c r="R655" s="3">
        <v>0.0</v>
      </c>
      <c r="T655" s="3">
        <v>10.0</v>
      </c>
      <c r="U655" s="3">
        <v>7.0</v>
      </c>
      <c r="V655" s="3" t="s">
        <v>664</v>
      </c>
      <c r="W655" s="74" t="s">
        <v>448</v>
      </c>
      <c r="X655" s="77" t="s">
        <v>662</v>
      </c>
      <c r="Y655" s="3">
        <v>0.0</v>
      </c>
      <c r="Z655" s="3">
        <v>2.0</v>
      </c>
      <c r="AA655" s="2">
        <f>2+ (P655*'Scoring System'!$B$3)+ (IF(OR(D655="DEF",D655="GK"),N655*'Scoring System'!$B$4,IF(D655="MID",N655*'Scoring System'!$B$5,0)))+ (IF(OR(D655="DEF",D655="GK"),H655*'Scoring System'!$B$6,IF(D655="MID",H655*'Scoring System'!$B$7,IF(D655="ATT",H655*'Scoring System'!$B$8,0))))+ IF(AND(OR(D655="GK",D655="DEF"),J655&gt;=3),1*'Scoring System'!$B$9,0)+ (I655*'Scoring System'!$B$10)+ (K655*'Scoring System'!$B$11)+ (M655*'Scoring System'!$B$12)+ (L655*'Scoring System'!$B$13)+ (O655*'Scoring System'!$B$14)+ (Q655*'Scoring System'!$B$15)+ (R655*'Scoring System'!$B$16)</f>
        <v>2</v>
      </c>
      <c r="AB655" s="72" t="b">
        <f>IFERROR(match(C655,'Match Day Fees'!$B$2:$B$999,0),0)=0</f>
        <v>0</v>
      </c>
      <c r="AC655" s="73">
        <f t="shared" si="1"/>
        <v>0</v>
      </c>
      <c r="AD655" s="3" t="str">
        <f>VLOOKUP(D655,'Position Lookup'!A:B,1,FALSE)</f>
        <v>DEF</v>
      </c>
    </row>
    <row r="656" ht="17.25" customHeight="1">
      <c r="A656" s="32">
        <v>45199.0</v>
      </c>
      <c r="B656" s="5" t="s">
        <v>309</v>
      </c>
      <c r="C656" s="3" t="s">
        <v>41</v>
      </c>
      <c r="D656" s="3" t="s">
        <v>11</v>
      </c>
      <c r="E656" s="5">
        <v>4.0</v>
      </c>
      <c r="F656" s="3" t="s">
        <v>660</v>
      </c>
      <c r="G656" s="3" t="s">
        <v>230</v>
      </c>
      <c r="J656" s="5">
        <v>2.0</v>
      </c>
      <c r="N656" s="3" t="b">
        <v>0</v>
      </c>
      <c r="R656" s="3">
        <v>1.0</v>
      </c>
      <c r="T656" s="3">
        <v>5.0</v>
      </c>
      <c r="U656" s="3">
        <v>8.0</v>
      </c>
      <c r="V656" s="3" t="s">
        <v>665</v>
      </c>
      <c r="W656" s="74" t="s">
        <v>448</v>
      </c>
      <c r="X656" s="77" t="s">
        <v>662</v>
      </c>
      <c r="Y656" s="3">
        <v>0.0</v>
      </c>
      <c r="Z656" s="3">
        <v>2.0</v>
      </c>
      <c r="AA656" s="2">
        <f>2+ (P656*'Scoring System'!$B$3)+ (IF(OR(D656="DEF",D656="GK"),N656*'Scoring System'!$B$4,IF(D656="MID",N656*'Scoring System'!$B$5,0)))+ (IF(OR(D656="DEF",D656="GK"),H656*'Scoring System'!$B$6,IF(D656="MID",H656*'Scoring System'!$B$7,IF(D656="ATT",H656*'Scoring System'!$B$8,0))))+ IF(AND(OR(D656="GK",D656="DEF"),J656&gt;=3),1*'Scoring System'!$B$9,0)+ (I656*'Scoring System'!$B$10)+ (K656*'Scoring System'!$B$11)+ (M656*'Scoring System'!$B$12)+ (L656*'Scoring System'!$B$13)+ (O656*'Scoring System'!$B$14)+ (Q656*'Scoring System'!$B$15)+ (R656*'Scoring System'!$B$16)</f>
        <v>7</v>
      </c>
      <c r="AB656" s="72" t="b">
        <f>IFERROR(match(C656,'Match Day Fees'!$B$2:$B$999,0),0)=0</f>
        <v>0</v>
      </c>
      <c r="AC656" s="73">
        <f t="shared" si="1"/>
        <v>0</v>
      </c>
      <c r="AD656" s="3" t="str">
        <f>VLOOKUP(D656,'Position Lookup'!A:B,1,FALSE)</f>
        <v>DEF</v>
      </c>
    </row>
    <row r="657" ht="17.25" customHeight="1">
      <c r="A657" s="32">
        <v>45199.0</v>
      </c>
      <c r="B657" s="5" t="s">
        <v>309</v>
      </c>
      <c r="C657" s="3" t="s">
        <v>126</v>
      </c>
      <c r="D657" s="3" t="s">
        <v>11</v>
      </c>
      <c r="E657" s="5">
        <v>4.0</v>
      </c>
      <c r="F657" s="3" t="s">
        <v>660</v>
      </c>
      <c r="G657" s="3" t="s">
        <v>230</v>
      </c>
      <c r="J657" s="5">
        <v>2.0</v>
      </c>
      <c r="N657" s="3" t="b">
        <v>0</v>
      </c>
      <c r="R657" s="3">
        <v>0.0</v>
      </c>
      <c r="T657" s="3">
        <v>5.0</v>
      </c>
      <c r="U657" s="3">
        <v>6.5</v>
      </c>
      <c r="V657" s="3" t="s">
        <v>666</v>
      </c>
      <c r="W657" s="74" t="s">
        <v>448</v>
      </c>
      <c r="X657" s="77" t="s">
        <v>662</v>
      </c>
      <c r="Y657" s="3">
        <v>0.0</v>
      </c>
      <c r="Z657" s="3">
        <v>2.0</v>
      </c>
      <c r="AA657" s="2">
        <f>2+ (P657*'Scoring System'!$B$3)+ (IF(OR(D657="DEF",D657="GK"),N657*'Scoring System'!$B$4,IF(D657="MID",N657*'Scoring System'!$B$5,0)))+ (IF(OR(D657="DEF",D657="GK"),H657*'Scoring System'!$B$6,IF(D657="MID",H657*'Scoring System'!$B$7,IF(D657="ATT",H657*'Scoring System'!$B$8,0))))+ IF(AND(OR(D657="GK",D657="DEF"),J657&gt;=3),1*'Scoring System'!$B$9,0)+ (I657*'Scoring System'!$B$10)+ (K657*'Scoring System'!$B$11)+ (M657*'Scoring System'!$B$12)+ (L657*'Scoring System'!$B$13)+ (O657*'Scoring System'!$B$14)+ (Q657*'Scoring System'!$B$15)+ (R657*'Scoring System'!$B$16)</f>
        <v>2</v>
      </c>
      <c r="AB657" s="72" t="b">
        <f>IFERROR(match(C657,'Match Day Fees'!$B$2:$B$999,0),0)=0</f>
        <v>0</v>
      </c>
      <c r="AC657" s="73">
        <f t="shared" si="1"/>
        <v>0</v>
      </c>
      <c r="AD657" s="3" t="str">
        <f>VLOOKUP(D657,'Position Lookup'!A:B,1,FALSE)</f>
        <v>DEF</v>
      </c>
    </row>
    <row r="658" ht="17.25" customHeight="1">
      <c r="A658" s="32">
        <v>45199.0</v>
      </c>
      <c r="B658" s="5" t="s">
        <v>309</v>
      </c>
      <c r="C658" s="3" t="s">
        <v>45</v>
      </c>
      <c r="D658" s="3" t="s">
        <v>11</v>
      </c>
      <c r="E658" s="5">
        <v>4.0</v>
      </c>
      <c r="F658" s="3" t="s">
        <v>660</v>
      </c>
      <c r="G658" s="3" t="s">
        <v>230</v>
      </c>
      <c r="J658" s="5">
        <v>2.0</v>
      </c>
      <c r="N658" s="3" t="b">
        <v>0</v>
      </c>
      <c r="R658" s="3">
        <v>0.0</v>
      </c>
      <c r="T658" s="3">
        <v>10.0</v>
      </c>
      <c r="U658" s="3">
        <v>6.0</v>
      </c>
      <c r="V658" s="3" t="s">
        <v>667</v>
      </c>
      <c r="W658" s="74" t="s">
        <v>448</v>
      </c>
      <c r="X658" s="77" t="s">
        <v>662</v>
      </c>
      <c r="Y658" s="3">
        <v>0.0</v>
      </c>
      <c r="Z658" s="3">
        <v>2.0</v>
      </c>
      <c r="AA658" s="2">
        <f>2+ (P658*'Scoring System'!$B$3)+ (IF(OR(D658="DEF",D658="GK"),N658*'Scoring System'!$B$4,IF(D658="MID",N658*'Scoring System'!$B$5,0)))+ (IF(OR(D658="DEF",D658="GK"),H658*'Scoring System'!$B$6,IF(D658="MID",H658*'Scoring System'!$B$7,IF(D658="ATT",H658*'Scoring System'!$B$8,0))))+ IF(AND(OR(D658="GK",D658="DEF"),J658&gt;=3),1*'Scoring System'!$B$9,0)+ (I658*'Scoring System'!$B$10)+ (K658*'Scoring System'!$B$11)+ (M658*'Scoring System'!$B$12)+ (L658*'Scoring System'!$B$13)+ (O658*'Scoring System'!$B$14)+ (Q658*'Scoring System'!$B$15)+ (R658*'Scoring System'!$B$16)</f>
        <v>2</v>
      </c>
      <c r="AB658" s="72" t="b">
        <f>IFERROR(match(C658,'Match Day Fees'!$B$2:$B$999,0),0)=0</f>
        <v>0</v>
      </c>
      <c r="AC658" s="73">
        <f t="shared" si="1"/>
        <v>0</v>
      </c>
      <c r="AD658" s="3" t="str">
        <f>VLOOKUP(D658,'Position Lookup'!A:B,1,FALSE)</f>
        <v>DEF</v>
      </c>
    </row>
    <row r="659" ht="17.25" customHeight="1">
      <c r="A659" s="32">
        <v>45199.0</v>
      </c>
      <c r="B659" s="5" t="s">
        <v>309</v>
      </c>
      <c r="C659" s="3" t="s">
        <v>44</v>
      </c>
      <c r="D659" s="3" t="s">
        <v>10</v>
      </c>
      <c r="E659" s="5">
        <v>4.0</v>
      </c>
      <c r="F659" s="3" t="s">
        <v>660</v>
      </c>
      <c r="G659" s="3" t="s">
        <v>230</v>
      </c>
      <c r="J659" s="5">
        <v>2.0</v>
      </c>
      <c r="N659" s="3" t="b">
        <v>0</v>
      </c>
      <c r="R659" s="3">
        <v>0.0</v>
      </c>
      <c r="T659" s="3">
        <v>5.0</v>
      </c>
      <c r="U659" s="3">
        <v>7.0</v>
      </c>
      <c r="V659" s="3" t="s">
        <v>668</v>
      </c>
      <c r="W659" s="74" t="s">
        <v>448</v>
      </c>
      <c r="X659" s="77" t="s">
        <v>662</v>
      </c>
      <c r="Y659" s="3">
        <v>0.0</v>
      </c>
      <c r="Z659" s="3">
        <v>2.0</v>
      </c>
      <c r="AA659" s="2">
        <f>2+ (P659*'Scoring System'!$B$3)+ (IF(OR(D659="DEF",D659="GK"),N659*'Scoring System'!$B$4,IF(D659="MID",N659*'Scoring System'!$B$5,0)))+ (IF(OR(D659="DEF",D659="GK"),H659*'Scoring System'!$B$6,IF(D659="MID",H659*'Scoring System'!$B$7,IF(D659="ATT",H659*'Scoring System'!$B$8,0))))+ IF(AND(OR(D659="GK",D659="DEF"),J659&gt;=3),1*'Scoring System'!$B$9,0)+ (I659*'Scoring System'!$B$10)+ (K659*'Scoring System'!$B$11)+ (M659*'Scoring System'!$B$12)+ (L659*'Scoring System'!$B$13)+ (O659*'Scoring System'!$B$14)+ (Q659*'Scoring System'!$B$15)+ (R659*'Scoring System'!$B$16)</f>
        <v>2</v>
      </c>
      <c r="AB659" s="72" t="b">
        <f>IFERROR(match(C659,'Match Day Fees'!$B$2:$B$999,0),0)=0</f>
        <v>0</v>
      </c>
      <c r="AC659" s="73">
        <f t="shared" si="1"/>
        <v>0</v>
      </c>
      <c r="AD659" s="3" t="str">
        <f>VLOOKUP(D659,'Position Lookup'!A:B,1,FALSE)</f>
        <v>MID</v>
      </c>
    </row>
    <row r="660" ht="17.25" customHeight="1">
      <c r="A660" s="32">
        <v>45199.0</v>
      </c>
      <c r="B660" s="5" t="s">
        <v>309</v>
      </c>
      <c r="C660" s="3" t="s">
        <v>308</v>
      </c>
      <c r="D660" s="3" t="s">
        <v>10</v>
      </c>
      <c r="E660" s="5">
        <v>4.0</v>
      </c>
      <c r="F660" s="3" t="s">
        <v>660</v>
      </c>
      <c r="G660" s="3" t="s">
        <v>230</v>
      </c>
      <c r="J660" s="5">
        <v>2.0</v>
      </c>
      <c r="N660" s="3" t="b">
        <v>0</v>
      </c>
      <c r="R660" s="3">
        <v>0.0</v>
      </c>
      <c r="T660" s="3">
        <v>10.0</v>
      </c>
      <c r="U660" s="3">
        <v>8.0</v>
      </c>
      <c r="V660" s="3" t="s">
        <v>669</v>
      </c>
      <c r="W660" s="74" t="s">
        <v>448</v>
      </c>
      <c r="X660" s="77" t="s">
        <v>662</v>
      </c>
      <c r="Y660" s="3">
        <v>0.0</v>
      </c>
      <c r="Z660" s="3">
        <v>2.0</v>
      </c>
      <c r="AA660" s="2">
        <f>2+ (P660*'Scoring System'!$B$3)+ (IF(OR(D660="DEF",D660="GK"),N660*'Scoring System'!$B$4,IF(D660="MID",N660*'Scoring System'!$B$5,0)))+ (IF(OR(D660="DEF",D660="GK"),H660*'Scoring System'!$B$6,IF(D660="MID",H660*'Scoring System'!$B$7,IF(D660="ATT",H660*'Scoring System'!$B$8,0))))+ IF(AND(OR(D660="GK",D660="DEF"),J660&gt;=3),1*'Scoring System'!$B$9,0)+ (I660*'Scoring System'!$B$10)+ (K660*'Scoring System'!$B$11)+ (M660*'Scoring System'!$B$12)+ (L660*'Scoring System'!$B$13)+ (O660*'Scoring System'!$B$14)+ (Q660*'Scoring System'!$B$15)+ (R660*'Scoring System'!$B$16)</f>
        <v>2</v>
      </c>
      <c r="AB660" s="72" t="b">
        <f>IFERROR(match(C660,'Match Day Fees'!$B$2:$B$999,0),0)=0</f>
        <v>0</v>
      </c>
      <c r="AC660" s="73">
        <f t="shared" si="1"/>
        <v>0</v>
      </c>
      <c r="AD660" s="3" t="str">
        <f>VLOOKUP(D660,'Position Lookup'!A:B,1,FALSE)</f>
        <v>MID</v>
      </c>
    </row>
    <row r="661" ht="17.25" customHeight="1">
      <c r="A661" s="32">
        <v>45199.0</v>
      </c>
      <c r="B661" s="5" t="s">
        <v>309</v>
      </c>
      <c r="C661" s="3" t="s">
        <v>136</v>
      </c>
      <c r="D661" s="3" t="s">
        <v>10</v>
      </c>
      <c r="E661" s="5">
        <v>4.0</v>
      </c>
      <c r="F661" s="3" t="s">
        <v>660</v>
      </c>
      <c r="G661" s="3" t="s">
        <v>230</v>
      </c>
      <c r="J661" s="5">
        <v>2.0</v>
      </c>
      <c r="N661" s="3" t="b">
        <v>0</v>
      </c>
      <c r="R661" s="3">
        <v>0.0</v>
      </c>
      <c r="S661" s="3" t="b">
        <v>1</v>
      </c>
      <c r="T661" s="3">
        <v>0.0</v>
      </c>
      <c r="U661" s="3">
        <v>7.0</v>
      </c>
      <c r="V661" s="3" t="s">
        <v>670</v>
      </c>
      <c r="W661" s="74" t="s">
        <v>448</v>
      </c>
      <c r="X661" s="77" t="s">
        <v>662</v>
      </c>
      <c r="Y661" s="3">
        <v>0.0</v>
      </c>
      <c r="Z661" s="3">
        <v>2.0</v>
      </c>
      <c r="AA661" s="2">
        <f>2+ (P661*'Scoring System'!$B$3)+ (IF(OR(D661="DEF",D661="GK"),N661*'Scoring System'!$B$4,IF(D661="MID",N661*'Scoring System'!$B$5,0)))+ (IF(OR(D661="DEF",D661="GK"),H661*'Scoring System'!$B$6,IF(D661="MID",H661*'Scoring System'!$B$7,IF(D661="ATT",H661*'Scoring System'!$B$8,0))))+ IF(AND(OR(D661="GK",D661="DEF"),J661&gt;=3),1*'Scoring System'!$B$9,0)+ (I661*'Scoring System'!$B$10)+ (K661*'Scoring System'!$B$11)+ (M661*'Scoring System'!$B$12)+ (L661*'Scoring System'!$B$13)+ (O661*'Scoring System'!$B$14)+ (Q661*'Scoring System'!$B$15)+ (R661*'Scoring System'!$B$16)</f>
        <v>2</v>
      </c>
      <c r="AB661" s="72" t="b">
        <f>IFERROR(match(C661,'Match Day Fees'!$B$2:$B$999,0),0)=0</f>
        <v>0</v>
      </c>
      <c r="AC661" s="73">
        <f t="shared" si="1"/>
        <v>0</v>
      </c>
      <c r="AD661" s="3" t="str">
        <f>VLOOKUP(D661,'Position Lookup'!A:B,1,FALSE)</f>
        <v>MID</v>
      </c>
    </row>
    <row r="662" ht="17.25" customHeight="1">
      <c r="A662" s="32">
        <v>45199.0</v>
      </c>
      <c r="B662" s="5" t="s">
        <v>309</v>
      </c>
      <c r="C662" s="3" t="s">
        <v>86</v>
      </c>
      <c r="D662" s="3" t="s">
        <v>9</v>
      </c>
      <c r="E662" s="5">
        <v>4.0</v>
      </c>
      <c r="F662" s="3" t="s">
        <v>660</v>
      </c>
      <c r="G662" s="3" t="s">
        <v>230</v>
      </c>
      <c r="J662" s="5">
        <v>2.0</v>
      </c>
      <c r="N662" s="3" t="b">
        <v>0</v>
      </c>
      <c r="R662" s="3">
        <v>0.0</v>
      </c>
      <c r="T662" s="3">
        <v>10.0</v>
      </c>
      <c r="U662" s="3">
        <v>7.5</v>
      </c>
      <c r="V662" s="3" t="s">
        <v>671</v>
      </c>
      <c r="W662" s="74" t="s">
        <v>448</v>
      </c>
      <c r="X662" s="77" t="s">
        <v>662</v>
      </c>
      <c r="Y662" s="3">
        <v>0.0</v>
      </c>
      <c r="Z662" s="3">
        <v>2.0</v>
      </c>
      <c r="AA662" s="2">
        <f>2+ (P662*'Scoring System'!$B$3)+ (IF(OR(D662="DEF",D662="GK"),N662*'Scoring System'!$B$4,IF(D662="MID",N662*'Scoring System'!$B$5,0)))+ (IF(OR(D662="DEF",D662="GK"),H662*'Scoring System'!$B$6,IF(D662="MID",H662*'Scoring System'!$B$7,IF(D662="ATT",H662*'Scoring System'!$B$8,0))))+ IF(AND(OR(D662="GK",D662="DEF"),J662&gt;=3),1*'Scoring System'!$B$9,0)+ (I662*'Scoring System'!$B$10)+ (K662*'Scoring System'!$B$11)+ (M662*'Scoring System'!$B$12)+ (L662*'Scoring System'!$B$13)+ (O662*'Scoring System'!$B$14)+ (Q662*'Scoring System'!$B$15)+ (R662*'Scoring System'!$B$16)</f>
        <v>2</v>
      </c>
      <c r="AB662" s="72" t="b">
        <f>IFERROR(match(C662,'Match Day Fees'!$B$2:$B$999,0),0)=0</f>
        <v>0</v>
      </c>
      <c r="AC662" s="73">
        <f t="shared" si="1"/>
        <v>0</v>
      </c>
      <c r="AD662" s="3" t="str">
        <f>VLOOKUP(D662,'Position Lookup'!A:B,1,FALSE)</f>
        <v>ATT</v>
      </c>
    </row>
    <row r="663" ht="17.25" customHeight="1">
      <c r="A663" s="32">
        <v>45199.0</v>
      </c>
      <c r="B663" s="5" t="s">
        <v>309</v>
      </c>
      <c r="C663" s="3" t="s">
        <v>105</v>
      </c>
      <c r="D663" s="3" t="s">
        <v>9</v>
      </c>
      <c r="E663" s="5">
        <v>4.0</v>
      </c>
      <c r="F663" s="3" t="s">
        <v>660</v>
      </c>
      <c r="G663" s="3" t="s">
        <v>230</v>
      </c>
      <c r="J663" s="5">
        <v>2.0</v>
      </c>
      <c r="N663" s="3" t="b">
        <v>0</v>
      </c>
      <c r="R663" s="3">
        <v>0.0</v>
      </c>
      <c r="T663" s="3">
        <v>5.0</v>
      </c>
      <c r="U663" s="3">
        <v>5.0</v>
      </c>
      <c r="V663" s="3" t="s">
        <v>672</v>
      </c>
      <c r="W663" s="74" t="s">
        <v>448</v>
      </c>
      <c r="X663" s="77" t="s">
        <v>662</v>
      </c>
      <c r="Y663" s="3">
        <v>0.0</v>
      </c>
      <c r="Z663" s="3">
        <v>2.0</v>
      </c>
      <c r="AA663" s="2">
        <f>2+ (P663*'Scoring System'!$B$3)+ (IF(OR(D663="DEF",D663="GK"),N663*'Scoring System'!$B$4,IF(D663="MID",N663*'Scoring System'!$B$5,0)))+ (IF(OR(D663="DEF",D663="GK"),H663*'Scoring System'!$B$6,IF(D663="MID",H663*'Scoring System'!$B$7,IF(D663="ATT",H663*'Scoring System'!$B$8,0))))+ IF(AND(OR(D663="GK",D663="DEF"),J663&gt;=3),1*'Scoring System'!$B$9,0)+ (I663*'Scoring System'!$B$10)+ (K663*'Scoring System'!$B$11)+ (M663*'Scoring System'!$B$12)+ (L663*'Scoring System'!$B$13)+ (O663*'Scoring System'!$B$14)+ (Q663*'Scoring System'!$B$15)+ (R663*'Scoring System'!$B$16)</f>
        <v>2</v>
      </c>
      <c r="AB663" s="72" t="b">
        <f>IFERROR(match(C663,'Match Day Fees'!$B$2:$B$999,0),0)=0</f>
        <v>0</v>
      </c>
      <c r="AC663" s="73">
        <f t="shared" si="1"/>
        <v>0</v>
      </c>
      <c r="AD663" s="3" t="str">
        <f>VLOOKUP(D663,'Position Lookup'!A:B,1,FALSE)</f>
        <v>ATT</v>
      </c>
    </row>
    <row r="664" ht="17.25" customHeight="1">
      <c r="A664" s="32">
        <v>45199.0</v>
      </c>
      <c r="B664" s="5" t="s">
        <v>309</v>
      </c>
      <c r="C664" s="3" t="s">
        <v>116</v>
      </c>
      <c r="D664" s="3" t="s">
        <v>11</v>
      </c>
      <c r="E664" s="5">
        <v>4.0</v>
      </c>
      <c r="F664" s="3" t="s">
        <v>660</v>
      </c>
      <c r="G664" s="3" t="s">
        <v>230</v>
      </c>
      <c r="J664" s="5">
        <v>2.0</v>
      </c>
      <c r="N664" s="3" t="b">
        <v>0</v>
      </c>
      <c r="R664" s="3">
        <v>0.0</v>
      </c>
      <c r="T664" s="3">
        <v>10.0</v>
      </c>
      <c r="U664" s="3">
        <v>6.5</v>
      </c>
      <c r="V664" s="3" t="s">
        <v>673</v>
      </c>
      <c r="W664" s="74" t="s">
        <v>448</v>
      </c>
      <c r="X664" s="77" t="s">
        <v>662</v>
      </c>
      <c r="Y664" s="3">
        <v>0.0</v>
      </c>
      <c r="Z664" s="3">
        <v>2.0</v>
      </c>
      <c r="AA664" s="2">
        <f>2+ (P664*'Scoring System'!$B$3)+ (IF(OR(D664="DEF",D664="GK"),N664*'Scoring System'!$B$4,IF(D664="MID",N664*'Scoring System'!$B$5,0)))+ (IF(OR(D664="DEF",D664="GK"),H664*'Scoring System'!$B$6,IF(D664="MID",H664*'Scoring System'!$B$7,IF(D664="ATT",H664*'Scoring System'!$B$8,0))))+ IF(AND(OR(D664="GK",D664="DEF"),J664&gt;=3),1*'Scoring System'!$B$9,0)+ (I664*'Scoring System'!$B$10)+ (K664*'Scoring System'!$B$11)+ (M664*'Scoring System'!$B$12)+ (L664*'Scoring System'!$B$13)+ (O664*'Scoring System'!$B$14)+ (Q664*'Scoring System'!$B$15)+ (R664*'Scoring System'!$B$16)</f>
        <v>2</v>
      </c>
      <c r="AB664" s="72" t="b">
        <f>IFERROR(match(C664,'Match Day Fees'!$B$2:$B$999,0),0)=0</f>
        <v>0</v>
      </c>
      <c r="AC664" s="73">
        <f t="shared" si="1"/>
        <v>0</v>
      </c>
      <c r="AD664" s="3" t="str">
        <f>VLOOKUP(D664,'Position Lookup'!A:B,1,FALSE)</f>
        <v>DEF</v>
      </c>
    </row>
    <row r="665" ht="17.25" customHeight="1">
      <c r="A665" s="32">
        <v>45199.0</v>
      </c>
      <c r="B665" s="5" t="s">
        <v>309</v>
      </c>
      <c r="C665" s="3" t="s">
        <v>227</v>
      </c>
      <c r="D665" s="3" t="s">
        <v>9</v>
      </c>
      <c r="E665" s="5">
        <v>4.0</v>
      </c>
      <c r="F665" s="3" t="s">
        <v>660</v>
      </c>
      <c r="G665" s="3" t="s">
        <v>230</v>
      </c>
      <c r="J665" s="5">
        <v>2.0</v>
      </c>
      <c r="N665" s="3" t="b">
        <v>0</v>
      </c>
      <c r="R665" s="3">
        <v>0.0</v>
      </c>
      <c r="T665" s="3">
        <v>10.0</v>
      </c>
      <c r="U665" s="3">
        <v>6.0</v>
      </c>
      <c r="V665" s="3" t="s">
        <v>674</v>
      </c>
      <c r="W665" s="74" t="s">
        <v>448</v>
      </c>
      <c r="X665" s="77" t="s">
        <v>662</v>
      </c>
      <c r="Y665" s="3">
        <v>0.0</v>
      </c>
      <c r="Z665" s="3">
        <v>2.0</v>
      </c>
      <c r="AA665" s="2">
        <f>2+ (P665*'Scoring System'!$B$3)+ (IF(OR(D665="DEF",D665="GK"),N665*'Scoring System'!$B$4,IF(D665="MID",N665*'Scoring System'!$B$5,0)))+ (IF(OR(D665="DEF",D665="GK"),H665*'Scoring System'!$B$6,IF(D665="MID",H665*'Scoring System'!$B$7,IF(D665="ATT",H665*'Scoring System'!$B$8,0))))+ IF(AND(OR(D665="GK",D665="DEF"),J665&gt;=3),1*'Scoring System'!$B$9,0)+ (I665*'Scoring System'!$B$10)+ (K665*'Scoring System'!$B$11)+ (M665*'Scoring System'!$B$12)+ (L665*'Scoring System'!$B$13)+ (O665*'Scoring System'!$B$14)+ (Q665*'Scoring System'!$B$15)+ (R665*'Scoring System'!$B$16)</f>
        <v>2</v>
      </c>
      <c r="AB665" s="72" t="b">
        <f>IFERROR(match(C665,'Match Day Fees'!$B$2:$B$999,0),0)=0</f>
        <v>0</v>
      </c>
      <c r="AC665" s="73">
        <f t="shared" si="1"/>
        <v>0</v>
      </c>
      <c r="AD665" s="3" t="str">
        <f>VLOOKUP(D665,'Position Lookup'!A:B,1,FALSE)</f>
        <v>ATT</v>
      </c>
    </row>
    <row r="666" ht="17.25" customHeight="1">
      <c r="A666" s="32">
        <v>45199.0</v>
      </c>
      <c r="B666" s="5" t="s">
        <v>309</v>
      </c>
      <c r="C666" s="3" t="s">
        <v>71</v>
      </c>
      <c r="D666" s="3" t="s">
        <v>9</v>
      </c>
      <c r="E666" s="5">
        <v>4.0</v>
      </c>
      <c r="F666" s="3" t="s">
        <v>660</v>
      </c>
      <c r="G666" s="3" t="s">
        <v>230</v>
      </c>
      <c r="J666" s="5">
        <v>2.0</v>
      </c>
      <c r="N666" s="3" t="b">
        <v>0</v>
      </c>
      <c r="R666" s="3">
        <v>0.0</v>
      </c>
      <c r="T666" s="3">
        <v>5.0</v>
      </c>
      <c r="U666" s="3">
        <v>5.5</v>
      </c>
      <c r="V666" s="3" t="s">
        <v>675</v>
      </c>
      <c r="W666" s="74" t="s">
        <v>448</v>
      </c>
      <c r="X666" s="77" t="s">
        <v>662</v>
      </c>
      <c r="Y666" s="3">
        <v>0.0</v>
      </c>
      <c r="Z666" s="3">
        <v>2.0</v>
      </c>
      <c r="AA666" s="2">
        <f>2+ (P666*'Scoring System'!$B$3)+ (IF(OR(D666="DEF",D666="GK"),N666*'Scoring System'!$B$4,IF(D666="MID",N666*'Scoring System'!$B$5,0)))+ (IF(OR(D666="DEF",D666="GK"),H666*'Scoring System'!$B$6,IF(D666="MID",H666*'Scoring System'!$B$7,IF(D666="ATT",H666*'Scoring System'!$B$8,0))))+ IF(AND(OR(D666="GK",D666="DEF"),J666&gt;=3),1*'Scoring System'!$B$9,0)+ (I666*'Scoring System'!$B$10)+ (K666*'Scoring System'!$B$11)+ (M666*'Scoring System'!$B$12)+ (L666*'Scoring System'!$B$13)+ (O666*'Scoring System'!$B$14)+ (Q666*'Scoring System'!$B$15)+ (R666*'Scoring System'!$B$16)</f>
        <v>2</v>
      </c>
      <c r="AB666" s="72" t="b">
        <f>IFERROR(match(C666,'Match Day Fees'!$B$2:$B$999,0),0)=0</f>
        <v>0</v>
      </c>
      <c r="AC666" s="73">
        <f t="shared" si="1"/>
        <v>0</v>
      </c>
      <c r="AD666" s="3" t="str">
        <f>VLOOKUP(D666,'Position Lookup'!A:B,1,FALSE)</f>
        <v>ATT</v>
      </c>
    </row>
    <row r="667" ht="17.25" customHeight="1">
      <c r="A667" s="32">
        <v>45199.0</v>
      </c>
      <c r="B667" s="5" t="s">
        <v>222</v>
      </c>
      <c r="C667" s="3" t="s">
        <v>129</v>
      </c>
      <c r="E667" s="5" t="s">
        <v>157</v>
      </c>
      <c r="G667" s="3" t="s">
        <v>242</v>
      </c>
      <c r="J667" s="5"/>
      <c r="M667" s="3">
        <v>0.0</v>
      </c>
      <c r="N667" s="3" t="b">
        <v>1</v>
      </c>
      <c r="O667" s="3">
        <v>0.0</v>
      </c>
      <c r="R667" s="3">
        <v>0.0</v>
      </c>
      <c r="T667" s="3">
        <v>0.0</v>
      </c>
      <c r="W667" s="74"/>
      <c r="X667" s="77"/>
      <c r="AA667" s="2">
        <f>2+ (P667*'Scoring System'!$B$3)+ (IF(OR(D667="DEF",D667="GK"),N667*'Scoring System'!$B$4,IF(D667="MID",N667*'Scoring System'!$B$5,0)))+ (IF(OR(D667="DEF",D667="GK"),H667*'Scoring System'!$B$6,IF(D667="MID",H667*'Scoring System'!$B$7,IF(D667="ATT",H667*'Scoring System'!$B$8,0))))+ IF(AND(OR(D667="GK",D667="DEF"),J667&gt;=3),1*'Scoring System'!$B$9,0)+ (I667*'Scoring System'!$B$10)+ (K667*'Scoring System'!$B$11)+ (M667*'Scoring System'!$B$12)+ (L667*'Scoring System'!$B$13)+ (O667*'Scoring System'!$B$14)+ (Q667*'Scoring System'!$B$15)+ (R667*'Scoring System'!$B$16)</f>
        <v>2</v>
      </c>
      <c r="AB667" s="72" t="b">
        <f>IFERROR(match(C667,'Match Day Fees'!$B$2:$B$999,0),0)=0</f>
        <v>0</v>
      </c>
      <c r="AC667" s="73">
        <f t="shared" si="1"/>
        <v>0</v>
      </c>
      <c r="AD667" s="3" t="str">
        <f>VLOOKUP(D667,'Position Lookup'!A:B,1,FALSE)</f>
        <v>#N/A</v>
      </c>
    </row>
    <row r="668" ht="17.25" customHeight="1">
      <c r="A668" s="32">
        <v>45199.0</v>
      </c>
      <c r="B668" s="5" t="s">
        <v>222</v>
      </c>
      <c r="C668" s="3" t="s">
        <v>676</v>
      </c>
      <c r="E668" s="5" t="s">
        <v>157</v>
      </c>
      <c r="G668" s="3" t="s">
        <v>242</v>
      </c>
      <c r="J668" s="5"/>
      <c r="M668" s="3">
        <v>0.0</v>
      </c>
      <c r="N668" s="3" t="b">
        <v>1</v>
      </c>
      <c r="O668" s="3">
        <v>0.0</v>
      </c>
      <c r="R668" s="3">
        <v>0.0</v>
      </c>
      <c r="T668" s="3">
        <v>0.0</v>
      </c>
      <c r="W668" s="74"/>
      <c r="X668" s="77"/>
      <c r="AA668" s="2">
        <f>2+ (P668*'Scoring System'!$B$3)+ (IF(OR(D668="DEF",D668="GK"),N668*'Scoring System'!$B$4,IF(D668="MID",N668*'Scoring System'!$B$5,0)))+ (IF(OR(D668="DEF",D668="GK"),H668*'Scoring System'!$B$6,IF(D668="MID",H668*'Scoring System'!$B$7,IF(D668="ATT",H668*'Scoring System'!$B$8,0))))+ IF(AND(OR(D668="GK",D668="DEF"),J668&gt;=3),1*'Scoring System'!$B$9,0)+ (I668*'Scoring System'!$B$10)+ (K668*'Scoring System'!$B$11)+ (M668*'Scoring System'!$B$12)+ (L668*'Scoring System'!$B$13)+ (O668*'Scoring System'!$B$14)+ (Q668*'Scoring System'!$B$15)+ (R668*'Scoring System'!$B$16)</f>
        <v>2</v>
      </c>
      <c r="AB668" s="72" t="b">
        <f>IFERROR(match(C668,'Match Day Fees'!$B$2:$B$999,0),0)=0</f>
        <v>0</v>
      </c>
      <c r="AC668" s="73">
        <f t="shared" si="1"/>
        <v>0</v>
      </c>
      <c r="AD668" s="3" t="str">
        <f>VLOOKUP(D668,'Position Lookup'!A:B,1,FALSE)</f>
        <v>#N/A</v>
      </c>
    </row>
    <row r="669" ht="17.25" customHeight="1">
      <c r="A669" s="32">
        <v>45199.0</v>
      </c>
      <c r="B669" s="5" t="s">
        <v>222</v>
      </c>
      <c r="C669" s="3" t="s">
        <v>294</v>
      </c>
      <c r="E669" s="5" t="s">
        <v>157</v>
      </c>
      <c r="G669" s="3" t="s">
        <v>242</v>
      </c>
      <c r="J669" s="5"/>
      <c r="M669" s="3">
        <v>0.0</v>
      </c>
      <c r="N669" s="3" t="b">
        <v>1</v>
      </c>
      <c r="O669" s="3">
        <v>0.0</v>
      </c>
      <c r="R669" s="3">
        <v>0.0</v>
      </c>
      <c r="T669" s="3">
        <v>10.0</v>
      </c>
      <c r="W669" s="74"/>
      <c r="X669" s="77"/>
      <c r="AA669" s="2">
        <f>2+ (P669*'Scoring System'!$B$3)+ (IF(OR(D669="DEF",D669="GK"),N669*'Scoring System'!$B$4,IF(D669="MID",N669*'Scoring System'!$B$5,0)))+ (IF(OR(D669="DEF",D669="GK"),H669*'Scoring System'!$B$6,IF(D669="MID",H669*'Scoring System'!$B$7,IF(D669="ATT",H669*'Scoring System'!$B$8,0))))+ IF(AND(OR(D669="GK",D669="DEF"),J669&gt;=3),1*'Scoring System'!$B$9,0)+ (I669*'Scoring System'!$B$10)+ (K669*'Scoring System'!$B$11)+ (M669*'Scoring System'!$B$12)+ (L669*'Scoring System'!$B$13)+ (O669*'Scoring System'!$B$14)+ (Q669*'Scoring System'!$B$15)+ (R669*'Scoring System'!$B$16)</f>
        <v>2</v>
      </c>
      <c r="AB669" s="72" t="b">
        <f>IFERROR(match(C669,'Match Day Fees'!$B$2:$B$999,0),0)=0</f>
        <v>0</v>
      </c>
      <c r="AC669" s="73">
        <f t="shared" si="1"/>
        <v>0</v>
      </c>
      <c r="AD669" s="3" t="str">
        <f>VLOOKUP(D669,'Position Lookup'!A:B,1,FALSE)</f>
        <v>#N/A</v>
      </c>
    </row>
    <row r="670" ht="17.25" customHeight="1">
      <c r="A670" s="32">
        <v>45199.0</v>
      </c>
      <c r="B670" s="5" t="s">
        <v>222</v>
      </c>
      <c r="C670" s="3" t="s">
        <v>290</v>
      </c>
      <c r="E670" s="5" t="s">
        <v>157</v>
      </c>
      <c r="G670" s="3" t="s">
        <v>242</v>
      </c>
      <c r="J670" s="5"/>
      <c r="M670" s="3">
        <v>0.0</v>
      </c>
      <c r="N670" s="3" t="b">
        <v>1</v>
      </c>
      <c r="O670" s="3">
        <v>0.0</v>
      </c>
      <c r="R670" s="3">
        <v>0.0</v>
      </c>
      <c r="T670" s="3">
        <v>10.0</v>
      </c>
      <c r="W670" s="74"/>
      <c r="X670" s="77"/>
      <c r="AA670" s="2">
        <f>2+ (P670*'Scoring System'!$B$3)+ (IF(OR(D670="DEF",D670="GK"),N670*'Scoring System'!$B$4,IF(D670="MID",N670*'Scoring System'!$B$5,0)))+ (IF(OR(D670="DEF",D670="GK"),H670*'Scoring System'!$B$6,IF(D670="MID",H670*'Scoring System'!$B$7,IF(D670="ATT",H670*'Scoring System'!$B$8,0))))+ IF(AND(OR(D670="GK",D670="DEF"),J670&gt;=3),1*'Scoring System'!$B$9,0)+ (I670*'Scoring System'!$B$10)+ (K670*'Scoring System'!$B$11)+ (M670*'Scoring System'!$B$12)+ (L670*'Scoring System'!$B$13)+ (O670*'Scoring System'!$B$14)+ (Q670*'Scoring System'!$B$15)+ (R670*'Scoring System'!$B$16)</f>
        <v>2</v>
      </c>
      <c r="AB670" s="72" t="b">
        <f>IFERROR(match(C670,'Match Day Fees'!$B$2:$B$999,0),0)=0</f>
        <v>0</v>
      </c>
      <c r="AC670" s="73">
        <f t="shared" si="1"/>
        <v>0</v>
      </c>
      <c r="AD670" s="3" t="str">
        <f>VLOOKUP(D670,'Position Lookup'!A:B,1,FALSE)</f>
        <v>#N/A</v>
      </c>
    </row>
    <row r="671" ht="17.25" customHeight="1">
      <c r="A671" s="32">
        <v>45199.0</v>
      </c>
      <c r="B671" s="5" t="s">
        <v>222</v>
      </c>
      <c r="C671" s="3" t="s">
        <v>307</v>
      </c>
      <c r="E671" s="5" t="s">
        <v>157</v>
      </c>
      <c r="G671" s="3" t="s">
        <v>242</v>
      </c>
      <c r="J671" s="5"/>
      <c r="M671" s="3">
        <v>0.0</v>
      </c>
      <c r="N671" s="3" t="b">
        <v>1</v>
      </c>
      <c r="O671" s="3">
        <v>0.0</v>
      </c>
      <c r="R671" s="3">
        <v>0.0</v>
      </c>
      <c r="T671" s="3">
        <v>10.0</v>
      </c>
      <c r="W671" s="74"/>
      <c r="X671" s="77"/>
      <c r="AA671" s="2">
        <f>2+ (P671*'Scoring System'!$B$3)+ (IF(OR(D671="DEF",D671="GK"),N671*'Scoring System'!$B$4,IF(D671="MID",N671*'Scoring System'!$B$5,0)))+ (IF(OR(D671="DEF",D671="GK"),H671*'Scoring System'!$B$6,IF(D671="MID",H671*'Scoring System'!$B$7,IF(D671="ATT",H671*'Scoring System'!$B$8,0))))+ IF(AND(OR(D671="GK",D671="DEF"),J671&gt;=3),1*'Scoring System'!$B$9,0)+ (I671*'Scoring System'!$B$10)+ (K671*'Scoring System'!$B$11)+ (M671*'Scoring System'!$B$12)+ (L671*'Scoring System'!$B$13)+ (O671*'Scoring System'!$B$14)+ (Q671*'Scoring System'!$B$15)+ (R671*'Scoring System'!$B$16)</f>
        <v>2</v>
      </c>
      <c r="AB671" s="72" t="b">
        <f>IFERROR(match(C671,'Match Day Fees'!$B$2:$B$999,0),0)=0</f>
        <v>0</v>
      </c>
      <c r="AC671" s="73">
        <f t="shared" si="1"/>
        <v>0</v>
      </c>
      <c r="AD671" s="3" t="str">
        <f>VLOOKUP(D671,'Position Lookup'!A:B,1,FALSE)</f>
        <v>#N/A</v>
      </c>
    </row>
    <row r="672" ht="17.25" customHeight="1">
      <c r="A672" s="32">
        <v>45199.0</v>
      </c>
      <c r="B672" s="5" t="s">
        <v>222</v>
      </c>
      <c r="C672" s="3" t="s">
        <v>677</v>
      </c>
      <c r="E672" s="5" t="s">
        <v>157</v>
      </c>
      <c r="G672" s="3" t="s">
        <v>242</v>
      </c>
      <c r="J672" s="5"/>
      <c r="M672" s="3">
        <v>0.0</v>
      </c>
      <c r="N672" s="3" t="b">
        <v>1</v>
      </c>
      <c r="O672" s="3">
        <v>0.0</v>
      </c>
      <c r="R672" s="3">
        <v>0.0</v>
      </c>
      <c r="T672" s="3">
        <v>5.0</v>
      </c>
      <c r="W672" s="74"/>
      <c r="X672" s="77"/>
      <c r="AA672" s="2">
        <f>2+ (P672*'Scoring System'!$B$3)+ (IF(OR(D672="DEF",D672="GK"),N672*'Scoring System'!$B$4,IF(D672="MID",N672*'Scoring System'!$B$5,0)))+ (IF(OR(D672="DEF",D672="GK"),H672*'Scoring System'!$B$6,IF(D672="MID",H672*'Scoring System'!$B$7,IF(D672="ATT",H672*'Scoring System'!$B$8,0))))+ IF(AND(OR(D672="GK",D672="DEF"),J672&gt;=3),1*'Scoring System'!$B$9,0)+ (I672*'Scoring System'!$B$10)+ (K672*'Scoring System'!$B$11)+ (M672*'Scoring System'!$B$12)+ (L672*'Scoring System'!$B$13)+ (O672*'Scoring System'!$B$14)+ (Q672*'Scoring System'!$B$15)+ (R672*'Scoring System'!$B$16)</f>
        <v>2</v>
      </c>
      <c r="AB672" s="72" t="b">
        <f>IFERROR(match(C672,'Match Day Fees'!$B$2:$B$999,0),0)=0</f>
        <v>0</v>
      </c>
      <c r="AC672" s="73">
        <f t="shared" si="1"/>
        <v>0</v>
      </c>
      <c r="AD672" s="3" t="str">
        <f>VLOOKUP(D672,'Position Lookup'!A:B,1,FALSE)</f>
        <v>#N/A</v>
      </c>
    </row>
    <row r="673" ht="17.25" customHeight="1">
      <c r="A673" s="32">
        <v>45199.0</v>
      </c>
      <c r="B673" s="5" t="s">
        <v>222</v>
      </c>
      <c r="C673" s="3" t="s">
        <v>391</v>
      </c>
      <c r="E673" s="5" t="s">
        <v>157</v>
      </c>
      <c r="G673" s="3" t="s">
        <v>242</v>
      </c>
      <c r="J673" s="5"/>
      <c r="M673" s="3">
        <v>0.0</v>
      </c>
      <c r="N673" s="3" t="b">
        <v>1</v>
      </c>
      <c r="O673" s="3">
        <v>0.0</v>
      </c>
      <c r="R673" s="3">
        <v>0.0</v>
      </c>
      <c r="T673" s="3">
        <v>10.0</v>
      </c>
      <c r="W673" s="74"/>
      <c r="X673" s="77"/>
      <c r="AA673" s="2">
        <f>2+ (P673*'Scoring System'!$B$3)+ (IF(OR(D673="DEF",D673="GK"),N673*'Scoring System'!$B$4,IF(D673="MID",N673*'Scoring System'!$B$5,0)))+ (IF(OR(D673="DEF",D673="GK"),H673*'Scoring System'!$B$6,IF(D673="MID",H673*'Scoring System'!$B$7,IF(D673="ATT",H673*'Scoring System'!$B$8,0))))+ IF(AND(OR(D673="GK",D673="DEF"),J673&gt;=3),1*'Scoring System'!$B$9,0)+ (I673*'Scoring System'!$B$10)+ (K673*'Scoring System'!$B$11)+ (M673*'Scoring System'!$B$12)+ (L673*'Scoring System'!$B$13)+ (O673*'Scoring System'!$B$14)+ (Q673*'Scoring System'!$B$15)+ (R673*'Scoring System'!$B$16)</f>
        <v>2</v>
      </c>
      <c r="AB673" s="72" t="b">
        <f>IFERROR(match(C673,'Match Day Fees'!$B$2:$B$999,0),0)=0</f>
        <v>0</v>
      </c>
      <c r="AC673" s="73">
        <f t="shared" si="1"/>
        <v>0</v>
      </c>
      <c r="AD673" s="3" t="str">
        <f>VLOOKUP(D673,'Position Lookup'!A:B,1,FALSE)</f>
        <v>#N/A</v>
      </c>
    </row>
    <row r="674" ht="17.25" customHeight="1">
      <c r="A674" s="32">
        <v>45199.0</v>
      </c>
      <c r="B674" s="5" t="s">
        <v>222</v>
      </c>
      <c r="C674" s="3" t="s">
        <v>146</v>
      </c>
      <c r="E674" s="5" t="s">
        <v>157</v>
      </c>
      <c r="G674" s="3" t="s">
        <v>242</v>
      </c>
      <c r="J674" s="5"/>
      <c r="M674" s="3">
        <v>0.0</v>
      </c>
      <c r="N674" s="3" t="b">
        <v>1</v>
      </c>
      <c r="O674" s="3">
        <v>0.0</v>
      </c>
      <c r="R674" s="3">
        <v>0.0</v>
      </c>
      <c r="T674" s="3">
        <v>10.0</v>
      </c>
      <c r="W674" s="74"/>
      <c r="X674" s="77"/>
      <c r="AA674" s="2">
        <f>2+ (P674*'Scoring System'!$B$3)+ (IF(OR(D674="DEF",D674="GK"),N674*'Scoring System'!$B$4,IF(D674="MID",N674*'Scoring System'!$B$5,0)))+ (IF(OR(D674="DEF",D674="GK"),H674*'Scoring System'!$B$6,IF(D674="MID",H674*'Scoring System'!$B$7,IF(D674="ATT",H674*'Scoring System'!$B$8,0))))+ IF(AND(OR(D674="GK",D674="DEF"),J674&gt;=3),1*'Scoring System'!$B$9,0)+ (I674*'Scoring System'!$B$10)+ (K674*'Scoring System'!$B$11)+ (M674*'Scoring System'!$B$12)+ (L674*'Scoring System'!$B$13)+ (O674*'Scoring System'!$B$14)+ (Q674*'Scoring System'!$B$15)+ (R674*'Scoring System'!$B$16)</f>
        <v>2</v>
      </c>
      <c r="AB674" s="72" t="b">
        <f>IFERROR(match(C674,'Match Day Fees'!$B$2:$B$999,0),0)=0</f>
        <v>0</v>
      </c>
      <c r="AC674" s="73">
        <f t="shared" si="1"/>
        <v>0</v>
      </c>
      <c r="AD674" s="3" t="str">
        <f>VLOOKUP(D674,'Position Lookup'!A:B,1,FALSE)</f>
        <v>#N/A</v>
      </c>
    </row>
    <row r="675" ht="17.25" customHeight="1">
      <c r="A675" s="32">
        <v>45199.0</v>
      </c>
      <c r="B675" s="5" t="s">
        <v>222</v>
      </c>
      <c r="C675" s="5" t="s">
        <v>678</v>
      </c>
      <c r="E675" s="5" t="s">
        <v>157</v>
      </c>
      <c r="G675" s="3" t="s">
        <v>242</v>
      </c>
      <c r="J675" s="5"/>
      <c r="M675" s="3">
        <v>0.0</v>
      </c>
      <c r="N675" s="3" t="b">
        <v>1</v>
      </c>
      <c r="O675" s="3">
        <v>0.0</v>
      </c>
      <c r="R675" s="3">
        <v>0.0</v>
      </c>
      <c r="T675" s="3">
        <v>10.0</v>
      </c>
      <c r="W675" s="74"/>
      <c r="X675" s="77"/>
      <c r="AA675" s="2">
        <f>2+ (P675*'Scoring System'!$B$3)+ (IF(OR(D675="DEF",D675="GK"),N675*'Scoring System'!$B$4,IF(D675="MID",N675*'Scoring System'!$B$5,0)))+ (IF(OR(D675="DEF",D675="GK"),H675*'Scoring System'!$B$6,IF(D675="MID",H675*'Scoring System'!$B$7,IF(D675="ATT",H675*'Scoring System'!$B$8,0))))+ IF(AND(OR(D675="GK",D675="DEF"),J675&gt;=3),1*'Scoring System'!$B$9,0)+ (I675*'Scoring System'!$B$10)+ (K675*'Scoring System'!$B$11)+ (M675*'Scoring System'!$B$12)+ (L675*'Scoring System'!$B$13)+ (O675*'Scoring System'!$B$14)+ (Q675*'Scoring System'!$B$15)+ (R675*'Scoring System'!$B$16)</f>
        <v>2</v>
      </c>
      <c r="AB675" s="72" t="b">
        <f>IFERROR(match(C675,'Match Day Fees'!$B$2:$B$999,0),0)=0</f>
        <v>0</v>
      </c>
      <c r="AC675" s="73">
        <f t="shared" si="1"/>
        <v>0</v>
      </c>
      <c r="AD675" s="3" t="str">
        <f>VLOOKUP(D675,'Position Lookup'!A:B,1,FALSE)</f>
        <v>#N/A</v>
      </c>
    </row>
    <row r="676" ht="17.25" customHeight="1">
      <c r="A676" s="32">
        <v>45199.0</v>
      </c>
      <c r="B676" s="5" t="s">
        <v>222</v>
      </c>
      <c r="C676" s="3" t="s">
        <v>55</v>
      </c>
      <c r="E676" s="5" t="s">
        <v>157</v>
      </c>
      <c r="G676" s="3" t="s">
        <v>242</v>
      </c>
      <c r="J676" s="5"/>
      <c r="M676" s="3">
        <v>0.0</v>
      </c>
      <c r="N676" s="3" t="b">
        <v>1</v>
      </c>
      <c r="O676" s="3">
        <v>0.0</v>
      </c>
      <c r="R676" s="3">
        <v>0.0</v>
      </c>
      <c r="T676" s="3">
        <v>10.0</v>
      </c>
      <c r="W676" s="74"/>
      <c r="X676" s="77"/>
      <c r="AA676" s="2">
        <f>2+ (P676*'Scoring System'!$B$3)+ (IF(OR(D676="DEF",D676="GK"),N676*'Scoring System'!$B$4,IF(D676="MID",N676*'Scoring System'!$B$5,0)))+ (IF(OR(D676="DEF",D676="GK"),H676*'Scoring System'!$B$6,IF(D676="MID",H676*'Scoring System'!$B$7,IF(D676="ATT",H676*'Scoring System'!$B$8,0))))+ IF(AND(OR(D676="GK",D676="DEF"),J676&gt;=3),1*'Scoring System'!$B$9,0)+ (I676*'Scoring System'!$B$10)+ (K676*'Scoring System'!$B$11)+ (M676*'Scoring System'!$B$12)+ (L676*'Scoring System'!$B$13)+ (O676*'Scoring System'!$B$14)+ (Q676*'Scoring System'!$B$15)+ (R676*'Scoring System'!$B$16)</f>
        <v>2</v>
      </c>
      <c r="AB676" s="72" t="b">
        <f>IFERROR(match(C676,'Match Day Fees'!$B$2:$B$999,0),0)=0</f>
        <v>0</v>
      </c>
      <c r="AC676" s="73">
        <f t="shared" si="1"/>
        <v>0</v>
      </c>
      <c r="AD676" s="3" t="str">
        <f>VLOOKUP(D676,'Position Lookup'!A:B,1,FALSE)</f>
        <v>#N/A</v>
      </c>
    </row>
    <row r="677" ht="17.25" customHeight="1">
      <c r="A677" s="32">
        <v>45199.0</v>
      </c>
      <c r="B677" s="5" t="s">
        <v>222</v>
      </c>
      <c r="C677" s="3" t="s">
        <v>138</v>
      </c>
      <c r="E677" s="5" t="s">
        <v>157</v>
      </c>
      <c r="G677" s="3" t="s">
        <v>242</v>
      </c>
      <c r="J677" s="5"/>
      <c r="M677" s="3">
        <v>0.0</v>
      </c>
      <c r="N677" s="3" t="b">
        <v>1</v>
      </c>
      <c r="O677" s="3">
        <v>0.0</v>
      </c>
      <c r="R677" s="3">
        <v>0.0</v>
      </c>
      <c r="T677" s="3">
        <v>10.0</v>
      </c>
      <c r="W677" s="74"/>
      <c r="X677" s="77"/>
      <c r="AA677" s="2">
        <f>2+ (P677*'Scoring System'!$B$3)+ (IF(OR(D677="DEF",D677="GK"),N677*'Scoring System'!$B$4,IF(D677="MID",N677*'Scoring System'!$B$5,0)))+ (IF(OR(D677="DEF",D677="GK"),H677*'Scoring System'!$B$6,IF(D677="MID",H677*'Scoring System'!$B$7,IF(D677="ATT",H677*'Scoring System'!$B$8,0))))+ IF(AND(OR(D677="GK",D677="DEF"),J677&gt;=3),1*'Scoring System'!$B$9,0)+ (I677*'Scoring System'!$B$10)+ (K677*'Scoring System'!$B$11)+ (M677*'Scoring System'!$B$12)+ (L677*'Scoring System'!$B$13)+ (O677*'Scoring System'!$B$14)+ (Q677*'Scoring System'!$B$15)+ (R677*'Scoring System'!$B$16)</f>
        <v>2</v>
      </c>
      <c r="AB677" s="72" t="b">
        <f>IFERROR(match(C677,'Match Day Fees'!$B$2:$B$999,0),0)=0</f>
        <v>0</v>
      </c>
      <c r="AC677" s="73">
        <f t="shared" si="1"/>
        <v>0</v>
      </c>
      <c r="AD677" s="3" t="str">
        <f>VLOOKUP(D677,'Position Lookup'!A:B,1,FALSE)</f>
        <v>#N/A</v>
      </c>
    </row>
    <row r="678" ht="17.25" customHeight="1">
      <c r="A678" s="32">
        <v>45199.0</v>
      </c>
      <c r="B678" s="5" t="s">
        <v>222</v>
      </c>
      <c r="C678" s="3" t="s">
        <v>679</v>
      </c>
      <c r="E678" s="5" t="s">
        <v>157</v>
      </c>
      <c r="G678" s="3" t="s">
        <v>242</v>
      </c>
      <c r="J678" s="5"/>
      <c r="M678" s="3">
        <v>0.0</v>
      </c>
      <c r="N678" s="3" t="b">
        <v>1</v>
      </c>
      <c r="O678" s="3">
        <v>0.0</v>
      </c>
      <c r="R678" s="3">
        <v>0.0</v>
      </c>
      <c r="T678" s="3">
        <v>10.0</v>
      </c>
      <c r="W678" s="74"/>
      <c r="X678" s="77"/>
      <c r="AA678" s="2">
        <f>2+ (P678*'Scoring System'!$B$3)+ (IF(OR(D678="DEF",D678="GK"),N678*'Scoring System'!$B$4,IF(D678="MID",N678*'Scoring System'!$B$5,0)))+ (IF(OR(D678="DEF",D678="GK"),H678*'Scoring System'!$B$6,IF(D678="MID",H678*'Scoring System'!$B$7,IF(D678="ATT",H678*'Scoring System'!$B$8,0))))+ IF(AND(OR(D678="GK",D678="DEF"),J678&gt;=3),1*'Scoring System'!$B$9,0)+ (I678*'Scoring System'!$B$10)+ (K678*'Scoring System'!$B$11)+ (M678*'Scoring System'!$B$12)+ (L678*'Scoring System'!$B$13)+ (O678*'Scoring System'!$B$14)+ (Q678*'Scoring System'!$B$15)+ (R678*'Scoring System'!$B$16)</f>
        <v>2</v>
      </c>
      <c r="AB678" s="72" t="b">
        <f>IFERROR(match(C678,'Match Day Fees'!$B$2:$B$999,0),0)=0</f>
        <v>0</v>
      </c>
      <c r="AC678" s="73">
        <f t="shared" si="1"/>
        <v>0</v>
      </c>
      <c r="AD678" s="3" t="str">
        <f>VLOOKUP(D678,'Position Lookup'!A:B,1,FALSE)</f>
        <v>#N/A</v>
      </c>
    </row>
    <row r="679" ht="17.25" customHeight="1">
      <c r="A679" s="32">
        <v>45199.0</v>
      </c>
      <c r="B679" s="5" t="s">
        <v>222</v>
      </c>
      <c r="C679" s="3" t="s">
        <v>304</v>
      </c>
      <c r="E679" s="5" t="s">
        <v>157</v>
      </c>
      <c r="G679" s="3" t="s">
        <v>242</v>
      </c>
      <c r="J679" s="5"/>
      <c r="M679" s="3">
        <v>0.0</v>
      </c>
      <c r="N679" s="3" t="b">
        <v>1</v>
      </c>
      <c r="O679" s="3">
        <v>0.0</v>
      </c>
      <c r="R679" s="3">
        <v>0.0</v>
      </c>
      <c r="T679" s="3">
        <v>10.0</v>
      </c>
      <c r="W679" s="74"/>
      <c r="X679" s="77"/>
      <c r="AA679" s="2">
        <f>2+ (P679*'Scoring System'!$B$3)+ (IF(OR(D679="DEF",D679="GK"),N679*'Scoring System'!$B$4,IF(D679="MID",N679*'Scoring System'!$B$5,0)))+ (IF(OR(D679="DEF",D679="GK"),H679*'Scoring System'!$B$6,IF(D679="MID",H679*'Scoring System'!$B$7,IF(D679="ATT",H679*'Scoring System'!$B$8,0))))+ IF(AND(OR(D679="GK",D679="DEF"),J679&gt;=3),1*'Scoring System'!$B$9,0)+ (I679*'Scoring System'!$B$10)+ (K679*'Scoring System'!$B$11)+ (M679*'Scoring System'!$B$12)+ (L679*'Scoring System'!$B$13)+ (O679*'Scoring System'!$B$14)+ (Q679*'Scoring System'!$B$15)+ (R679*'Scoring System'!$B$16)</f>
        <v>2</v>
      </c>
      <c r="AB679" s="72" t="b">
        <f>IFERROR(match(C679,'Match Day Fees'!$B$2:$B$999,0),0)=0</f>
        <v>0</v>
      </c>
      <c r="AC679" s="73">
        <f t="shared" si="1"/>
        <v>0</v>
      </c>
      <c r="AD679" s="3" t="str">
        <f>VLOOKUP(D679,'Position Lookup'!A:B,1,FALSE)</f>
        <v>#N/A</v>
      </c>
    </row>
    <row r="680" ht="17.25" customHeight="1">
      <c r="A680" s="31">
        <v>45206.0</v>
      </c>
      <c r="B680" s="5" t="s">
        <v>309</v>
      </c>
      <c r="C680" s="5" t="s">
        <v>53</v>
      </c>
      <c r="D680" s="5" t="s">
        <v>8</v>
      </c>
      <c r="E680" s="5">
        <v>1.0</v>
      </c>
      <c r="F680" s="5" t="s">
        <v>680</v>
      </c>
      <c r="G680" s="5" t="s">
        <v>230</v>
      </c>
      <c r="J680" s="5">
        <v>3.0</v>
      </c>
      <c r="N680" s="5" t="b">
        <v>0</v>
      </c>
      <c r="P680" s="5">
        <v>1.0</v>
      </c>
      <c r="R680" s="5">
        <v>0.0</v>
      </c>
      <c r="T680" s="5">
        <v>10.0</v>
      </c>
      <c r="U680" s="5">
        <v>8.0</v>
      </c>
      <c r="V680" s="5" t="s">
        <v>681</v>
      </c>
      <c r="W680" s="81" t="s">
        <v>311</v>
      </c>
      <c r="X680" s="78" t="s">
        <v>682</v>
      </c>
      <c r="Y680" s="5">
        <v>1.0</v>
      </c>
      <c r="Z680" s="5">
        <v>3.0</v>
      </c>
      <c r="AA680" s="2">
        <f>2+ (P680*'Scoring System'!$B$3)+ (IF(OR(D680="DEF",D680="GK"),N680*'Scoring System'!$B$4,IF(D680="MID",N680*'Scoring System'!$B$5,0)))+ (IF(OR(D680="DEF",D680="GK"),H680*'Scoring System'!$B$6,IF(D680="MID",H680*'Scoring System'!$B$7,IF(D680="ATT",H680*'Scoring System'!$B$8,0))))+ IF(AND(OR(D680="GK",D680="DEF"),J680&gt;=3),1*'Scoring System'!$B$9,0)+ (I680*'Scoring System'!$B$10)+ (K680*'Scoring System'!$B$11)+ (M680*'Scoring System'!$B$12)+ (L680*'Scoring System'!$B$13)+ (O680*'Scoring System'!$B$14)+ (Q680*'Scoring System'!$B$15)+ (R680*'Scoring System'!$B$16)</f>
        <v>6</v>
      </c>
      <c r="AB680" s="3" t="b">
        <f>IFERROR(match(C680,'Match Day Fees'!$B$2:$B$999,0),0)=0</f>
        <v>0</v>
      </c>
      <c r="AC680" s="3">
        <f t="shared" ref="AC680:AC2095" si="2">IF(max(A:A)=A680,1,0)</f>
        <v>0</v>
      </c>
      <c r="AD680" s="3" t="str">
        <f>VLOOKUP(D680,'Position Lookup'!A:B,1,FALSE)</f>
        <v>GK</v>
      </c>
    </row>
    <row r="681" ht="17.25" customHeight="1">
      <c r="A681" s="31">
        <v>45206.0</v>
      </c>
      <c r="B681" s="5" t="s">
        <v>309</v>
      </c>
      <c r="C681" s="5" t="s">
        <v>68</v>
      </c>
      <c r="D681" s="5" t="s">
        <v>11</v>
      </c>
      <c r="E681" s="5">
        <v>1.0</v>
      </c>
      <c r="F681" s="5" t="s">
        <v>680</v>
      </c>
      <c r="G681" s="5" t="s">
        <v>230</v>
      </c>
      <c r="J681" s="5">
        <v>3.0</v>
      </c>
      <c r="N681" s="5" t="b">
        <v>0</v>
      </c>
      <c r="R681" s="5">
        <v>0.0</v>
      </c>
      <c r="T681" s="5">
        <v>10.0</v>
      </c>
      <c r="U681" s="5">
        <v>7.5</v>
      </c>
      <c r="V681" s="5" t="s">
        <v>683</v>
      </c>
      <c r="W681" s="81" t="s">
        <v>311</v>
      </c>
      <c r="X681" s="78" t="s">
        <v>682</v>
      </c>
      <c r="Y681" s="5">
        <v>1.0</v>
      </c>
      <c r="Z681" s="5">
        <v>3.0</v>
      </c>
      <c r="AA681" s="2">
        <f>2+ (P681*'Scoring System'!$B$3)+ (IF(OR(D681="DEF",D681="GK"),N681*'Scoring System'!$B$4,IF(D681="MID",N681*'Scoring System'!$B$5,0)))+ (IF(OR(D681="DEF",D681="GK"),H681*'Scoring System'!$B$6,IF(D681="MID",H681*'Scoring System'!$B$7,IF(D681="ATT",H681*'Scoring System'!$B$8,0))))+ IF(AND(OR(D681="GK",D681="DEF"),J681&gt;=3),1*'Scoring System'!$B$9,0)+ (I681*'Scoring System'!$B$10)+ (K681*'Scoring System'!$B$11)+ (M681*'Scoring System'!$B$12)+ (L681*'Scoring System'!$B$13)+ (O681*'Scoring System'!$B$14)+ (Q681*'Scoring System'!$B$15)+ (R681*'Scoring System'!$B$16)</f>
        <v>1</v>
      </c>
      <c r="AB681" s="3" t="b">
        <f>IFERROR(match(C681,'Match Day Fees'!$B$2:$B$999,0),0)=0</f>
        <v>0</v>
      </c>
      <c r="AC681" s="3">
        <f t="shared" si="2"/>
        <v>0</v>
      </c>
      <c r="AD681" s="3" t="str">
        <f>VLOOKUP(D681,'Position Lookup'!A:B,1,FALSE)</f>
        <v>DEF</v>
      </c>
    </row>
    <row r="682" ht="17.25" customHeight="1">
      <c r="A682" s="31">
        <v>45206.0</v>
      </c>
      <c r="B682" s="5" t="s">
        <v>309</v>
      </c>
      <c r="C682" s="5" t="s">
        <v>69</v>
      </c>
      <c r="D682" s="5" t="s">
        <v>11</v>
      </c>
      <c r="E682" s="5">
        <v>1.0</v>
      </c>
      <c r="F682" s="5" t="s">
        <v>680</v>
      </c>
      <c r="G682" s="5" t="s">
        <v>230</v>
      </c>
      <c r="J682" s="5">
        <v>3.0</v>
      </c>
      <c r="K682" s="5">
        <v>1.0</v>
      </c>
      <c r="N682" s="5" t="b">
        <v>0</v>
      </c>
      <c r="R682" s="5">
        <v>0.0</v>
      </c>
      <c r="T682" s="5">
        <v>5.0</v>
      </c>
      <c r="U682" s="5">
        <v>5.0</v>
      </c>
      <c r="V682" s="5" t="s">
        <v>684</v>
      </c>
      <c r="W682" s="81" t="s">
        <v>311</v>
      </c>
      <c r="X682" s="78" t="s">
        <v>682</v>
      </c>
      <c r="Y682" s="5">
        <v>1.0</v>
      </c>
      <c r="Z682" s="5">
        <v>3.0</v>
      </c>
      <c r="AA682" s="2">
        <f>2+ (P682*'Scoring System'!$B$3)+ (IF(OR(D682="DEF",D682="GK"),N682*'Scoring System'!$B$4,IF(D682="MID",N682*'Scoring System'!$B$5,0)))+ (IF(OR(D682="DEF",D682="GK"),H682*'Scoring System'!$B$6,IF(D682="MID",H682*'Scoring System'!$B$7,IF(D682="ATT",H682*'Scoring System'!$B$8,0))))+ IF(AND(OR(D682="GK",D682="DEF"),J682&gt;=3),1*'Scoring System'!$B$9,0)+ (I682*'Scoring System'!$B$10)+ (K682*'Scoring System'!$B$11)+ (M682*'Scoring System'!$B$12)+ (L682*'Scoring System'!$B$13)+ (O682*'Scoring System'!$B$14)+ (Q682*'Scoring System'!$B$15)+ (R682*'Scoring System'!$B$16)</f>
        <v>0</v>
      </c>
      <c r="AB682" s="3" t="b">
        <f>IFERROR(match(C682,'Match Day Fees'!$B$2:$B$999,0),0)=0</f>
        <v>0</v>
      </c>
      <c r="AC682" s="3">
        <f t="shared" si="2"/>
        <v>0</v>
      </c>
      <c r="AD682" s="3" t="str">
        <f>VLOOKUP(D682,'Position Lookup'!A:B,1,FALSE)</f>
        <v>DEF</v>
      </c>
    </row>
    <row r="683" ht="17.25" customHeight="1">
      <c r="A683" s="31">
        <v>45206.0</v>
      </c>
      <c r="B683" s="5" t="s">
        <v>309</v>
      </c>
      <c r="C683" s="5" t="s">
        <v>76</v>
      </c>
      <c r="D683" s="5" t="s">
        <v>11</v>
      </c>
      <c r="E683" s="5">
        <v>1.0</v>
      </c>
      <c r="F683" s="5" t="s">
        <v>680</v>
      </c>
      <c r="G683" s="5" t="s">
        <v>230</v>
      </c>
      <c r="J683" s="5">
        <v>3.0</v>
      </c>
      <c r="N683" s="5" t="b">
        <v>0</v>
      </c>
      <c r="R683" s="5">
        <v>0.0</v>
      </c>
      <c r="T683" s="5">
        <v>10.0</v>
      </c>
      <c r="U683" s="5">
        <v>9.0</v>
      </c>
      <c r="V683" s="5" t="s">
        <v>685</v>
      </c>
      <c r="W683" s="81" t="s">
        <v>311</v>
      </c>
      <c r="X683" s="78" t="s">
        <v>682</v>
      </c>
      <c r="Y683" s="5">
        <v>1.0</v>
      </c>
      <c r="Z683" s="5">
        <v>3.0</v>
      </c>
      <c r="AA683" s="2">
        <f>2+ (P683*'Scoring System'!$B$3)+ (IF(OR(D683="DEF",D683="GK"),N683*'Scoring System'!$B$4,IF(D683="MID",N683*'Scoring System'!$B$5,0)))+ (IF(OR(D683="DEF",D683="GK"),H683*'Scoring System'!$B$6,IF(D683="MID",H683*'Scoring System'!$B$7,IF(D683="ATT",H683*'Scoring System'!$B$8,0))))+ IF(AND(OR(D683="GK",D683="DEF"),J683&gt;=3),1*'Scoring System'!$B$9,0)+ (I683*'Scoring System'!$B$10)+ (K683*'Scoring System'!$B$11)+ (M683*'Scoring System'!$B$12)+ (L683*'Scoring System'!$B$13)+ (O683*'Scoring System'!$B$14)+ (Q683*'Scoring System'!$B$15)+ (R683*'Scoring System'!$B$16)</f>
        <v>1</v>
      </c>
      <c r="AB683" s="3" t="b">
        <f>IFERROR(match(C683,'Match Day Fees'!$B$2:$B$999,0),0)=0</f>
        <v>0</v>
      </c>
      <c r="AC683" s="3">
        <f t="shared" si="2"/>
        <v>0</v>
      </c>
      <c r="AD683" s="3" t="str">
        <f>VLOOKUP(D683,'Position Lookup'!A:B,1,FALSE)</f>
        <v>DEF</v>
      </c>
    </row>
    <row r="684" ht="17.25" customHeight="1">
      <c r="A684" s="31">
        <v>45206.0</v>
      </c>
      <c r="B684" s="5" t="s">
        <v>309</v>
      </c>
      <c r="C684" s="5" t="s">
        <v>77</v>
      </c>
      <c r="D684" s="5" t="s">
        <v>11</v>
      </c>
      <c r="E684" s="5">
        <v>1.0</v>
      </c>
      <c r="F684" s="5" t="s">
        <v>680</v>
      </c>
      <c r="G684" s="5" t="s">
        <v>230</v>
      </c>
      <c r="J684" s="5">
        <v>3.0</v>
      </c>
      <c r="K684" s="5">
        <v>1.0</v>
      </c>
      <c r="N684" s="5" t="b">
        <v>0</v>
      </c>
      <c r="R684" s="5">
        <v>0.0</v>
      </c>
      <c r="T684" s="5">
        <v>10.0</v>
      </c>
      <c r="U684" s="5">
        <v>7.0</v>
      </c>
      <c r="V684" s="5" t="s">
        <v>686</v>
      </c>
      <c r="W684" s="81" t="s">
        <v>311</v>
      </c>
      <c r="X684" s="78" t="s">
        <v>682</v>
      </c>
      <c r="Y684" s="5">
        <v>1.0</v>
      </c>
      <c r="Z684" s="5">
        <v>3.0</v>
      </c>
      <c r="AA684" s="2">
        <f>2+ (P684*'Scoring System'!$B$3)+ (IF(OR(D684="DEF",D684="GK"),N684*'Scoring System'!$B$4,IF(D684="MID",N684*'Scoring System'!$B$5,0)))+ (IF(OR(D684="DEF",D684="GK"),H684*'Scoring System'!$B$6,IF(D684="MID",H684*'Scoring System'!$B$7,IF(D684="ATT",H684*'Scoring System'!$B$8,0))))+ IF(AND(OR(D684="GK",D684="DEF"),J684&gt;=3),1*'Scoring System'!$B$9,0)+ (I684*'Scoring System'!$B$10)+ (K684*'Scoring System'!$B$11)+ (M684*'Scoring System'!$B$12)+ (L684*'Scoring System'!$B$13)+ (O684*'Scoring System'!$B$14)+ (Q684*'Scoring System'!$B$15)+ (R684*'Scoring System'!$B$16)</f>
        <v>0</v>
      </c>
      <c r="AB684" s="3" t="b">
        <f>IFERROR(match(C684,'Match Day Fees'!$B$2:$B$999,0),0)=0</f>
        <v>0</v>
      </c>
      <c r="AC684" s="3">
        <f t="shared" si="2"/>
        <v>0</v>
      </c>
      <c r="AD684" s="3" t="str">
        <f>VLOOKUP(D684,'Position Lookup'!A:B,1,FALSE)</f>
        <v>DEF</v>
      </c>
    </row>
    <row r="685" ht="17.25" customHeight="1">
      <c r="A685" s="31">
        <v>45206.0</v>
      </c>
      <c r="B685" s="5" t="s">
        <v>309</v>
      </c>
      <c r="C685" s="5" t="s">
        <v>107</v>
      </c>
      <c r="D685" s="5" t="s">
        <v>11</v>
      </c>
      <c r="E685" s="5">
        <v>1.0</v>
      </c>
      <c r="F685" s="5" t="s">
        <v>680</v>
      </c>
      <c r="G685" s="5" t="s">
        <v>230</v>
      </c>
      <c r="J685" s="5">
        <v>3.0</v>
      </c>
      <c r="N685" s="5" t="b">
        <v>0</v>
      </c>
      <c r="R685" s="5">
        <v>0.0</v>
      </c>
      <c r="T685" s="5">
        <v>10.0</v>
      </c>
      <c r="U685" s="5">
        <v>8.0</v>
      </c>
      <c r="V685" s="5" t="s">
        <v>687</v>
      </c>
      <c r="W685" s="81" t="s">
        <v>311</v>
      </c>
      <c r="X685" s="78" t="s">
        <v>682</v>
      </c>
      <c r="Y685" s="5">
        <v>1.0</v>
      </c>
      <c r="Z685" s="5">
        <v>3.0</v>
      </c>
      <c r="AA685" s="2">
        <f>2+ (P685*'Scoring System'!$B$3)+ (IF(OR(D685="DEF",D685="GK"),N685*'Scoring System'!$B$4,IF(D685="MID",N685*'Scoring System'!$B$5,0)))+ (IF(OR(D685="DEF",D685="GK"),H685*'Scoring System'!$B$6,IF(D685="MID",H685*'Scoring System'!$B$7,IF(D685="ATT",H685*'Scoring System'!$B$8,0))))+ IF(AND(OR(D685="GK",D685="DEF"),J685&gt;=3),1*'Scoring System'!$B$9,0)+ (I685*'Scoring System'!$B$10)+ (K685*'Scoring System'!$B$11)+ (M685*'Scoring System'!$B$12)+ (L685*'Scoring System'!$B$13)+ (O685*'Scoring System'!$B$14)+ (Q685*'Scoring System'!$B$15)+ (R685*'Scoring System'!$B$16)</f>
        <v>1</v>
      </c>
      <c r="AB685" s="3" t="b">
        <f>IFERROR(match(C685,'Match Day Fees'!$B$2:$B$999,0),0)=0</f>
        <v>0</v>
      </c>
      <c r="AC685" s="3">
        <f t="shared" si="2"/>
        <v>0</v>
      </c>
      <c r="AD685" s="3" t="str">
        <f>VLOOKUP(D685,'Position Lookup'!A:B,1,FALSE)</f>
        <v>DEF</v>
      </c>
    </row>
    <row r="686" ht="17.25" customHeight="1">
      <c r="A686" s="31">
        <v>45206.0</v>
      </c>
      <c r="B686" s="5" t="s">
        <v>309</v>
      </c>
      <c r="C686" s="5" t="s">
        <v>67</v>
      </c>
      <c r="D686" s="5" t="s">
        <v>10</v>
      </c>
      <c r="E686" s="5">
        <v>1.0</v>
      </c>
      <c r="F686" s="5" t="s">
        <v>680</v>
      </c>
      <c r="G686" s="5" t="s">
        <v>230</v>
      </c>
      <c r="I686" s="5">
        <v>1.0</v>
      </c>
      <c r="J686" s="5">
        <v>3.0</v>
      </c>
      <c r="N686" s="5" t="b">
        <v>0</v>
      </c>
      <c r="R686" s="5">
        <v>0.0</v>
      </c>
      <c r="T686" s="5">
        <v>10.0</v>
      </c>
      <c r="U686" s="5">
        <v>8.0</v>
      </c>
      <c r="V686" s="5" t="s">
        <v>688</v>
      </c>
      <c r="W686" s="81" t="s">
        <v>311</v>
      </c>
      <c r="X686" s="78" t="s">
        <v>682</v>
      </c>
      <c r="Y686" s="5">
        <v>1.0</v>
      </c>
      <c r="Z686" s="5">
        <v>3.0</v>
      </c>
      <c r="AA686" s="2">
        <f>2+ (P686*'Scoring System'!$B$3)+ (IF(OR(D686="DEF",D686="GK"),N686*'Scoring System'!$B$4,IF(D686="MID",N686*'Scoring System'!$B$5,0)))+ (IF(OR(D686="DEF",D686="GK"),H686*'Scoring System'!$B$6,IF(D686="MID",H686*'Scoring System'!$B$7,IF(D686="ATT",H686*'Scoring System'!$B$8,0))))+ IF(AND(OR(D686="GK",D686="DEF"),J686&gt;=3),1*'Scoring System'!$B$9,0)+ (I686*'Scoring System'!$B$10)+ (K686*'Scoring System'!$B$11)+ (M686*'Scoring System'!$B$12)+ (L686*'Scoring System'!$B$13)+ (O686*'Scoring System'!$B$14)+ (Q686*'Scoring System'!$B$15)+ (R686*'Scoring System'!$B$16)</f>
        <v>5</v>
      </c>
      <c r="AB686" s="3" t="b">
        <f>IFERROR(match(C686,'Match Day Fees'!$B$2:$B$999,0),0)=0</f>
        <v>0</v>
      </c>
      <c r="AC686" s="3">
        <f t="shared" si="2"/>
        <v>0</v>
      </c>
      <c r="AD686" s="3" t="str">
        <f>VLOOKUP(D686,'Position Lookup'!A:B,1,FALSE)</f>
        <v>MID</v>
      </c>
    </row>
    <row r="687" ht="17.25" customHeight="1">
      <c r="A687" s="31">
        <v>45206.0</v>
      </c>
      <c r="B687" s="5" t="s">
        <v>309</v>
      </c>
      <c r="C687" s="5" t="s">
        <v>272</v>
      </c>
      <c r="D687" s="5" t="s">
        <v>10</v>
      </c>
      <c r="E687" s="5">
        <v>1.0</v>
      </c>
      <c r="F687" s="5" t="s">
        <v>680</v>
      </c>
      <c r="G687" s="5" t="s">
        <v>230</v>
      </c>
      <c r="J687" s="5">
        <v>3.0</v>
      </c>
      <c r="N687" s="5" t="b">
        <v>0</v>
      </c>
      <c r="R687" s="5">
        <v>0.0</v>
      </c>
      <c r="T687" s="5">
        <v>7.0</v>
      </c>
      <c r="U687" s="5">
        <v>7.0</v>
      </c>
      <c r="V687" s="5" t="s">
        <v>689</v>
      </c>
      <c r="W687" s="81" t="s">
        <v>311</v>
      </c>
      <c r="X687" s="78" t="s">
        <v>682</v>
      </c>
      <c r="Y687" s="5">
        <v>1.0</v>
      </c>
      <c r="Z687" s="5">
        <v>3.0</v>
      </c>
      <c r="AA687" s="2">
        <f>2+ (P687*'Scoring System'!$B$3)+ (IF(OR(D687="DEF",D687="GK"),N687*'Scoring System'!$B$4,IF(D687="MID",N687*'Scoring System'!$B$5,0)))+ (IF(OR(D687="DEF",D687="GK"),H687*'Scoring System'!$B$6,IF(D687="MID",H687*'Scoring System'!$B$7,IF(D687="ATT",H687*'Scoring System'!$B$8,0))))+ IF(AND(OR(D687="GK",D687="DEF"),J687&gt;=3),1*'Scoring System'!$B$9,0)+ (I687*'Scoring System'!$B$10)+ (K687*'Scoring System'!$B$11)+ (M687*'Scoring System'!$B$12)+ (L687*'Scoring System'!$B$13)+ (O687*'Scoring System'!$B$14)+ (Q687*'Scoring System'!$B$15)+ (R687*'Scoring System'!$B$16)</f>
        <v>2</v>
      </c>
      <c r="AB687" s="3" t="b">
        <f>IFERROR(match(C687,'Match Day Fees'!$B$2:$B$999,0),0)=0</f>
        <v>0</v>
      </c>
      <c r="AC687" s="3">
        <f t="shared" si="2"/>
        <v>0</v>
      </c>
      <c r="AD687" s="3" t="str">
        <f>VLOOKUP(D687,'Position Lookup'!A:B,1,FALSE)</f>
        <v>MID</v>
      </c>
    </row>
    <row r="688" ht="17.25" customHeight="1">
      <c r="A688" s="31">
        <v>45206.0</v>
      </c>
      <c r="B688" s="5" t="s">
        <v>309</v>
      </c>
      <c r="C688" s="5" t="s">
        <v>60</v>
      </c>
      <c r="D688" s="5" t="s">
        <v>10</v>
      </c>
      <c r="E688" s="5">
        <v>1.0</v>
      </c>
      <c r="F688" s="5" t="s">
        <v>680</v>
      </c>
      <c r="G688" s="5" t="s">
        <v>230</v>
      </c>
      <c r="J688" s="5">
        <v>3.0</v>
      </c>
      <c r="L688" s="5" t="b">
        <v>1</v>
      </c>
      <c r="N688" s="5" t="b">
        <v>0</v>
      </c>
      <c r="R688" s="5">
        <v>0.0</v>
      </c>
      <c r="T688" s="5">
        <v>7.0</v>
      </c>
      <c r="U688" s="5">
        <v>7.0</v>
      </c>
      <c r="V688" s="5" t="s">
        <v>690</v>
      </c>
      <c r="W688" s="81" t="s">
        <v>311</v>
      </c>
      <c r="X688" s="78" t="s">
        <v>682</v>
      </c>
      <c r="Y688" s="5">
        <v>1.0</v>
      </c>
      <c r="Z688" s="5">
        <v>3.0</v>
      </c>
      <c r="AA688" s="2">
        <f>2+ (P688*'Scoring System'!$B$3)+ (IF(OR(D688="DEF",D688="GK"),N688*'Scoring System'!$B$4,IF(D688="MID",N688*'Scoring System'!$B$5,0)))+ (IF(OR(D688="DEF",D688="GK"),H688*'Scoring System'!$B$6,IF(D688="MID",H688*'Scoring System'!$B$7,IF(D688="ATT",H688*'Scoring System'!$B$8,0))))+ IF(AND(OR(D688="GK",D688="DEF"),J688&gt;=3),1*'Scoring System'!$B$9,0)+ (I688*'Scoring System'!$B$10)+ (K688*'Scoring System'!$B$11)+ (M688*'Scoring System'!$B$12)+ (L688*'Scoring System'!$B$13)+ (O688*'Scoring System'!$B$14)+ (Q688*'Scoring System'!$B$15)+ (R688*'Scoring System'!$B$16)</f>
        <v>0</v>
      </c>
      <c r="AB688" s="3" t="b">
        <f>IFERROR(match(C688,'Match Day Fees'!$B$2:$B$999,0),0)=0</f>
        <v>0</v>
      </c>
      <c r="AC688" s="3">
        <f t="shared" si="2"/>
        <v>0</v>
      </c>
      <c r="AD688" s="3" t="str">
        <f>VLOOKUP(D688,'Position Lookup'!A:B,1,FALSE)</f>
        <v>MID</v>
      </c>
    </row>
    <row r="689" ht="17.25" customHeight="1">
      <c r="A689" s="31">
        <v>45206.0</v>
      </c>
      <c r="B689" s="5" t="s">
        <v>309</v>
      </c>
      <c r="C689" s="5" t="s">
        <v>47</v>
      </c>
      <c r="D689" s="5" t="s">
        <v>9</v>
      </c>
      <c r="E689" s="5">
        <v>1.0</v>
      </c>
      <c r="F689" s="5" t="s">
        <v>680</v>
      </c>
      <c r="G689" s="5" t="s">
        <v>230</v>
      </c>
      <c r="H689" s="5">
        <v>1.0</v>
      </c>
      <c r="J689" s="5">
        <v>3.0</v>
      </c>
      <c r="K689" s="5">
        <v>1.0</v>
      </c>
      <c r="N689" s="5" t="b">
        <v>0</v>
      </c>
      <c r="R689" s="5">
        <v>0.0</v>
      </c>
      <c r="S689" s="5" t="b">
        <v>1</v>
      </c>
      <c r="T689" s="5">
        <v>0.0</v>
      </c>
      <c r="U689" s="5">
        <v>7.0</v>
      </c>
      <c r="V689" s="5" t="s">
        <v>691</v>
      </c>
      <c r="W689" s="81" t="s">
        <v>311</v>
      </c>
      <c r="X689" s="78" t="s">
        <v>682</v>
      </c>
      <c r="Y689" s="5">
        <v>1.0</v>
      </c>
      <c r="Z689" s="5">
        <v>3.0</v>
      </c>
      <c r="AA689" s="2">
        <f>2+ (P689*'Scoring System'!$B$3)+ (IF(OR(D689="DEF",D689="GK"),N689*'Scoring System'!$B$4,IF(D689="MID",N689*'Scoring System'!$B$5,0)))+ (IF(OR(D689="DEF",D689="GK"),H689*'Scoring System'!$B$6,IF(D689="MID",H689*'Scoring System'!$B$7,IF(D689="ATT",H689*'Scoring System'!$B$8,0))))+ IF(AND(OR(D689="GK",D689="DEF"),J689&gt;=3),1*'Scoring System'!$B$9,0)+ (I689*'Scoring System'!$B$10)+ (K689*'Scoring System'!$B$11)+ (M689*'Scoring System'!$B$12)+ (L689*'Scoring System'!$B$13)+ (O689*'Scoring System'!$B$14)+ (Q689*'Scoring System'!$B$15)+ (R689*'Scoring System'!$B$16)</f>
        <v>5</v>
      </c>
      <c r="AB689" s="3" t="b">
        <f>IFERROR(match(C689,'Match Day Fees'!$B$2:$B$999,0),0)=0</f>
        <v>0</v>
      </c>
      <c r="AC689" s="3">
        <f t="shared" si="2"/>
        <v>0</v>
      </c>
      <c r="AD689" s="3" t="str">
        <f>VLOOKUP(D689,'Position Lookup'!A:B,1,FALSE)</f>
        <v>ATT</v>
      </c>
    </row>
    <row r="690" ht="17.25" customHeight="1">
      <c r="A690" s="31">
        <v>45206.0</v>
      </c>
      <c r="B690" s="5" t="s">
        <v>309</v>
      </c>
      <c r="C690" s="5" t="s">
        <v>96</v>
      </c>
      <c r="D690" s="5" t="s">
        <v>9</v>
      </c>
      <c r="E690" s="5">
        <v>1.0</v>
      </c>
      <c r="F690" s="5" t="s">
        <v>680</v>
      </c>
      <c r="G690" s="5" t="s">
        <v>230</v>
      </c>
      <c r="J690" s="5">
        <v>3.0</v>
      </c>
      <c r="N690" s="5" t="b">
        <v>0</v>
      </c>
      <c r="R690" s="5">
        <v>0.0</v>
      </c>
      <c r="T690" s="5">
        <v>5.0</v>
      </c>
      <c r="U690" s="5">
        <v>7.5</v>
      </c>
      <c r="V690" s="5" t="s">
        <v>692</v>
      </c>
      <c r="W690" s="81" t="s">
        <v>311</v>
      </c>
      <c r="X690" s="78" t="s">
        <v>682</v>
      </c>
      <c r="Y690" s="5">
        <v>1.0</v>
      </c>
      <c r="Z690" s="5">
        <v>3.0</v>
      </c>
      <c r="AA690" s="2">
        <f>2+ (P690*'Scoring System'!$B$3)+ (IF(OR(D690="DEF",D690="GK"),N690*'Scoring System'!$B$4,IF(D690="MID",N690*'Scoring System'!$B$5,0)))+ (IF(OR(D690="DEF",D690="GK"),H690*'Scoring System'!$B$6,IF(D690="MID",H690*'Scoring System'!$B$7,IF(D690="ATT",H690*'Scoring System'!$B$8,0))))+ IF(AND(OR(D690="GK",D690="DEF"),J690&gt;=3),1*'Scoring System'!$B$9,0)+ (I690*'Scoring System'!$B$10)+ (K690*'Scoring System'!$B$11)+ (M690*'Scoring System'!$B$12)+ (L690*'Scoring System'!$B$13)+ (O690*'Scoring System'!$B$14)+ (Q690*'Scoring System'!$B$15)+ (R690*'Scoring System'!$B$16)</f>
        <v>2</v>
      </c>
      <c r="AB690" s="3" t="b">
        <f>IFERROR(match(C690,'Match Day Fees'!$B$2:$B$999,0),0)=0</f>
        <v>0</v>
      </c>
      <c r="AC690" s="3">
        <f t="shared" si="2"/>
        <v>0</v>
      </c>
      <c r="AD690" s="3" t="str">
        <f>VLOOKUP(D690,'Position Lookup'!A:B,1,FALSE)</f>
        <v>ATT</v>
      </c>
    </row>
    <row r="691" ht="17.25" customHeight="1">
      <c r="A691" s="31">
        <v>45206.0</v>
      </c>
      <c r="B691" s="5" t="s">
        <v>309</v>
      </c>
      <c r="C691" s="5" t="s">
        <v>137</v>
      </c>
      <c r="D691" s="5" t="s">
        <v>10</v>
      </c>
      <c r="E691" s="5">
        <v>1.0</v>
      </c>
      <c r="F691" s="5" t="s">
        <v>680</v>
      </c>
      <c r="G691" s="5" t="s">
        <v>230</v>
      </c>
      <c r="J691" s="5">
        <v>3.0</v>
      </c>
      <c r="N691" s="5" t="b">
        <v>0</v>
      </c>
      <c r="R691" s="5">
        <v>0.0</v>
      </c>
      <c r="T691" s="5">
        <v>5.0</v>
      </c>
      <c r="U691" s="5">
        <v>7.5</v>
      </c>
      <c r="V691" s="5" t="s">
        <v>693</v>
      </c>
      <c r="W691" s="81" t="s">
        <v>311</v>
      </c>
      <c r="X691" s="78" t="s">
        <v>682</v>
      </c>
      <c r="Y691" s="5">
        <v>1.0</v>
      </c>
      <c r="Z691" s="5">
        <v>3.0</v>
      </c>
      <c r="AA691" s="2">
        <f>2+ (P691*'Scoring System'!$B$3)+ (IF(OR(D691="DEF",D691="GK"),N691*'Scoring System'!$B$4,IF(D691="MID",N691*'Scoring System'!$B$5,0)))+ (IF(OR(D691="DEF",D691="GK"),H691*'Scoring System'!$B$6,IF(D691="MID",H691*'Scoring System'!$B$7,IF(D691="ATT",H691*'Scoring System'!$B$8,0))))+ IF(AND(OR(D691="GK",D691="DEF"),J691&gt;=3),1*'Scoring System'!$B$9,0)+ (I691*'Scoring System'!$B$10)+ (K691*'Scoring System'!$B$11)+ (M691*'Scoring System'!$B$12)+ (L691*'Scoring System'!$B$13)+ (O691*'Scoring System'!$B$14)+ (Q691*'Scoring System'!$B$15)+ (R691*'Scoring System'!$B$16)</f>
        <v>2</v>
      </c>
      <c r="AB691" s="3" t="b">
        <f>IFERROR(match(C691,'Match Day Fees'!$B$2:$B$999,0),0)=0</f>
        <v>0</v>
      </c>
      <c r="AC691" s="3">
        <f t="shared" si="2"/>
        <v>0</v>
      </c>
      <c r="AD691" s="3" t="str">
        <f>VLOOKUP(D691,'Position Lookup'!A:B,1,FALSE)</f>
        <v>MID</v>
      </c>
    </row>
    <row r="692" ht="17.25" customHeight="1">
      <c r="A692" s="31">
        <v>45206.0</v>
      </c>
      <c r="B692" s="5" t="s">
        <v>309</v>
      </c>
      <c r="C692" s="5" t="s">
        <v>57</v>
      </c>
      <c r="D692" s="5" t="s">
        <v>11</v>
      </c>
      <c r="E692" s="5">
        <v>1.0</v>
      </c>
      <c r="F692" s="5" t="s">
        <v>680</v>
      </c>
      <c r="G692" s="5" t="s">
        <v>230</v>
      </c>
      <c r="J692" s="5">
        <v>3.0</v>
      </c>
      <c r="N692" s="5" t="b">
        <v>0</v>
      </c>
      <c r="R692" s="5">
        <v>1.0</v>
      </c>
      <c r="T692" s="5">
        <v>2.5</v>
      </c>
      <c r="U692" s="5">
        <v>8.5</v>
      </c>
      <c r="V692" s="5" t="s">
        <v>694</v>
      </c>
      <c r="W692" s="81" t="s">
        <v>311</v>
      </c>
      <c r="X692" s="78" t="s">
        <v>682</v>
      </c>
      <c r="Y692" s="5">
        <v>1.0</v>
      </c>
      <c r="Z692" s="5">
        <v>3.0</v>
      </c>
      <c r="AA692" s="2">
        <f>2+ (P692*'Scoring System'!$B$3)+ (IF(OR(D692="DEF",D692="GK"),N692*'Scoring System'!$B$4,IF(D692="MID",N692*'Scoring System'!$B$5,0)))+ (IF(OR(D692="DEF",D692="GK"),H692*'Scoring System'!$B$6,IF(D692="MID",H692*'Scoring System'!$B$7,IF(D692="ATT",H692*'Scoring System'!$B$8,0))))+ IF(AND(OR(D692="GK",D692="DEF"),J692&gt;=3),1*'Scoring System'!$B$9,0)+ (I692*'Scoring System'!$B$10)+ (K692*'Scoring System'!$B$11)+ (M692*'Scoring System'!$B$12)+ (L692*'Scoring System'!$B$13)+ (O692*'Scoring System'!$B$14)+ (Q692*'Scoring System'!$B$15)+ (R692*'Scoring System'!$B$16)</f>
        <v>6</v>
      </c>
      <c r="AB692" s="3" t="b">
        <f>IFERROR(match(C692,'Match Day Fees'!$B$2:$B$999,0),0)=0</f>
        <v>0</v>
      </c>
      <c r="AC692" s="3">
        <f t="shared" si="2"/>
        <v>0</v>
      </c>
      <c r="AD692" s="3" t="str">
        <f>VLOOKUP(D692,'Position Lookup'!A:B,1,FALSE)</f>
        <v>DEF</v>
      </c>
    </row>
    <row r="693" ht="17.25" customHeight="1">
      <c r="A693" s="31">
        <v>45206.0</v>
      </c>
      <c r="B693" s="5" t="s">
        <v>309</v>
      </c>
      <c r="C693" s="5" t="s">
        <v>75</v>
      </c>
      <c r="D693" s="5" t="s">
        <v>11</v>
      </c>
      <c r="E693" s="5">
        <v>1.0</v>
      </c>
      <c r="F693" s="5" t="s">
        <v>680</v>
      </c>
      <c r="G693" s="5" t="s">
        <v>230</v>
      </c>
      <c r="J693" s="5">
        <v>3.0</v>
      </c>
      <c r="N693" s="5" t="b">
        <v>0</v>
      </c>
      <c r="R693" s="5">
        <v>0.0</v>
      </c>
      <c r="T693" s="5">
        <v>5.0</v>
      </c>
      <c r="U693" s="5">
        <v>8.0</v>
      </c>
      <c r="V693" s="5" t="s">
        <v>695</v>
      </c>
      <c r="W693" s="81" t="s">
        <v>311</v>
      </c>
      <c r="X693" s="78" t="s">
        <v>682</v>
      </c>
      <c r="Y693" s="5">
        <v>1.0</v>
      </c>
      <c r="Z693" s="5">
        <v>3.0</v>
      </c>
      <c r="AA693" s="2">
        <f>2+ (P693*'Scoring System'!$B$3)+ (IF(OR(D693="DEF",D693="GK"),N693*'Scoring System'!$B$4,IF(D693="MID",N693*'Scoring System'!$B$5,0)))+ (IF(OR(D693="DEF",D693="GK"),H693*'Scoring System'!$B$6,IF(D693="MID",H693*'Scoring System'!$B$7,IF(D693="ATT",H693*'Scoring System'!$B$8,0))))+ IF(AND(OR(D693="GK",D693="DEF"),J693&gt;=3),1*'Scoring System'!$B$9,0)+ (I693*'Scoring System'!$B$10)+ (K693*'Scoring System'!$B$11)+ (M693*'Scoring System'!$B$12)+ (L693*'Scoring System'!$B$13)+ (O693*'Scoring System'!$B$14)+ (Q693*'Scoring System'!$B$15)+ (R693*'Scoring System'!$B$16)</f>
        <v>1</v>
      </c>
      <c r="AB693" s="3" t="b">
        <f>IFERROR(match(C693,'Match Day Fees'!$B$2:$B$999,0),0)=0</f>
        <v>0</v>
      </c>
      <c r="AC693" s="3">
        <f t="shared" si="2"/>
        <v>0</v>
      </c>
      <c r="AD693" s="3" t="str">
        <f>VLOOKUP(D693,'Position Lookup'!A:B,1,FALSE)</f>
        <v>DEF</v>
      </c>
    </row>
    <row r="694" ht="17.25" customHeight="1">
      <c r="A694" s="31">
        <v>45206.0</v>
      </c>
      <c r="B694" s="5" t="s">
        <v>309</v>
      </c>
      <c r="C694" s="5" t="s">
        <v>53</v>
      </c>
      <c r="D694" s="5" t="s">
        <v>8</v>
      </c>
      <c r="E694" s="5">
        <v>2.0</v>
      </c>
      <c r="F694" s="5" t="s">
        <v>696</v>
      </c>
      <c r="G694" s="5" t="s">
        <v>224</v>
      </c>
      <c r="J694" s="5">
        <v>3.0</v>
      </c>
      <c r="N694" s="5" t="b">
        <v>0</v>
      </c>
      <c r="R694" s="5">
        <v>0.0</v>
      </c>
      <c r="T694" s="5">
        <v>0.0</v>
      </c>
      <c r="U694" s="3">
        <v>8.0</v>
      </c>
      <c r="V694" s="3" t="s">
        <v>697</v>
      </c>
      <c r="W694" s="3" t="s">
        <v>311</v>
      </c>
      <c r="X694" s="77" t="s">
        <v>698</v>
      </c>
      <c r="Y694" s="5">
        <v>4.0</v>
      </c>
      <c r="Z694" s="5">
        <v>3.0</v>
      </c>
      <c r="AA694" s="2">
        <f>2+ (P694*'Scoring System'!$B$3)+ (IF(OR(D694="DEF",D694="GK"),N694*'Scoring System'!$B$4,IF(D694="MID",N694*'Scoring System'!$B$5,0)))+ (IF(OR(D694="DEF",D694="GK"),H694*'Scoring System'!$B$6,IF(D694="MID",H694*'Scoring System'!$B$7,IF(D694="ATT",H694*'Scoring System'!$B$8,0))))+ IF(AND(OR(D694="GK",D694="DEF"),J694&gt;=3),1*'Scoring System'!$B$9,0)+ (I694*'Scoring System'!$B$10)+ (K694*'Scoring System'!$B$11)+ (M694*'Scoring System'!$B$12)+ (L694*'Scoring System'!$B$13)+ (O694*'Scoring System'!$B$14)+ (Q694*'Scoring System'!$B$15)+ (R694*'Scoring System'!$B$16)</f>
        <v>1</v>
      </c>
      <c r="AB694" s="3" t="b">
        <f>IFERROR(match(C694,'Match Day Fees'!$B$2:$B$999,0),0)=0</f>
        <v>0</v>
      </c>
      <c r="AC694" s="3">
        <f t="shared" si="2"/>
        <v>0</v>
      </c>
      <c r="AD694" s="3" t="str">
        <f>VLOOKUP(D694,'Position Lookup'!A:B,1,FALSE)</f>
        <v>GK</v>
      </c>
    </row>
    <row r="695" ht="17.25" customHeight="1">
      <c r="A695" s="31">
        <v>45206.0</v>
      </c>
      <c r="B695" s="5" t="s">
        <v>309</v>
      </c>
      <c r="C695" s="5" t="s">
        <v>40</v>
      </c>
      <c r="D695" s="5" t="s">
        <v>11</v>
      </c>
      <c r="E695" s="5">
        <v>2.0</v>
      </c>
      <c r="F695" s="5" t="s">
        <v>696</v>
      </c>
      <c r="G695" s="5" t="s">
        <v>224</v>
      </c>
      <c r="J695" s="5">
        <v>3.0</v>
      </c>
      <c r="N695" s="5" t="b">
        <v>0</v>
      </c>
      <c r="R695" s="5">
        <v>0.0</v>
      </c>
      <c r="T695" s="5">
        <v>10.0</v>
      </c>
      <c r="U695" s="3">
        <v>7.0</v>
      </c>
      <c r="V695" s="3" t="s">
        <v>699</v>
      </c>
      <c r="W695" s="3" t="s">
        <v>311</v>
      </c>
      <c r="X695" s="77" t="s">
        <v>698</v>
      </c>
      <c r="Y695" s="5">
        <v>4.0</v>
      </c>
      <c r="Z695" s="5">
        <v>3.0</v>
      </c>
      <c r="AA695" s="2">
        <f>2+ (P695*'Scoring System'!$B$3)+ (IF(OR(D695="DEF",D695="GK"),N695*'Scoring System'!$B$4,IF(D695="MID",N695*'Scoring System'!$B$5,0)))+ (IF(OR(D695="DEF",D695="GK"),H695*'Scoring System'!$B$6,IF(D695="MID",H695*'Scoring System'!$B$7,IF(D695="ATT",H695*'Scoring System'!$B$8,0))))+ IF(AND(OR(D695="GK",D695="DEF"),J695&gt;=3),1*'Scoring System'!$B$9,0)+ (I695*'Scoring System'!$B$10)+ (K695*'Scoring System'!$B$11)+ (M695*'Scoring System'!$B$12)+ (L695*'Scoring System'!$B$13)+ (O695*'Scoring System'!$B$14)+ (Q695*'Scoring System'!$B$15)+ (R695*'Scoring System'!$B$16)</f>
        <v>1</v>
      </c>
      <c r="AB695" s="3" t="b">
        <f>IFERROR(match(C695,'Match Day Fees'!$B$2:$B$999,0),0)=0</f>
        <v>0</v>
      </c>
      <c r="AC695" s="3">
        <f t="shared" si="2"/>
        <v>0</v>
      </c>
      <c r="AD695" s="3" t="str">
        <f>VLOOKUP(D695,'Position Lookup'!A:B,1,FALSE)</f>
        <v>DEF</v>
      </c>
    </row>
    <row r="696" ht="17.25" customHeight="1">
      <c r="A696" s="31">
        <v>45206.0</v>
      </c>
      <c r="B696" s="5" t="s">
        <v>309</v>
      </c>
      <c r="C696" s="5" t="s">
        <v>39</v>
      </c>
      <c r="D696" s="5" t="s">
        <v>11</v>
      </c>
      <c r="E696" s="5">
        <v>2.0</v>
      </c>
      <c r="F696" s="5" t="s">
        <v>696</v>
      </c>
      <c r="G696" s="5" t="s">
        <v>224</v>
      </c>
      <c r="J696" s="5">
        <v>3.0</v>
      </c>
      <c r="N696" s="5" t="b">
        <v>0</v>
      </c>
      <c r="R696" s="5">
        <v>0.0</v>
      </c>
      <c r="T696" s="5">
        <v>10.0</v>
      </c>
      <c r="U696" s="3">
        <v>5.5</v>
      </c>
      <c r="V696" s="3" t="s">
        <v>700</v>
      </c>
      <c r="W696" s="3" t="s">
        <v>311</v>
      </c>
      <c r="X696" s="77" t="s">
        <v>698</v>
      </c>
      <c r="Y696" s="5">
        <v>4.0</v>
      </c>
      <c r="Z696" s="5">
        <v>3.0</v>
      </c>
      <c r="AA696" s="2">
        <f>2+ (P696*'Scoring System'!$B$3)+ (IF(OR(D696="DEF",D696="GK"),N696*'Scoring System'!$B$4,IF(D696="MID",N696*'Scoring System'!$B$5,0)))+ (IF(OR(D696="DEF",D696="GK"),H696*'Scoring System'!$B$6,IF(D696="MID",H696*'Scoring System'!$B$7,IF(D696="ATT",H696*'Scoring System'!$B$8,0))))+ IF(AND(OR(D696="GK",D696="DEF"),J696&gt;=3),1*'Scoring System'!$B$9,0)+ (I696*'Scoring System'!$B$10)+ (K696*'Scoring System'!$B$11)+ (M696*'Scoring System'!$B$12)+ (L696*'Scoring System'!$B$13)+ (O696*'Scoring System'!$B$14)+ (Q696*'Scoring System'!$B$15)+ (R696*'Scoring System'!$B$16)</f>
        <v>1</v>
      </c>
      <c r="AB696" s="3" t="b">
        <f>IFERROR(match(C696,'Match Day Fees'!$B$2:$B$999,0),0)=0</f>
        <v>0</v>
      </c>
      <c r="AC696" s="3">
        <f t="shared" si="2"/>
        <v>0</v>
      </c>
      <c r="AD696" s="3" t="str">
        <f>VLOOKUP(D696,'Position Lookup'!A:B,1,FALSE)</f>
        <v>DEF</v>
      </c>
    </row>
    <row r="697" ht="17.25" customHeight="1">
      <c r="A697" s="31">
        <v>45206.0</v>
      </c>
      <c r="B697" s="5" t="s">
        <v>309</v>
      </c>
      <c r="C697" s="5" t="s">
        <v>81</v>
      </c>
      <c r="D697" s="5" t="s">
        <v>11</v>
      </c>
      <c r="E697" s="5">
        <v>2.0</v>
      </c>
      <c r="F697" s="5" t="s">
        <v>696</v>
      </c>
      <c r="G697" s="5" t="s">
        <v>224</v>
      </c>
      <c r="I697" s="5">
        <v>1.0</v>
      </c>
      <c r="J697" s="5">
        <v>3.0</v>
      </c>
      <c r="N697" s="5" t="b">
        <v>0</v>
      </c>
      <c r="R697" s="5">
        <v>0.0</v>
      </c>
      <c r="T697" s="5">
        <v>10.0</v>
      </c>
      <c r="U697" s="3">
        <v>7.5</v>
      </c>
      <c r="V697" s="3" t="s">
        <v>701</v>
      </c>
      <c r="W697" s="3" t="s">
        <v>311</v>
      </c>
      <c r="X697" s="77" t="s">
        <v>698</v>
      </c>
      <c r="Y697" s="5">
        <v>4.0</v>
      </c>
      <c r="Z697" s="5">
        <v>3.0</v>
      </c>
      <c r="AA697" s="2">
        <f>2+ (P697*'Scoring System'!$B$3)+ (IF(OR(D697="DEF",D697="GK"),N697*'Scoring System'!$B$4,IF(D697="MID",N697*'Scoring System'!$B$5,0)))+ (IF(OR(D697="DEF",D697="GK"),H697*'Scoring System'!$B$6,IF(D697="MID",H697*'Scoring System'!$B$7,IF(D697="ATT",H697*'Scoring System'!$B$8,0))))+ IF(AND(OR(D697="GK",D697="DEF"),J697&gt;=3),1*'Scoring System'!$B$9,0)+ (I697*'Scoring System'!$B$10)+ (K697*'Scoring System'!$B$11)+ (M697*'Scoring System'!$B$12)+ (L697*'Scoring System'!$B$13)+ (O697*'Scoring System'!$B$14)+ (Q697*'Scoring System'!$B$15)+ (R697*'Scoring System'!$B$16)</f>
        <v>4</v>
      </c>
      <c r="AB697" s="3" t="b">
        <f>IFERROR(match(C697,'Match Day Fees'!$B$2:$B$999,0),0)=0</f>
        <v>0</v>
      </c>
      <c r="AC697" s="3">
        <f t="shared" si="2"/>
        <v>0</v>
      </c>
      <c r="AD697" s="3" t="str">
        <f>VLOOKUP(D697,'Position Lookup'!A:B,1,FALSE)</f>
        <v>DEF</v>
      </c>
    </row>
    <row r="698" ht="17.25" customHeight="1">
      <c r="A698" s="31">
        <v>45206.0</v>
      </c>
      <c r="B698" s="5" t="s">
        <v>309</v>
      </c>
      <c r="C698" s="5" t="s">
        <v>82</v>
      </c>
      <c r="D698" s="5" t="s">
        <v>11</v>
      </c>
      <c r="E698" s="5">
        <v>2.0</v>
      </c>
      <c r="F698" s="5" t="s">
        <v>696</v>
      </c>
      <c r="G698" s="5" t="s">
        <v>224</v>
      </c>
      <c r="J698" s="5">
        <v>3.0</v>
      </c>
      <c r="N698" s="5" t="b">
        <v>0</v>
      </c>
      <c r="R698" s="5">
        <v>0.0</v>
      </c>
      <c r="T698" s="5">
        <v>10.0</v>
      </c>
      <c r="U698" s="3">
        <v>5.5</v>
      </c>
      <c r="V698" s="3" t="s">
        <v>702</v>
      </c>
      <c r="W698" s="3" t="s">
        <v>311</v>
      </c>
      <c r="X698" s="77" t="s">
        <v>698</v>
      </c>
      <c r="Y698" s="5">
        <v>4.0</v>
      </c>
      <c r="Z698" s="5">
        <v>3.0</v>
      </c>
      <c r="AA698" s="2">
        <f>2+ (P698*'Scoring System'!$B$3)+ (IF(OR(D698="DEF",D698="GK"),N698*'Scoring System'!$B$4,IF(D698="MID",N698*'Scoring System'!$B$5,0)))+ (IF(OR(D698="DEF",D698="GK"),H698*'Scoring System'!$B$6,IF(D698="MID",H698*'Scoring System'!$B$7,IF(D698="ATT",H698*'Scoring System'!$B$8,0))))+ IF(AND(OR(D698="GK",D698="DEF"),J698&gt;=3),1*'Scoring System'!$B$9,0)+ (I698*'Scoring System'!$B$10)+ (K698*'Scoring System'!$B$11)+ (M698*'Scoring System'!$B$12)+ (L698*'Scoring System'!$B$13)+ (O698*'Scoring System'!$B$14)+ (Q698*'Scoring System'!$B$15)+ (R698*'Scoring System'!$B$16)</f>
        <v>1</v>
      </c>
      <c r="AB698" s="3" t="b">
        <f>IFERROR(match(C698,'Match Day Fees'!$B$2:$B$999,0),0)=0</f>
        <v>0</v>
      </c>
      <c r="AC698" s="3">
        <f t="shared" si="2"/>
        <v>0</v>
      </c>
      <c r="AD698" s="3" t="str">
        <f>VLOOKUP(D698,'Position Lookup'!A:B,1,FALSE)</f>
        <v>DEF</v>
      </c>
    </row>
    <row r="699" ht="17.25" customHeight="1">
      <c r="A699" s="31">
        <v>45206.0</v>
      </c>
      <c r="B699" s="5" t="s">
        <v>309</v>
      </c>
      <c r="C699" s="5" t="s">
        <v>92</v>
      </c>
      <c r="D699" s="5" t="s">
        <v>9</v>
      </c>
      <c r="E699" s="5">
        <v>2.0</v>
      </c>
      <c r="F699" s="5" t="s">
        <v>696</v>
      </c>
      <c r="G699" s="5" t="s">
        <v>224</v>
      </c>
      <c r="H699" s="5">
        <v>1.0</v>
      </c>
      <c r="I699" s="5">
        <v>1.0</v>
      </c>
      <c r="J699" s="5">
        <v>3.0</v>
      </c>
      <c r="K699" s="5">
        <v>1.0</v>
      </c>
      <c r="N699" s="5" t="b">
        <v>0</v>
      </c>
      <c r="R699" s="5">
        <v>0.0</v>
      </c>
      <c r="S699" s="5" t="b">
        <v>1</v>
      </c>
      <c r="T699" s="5">
        <v>0.0</v>
      </c>
      <c r="U699" s="3">
        <v>8.0</v>
      </c>
      <c r="V699" s="3" t="s">
        <v>703</v>
      </c>
      <c r="W699" s="3" t="s">
        <v>311</v>
      </c>
      <c r="X699" s="77" t="s">
        <v>698</v>
      </c>
      <c r="Y699" s="5">
        <v>4.0</v>
      </c>
      <c r="Z699" s="5">
        <v>3.0</v>
      </c>
      <c r="AA699" s="2">
        <f>2+ (P699*'Scoring System'!$B$3)+ (IF(OR(D699="DEF",D699="GK"),N699*'Scoring System'!$B$4,IF(D699="MID",N699*'Scoring System'!$B$5,0)))+ (IF(OR(D699="DEF",D699="GK"),H699*'Scoring System'!$B$6,IF(D699="MID",H699*'Scoring System'!$B$7,IF(D699="ATT",H699*'Scoring System'!$B$8,0))))+ IF(AND(OR(D699="GK",D699="DEF"),J699&gt;=3),1*'Scoring System'!$B$9,0)+ (I699*'Scoring System'!$B$10)+ (K699*'Scoring System'!$B$11)+ (M699*'Scoring System'!$B$12)+ (L699*'Scoring System'!$B$13)+ (O699*'Scoring System'!$B$14)+ (Q699*'Scoring System'!$B$15)+ (R699*'Scoring System'!$B$16)</f>
        <v>8</v>
      </c>
      <c r="AB699" s="3" t="b">
        <f>IFERROR(match(C699,'Match Day Fees'!$B$2:$B$999,0),0)=0</f>
        <v>0</v>
      </c>
      <c r="AC699" s="3">
        <f t="shared" si="2"/>
        <v>0</v>
      </c>
      <c r="AD699" s="3" t="str">
        <f>VLOOKUP(D699,'Position Lookup'!A:B,1,FALSE)</f>
        <v>ATT</v>
      </c>
    </row>
    <row r="700" ht="17.25" customHeight="1">
      <c r="A700" s="31">
        <v>45206.0</v>
      </c>
      <c r="B700" s="5" t="s">
        <v>309</v>
      </c>
      <c r="C700" s="5" t="s">
        <v>104</v>
      </c>
      <c r="D700" s="5" t="s">
        <v>10</v>
      </c>
      <c r="E700" s="5">
        <v>2.0</v>
      </c>
      <c r="F700" s="5" t="s">
        <v>696</v>
      </c>
      <c r="G700" s="5" t="s">
        <v>224</v>
      </c>
      <c r="H700" s="5">
        <v>1.0</v>
      </c>
      <c r="J700" s="5">
        <v>3.0</v>
      </c>
      <c r="N700" s="5" t="b">
        <v>0</v>
      </c>
      <c r="R700" s="5">
        <v>0.0</v>
      </c>
      <c r="T700" s="5">
        <v>5.0</v>
      </c>
      <c r="U700" s="3">
        <v>7.5</v>
      </c>
      <c r="V700" s="3" t="s">
        <v>704</v>
      </c>
      <c r="W700" s="3" t="s">
        <v>311</v>
      </c>
      <c r="X700" s="77" t="s">
        <v>698</v>
      </c>
      <c r="Y700" s="5">
        <v>4.0</v>
      </c>
      <c r="Z700" s="5">
        <v>3.0</v>
      </c>
      <c r="AA700" s="2">
        <f>2+ (P700*'Scoring System'!$B$3)+ (IF(OR(D700="DEF",D700="GK"),N700*'Scoring System'!$B$4,IF(D700="MID",N700*'Scoring System'!$B$5,0)))+ (IF(OR(D700="DEF",D700="GK"),H700*'Scoring System'!$B$6,IF(D700="MID",H700*'Scoring System'!$B$7,IF(D700="ATT",H700*'Scoring System'!$B$8,0))))+ IF(AND(OR(D700="GK",D700="DEF"),J700&gt;=3),1*'Scoring System'!$B$9,0)+ (I700*'Scoring System'!$B$10)+ (K700*'Scoring System'!$B$11)+ (M700*'Scoring System'!$B$12)+ (L700*'Scoring System'!$B$13)+ (O700*'Scoring System'!$B$14)+ (Q700*'Scoring System'!$B$15)+ (R700*'Scoring System'!$B$16)</f>
        <v>7</v>
      </c>
      <c r="AB700" s="3" t="b">
        <f>IFERROR(match(C700,'Match Day Fees'!$B$2:$B$999,0),0)=0</f>
        <v>0</v>
      </c>
      <c r="AC700" s="3">
        <f t="shared" si="2"/>
        <v>0</v>
      </c>
      <c r="AD700" s="3" t="str">
        <f>VLOOKUP(D700,'Position Lookup'!A:B,1,FALSE)</f>
        <v>MID</v>
      </c>
    </row>
    <row r="701" ht="17.25" customHeight="1">
      <c r="A701" s="31">
        <v>45206.0</v>
      </c>
      <c r="B701" s="5" t="s">
        <v>309</v>
      </c>
      <c r="C701" s="5" t="s">
        <v>114</v>
      </c>
      <c r="D701" s="5" t="s">
        <v>11</v>
      </c>
      <c r="E701" s="5">
        <v>2.0</v>
      </c>
      <c r="F701" s="5" t="s">
        <v>696</v>
      </c>
      <c r="G701" s="5" t="s">
        <v>224</v>
      </c>
      <c r="J701" s="5">
        <v>3.0</v>
      </c>
      <c r="N701" s="5" t="b">
        <v>0</v>
      </c>
      <c r="R701" s="5">
        <v>0.0</v>
      </c>
      <c r="T701" s="5">
        <v>10.0</v>
      </c>
      <c r="U701" s="3">
        <v>6.5</v>
      </c>
      <c r="V701" s="3" t="s">
        <v>705</v>
      </c>
      <c r="W701" s="3" t="s">
        <v>311</v>
      </c>
      <c r="X701" s="77" t="s">
        <v>698</v>
      </c>
      <c r="Y701" s="5">
        <v>4.0</v>
      </c>
      <c r="Z701" s="5">
        <v>3.0</v>
      </c>
      <c r="AA701" s="2">
        <f>2+ (P701*'Scoring System'!$B$3)+ (IF(OR(D701="DEF",D701="GK"),N701*'Scoring System'!$B$4,IF(D701="MID",N701*'Scoring System'!$B$5,0)))+ (IF(OR(D701="DEF",D701="GK"),H701*'Scoring System'!$B$6,IF(D701="MID",H701*'Scoring System'!$B$7,IF(D701="ATT",H701*'Scoring System'!$B$8,0))))+ IF(AND(OR(D701="GK",D701="DEF"),J701&gt;=3),1*'Scoring System'!$B$9,0)+ (I701*'Scoring System'!$B$10)+ (K701*'Scoring System'!$B$11)+ (M701*'Scoring System'!$B$12)+ (L701*'Scoring System'!$B$13)+ (O701*'Scoring System'!$B$14)+ (Q701*'Scoring System'!$B$15)+ (R701*'Scoring System'!$B$16)</f>
        <v>1</v>
      </c>
      <c r="AB701" s="3" t="b">
        <f>IFERROR(match(C701,'Match Day Fees'!$B$2:$B$999,0),0)=0</f>
        <v>0</v>
      </c>
      <c r="AC701" s="3">
        <f t="shared" si="2"/>
        <v>0</v>
      </c>
      <c r="AD701" s="3" t="str">
        <f>VLOOKUP(D701,'Position Lookup'!A:B,1,FALSE)</f>
        <v>DEF</v>
      </c>
    </row>
    <row r="702" ht="17.25" customHeight="1">
      <c r="A702" s="31">
        <v>45206.0</v>
      </c>
      <c r="B702" s="5" t="s">
        <v>309</v>
      </c>
      <c r="C702" s="5" t="s">
        <v>80</v>
      </c>
      <c r="D702" s="5" t="s">
        <v>9</v>
      </c>
      <c r="E702" s="5">
        <v>2.0</v>
      </c>
      <c r="F702" s="5" t="s">
        <v>696</v>
      </c>
      <c r="G702" s="5" t="s">
        <v>224</v>
      </c>
      <c r="H702" s="5">
        <v>1.0</v>
      </c>
      <c r="J702" s="5">
        <v>3.0</v>
      </c>
      <c r="N702" s="5" t="b">
        <v>0</v>
      </c>
      <c r="R702" s="5">
        <v>0.0</v>
      </c>
      <c r="T702" s="5">
        <v>10.0</v>
      </c>
      <c r="U702" s="3">
        <v>7.0</v>
      </c>
      <c r="V702" s="3" t="s">
        <v>706</v>
      </c>
      <c r="W702" s="3" t="s">
        <v>311</v>
      </c>
      <c r="X702" s="77" t="s">
        <v>698</v>
      </c>
      <c r="Y702" s="5">
        <v>4.0</v>
      </c>
      <c r="Z702" s="5">
        <v>3.0</v>
      </c>
      <c r="AA702" s="2">
        <f>2+ (P702*'Scoring System'!$B$3)+ (IF(OR(D702="DEF",D702="GK"),N702*'Scoring System'!$B$4,IF(D702="MID",N702*'Scoring System'!$B$5,0)))+ (IF(OR(D702="DEF",D702="GK"),H702*'Scoring System'!$B$6,IF(D702="MID",H702*'Scoring System'!$B$7,IF(D702="ATT",H702*'Scoring System'!$B$8,0))))+ IF(AND(OR(D702="GK",D702="DEF"),J702&gt;=3),1*'Scoring System'!$B$9,0)+ (I702*'Scoring System'!$B$10)+ (K702*'Scoring System'!$B$11)+ (M702*'Scoring System'!$B$12)+ (L702*'Scoring System'!$B$13)+ (O702*'Scoring System'!$B$14)+ (Q702*'Scoring System'!$B$15)+ (R702*'Scoring System'!$B$16)</f>
        <v>6</v>
      </c>
      <c r="AB702" s="3" t="b">
        <f>IFERROR(match(C702,'Match Day Fees'!$B$2:$B$999,0),0)=0</f>
        <v>0</v>
      </c>
      <c r="AC702" s="3">
        <f t="shared" si="2"/>
        <v>0</v>
      </c>
      <c r="AD702" s="3" t="str">
        <f>VLOOKUP(D702,'Position Lookup'!A:B,1,FALSE)</f>
        <v>ATT</v>
      </c>
    </row>
    <row r="703" ht="17.25" customHeight="1">
      <c r="A703" s="31">
        <v>45206.0</v>
      </c>
      <c r="B703" s="5" t="s">
        <v>309</v>
      </c>
      <c r="C703" s="5" t="s">
        <v>79</v>
      </c>
      <c r="D703" s="5" t="s">
        <v>9</v>
      </c>
      <c r="E703" s="5">
        <v>2.0</v>
      </c>
      <c r="F703" s="5" t="s">
        <v>696</v>
      </c>
      <c r="G703" s="5" t="s">
        <v>224</v>
      </c>
      <c r="J703" s="5">
        <v>3.0</v>
      </c>
      <c r="N703" s="5" t="b">
        <v>0</v>
      </c>
      <c r="R703" s="5">
        <v>0.0</v>
      </c>
      <c r="T703" s="5">
        <v>10.0</v>
      </c>
      <c r="U703" s="3">
        <v>5.0</v>
      </c>
      <c r="V703" s="3" t="s">
        <v>707</v>
      </c>
      <c r="W703" s="3" t="s">
        <v>311</v>
      </c>
      <c r="X703" s="77" t="s">
        <v>698</v>
      </c>
      <c r="Y703" s="5">
        <v>4.0</v>
      </c>
      <c r="Z703" s="5">
        <v>3.0</v>
      </c>
      <c r="AA703" s="2">
        <f>2+ (P703*'Scoring System'!$B$3)+ (IF(OR(D703="DEF",D703="GK"),N703*'Scoring System'!$B$4,IF(D703="MID",N703*'Scoring System'!$B$5,0)))+ (IF(OR(D703="DEF",D703="GK"),H703*'Scoring System'!$B$6,IF(D703="MID",H703*'Scoring System'!$B$7,IF(D703="ATT",H703*'Scoring System'!$B$8,0))))+ IF(AND(OR(D703="GK",D703="DEF"),J703&gt;=3),1*'Scoring System'!$B$9,0)+ (I703*'Scoring System'!$B$10)+ (K703*'Scoring System'!$B$11)+ (M703*'Scoring System'!$B$12)+ (L703*'Scoring System'!$B$13)+ (O703*'Scoring System'!$B$14)+ (Q703*'Scoring System'!$B$15)+ (R703*'Scoring System'!$B$16)</f>
        <v>2</v>
      </c>
      <c r="AB703" s="3" t="b">
        <f>IFERROR(match(C703,'Match Day Fees'!$B$2:$B$999,0),0)=0</f>
        <v>0</v>
      </c>
      <c r="AC703" s="3">
        <f t="shared" si="2"/>
        <v>0</v>
      </c>
      <c r="AD703" s="3" t="str">
        <f>VLOOKUP(D703,'Position Lookup'!A:B,1,FALSE)</f>
        <v>ATT</v>
      </c>
    </row>
    <row r="704" ht="17.25" customHeight="1">
      <c r="A704" s="31">
        <v>45206.0</v>
      </c>
      <c r="B704" s="5" t="s">
        <v>309</v>
      </c>
      <c r="C704" s="5" t="s">
        <v>60</v>
      </c>
      <c r="D704" s="5" t="s">
        <v>9</v>
      </c>
      <c r="E704" s="5">
        <v>2.0</v>
      </c>
      <c r="F704" s="5" t="s">
        <v>696</v>
      </c>
      <c r="G704" s="5" t="s">
        <v>224</v>
      </c>
      <c r="H704" s="5">
        <v>1.0</v>
      </c>
      <c r="J704" s="5">
        <v>3.0</v>
      </c>
      <c r="N704" s="5" t="b">
        <v>0</v>
      </c>
      <c r="R704" s="5">
        <v>0.0</v>
      </c>
      <c r="T704" s="5">
        <v>0.0</v>
      </c>
      <c r="U704" s="3">
        <v>7.0</v>
      </c>
      <c r="V704" s="3" t="s">
        <v>708</v>
      </c>
      <c r="W704" s="3" t="s">
        <v>311</v>
      </c>
      <c r="X704" s="77" t="s">
        <v>698</v>
      </c>
      <c r="Y704" s="5">
        <v>4.0</v>
      </c>
      <c r="Z704" s="5">
        <v>3.0</v>
      </c>
      <c r="AA704" s="2">
        <f>2+ (P704*'Scoring System'!$B$3)+ (IF(OR(D704="DEF",D704="GK"),N704*'Scoring System'!$B$4,IF(D704="MID",N704*'Scoring System'!$B$5,0)))+ (IF(OR(D704="DEF",D704="GK"),H704*'Scoring System'!$B$6,IF(D704="MID",H704*'Scoring System'!$B$7,IF(D704="ATT",H704*'Scoring System'!$B$8,0))))+ IF(AND(OR(D704="GK",D704="DEF"),J704&gt;=3),1*'Scoring System'!$B$9,0)+ (I704*'Scoring System'!$B$10)+ (K704*'Scoring System'!$B$11)+ (M704*'Scoring System'!$B$12)+ (L704*'Scoring System'!$B$13)+ (O704*'Scoring System'!$B$14)+ (Q704*'Scoring System'!$B$15)+ (R704*'Scoring System'!$B$16)</f>
        <v>6</v>
      </c>
      <c r="AB704" s="3" t="b">
        <f>IFERROR(match(C704,'Match Day Fees'!$B$2:$B$999,0),0)=0</f>
        <v>0</v>
      </c>
      <c r="AC704" s="3">
        <f t="shared" si="2"/>
        <v>0</v>
      </c>
      <c r="AD704" s="3" t="str">
        <f>VLOOKUP(D704,'Position Lookup'!A:B,1,FALSE)</f>
        <v>ATT</v>
      </c>
    </row>
    <row r="705" ht="17.25" customHeight="1">
      <c r="A705" s="31">
        <v>45206.0</v>
      </c>
      <c r="B705" s="5" t="s">
        <v>309</v>
      </c>
      <c r="C705" s="5" t="s">
        <v>56</v>
      </c>
      <c r="D705" s="5" t="s">
        <v>11</v>
      </c>
      <c r="E705" s="5">
        <v>2.0</v>
      </c>
      <c r="F705" s="5" t="s">
        <v>696</v>
      </c>
      <c r="G705" s="5" t="s">
        <v>224</v>
      </c>
      <c r="J705" s="5">
        <v>3.0</v>
      </c>
      <c r="N705" s="5" t="b">
        <v>0</v>
      </c>
      <c r="R705" s="5">
        <v>0.0</v>
      </c>
      <c r="T705" s="5">
        <v>5.0</v>
      </c>
      <c r="U705" s="3">
        <v>6.0</v>
      </c>
      <c r="V705" s="3" t="s">
        <v>709</v>
      </c>
      <c r="W705" s="3" t="s">
        <v>311</v>
      </c>
      <c r="X705" s="77" t="s">
        <v>698</v>
      </c>
      <c r="Y705" s="5">
        <v>4.0</v>
      </c>
      <c r="Z705" s="5">
        <v>3.0</v>
      </c>
      <c r="AA705" s="2">
        <f>2+ (P705*'Scoring System'!$B$3)+ (IF(OR(D705="DEF",D705="GK"),N705*'Scoring System'!$B$4,IF(D705="MID",N705*'Scoring System'!$B$5,0)))+ (IF(OR(D705="DEF",D705="GK"),H705*'Scoring System'!$B$6,IF(D705="MID",H705*'Scoring System'!$B$7,IF(D705="ATT",H705*'Scoring System'!$B$8,0))))+ IF(AND(OR(D705="GK",D705="DEF"),J705&gt;=3),1*'Scoring System'!$B$9,0)+ (I705*'Scoring System'!$B$10)+ (K705*'Scoring System'!$B$11)+ (M705*'Scoring System'!$B$12)+ (L705*'Scoring System'!$B$13)+ (O705*'Scoring System'!$B$14)+ (Q705*'Scoring System'!$B$15)+ (R705*'Scoring System'!$B$16)</f>
        <v>1</v>
      </c>
      <c r="AB705" s="3" t="b">
        <f>IFERROR(match(C705,'Match Day Fees'!$B$2:$B$999,0),0)=0</f>
        <v>0</v>
      </c>
      <c r="AC705" s="3">
        <f t="shared" si="2"/>
        <v>0</v>
      </c>
      <c r="AD705" s="3" t="str">
        <f>VLOOKUP(D705,'Position Lookup'!A:B,1,FALSE)</f>
        <v>DEF</v>
      </c>
    </row>
    <row r="706" ht="17.25" customHeight="1">
      <c r="A706" s="31">
        <v>45206.0</v>
      </c>
      <c r="B706" s="5" t="s">
        <v>309</v>
      </c>
      <c r="C706" s="5" t="s">
        <v>102</v>
      </c>
      <c r="D706" s="5" t="s">
        <v>10</v>
      </c>
      <c r="E706" s="5">
        <v>2.0</v>
      </c>
      <c r="F706" s="5" t="s">
        <v>696</v>
      </c>
      <c r="G706" s="5" t="s">
        <v>224</v>
      </c>
      <c r="I706" s="5">
        <v>1.0</v>
      </c>
      <c r="J706" s="5">
        <v>3.0</v>
      </c>
      <c r="N706" s="5" t="b">
        <v>0</v>
      </c>
      <c r="R706" s="5">
        <v>1.0</v>
      </c>
      <c r="T706" s="5">
        <v>10.0</v>
      </c>
      <c r="U706" s="3">
        <v>7.0</v>
      </c>
      <c r="V706" s="3" t="s">
        <v>710</v>
      </c>
      <c r="W706" s="3" t="s">
        <v>311</v>
      </c>
      <c r="X706" s="77" t="s">
        <v>698</v>
      </c>
      <c r="Y706" s="5">
        <v>4.0</v>
      </c>
      <c r="Z706" s="5">
        <v>3.0</v>
      </c>
      <c r="AA706" s="2">
        <f>2+ (P706*'Scoring System'!$B$3)+ (IF(OR(D706="DEF",D706="GK"),N706*'Scoring System'!$B$4,IF(D706="MID",N706*'Scoring System'!$B$5,0)))+ (IF(OR(D706="DEF",D706="GK"),H706*'Scoring System'!$B$6,IF(D706="MID",H706*'Scoring System'!$B$7,IF(D706="ATT",H706*'Scoring System'!$B$8,0))))+ IF(AND(OR(D706="GK",D706="DEF"),J706&gt;=3),1*'Scoring System'!$B$9,0)+ (I706*'Scoring System'!$B$10)+ (K706*'Scoring System'!$B$11)+ (M706*'Scoring System'!$B$12)+ (L706*'Scoring System'!$B$13)+ (O706*'Scoring System'!$B$14)+ (Q706*'Scoring System'!$B$15)+ (R706*'Scoring System'!$B$16)</f>
        <v>10</v>
      </c>
      <c r="AB706" s="3" t="b">
        <f>IFERROR(match(C706,'Match Day Fees'!$B$2:$B$999,0),0)=0</f>
        <v>0</v>
      </c>
      <c r="AC706" s="3">
        <f t="shared" si="2"/>
        <v>0</v>
      </c>
      <c r="AD706" s="3" t="str">
        <f>VLOOKUP(D706,'Position Lookup'!A:B,1,FALSE)</f>
        <v>MID</v>
      </c>
    </row>
    <row r="707" ht="17.25" customHeight="1">
      <c r="A707" s="31">
        <v>45206.0</v>
      </c>
      <c r="B707" s="5" t="s">
        <v>309</v>
      </c>
      <c r="C707" s="5" t="s">
        <v>333</v>
      </c>
      <c r="D707" s="5" t="s">
        <v>10</v>
      </c>
      <c r="E707" s="5">
        <v>2.0</v>
      </c>
      <c r="F707" s="5" t="s">
        <v>696</v>
      </c>
      <c r="G707" s="5" t="s">
        <v>224</v>
      </c>
      <c r="J707" s="5">
        <v>3.0</v>
      </c>
      <c r="N707" s="5" t="b">
        <v>0</v>
      </c>
      <c r="R707" s="5">
        <v>0.0</v>
      </c>
      <c r="T707" s="5">
        <v>10.0</v>
      </c>
      <c r="U707" s="3">
        <v>7.0</v>
      </c>
      <c r="V707" s="3" t="s">
        <v>711</v>
      </c>
      <c r="W707" s="3" t="s">
        <v>311</v>
      </c>
      <c r="X707" s="77" t="s">
        <v>698</v>
      </c>
      <c r="Y707" s="5">
        <v>4.0</v>
      </c>
      <c r="Z707" s="5">
        <v>3.0</v>
      </c>
      <c r="AA707" s="2">
        <f>2+ (P707*'Scoring System'!$B$3)+ (IF(OR(D707="DEF",D707="GK"),N707*'Scoring System'!$B$4,IF(D707="MID",N707*'Scoring System'!$B$5,0)))+ (IF(OR(D707="DEF",D707="GK"),H707*'Scoring System'!$B$6,IF(D707="MID",H707*'Scoring System'!$B$7,IF(D707="ATT",H707*'Scoring System'!$B$8,0))))+ IF(AND(OR(D707="GK",D707="DEF"),J707&gt;=3),1*'Scoring System'!$B$9,0)+ (I707*'Scoring System'!$B$10)+ (K707*'Scoring System'!$B$11)+ (M707*'Scoring System'!$B$12)+ (L707*'Scoring System'!$B$13)+ (O707*'Scoring System'!$B$14)+ (Q707*'Scoring System'!$B$15)+ (R707*'Scoring System'!$B$16)</f>
        <v>2</v>
      </c>
      <c r="AB707" s="3" t="b">
        <f>IFERROR(match(C707,'Match Day Fees'!$B$2:$B$999,0),0)=0</f>
        <v>0</v>
      </c>
      <c r="AC707" s="3">
        <f t="shared" si="2"/>
        <v>0</v>
      </c>
      <c r="AD707" s="3" t="str">
        <f>VLOOKUP(D707,'Position Lookup'!A:B,1,FALSE)</f>
        <v>MID</v>
      </c>
    </row>
    <row r="708" ht="17.25" customHeight="1">
      <c r="A708" s="31">
        <v>45206.0</v>
      </c>
      <c r="B708" s="5" t="s">
        <v>712</v>
      </c>
      <c r="C708" s="5" t="s">
        <v>527</v>
      </c>
      <c r="D708" s="5" t="s">
        <v>8</v>
      </c>
      <c r="E708" s="5">
        <v>3.0</v>
      </c>
      <c r="F708" s="5" t="s">
        <v>713</v>
      </c>
      <c r="G708" s="5" t="s">
        <v>224</v>
      </c>
      <c r="J708" s="5">
        <v>1.0</v>
      </c>
      <c r="N708" s="5" t="b">
        <v>0</v>
      </c>
      <c r="R708" s="5">
        <v>0.0</v>
      </c>
      <c r="T708" s="5">
        <v>10.0</v>
      </c>
      <c r="U708" s="5">
        <v>7.5</v>
      </c>
      <c r="V708" s="5" t="s">
        <v>714</v>
      </c>
      <c r="W708" s="81" t="s">
        <v>344</v>
      </c>
      <c r="X708" s="78" t="s">
        <v>715</v>
      </c>
      <c r="Y708" s="5">
        <v>2.0</v>
      </c>
      <c r="Z708" s="5">
        <v>1.0</v>
      </c>
      <c r="AA708" s="2">
        <f>2+ (P708*'Scoring System'!$B$3)+ (IF(OR(D708="DEF",D708="GK"),N708*'Scoring System'!$B$4,IF(D708="MID",N708*'Scoring System'!$B$5,0)))+ (IF(OR(D708="DEF",D708="GK"),H708*'Scoring System'!$B$6,IF(D708="MID",H708*'Scoring System'!$B$7,IF(D708="ATT",H708*'Scoring System'!$B$8,0))))+ IF(AND(OR(D708="GK",D708="DEF"),J708&gt;=3),1*'Scoring System'!$B$9,0)+ (I708*'Scoring System'!$B$10)+ (K708*'Scoring System'!$B$11)+ (M708*'Scoring System'!$B$12)+ (L708*'Scoring System'!$B$13)+ (O708*'Scoring System'!$B$14)+ (Q708*'Scoring System'!$B$15)+ (R708*'Scoring System'!$B$16)</f>
        <v>2</v>
      </c>
      <c r="AB708" s="3" t="b">
        <f>IFERROR(match(C708,'Match Day Fees'!$B$2:$B$999,0),0)=0</f>
        <v>0</v>
      </c>
      <c r="AC708" s="3">
        <f t="shared" si="2"/>
        <v>0</v>
      </c>
      <c r="AD708" s="3" t="str">
        <f>VLOOKUP(D708,'Position Lookup'!A:B,1,FALSE)</f>
        <v>GK</v>
      </c>
    </row>
    <row r="709" ht="17.25" customHeight="1">
      <c r="A709" s="31">
        <v>45206.0</v>
      </c>
      <c r="B709" s="5" t="s">
        <v>712</v>
      </c>
      <c r="C709" s="5" t="s">
        <v>42</v>
      </c>
      <c r="D709" s="5" t="s">
        <v>11</v>
      </c>
      <c r="E709" s="5">
        <v>3.0</v>
      </c>
      <c r="F709" s="5" t="s">
        <v>713</v>
      </c>
      <c r="G709" s="5" t="s">
        <v>224</v>
      </c>
      <c r="J709" s="5">
        <v>1.0</v>
      </c>
      <c r="N709" s="5" t="b">
        <v>0</v>
      </c>
      <c r="R709" s="5">
        <v>0.0</v>
      </c>
      <c r="T709" s="5">
        <v>10.0</v>
      </c>
      <c r="U709" s="5">
        <v>6.5</v>
      </c>
      <c r="V709" s="5" t="s">
        <v>716</v>
      </c>
      <c r="W709" s="81" t="s">
        <v>344</v>
      </c>
      <c r="X709" s="78" t="s">
        <v>715</v>
      </c>
      <c r="Y709" s="5">
        <v>2.0</v>
      </c>
      <c r="Z709" s="5">
        <v>1.0</v>
      </c>
      <c r="AA709" s="2">
        <f>2+ (P709*'Scoring System'!$B$3)+ (IF(OR(D709="DEF",D709="GK"),N709*'Scoring System'!$B$4,IF(D709="MID",N709*'Scoring System'!$B$5,0)))+ (IF(OR(D709="DEF",D709="GK"),H709*'Scoring System'!$B$6,IF(D709="MID",H709*'Scoring System'!$B$7,IF(D709="ATT",H709*'Scoring System'!$B$8,0))))+ IF(AND(OR(D709="GK",D709="DEF"),J709&gt;=3),1*'Scoring System'!$B$9,0)+ (I709*'Scoring System'!$B$10)+ (K709*'Scoring System'!$B$11)+ (M709*'Scoring System'!$B$12)+ (L709*'Scoring System'!$B$13)+ (O709*'Scoring System'!$B$14)+ (Q709*'Scoring System'!$B$15)+ (R709*'Scoring System'!$B$16)</f>
        <v>2</v>
      </c>
      <c r="AB709" s="3" t="b">
        <f>IFERROR(match(C709,'Match Day Fees'!$B$2:$B$999,0),0)=0</f>
        <v>0</v>
      </c>
      <c r="AC709" s="3">
        <f t="shared" si="2"/>
        <v>0</v>
      </c>
      <c r="AD709" s="3" t="str">
        <f>VLOOKUP(D709,'Position Lookup'!A:B,1,FALSE)</f>
        <v>DEF</v>
      </c>
    </row>
    <row r="710" ht="17.25" customHeight="1">
      <c r="A710" s="31">
        <v>45206.0</v>
      </c>
      <c r="B710" s="5" t="s">
        <v>712</v>
      </c>
      <c r="C710" s="5" t="s">
        <v>256</v>
      </c>
      <c r="D710" s="5" t="s">
        <v>11</v>
      </c>
      <c r="E710" s="5">
        <v>3.0</v>
      </c>
      <c r="F710" s="5" t="s">
        <v>713</v>
      </c>
      <c r="G710" s="5" t="s">
        <v>224</v>
      </c>
      <c r="J710" s="5">
        <v>1.0</v>
      </c>
      <c r="N710" s="5" t="b">
        <v>0</v>
      </c>
      <c r="R710" s="5">
        <v>0.0</v>
      </c>
      <c r="T710" s="5">
        <v>5.0</v>
      </c>
      <c r="U710" s="5">
        <v>7.0</v>
      </c>
      <c r="V710" s="5" t="s">
        <v>717</v>
      </c>
      <c r="W710" s="81" t="s">
        <v>344</v>
      </c>
      <c r="X710" s="78" t="s">
        <v>715</v>
      </c>
      <c r="Y710" s="5">
        <v>2.0</v>
      </c>
      <c r="Z710" s="5">
        <v>1.0</v>
      </c>
      <c r="AA710" s="2">
        <f>2+ (P710*'Scoring System'!$B$3)+ (IF(OR(D710="DEF",D710="GK"),N710*'Scoring System'!$B$4,IF(D710="MID",N710*'Scoring System'!$B$5,0)))+ (IF(OR(D710="DEF",D710="GK"),H710*'Scoring System'!$B$6,IF(D710="MID",H710*'Scoring System'!$B$7,IF(D710="ATT",H710*'Scoring System'!$B$8,0))))+ IF(AND(OR(D710="GK",D710="DEF"),J710&gt;=3),1*'Scoring System'!$B$9,0)+ (I710*'Scoring System'!$B$10)+ (K710*'Scoring System'!$B$11)+ (M710*'Scoring System'!$B$12)+ (L710*'Scoring System'!$B$13)+ (O710*'Scoring System'!$B$14)+ (Q710*'Scoring System'!$B$15)+ (R710*'Scoring System'!$B$16)</f>
        <v>2</v>
      </c>
      <c r="AB710" s="3" t="b">
        <f>IFERROR(match(C710,'Match Day Fees'!$B$2:$B$999,0),0)=0</f>
        <v>0</v>
      </c>
      <c r="AC710" s="3">
        <f t="shared" si="2"/>
        <v>0</v>
      </c>
      <c r="AD710" s="3" t="str">
        <f>VLOOKUP(D710,'Position Lookup'!A:B,1,FALSE)</f>
        <v>DEF</v>
      </c>
    </row>
    <row r="711" ht="17.25" customHeight="1">
      <c r="A711" s="31">
        <v>45206.0</v>
      </c>
      <c r="B711" s="5" t="s">
        <v>712</v>
      </c>
      <c r="C711" s="5" t="s">
        <v>155</v>
      </c>
      <c r="D711" s="5" t="s">
        <v>11</v>
      </c>
      <c r="E711" s="5">
        <v>3.0</v>
      </c>
      <c r="F711" s="5" t="s">
        <v>713</v>
      </c>
      <c r="G711" s="5" t="s">
        <v>224</v>
      </c>
      <c r="J711" s="5">
        <v>1.0</v>
      </c>
      <c r="N711" s="5" t="b">
        <v>0</v>
      </c>
      <c r="R711" s="5">
        <v>0.0</v>
      </c>
      <c r="T711" s="5">
        <v>10.0</v>
      </c>
      <c r="U711" s="5">
        <v>7.5</v>
      </c>
      <c r="V711" s="5" t="s">
        <v>718</v>
      </c>
      <c r="W711" s="81" t="s">
        <v>344</v>
      </c>
      <c r="X711" s="78" t="s">
        <v>715</v>
      </c>
      <c r="Y711" s="5">
        <v>2.0</v>
      </c>
      <c r="Z711" s="5">
        <v>1.0</v>
      </c>
      <c r="AA711" s="2">
        <f>2+ (P711*'Scoring System'!$B$3)+ (IF(OR(D711="DEF",D711="GK"),N711*'Scoring System'!$B$4,IF(D711="MID",N711*'Scoring System'!$B$5,0)))+ (IF(OR(D711="DEF",D711="GK"),H711*'Scoring System'!$B$6,IF(D711="MID",H711*'Scoring System'!$B$7,IF(D711="ATT",H711*'Scoring System'!$B$8,0))))+ IF(AND(OR(D711="GK",D711="DEF"),J711&gt;=3),1*'Scoring System'!$B$9,0)+ (I711*'Scoring System'!$B$10)+ (K711*'Scoring System'!$B$11)+ (M711*'Scoring System'!$B$12)+ (L711*'Scoring System'!$B$13)+ (O711*'Scoring System'!$B$14)+ (Q711*'Scoring System'!$B$15)+ (R711*'Scoring System'!$B$16)</f>
        <v>2</v>
      </c>
      <c r="AB711" s="3" t="b">
        <f>IFERROR(match(C711,'Match Day Fees'!$B$2:$B$999,0),0)=0</f>
        <v>0</v>
      </c>
      <c r="AC711" s="3">
        <f t="shared" si="2"/>
        <v>0</v>
      </c>
      <c r="AD711" s="3" t="str">
        <f>VLOOKUP(D711,'Position Lookup'!A:B,1,FALSE)</f>
        <v>DEF</v>
      </c>
    </row>
    <row r="712" ht="17.25" customHeight="1">
      <c r="A712" s="31">
        <v>45206.0</v>
      </c>
      <c r="B712" s="5" t="s">
        <v>712</v>
      </c>
      <c r="C712" s="5" t="s">
        <v>254</v>
      </c>
      <c r="D712" s="5" t="s">
        <v>11</v>
      </c>
      <c r="E712" s="5">
        <v>3.0</v>
      </c>
      <c r="F712" s="5" t="s">
        <v>713</v>
      </c>
      <c r="G712" s="5" t="s">
        <v>224</v>
      </c>
      <c r="J712" s="5">
        <v>1.0</v>
      </c>
      <c r="N712" s="5" t="b">
        <v>0</v>
      </c>
      <c r="R712" s="5">
        <v>0.0</v>
      </c>
      <c r="S712" s="5" t="b">
        <v>1</v>
      </c>
      <c r="T712" s="5">
        <v>0.0</v>
      </c>
      <c r="U712" s="5">
        <v>6.5</v>
      </c>
      <c r="V712" s="5" t="s">
        <v>719</v>
      </c>
      <c r="W712" s="81" t="s">
        <v>344</v>
      </c>
      <c r="X712" s="78" t="s">
        <v>715</v>
      </c>
      <c r="Y712" s="5">
        <v>2.0</v>
      </c>
      <c r="Z712" s="5">
        <v>1.0</v>
      </c>
      <c r="AA712" s="2">
        <f>2+ (P712*'Scoring System'!$B$3)+ (IF(OR(D712="DEF",D712="GK"),N712*'Scoring System'!$B$4,IF(D712="MID",N712*'Scoring System'!$B$5,0)))+ (IF(OR(D712="DEF",D712="GK"),H712*'Scoring System'!$B$6,IF(D712="MID",H712*'Scoring System'!$B$7,IF(D712="ATT",H712*'Scoring System'!$B$8,0))))+ IF(AND(OR(D712="GK",D712="DEF"),J712&gt;=3),1*'Scoring System'!$B$9,0)+ (I712*'Scoring System'!$B$10)+ (K712*'Scoring System'!$B$11)+ (M712*'Scoring System'!$B$12)+ (L712*'Scoring System'!$B$13)+ (O712*'Scoring System'!$B$14)+ (Q712*'Scoring System'!$B$15)+ (R712*'Scoring System'!$B$16)</f>
        <v>2</v>
      </c>
      <c r="AB712" s="3" t="b">
        <f>IFERROR(match(C712,'Match Day Fees'!$B$2:$B$999,0),0)=0</f>
        <v>0</v>
      </c>
      <c r="AC712" s="3">
        <f t="shared" si="2"/>
        <v>0</v>
      </c>
      <c r="AD712" s="3" t="str">
        <f>VLOOKUP(D712,'Position Lookup'!A:B,1,FALSE)</f>
        <v>DEF</v>
      </c>
    </row>
    <row r="713" ht="17.25" customHeight="1">
      <c r="A713" s="31">
        <v>45206.0</v>
      </c>
      <c r="B713" s="5" t="s">
        <v>712</v>
      </c>
      <c r="C713" s="5" t="s">
        <v>86</v>
      </c>
      <c r="D713" s="5" t="s">
        <v>10</v>
      </c>
      <c r="E713" s="5">
        <v>3.0</v>
      </c>
      <c r="F713" s="5" t="s">
        <v>713</v>
      </c>
      <c r="G713" s="5" t="s">
        <v>224</v>
      </c>
      <c r="J713" s="5">
        <v>1.0</v>
      </c>
      <c r="N713" s="5" t="b">
        <v>0</v>
      </c>
      <c r="R713" s="5">
        <v>0.0</v>
      </c>
      <c r="T713" s="5">
        <v>10.0</v>
      </c>
      <c r="U713" s="5">
        <v>7.0</v>
      </c>
      <c r="V713" s="5" t="s">
        <v>720</v>
      </c>
      <c r="W713" s="81" t="s">
        <v>344</v>
      </c>
      <c r="X713" s="78" t="s">
        <v>715</v>
      </c>
      <c r="Y713" s="5">
        <v>2.0</v>
      </c>
      <c r="Z713" s="5">
        <v>1.0</v>
      </c>
      <c r="AA713" s="2">
        <f>2+ (P713*'Scoring System'!$B$3)+ (IF(OR(D713="DEF",D713="GK"),N713*'Scoring System'!$B$4,IF(D713="MID",N713*'Scoring System'!$B$5,0)))+ (IF(OR(D713="DEF",D713="GK"),H713*'Scoring System'!$B$6,IF(D713="MID",H713*'Scoring System'!$B$7,IF(D713="ATT",H713*'Scoring System'!$B$8,0))))+ IF(AND(OR(D713="GK",D713="DEF"),J713&gt;=3),1*'Scoring System'!$B$9,0)+ (I713*'Scoring System'!$B$10)+ (K713*'Scoring System'!$B$11)+ (M713*'Scoring System'!$B$12)+ (L713*'Scoring System'!$B$13)+ (O713*'Scoring System'!$B$14)+ (Q713*'Scoring System'!$B$15)+ (R713*'Scoring System'!$B$16)</f>
        <v>2</v>
      </c>
      <c r="AB713" s="3" t="b">
        <f>IFERROR(match(C713,'Match Day Fees'!$B$2:$B$999,0),0)=0</f>
        <v>0</v>
      </c>
      <c r="AC713" s="3">
        <f t="shared" si="2"/>
        <v>0</v>
      </c>
      <c r="AD713" s="3" t="str">
        <f>VLOOKUP(D713,'Position Lookup'!A:B,1,FALSE)</f>
        <v>MID</v>
      </c>
    </row>
    <row r="714" ht="17.25" customHeight="1">
      <c r="A714" s="31">
        <v>45206.0</v>
      </c>
      <c r="B714" s="5" t="s">
        <v>712</v>
      </c>
      <c r="C714" s="5" t="s">
        <v>151</v>
      </c>
      <c r="D714" s="5" t="s">
        <v>10</v>
      </c>
      <c r="E714" s="5">
        <v>3.0</v>
      </c>
      <c r="F714" s="5" t="s">
        <v>713</v>
      </c>
      <c r="G714" s="5" t="s">
        <v>224</v>
      </c>
      <c r="H714" s="5">
        <v>1.0</v>
      </c>
      <c r="J714" s="5">
        <v>1.0</v>
      </c>
      <c r="K714" s="5">
        <v>1.0</v>
      </c>
      <c r="L714" s="5" t="b">
        <v>0</v>
      </c>
      <c r="N714" s="5" t="b">
        <v>0</v>
      </c>
      <c r="R714" s="5">
        <v>0.0</v>
      </c>
      <c r="T714" s="5">
        <v>5.0</v>
      </c>
      <c r="U714" s="5">
        <v>8.0</v>
      </c>
      <c r="V714" s="5" t="s">
        <v>721</v>
      </c>
      <c r="W714" s="81" t="s">
        <v>344</v>
      </c>
      <c r="X714" s="78" t="s">
        <v>715</v>
      </c>
      <c r="Y714" s="5">
        <v>2.0</v>
      </c>
      <c r="Z714" s="5">
        <v>1.0</v>
      </c>
      <c r="AA714" s="2">
        <f>2+ (P714*'Scoring System'!$B$3)+ (IF(OR(D714="DEF",D714="GK"),N714*'Scoring System'!$B$4,IF(D714="MID",N714*'Scoring System'!$B$5,0)))+ (IF(OR(D714="DEF",D714="GK"),H714*'Scoring System'!$B$6,IF(D714="MID",H714*'Scoring System'!$B$7,IF(D714="ATT",H714*'Scoring System'!$B$8,0))))+ IF(AND(OR(D714="GK",D714="DEF"),J714&gt;=3),1*'Scoring System'!$B$9,0)+ (I714*'Scoring System'!$B$10)+ (K714*'Scoring System'!$B$11)+ (M714*'Scoring System'!$B$12)+ (L714*'Scoring System'!$B$13)+ (O714*'Scoring System'!$B$14)+ (Q714*'Scoring System'!$B$15)+ (R714*'Scoring System'!$B$16)</f>
        <v>6</v>
      </c>
      <c r="AB714" s="3" t="b">
        <f>IFERROR(match(C714,'Match Day Fees'!$B$2:$B$999,0),0)=0</f>
        <v>0</v>
      </c>
      <c r="AC714" s="3">
        <f t="shared" si="2"/>
        <v>0</v>
      </c>
      <c r="AD714" s="3" t="str">
        <f>VLOOKUP(D714,'Position Lookup'!A:B,1,FALSE)</f>
        <v>MID</v>
      </c>
    </row>
    <row r="715" ht="17.25" customHeight="1">
      <c r="A715" s="31">
        <v>45206.0</v>
      </c>
      <c r="B715" s="5" t="s">
        <v>712</v>
      </c>
      <c r="C715" s="5" t="s">
        <v>112</v>
      </c>
      <c r="D715" s="5" t="s">
        <v>10</v>
      </c>
      <c r="E715" s="5">
        <v>3.0</v>
      </c>
      <c r="F715" s="5" t="s">
        <v>713</v>
      </c>
      <c r="G715" s="5" t="s">
        <v>224</v>
      </c>
      <c r="J715" s="5">
        <v>1.0</v>
      </c>
      <c r="N715" s="5" t="b">
        <v>0</v>
      </c>
      <c r="R715" s="5">
        <v>1.0</v>
      </c>
      <c r="T715" s="5">
        <v>10.0</v>
      </c>
      <c r="U715" s="5">
        <v>7.5</v>
      </c>
      <c r="V715" s="5" t="s">
        <v>722</v>
      </c>
      <c r="W715" s="81" t="s">
        <v>344</v>
      </c>
      <c r="X715" s="78" t="s">
        <v>715</v>
      </c>
      <c r="Y715" s="5">
        <v>2.0</v>
      </c>
      <c r="Z715" s="5">
        <v>1.0</v>
      </c>
      <c r="AA715" s="2">
        <f>2+ (P715*'Scoring System'!$B$3)+ (IF(OR(D715="DEF",D715="GK"),N715*'Scoring System'!$B$4,IF(D715="MID",N715*'Scoring System'!$B$5,0)))+ (IF(OR(D715="DEF",D715="GK"),H715*'Scoring System'!$B$6,IF(D715="MID",H715*'Scoring System'!$B$7,IF(D715="ATT",H715*'Scoring System'!$B$8,0))))+ IF(AND(OR(D715="GK",D715="DEF"),J715&gt;=3),1*'Scoring System'!$B$9,0)+ (I715*'Scoring System'!$B$10)+ (K715*'Scoring System'!$B$11)+ (M715*'Scoring System'!$B$12)+ (L715*'Scoring System'!$B$13)+ (O715*'Scoring System'!$B$14)+ (Q715*'Scoring System'!$B$15)+ (R715*'Scoring System'!$B$16)</f>
        <v>7</v>
      </c>
      <c r="AB715" s="3" t="b">
        <f>IFERROR(match(C715,'Match Day Fees'!$B$2:$B$999,0),0)=0</f>
        <v>0</v>
      </c>
      <c r="AC715" s="3">
        <f t="shared" si="2"/>
        <v>0</v>
      </c>
      <c r="AD715" s="3" t="str">
        <f>VLOOKUP(D715,'Position Lookup'!A:B,1,FALSE)</f>
        <v>MID</v>
      </c>
    </row>
    <row r="716" ht="17.25" customHeight="1">
      <c r="A716" s="31">
        <v>45206.0</v>
      </c>
      <c r="B716" s="5" t="s">
        <v>712</v>
      </c>
      <c r="C716" s="5" t="s">
        <v>48</v>
      </c>
      <c r="D716" s="5" t="s">
        <v>9</v>
      </c>
      <c r="E716" s="5">
        <v>3.0</v>
      </c>
      <c r="F716" s="5" t="s">
        <v>713</v>
      </c>
      <c r="G716" s="5" t="s">
        <v>224</v>
      </c>
      <c r="J716" s="5">
        <v>1.0</v>
      </c>
      <c r="N716" s="5" t="b">
        <v>0</v>
      </c>
      <c r="R716" s="5">
        <v>0.0</v>
      </c>
      <c r="T716" s="5">
        <v>10.0</v>
      </c>
      <c r="U716" s="5">
        <v>7.0</v>
      </c>
      <c r="V716" s="5" t="s">
        <v>723</v>
      </c>
      <c r="W716" s="81" t="s">
        <v>344</v>
      </c>
      <c r="X716" s="78" t="s">
        <v>715</v>
      </c>
      <c r="Y716" s="5">
        <v>2.0</v>
      </c>
      <c r="Z716" s="5">
        <v>1.0</v>
      </c>
      <c r="AA716" s="2">
        <f>2+ (P716*'Scoring System'!$B$3)+ (IF(OR(D716="DEF",D716="GK"),N716*'Scoring System'!$B$4,IF(D716="MID",N716*'Scoring System'!$B$5,0)))+ (IF(OR(D716="DEF",D716="GK"),H716*'Scoring System'!$B$6,IF(D716="MID",H716*'Scoring System'!$B$7,IF(D716="ATT",H716*'Scoring System'!$B$8,0))))+ IF(AND(OR(D716="GK",D716="DEF"),J716&gt;=3),1*'Scoring System'!$B$9,0)+ (I716*'Scoring System'!$B$10)+ (K716*'Scoring System'!$B$11)+ (M716*'Scoring System'!$B$12)+ (L716*'Scoring System'!$B$13)+ (O716*'Scoring System'!$B$14)+ (Q716*'Scoring System'!$B$15)+ (R716*'Scoring System'!$B$16)</f>
        <v>2</v>
      </c>
      <c r="AB716" s="3" t="b">
        <f>IFERROR(match(C716,'Match Day Fees'!$B$2:$B$999,0),0)=0</f>
        <v>0</v>
      </c>
      <c r="AC716" s="3">
        <f t="shared" si="2"/>
        <v>0</v>
      </c>
      <c r="AD716" s="3" t="str">
        <f>VLOOKUP(D716,'Position Lookup'!A:B,1,FALSE)</f>
        <v>ATT</v>
      </c>
    </row>
    <row r="717" ht="17.25" customHeight="1">
      <c r="A717" s="31">
        <v>45206.0</v>
      </c>
      <c r="B717" s="5" t="s">
        <v>712</v>
      </c>
      <c r="C717" s="5" t="s">
        <v>130</v>
      </c>
      <c r="D717" s="5" t="s">
        <v>9</v>
      </c>
      <c r="E717" s="5">
        <v>3.0</v>
      </c>
      <c r="F717" s="5" t="s">
        <v>713</v>
      </c>
      <c r="G717" s="5" t="s">
        <v>224</v>
      </c>
      <c r="H717" s="5">
        <v>1.0</v>
      </c>
      <c r="J717" s="5">
        <v>1.0</v>
      </c>
      <c r="N717" s="5" t="b">
        <v>0</v>
      </c>
      <c r="R717" s="5">
        <v>0.0</v>
      </c>
      <c r="T717" s="5">
        <v>10.0</v>
      </c>
      <c r="U717" s="5">
        <v>6.5</v>
      </c>
      <c r="V717" s="5" t="s">
        <v>724</v>
      </c>
      <c r="W717" s="81" t="s">
        <v>344</v>
      </c>
      <c r="X717" s="78" t="s">
        <v>715</v>
      </c>
      <c r="Y717" s="5">
        <v>2.0</v>
      </c>
      <c r="Z717" s="5">
        <v>1.0</v>
      </c>
      <c r="AA717" s="2">
        <f>2+ (P717*'Scoring System'!$B$3)+ (IF(OR(D717="DEF",D717="GK"),N717*'Scoring System'!$B$4,IF(D717="MID",N717*'Scoring System'!$B$5,0)))+ (IF(OR(D717="DEF",D717="GK"),H717*'Scoring System'!$B$6,IF(D717="MID",H717*'Scoring System'!$B$7,IF(D717="ATT",H717*'Scoring System'!$B$8,0))))+ IF(AND(OR(D717="GK",D717="DEF"),J717&gt;=3),1*'Scoring System'!$B$9,0)+ (I717*'Scoring System'!$B$10)+ (K717*'Scoring System'!$B$11)+ (M717*'Scoring System'!$B$12)+ (L717*'Scoring System'!$B$13)+ (O717*'Scoring System'!$B$14)+ (Q717*'Scoring System'!$B$15)+ (R717*'Scoring System'!$B$16)</f>
        <v>6</v>
      </c>
      <c r="AB717" s="3" t="b">
        <f>IFERROR(match(C717,'Match Day Fees'!$B$2:$B$999,0),0)=0</f>
        <v>0</v>
      </c>
      <c r="AC717" s="3">
        <f t="shared" si="2"/>
        <v>0</v>
      </c>
      <c r="AD717" s="3" t="str">
        <f>VLOOKUP(D717,'Position Lookup'!A:B,1,FALSE)</f>
        <v>ATT</v>
      </c>
    </row>
    <row r="718" ht="17.25" customHeight="1">
      <c r="A718" s="31">
        <v>45206.0</v>
      </c>
      <c r="B718" s="5" t="s">
        <v>712</v>
      </c>
      <c r="C718" s="5" t="s">
        <v>87</v>
      </c>
      <c r="D718" s="5" t="s">
        <v>9</v>
      </c>
      <c r="E718" s="5">
        <v>3.0</v>
      </c>
      <c r="F718" s="5" t="s">
        <v>713</v>
      </c>
      <c r="G718" s="5" t="s">
        <v>224</v>
      </c>
      <c r="J718" s="5">
        <v>1.0</v>
      </c>
      <c r="N718" s="5" t="b">
        <v>0</v>
      </c>
      <c r="R718" s="5">
        <v>0.0</v>
      </c>
      <c r="T718" s="5">
        <v>3.0</v>
      </c>
      <c r="U718" s="5">
        <v>5.5</v>
      </c>
      <c r="V718" s="5" t="s">
        <v>725</v>
      </c>
      <c r="W718" s="81" t="s">
        <v>344</v>
      </c>
      <c r="X718" s="78" t="s">
        <v>715</v>
      </c>
      <c r="Y718" s="5">
        <v>2.0</v>
      </c>
      <c r="Z718" s="5">
        <v>1.0</v>
      </c>
      <c r="AA718" s="2">
        <f>2+ (P718*'Scoring System'!$B$3)+ (IF(OR(D718="DEF",D718="GK"),N718*'Scoring System'!$B$4,IF(D718="MID",N718*'Scoring System'!$B$5,0)))+ (IF(OR(D718="DEF",D718="GK"),H718*'Scoring System'!$B$6,IF(D718="MID",H718*'Scoring System'!$B$7,IF(D718="ATT",H718*'Scoring System'!$B$8,0))))+ IF(AND(OR(D718="GK",D718="DEF"),J718&gt;=3),1*'Scoring System'!$B$9,0)+ (I718*'Scoring System'!$B$10)+ (K718*'Scoring System'!$B$11)+ (M718*'Scoring System'!$B$12)+ (L718*'Scoring System'!$B$13)+ (O718*'Scoring System'!$B$14)+ (Q718*'Scoring System'!$B$15)+ (R718*'Scoring System'!$B$16)</f>
        <v>2</v>
      </c>
      <c r="AB718" s="3" t="b">
        <f>IFERROR(match(C718,'Match Day Fees'!$B$2:$B$999,0),0)=0</f>
        <v>0</v>
      </c>
      <c r="AC718" s="3">
        <f t="shared" si="2"/>
        <v>0</v>
      </c>
      <c r="AD718" s="3" t="str">
        <f>VLOOKUP(D718,'Position Lookup'!A:B,1,FALSE)</f>
        <v>ATT</v>
      </c>
    </row>
    <row r="719" ht="17.25" customHeight="1">
      <c r="A719" s="31">
        <v>45206.0</v>
      </c>
      <c r="B719" s="5" t="s">
        <v>712</v>
      </c>
      <c r="C719" s="5" t="s">
        <v>105</v>
      </c>
      <c r="D719" s="5" t="s">
        <v>9</v>
      </c>
      <c r="E719" s="5">
        <v>3.0</v>
      </c>
      <c r="F719" s="5" t="s">
        <v>713</v>
      </c>
      <c r="G719" s="5" t="s">
        <v>224</v>
      </c>
      <c r="I719" s="5">
        <v>2.0</v>
      </c>
      <c r="J719" s="5">
        <v>1.0</v>
      </c>
      <c r="N719" s="5" t="b">
        <v>0</v>
      </c>
      <c r="R719" s="5">
        <v>0.0</v>
      </c>
      <c r="T719" s="5">
        <v>10.0</v>
      </c>
      <c r="U719" s="5">
        <v>6.5</v>
      </c>
      <c r="V719" s="5" t="s">
        <v>726</v>
      </c>
      <c r="W719" s="81" t="s">
        <v>344</v>
      </c>
      <c r="X719" s="78" t="s">
        <v>715</v>
      </c>
      <c r="Y719" s="5">
        <v>2.0</v>
      </c>
      <c r="Z719" s="5">
        <v>1.0</v>
      </c>
      <c r="AA719" s="2">
        <f>2+ (P719*'Scoring System'!$B$3)+ (IF(OR(D719="DEF",D719="GK"),N719*'Scoring System'!$B$4,IF(D719="MID",N719*'Scoring System'!$B$5,0)))+ (IF(OR(D719="DEF",D719="GK"),H719*'Scoring System'!$B$6,IF(D719="MID",H719*'Scoring System'!$B$7,IF(D719="ATT",H719*'Scoring System'!$B$8,0))))+ IF(AND(OR(D719="GK",D719="DEF"),J719&gt;=3),1*'Scoring System'!$B$9,0)+ (I719*'Scoring System'!$B$10)+ (K719*'Scoring System'!$B$11)+ (M719*'Scoring System'!$B$12)+ (L719*'Scoring System'!$B$13)+ (O719*'Scoring System'!$B$14)+ (Q719*'Scoring System'!$B$15)+ (R719*'Scoring System'!$B$16)</f>
        <v>8</v>
      </c>
      <c r="AB719" s="3" t="b">
        <f>IFERROR(match(C719,'Match Day Fees'!$B$2:$B$999,0),0)=0</f>
        <v>0</v>
      </c>
      <c r="AC719" s="3">
        <f t="shared" si="2"/>
        <v>0</v>
      </c>
      <c r="AD719" s="3" t="str">
        <f>VLOOKUP(D719,'Position Lookup'!A:B,1,FALSE)</f>
        <v>ATT</v>
      </c>
    </row>
    <row r="720" ht="17.25" customHeight="1">
      <c r="A720" s="31">
        <v>45206.0</v>
      </c>
      <c r="B720" s="5" t="s">
        <v>712</v>
      </c>
      <c r="C720" s="5" t="s">
        <v>58</v>
      </c>
      <c r="D720" s="5" t="s">
        <v>9</v>
      </c>
      <c r="E720" s="5">
        <v>3.0</v>
      </c>
      <c r="F720" s="5" t="s">
        <v>713</v>
      </c>
      <c r="G720" s="5" t="s">
        <v>224</v>
      </c>
      <c r="J720" s="5">
        <v>1.0</v>
      </c>
      <c r="N720" s="5" t="b">
        <v>0</v>
      </c>
      <c r="R720" s="5">
        <v>0.0</v>
      </c>
      <c r="T720" s="5">
        <v>5.0</v>
      </c>
      <c r="U720" s="5">
        <v>5.5</v>
      </c>
      <c r="V720" s="5" t="s">
        <v>727</v>
      </c>
      <c r="W720" s="81" t="s">
        <v>344</v>
      </c>
      <c r="X720" s="78" t="s">
        <v>715</v>
      </c>
      <c r="Y720" s="5">
        <v>2.0</v>
      </c>
      <c r="Z720" s="5">
        <v>1.0</v>
      </c>
      <c r="AA720" s="2">
        <f>2+ (P720*'Scoring System'!$B$3)+ (IF(OR(D720="DEF",D720="GK"),N720*'Scoring System'!$B$4,IF(D720="MID",N720*'Scoring System'!$B$5,0)))+ (IF(OR(D720="DEF",D720="GK"),H720*'Scoring System'!$B$6,IF(D720="MID",H720*'Scoring System'!$B$7,IF(D720="ATT",H720*'Scoring System'!$B$8,0))))+ IF(AND(OR(D720="GK",D720="DEF"),J720&gt;=3),1*'Scoring System'!$B$9,0)+ (I720*'Scoring System'!$B$10)+ (K720*'Scoring System'!$B$11)+ (M720*'Scoring System'!$B$12)+ (L720*'Scoring System'!$B$13)+ (O720*'Scoring System'!$B$14)+ (Q720*'Scoring System'!$B$15)+ (R720*'Scoring System'!$B$16)</f>
        <v>2</v>
      </c>
      <c r="AB720" s="3" t="b">
        <f>IFERROR(match(C720,'Match Day Fees'!$B$2:$B$999,0),0)=0</f>
        <v>0</v>
      </c>
      <c r="AC720" s="3">
        <f t="shared" si="2"/>
        <v>0</v>
      </c>
      <c r="AD720" s="3" t="str">
        <f>VLOOKUP(D720,'Position Lookup'!A:B,1,FALSE)</f>
        <v>ATT</v>
      </c>
    </row>
    <row r="721" ht="17.25" customHeight="1">
      <c r="A721" s="31">
        <v>45206.0</v>
      </c>
      <c r="B721" s="5" t="s">
        <v>309</v>
      </c>
      <c r="C721" s="5" t="s">
        <v>259</v>
      </c>
      <c r="D721" s="5" t="s">
        <v>8</v>
      </c>
      <c r="E721" s="5">
        <v>4.0</v>
      </c>
      <c r="F721" s="5" t="s">
        <v>728</v>
      </c>
      <c r="G721" s="5" t="s">
        <v>230</v>
      </c>
      <c r="J721" s="5">
        <v>6.0</v>
      </c>
      <c r="N721" s="5" t="b">
        <v>0</v>
      </c>
      <c r="R721" s="5">
        <v>0.0</v>
      </c>
      <c r="T721" s="5">
        <v>10.0</v>
      </c>
      <c r="U721" s="5">
        <v>2.0</v>
      </c>
      <c r="V721" s="5" t="s">
        <v>729</v>
      </c>
      <c r="W721" s="81" t="s">
        <v>730</v>
      </c>
      <c r="X721" s="78" t="s">
        <v>731</v>
      </c>
      <c r="Y721" s="5">
        <v>0.0</v>
      </c>
      <c r="Z721" s="5">
        <v>6.0</v>
      </c>
      <c r="AA721" s="2">
        <f>2+ (P721*'Scoring System'!$B$3)+ (IF(OR(D721="DEF",D721="GK"),N721*'Scoring System'!$B$4,IF(D721="MID",N721*'Scoring System'!$B$5,0)))+ (IF(OR(D721="DEF",D721="GK"),H721*'Scoring System'!$B$6,IF(D721="MID",H721*'Scoring System'!$B$7,IF(D721="ATT",H721*'Scoring System'!$B$8,0))))+ IF(AND(OR(D721="GK",D721="DEF"),J721&gt;=3),1*'Scoring System'!$B$9,0)+ (I721*'Scoring System'!$B$10)+ (K721*'Scoring System'!$B$11)+ (M721*'Scoring System'!$B$12)+ (L721*'Scoring System'!$B$13)+ (O721*'Scoring System'!$B$14)+ (Q721*'Scoring System'!$B$15)+ (R721*'Scoring System'!$B$16)</f>
        <v>1</v>
      </c>
      <c r="AB721" s="3" t="b">
        <f>IFERROR(match(C721,'Match Day Fees'!$B$2:$B$999,0),0)=0</f>
        <v>0</v>
      </c>
      <c r="AC721" s="3">
        <f t="shared" si="2"/>
        <v>0</v>
      </c>
      <c r="AD721" s="3" t="str">
        <f>VLOOKUP(D721,'Position Lookup'!A:B,1,FALSE)</f>
        <v>GK</v>
      </c>
    </row>
    <row r="722" ht="17.25" customHeight="1">
      <c r="A722" s="31">
        <v>45206.0</v>
      </c>
      <c r="B722" s="5" t="s">
        <v>309</v>
      </c>
      <c r="C722" s="5" t="s">
        <v>116</v>
      </c>
      <c r="D722" s="5" t="s">
        <v>11</v>
      </c>
      <c r="E722" s="5">
        <v>4.0</v>
      </c>
      <c r="F722" s="5" t="s">
        <v>728</v>
      </c>
      <c r="G722" s="5" t="s">
        <v>230</v>
      </c>
      <c r="J722" s="5">
        <v>6.0</v>
      </c>
      <c r="N722" s="5" t="b">
        <v>0</v>
      </c>
      <c r="R722" s="5">
        <v>0.0</v>
      </c>
      <c r="T722" s="5">
        <v>10.0</v>
      </c>
      <c r="U722" s="5">
        <v>5.0</v>
      </c>
      <c r="V722" s="5" t="s">
        <v>732</v>
      </c>
      <c r="W722" s="81" t="s">
        <v>730</v>
      </c>
      <c r="X722" s="78" t="s">
        <v>731</v>
      </c>
      <c r="Y722" s="5">
        <v>0.0</v>
      </c>
      <c r="Z722" s="5">
        <v>6.0</v>
      </c>
      <c r="AA722" s="2">
        <f>2+ (P722*'Scoring System'!$B$3)+ (IF(OR(D722="DEF",D722="GK"),N722*'Scoring System'!$B$4,IF(D722="MID",N722*'Scoring System'!$B$5,0)))+ (IF(OR(D722="DEF",D722="GK"),H722*'Scoring System'!$B$6,IF(D722="MID",H722*'Scoring System'!$B$7,IF(D722="ATT",H722*'Scoring System'!$B$8,0))))+ IF(AND(OR(D722="GK",D722="DEF"),J722&gt;=3),1*'Scoring System'!$B$9,0)+ (I722*'Scoring System'!$B$10)+ (K722*'Scoring System'!$B$11)+ (M722*'Scoring System'!$B$12)+ (L722*'Scoring System'!$B$13)+ (O722*'Scoring System'!$B$14)+ (Q722*'Scoring System'!$B$15)+ (R722*'Scoring System'!$B$16)</f>
        <v>1</v>
      </c>
      <c r="AB722" s="3" t="b">
        <f>IFERROR(match(C722,'Match Day Fees'!$B$2:$B$999,0),0)=0</f>
        <v>0</v>
      </c>
      <c r="AC722" s="3">
        <f t="shared" si="2"/>
        <v>0</v>
      </c>
      <c r="AD722" s="3" t="str">
        <f>VLOOKUP(D722,'Position Lookup'!A:B,1,FALSE)</f>
        <v>DEF</v>
      </c>
    </row>
    <row r="723" ht="17.25" customHeight="1">
      <c r="A723" s="31">
        <v>45206.0</v>
      </c>
      <c r="B723" s="5" t="s">
        <v>309</v>
      </c>
      <c r="C723" s="5" t="s">
        <v>126</v>
      </c>
      <c r="D723" s="5" t="s">
        <v>11</v>
      </c>
      <c r="E723" s="5">
        <v>4.0</v>
      </c>
      <c r="F723" s="5" t="s">
        <v>728</v>
      </c>
      <c r="G723" s="5" t="s">
        <v>230</v>
      </c>
      <c r="J723" s="5">
        <v>6.0</v>
      </c>
      <c r="N723" s="5" t="b">
        <v>0</v>
      </c>
      <c r="R723" s="5">
        <v>0.0</v>
      </c>
      <c r="T723" s="5">
        <v>5.0</v>
      </c>
      <c r="U723" s="5">
        <v>6.0</v>
      </c>
      <c r="V723" s="5" t="s">
        <v>733</v>
      </c>
      <c r="W723" s="81" t="s">
        <v>730</v>
      </c>
      <c r="X723" s="78" t="s">
        <v>731</v>
      </c>
      <c r="Y723" s="5">
        <v>0.0</v>
      </c>
      <c r="Z723" s="5">
        <v>6.0</v>
      </c>
      <c r="AA723" s="2">
        <f>2+ (P723*'Scoring System'!$B$3)+ (IF(OR(D723="DEF",D723="GK"),N723*'Scoring System'!$B$4,IF(D723="MID",N723*'Scoring System'!$B$5,0)))+ (IF(OR(D723="DEF",D723="GK"),H723*'Scoring System'!$B$6,IF(D723="MID",H723*'Scoring System'!$B$7,IF(D723="ATT",H723*'Scoring System'!$B$8,0))))+ IF(AND(OR(D723="GK",D723="DEF"),J723&gt;=3),1*'Scoring System'!$B$9,0)+ (I723*'Scoring System'!$B$10)+ (K723*'Scoring System'!$B$11)+ (M723*'Scoring System'!$B$12)+ (L723*'Scoring System'!$B$13)+ (O723*'Scoring System'!$B$14)+ (Q723*'Scoring System'!$B$15)+ (R723*'Scoring System'!$B$16)</f>
        <v>1</v>
      </c>
      <c r="AB723" s="3" t="b">
        <f>IFERROR(match(C723,'Match Day Fees'!$B$2:$B$999,0),0)=0</f>
        <v>0</v>
      </c>
      <c r="AC723" s="3">
        <f t="shared" si="2"/>
        <v>0</v>
      </c>
      <c r="AD723" s="3" t="str">
        <f>VLOOKUP(D723,'Position Lookup'!A:B,1,FALSE)</f>
        <v>DEF</v>
      </c>
    </row>
    <row r="724" ht="17.25" customHeight="1">
      <c r="A724" s="31">
        <v>45206.0</v>
      </c>
      <c r="B724" s="5" t="s">
        <v>309</v>
      </c>
      <c r="C724" s="5" t="s">
        <v>125</v>
      </c>
      <c r="D724" s="5" t="s">
        <v>10</v>
      </c>
      <c r="E724" s="5">
        <v>4.0</v>
      </c>
      <c r="F724" s="5" t="s">
        <v>728</v>
      </c>
      <c r="G724" s="5" t="s">
        <v>230</v>
      </c>
      <c r="J724" s="5">
        <v>6.0</v>
      </c>
      <c r="N724" s="5" t="b">
        <v>0</v>
      </c>
      <c r="R724" s="5">
        <v>0.0</v>
      </c>
      <c r="T724" s="5">
        <v>10.0</v>
      </c>
      <c r="U724" s="5">
        <v>5.5</v>
      </c>
      <c r="V724" s="5" t="s">
        <v>734</v>
      </c>
      <c r="W724" s="81" t="s">
        <v>730</v>
      </c>
      <c r="X724" s="78" t="s">
        <v>731</v>
      </c>
      <c r="Y724" s="5">
        <v>0.0</v>
      </c>
      <c r="Z724" s="5">
        <v>6.0</v>
      </c>
      <c r="AA724" s="2">
        <f>2+ (P724*'Scoring System'!$B$3)+ (IF(OR(D724="DEF",D724="GK"),N724*'Scoring System'!$B$4,IF(D724="MID",N724*'Scoring System'!$B$5,0)))+ (IF(OR(D724="DEF",D724="GK"),H724*'Scoring System'!$B$6,IF(D724="MID",H724*'Scoring System'!$B$7,IF(D724="ATT",H724*'Scoring System'!$B$8,0))))+ IF(AND(OR(D724="GK",D724="DEF"),J724&gt;=3),1*'Scoring System'!$B$9,0)+ (I724*'Scoring System'!$B$10)+ (K724*'Scoring System'!$B$11)+ (M724*'Scoring System'!$B$12)+ (L724*'Scoring System'!$B$13)+ (O724*'Scoring System'!$B$14)+ (Q724*'Scoring System'!$B$15)+ (R724*'Scoring System'!$B$16)</f>
        <v>2</v>
      </c>
      <c r="AB724" s="3" t="b">
        <f>IFERROR(match(C724,'Match Day Fees'!$B$2:$B$999,0),0)=0</f>
        <v>0</v>
      </c>
      <c r="AC724" s="3">
        <f t="shared" si="2"/>
        <v>0</v>
      </c>
      <c r="AD724" s="3" t="str">
        <f>VLOOKUP(D724,'Position Lookup'!A:B,1,FALSE)</f>
        <v>MID</v>
      </c>
    </row>
    <row r="725" ht="17.25" customHeight="1">
      <c r="A725" s="31">
        <v>45206.0</v>
      </c>
      <c r="B725" s="5" t="s">
        <v>309</v>
      </c>
      <c r="C725" s="5" t="s">
        <v>44</v>
      </c>
      <c r="D725" s="5" t="s">
        <v>11</v>
      </c>
      <c r="E725" s="5">
        <v>4.0</v>
      </c>
      <c r="F725" s="5" t="s">
        <v>728</v>
      </c>
      <c r="G725" s="5" t="s">
        <v>230</v>
      </c>
      <c r="J725" s="5">
        <v>6.0</v>
      </c>
      <c r="N725" s="5" t="b">
        <v>0</v>
      </c>
      <c r="R725" s="5">
        <v>1.0</v>
      </c>
      <c r="S725" s="5" t="b">
        <v>0</v>
      </c>
      <c r="T725" s="5">
        <v>5.0</v>
      </c>
      <c r="U725" s="5">
        <v>7.5</v>
      </c>
      <c r="V725" s="5" t="s">
        <v>735</v>
      </c>
      <c r="W725" s="81" t="s">
        <v>730</v>
      </c>
      <c r="X725" s="78" t="s">
        <v>731</v>
      </c>
      <c r="Y725" s="5">
        <v>0.0</v>
      </c>
      <c r="Z725" s="5">
        <v>6.0</v>
      </c>
      <c r="AA725" s="2">
        <f>2+ (P725*'Scoring System'!$B$3)+ (IF(OR(D725="DEF",D725="GK"),N725*'Scoring System'!$B$4,IF(D725="MID",N725*'Scoring System'!$B$5,0)))+ (IF(OR(D725="DEF",D725="GK"),H725*'Scoring System'!$B$6,IF(D725="MID",H725*'Scoring System'!$B$7,IF(D725="ATT",H725*'Scoring System'!$B$8,0))))+ IF(AND(OR(D725="GK",D725="DEF"),J725&gt;=3),1*'Scoring System'!$B$9,0)+ (I725*'Scoring System'!$B$10)+ (K725*'Scoring System'!$B$11)+ (M725*'Scoring System'!$B$12)+ (L725*'Scoring System'!$B$13)+ (O725*'Scoring System'!$B$14)+ (Q725*'Scoring System'!$B$15)+ (R725*'Scoring System'!$B$16)</f>
        <v>6</v>
      </c>
      <c r="AB725" s="3" t="b">
        <f>IFERROR(match(C725,'Match Day Fees'!$B$2:$B$999,0),0)=0</f>
        <v>0</v>
      </c>
      <c r="AC725" s="3">
        <f t="shared" si="2"/>
        <v>0</v>
      </c>
      <c r="AD725" s="3" t="str">
        <f>VLOOKUP(D725,'Position Lookup'!A:B,1,FALSE)</f>
        <v>DEF</v>
      </c>
    </row>
    <row r="726" ht="17.25" customHeight="1">
      <c r="A726" s="31">
        <v>45206.0</v>
      </c>
      <c r="B726" s="5" t="s">
        <v>309</v>
      </c>
      <c r="C726" s="5" t="s">
        <v>133</v>
      </c>
      <c r="D726" s="5" t="s">
        <v>11</v>
      </c>
      <c r="E726" s="5">
        <v>4.0</v>
      </c>
      <c r="F726" s="5" t="s">
        <v>728</v>
      </c>
      <c r="G726" s="5" t="s">
        <v>230</v>
      </c>
      <c r="J726" s="5">
        <v>6.0</v>
      </c>
      <c r="N726" s="5" t="b">
        <v>0</v>
      </c>
      <c r="R726" s="5">
        <v>0.0</v>
      </c>
      <c r="T726" s="5">
        <v>10.0</v>
      </c>
      <c r="U726" s="5">
        <v>6.0</v>
      </c>
      <c r="V726" s="5" t="s">
        <v>736</v>
      </c>
      <c r="W726" s="81" t="s">
        <v>730</v>
      </c>
      <c r="X726" s="78" t="s">
        <v>731</v>
      </c>
      <c r="Y726" s="5">
        <v>0.0</v>
      </c>
      <c r="Z726" s="5">
        <v>6.0</v>
      </c>
      <c r="AA726" s="2">
        <f>2+ (P726*'Scoring System'!$B$3)+ (IF(OR(D726="DEF",D726="GK"),N726*'Scoring System'!$B$4,IF(D726="MID",N726*'Scoring System'!$B$5,0)))+ (IF(OR(D726="DEF",D726="GK"),H726*'Scoring System'!$B$6,IF(D726="MID",H726*'Scoring System'!$B$7,IF(D726="ATT",H726*'Scoring System'!$B$8,0))))+ IF(AND(OR(D726="GK",D726="DEF"),J726&gt;=3),1*'Scoring System'!$B$9,0)+ (I726*'Scoring System'!$B$10)+ (K726*'Scoring System'!$B$11)+ (M726*'Scoring System'!$B$12)+ (L726*'Scoring System'!$B$13)+ (O726*'Scoring System'!$B$14)+ (Q726*'Scoring System'!$B$15)+ (R726*'Scoring System'!$B$16)</f>
        <v>1</v>
      </c>
      <c r="AB726" s="3" t="b">
        <f>IFERROR(match(C726,'Match Day Fees'!$B$2:$B$999,0),0)=0</f>
        <v>0</v>
      </c>
      <c r="AC726" s="3">
        <f t="shared" si="2"/>
        <v>0</v>
      </c>
      <c r="AD726" s="3" t="str">
        <f>VLOOKUP(D726,'Position Lookup'!A:B,1,FALSE)</f>
        <v>DEF</v>
      </c>
    </row>
    <row r="727" ht="17.25" customHeight="1">
      <c r="A727" s="31">
        <v>45206.0</v>
      </c>
      <c r="B727" s="5" t="s">
        <v>309</v>
      </c>
      <c r="C727" s="5" t="s">
        <v>136</v>
      </c>
      <c r="D727" s="5" t="s">
        <v>10</v>
      </c>
      <c r="E727" s="5">
        <v>4.0</v>
      </c>
      <c r="F727" s="5" t="s">
        <v>728</v>
      </c>
      <c r="G727" s="5" t="s">
        <v>230</v>
      </c>
      <c r="J727" s="5">
        <v>6.0</v>
      </c>
      <c r="N727" s="5" t="b">
        <v>0</v>
      </c>
      <c r="R727" s="5">
        <v>0.0</v>
      </c>
      <c r="S727" s="5" t="b">
        <v>1</v>
      </c>
      <c r="T727" s="5">
        <v>0.0</v>
      </c>
      <c r="U727" s="5">
        <v>7.0</v>
      </c>
      <c r="V727" s="5" t="s">
        <v>737</v>
      </c>
      <c r="W727" s="81" t="s">
        <v>730</v>
      </c>
      <c r="X727" s="78" t="s">
        <v>731</v>
      </c>
      <c r="Y727" s="5">
        <v>0.0</v>
      </c>
      <c r="Z727" s="5">
        <v>6.0</v>
      </c>
      <c r="AA727" s="2">
        <f>2+ (P727*'Scoring System'!$B$3)+ (IF(OR(D727="DEF",D727="GK"),N727*'Scoring System'!$B$4,IF(D727="MID",N727*'Scoring System'!$B$5,0)))+ (IF(OR(D727="DEF",D727="GK"),H727*'Scoring System'!$B$6,IF(D727="MID",H727*'Scoring System'!$B$7,IF(D727="ATT",H727*'Scoring System'!$B$8,0))))+ IF(AND(OR(D727="GK",D727="DEF"),J727&gt;=3),1*'Scoring System'!$B$9,0)+ (I727*'Scoring System'!$B$10)+ (K727*'Scoring System'!$B$11)+ (M727*'Scoring System'!$B$12)+ (L727*'Scoring System'!$B$13)+ (O727*'Scoring System'!$B$14)+ (Q727*'Scoring System'!$B$15)+ (R727*'Scoring System'!$B$16)</f>
        <v>2</v>
      </c>
      <c r="AB727" s="3" t="b">
        <f>IFERROR(match(C727,'Match Day Fees'!$B$2:$B$999,0),0)=0</f>
        <v>0</v>
      </c>
      <c r="AC727" s="3">
        <f t="shared" si="2"/>
        <v>0</v>
      </c>
      <c r="AD727" s="3" t="str">
        <f>VLOOKUP(D727,'Position Lookup'!A:B,1,FALSE)</f>
        <v>MID</v>
      </c>
    </row>
    <row r="728" ht="17.25" customHeight="1">
      <c r="A728" s="31">
        <v>45206.0</v>
      </c>
      <c r="B728" s="5" t="s">
        <v>309</v>
      </c>
      <c r="C728" s="5" t="s">
        <v>45</v>
      </c>
      <c r="D728" s="5" t="s">
        <v>9</v>
      </c>
      <c r="E728" s="5">
        <v>4.0</v>
      </c>
      <c r="F728" s="5" t="s">
        <v>728</v>
      </c>
      <c r="G728" s="5" t="s">
        <v>230</v>
      </c>
      <c r="J728" s="5">
        <v>6.0</v>
      </c>
      <c r="N728" s="5" t="b">
        <v>0</v>
      </c>
      <c r="O728" s="5">
        <v>1.0</v>
      </c>
      <c r="R728" s="5">
        <v>0.0</v>
      </c>
      <c r="T728" s="5">
        <v>10.0</v>
      </c>
      <c r="U728" s="5">
        <v>6.5</v>
      </c>
      <c r="V728" s="5" t="s">
        <v>738</v>
      </c>
      <c r="W728" s="81" t="s">
        <v>730</v>
      </c>
      <c r="X728" s="78" t="s">
        <v>731</v>
      </c>
      <c r="Y728" s="5">
        <v>0.0</v>
      </c>
      <c r="Z728" s="5">
        <v>6.0</v>
      </c>
      <c r="AA728" s="2">
        <f>2+ (P728*'Scoring System'!$B$3)+ (IF(OR(D728="DEF",D728="GK"),N728*'Scoring System'!$B$4,IF(D728="MID",N728*'Scoring System'!$B$5,0)))+ (IF(OR(D728="DEF",D728="GK"),H728*'Scoring System'!$B$6,IF(D728="MID",H728*'Scoring System'!$B$7,IF(D728="ATT",H728*'Scoring System'!$B$8,0))))+ IF(AND(OR(D728="GK",D728="DEF"),J728&gt;=3),1*'Scoring System'!$B$9,0)+ (I728*'Scoring System'!$B$10)+ (K728*'Scoring System'!$B$11)+ (M728*'Scoring System'!$B$12)+ (L728*'Scoring System'!$B$13)+ (O728*'Scoring System'!$B$14)+ (Q728*'Scoring System'!$B$15)+ (R728*'Scoring System'!$B$16)</f>
        <v>0</v>
      </c>
      <c r="AB728" s="3" t="b">
        <f>IFERROR(match(C728,'Match Day Fees'!$B$2:$B$999,0),0)=0</f>
        <v>0</v>
      </c>
      <c r="AC728" s="3">
        <f t="shared" si="2"/>
        <v>0</v>
      </c>
      <c r="AD728" s="3" t="str">
        <f>VLOOKUP(D728,'Position Lookup'!A:B,1,FALSE)</f>
        <v>ATT</v>
      </c>
    </row>
    <row r="729" ht="17.25" customHeight="1">
      <c r="A729" s="31">
        <v>45206.0</v>
      </c>
      <c r="B729" s="5" t="s">
        <v>309</v>
      </c>
      <c r="C729" s="5" t="s">
        <v>124</v>
      </c>
      <c r="D729" s="5" t="s">
        <v>9</v>
      </c>
      <c r="E729" s="5">
        <v>4.0</v>
      </c>
      <c r="F729" s="5" t="s">
        <v>728</v>
      </c>
      <c r="G729" s="5" t="s">
        <v>230</v>
      </c>
      <c r="J729" s="5">
        <v>6.0</v>
      </c>
      <c r="M729" s="5" t="b">
        <v>1</v>
      </c>
      <c r="N729" s="5" t="b">
        <v>0</v>
      </c>
      <c r="O729" s="5">
        <v>1.0</v>
      </c>
      <c r="R729" s="5">
        <v>0.0</v>
      </c>
      <c r="T729" s="5">
        <v>10.0</v>
      </c>
      <c r="U729" s="5">
        <v>6.0</v>
      </c>
      <c r="V729" s="5" t="s">
        <v>739</v>
      </c>
      <c r="W729" s="81" t="s">
        <v>730</v>
      </c>
      <c r="X729" s="78" t="s">
        <v>731</v>
      </c>
      <c r="Y729" s="5">
        <v>0.0</v>
      </c>
      <c r="Z729" s="5">
        <v>6.0</v>
      </c>
      <c r="AA729" s="2">
        <f>2+ (P729*'Scoring System'!$B$3)+ (IF(OR(D729="DEF",D729="GK"),N729*'Scoring System'!$B$4,IF(D729="MID",N729*'Scoring System'!$B$5,0)))+ (IF(OR(D729="DEF",D729="GK"),H729*'Scoring System'!$B$6,IF(D729="MID",H729*'Scoring System'!$B$7,IF(D729="ATT",H729*'Scoring System'!$B$8,0))))+ IF(AND(OR(D729="GK",D729="DEF"),J729&gt;=3),1*'Scoring System'!$B$9,0)+ (I729*'Scoring System'!$B$10)+ (K729*'Scoring System'!$B$11)+ (M729*'Scoring System'!$B$12)+ (L729*'Scoring System'!$B$13)+ (O729*'Scoring System'!$B$14)+ (Q729*'Scoring System'!$B$15)+ (R729*'Scoring System'!$B$16)</f>
        <v>-3</v>
      </c>
      <c r="AB729" s="3" t="b">
        <f>IFERROR(match(C729,'Match Day Fees'!$B$2:$B$999,0),0)=0</f>
        <v>0</v>
      </c>
      <c r="AC729" s="3">
        <f t="shared" si="2"/>
        <v>0</v>
      </c>
      <c r="AD729" s="3" t="str">
        <f>VLOOKUP(D729,'Position Lookup'!A:B,1,FALSE)</f>
        <v>ATT</v>
      </c>
    </row>
    <row r="730" ht="17.25" customHeight="1">
      <c r="A730" s="31">
        <v>45206.0</v>
      </c>
      <c r="B730" s="5" t="s">
        <v>309</v>
      </c>
      <c r="C730" s="5" t="s">
        <v>70</v>
      </c>
      <c r="D730" s="5" t="s">
        <v>9</v>
      </c>
      <c r="E730" s="5">
        <v>4.0</v>
      </c>
      <c r="F730" s="5" t="s">
        <v>728</v>
      </c>
      <c r="G730" s="5" t="s">
        <v>230</v>
      </c>
      <c r="J730" s="5">
        <v>6.0</v>
      </c>
      <c r="N730" s="5" t="b">
        <v>0</v>
      </c>
      <c r="R730" s="5">
        <v>0.0</v>
      </c>
      <c r="T730" s="5">
        <v>10.0</v>
      </c>
      <c r="U730" s="5">
        <v>5.5</v>
      </c>
      <c r="V730" s="5" t="s">
        <v>740</v>
      </c>
      <c r="W730" s="81" t="s">
        <v>730</v>
      </c>
      <c r="X730" s="78" t="s">
        <v>731</v>
      </c>
      <c r="Y730" s="5">
        <v>0.0</v>
      </c>
      <c r="Z730" s="5">
        <v>6.0</v>
      </c>
      <c r="AA730" s="2">
        <f>2+ (P730*'Scoring System'!$B$3)+ (IF(OR(D730="DEF",D730="GK"),N730*'Scoring System'!$B$4,IF(D730="MID",N730*'Scoring System'!$B$5,0)))+ (IF(OR(D730="DEF",D730="GK"),H730*'Scoring System'!$B$6,IF(D730="MID",H730*'Scoring System'!$B$7,IF(D730="ATT",H730*'Scoring System'!$B$8,0))))+ IF(AND(OR(D730="GK",D730="DEF"),J730&gt;=3),1*'Scoring System'!$B$9,0)+ (I730*'Scoring System'!$B$10)+ (K730*'Scoring System'!$B$11)+ (M730*'Scoring System'!$B$12)+ (L730*'Scoring System'!$B$13)+ (O730*'Scoring System'!$B$14)+ (Q730*'Scoring System'!$B$15)+ (R730*'Scoring System'!$B$16)</f>
        <v>2</v>
      </c>
      <c r="AB730" s="3" t="b">
        <f>IFERROR(match(C730,'Match Day Fees'!$B$2:$B$999,0),0)=0</f>
        <v>0</v>
      </c>
      <c r="AC730" s="3">
        <f t="shared" si="2"/>
        <v>0</v>
      </c>
      <c r="AD730" s="3" t="str">
        <f>VLOOKUP(D730,'Position Lookup'!A:B,1,FALSE)</f>
        <v>ATT</v>
      </c>
    </row>
    <row r="731" ht="17.25" customHeight="1">
      <c r="A731" s="31">
        <v>45206.0</v>
      </c>
      <c r="B731" s="5" t="s">
        <v>309</v>
      </c>
      <c r="C731" s="5" t="s">
        <v>474</v>
      </c>
      <c r="D731" s="5" t="s">
        <v>10</v>
      </c>
      <c r="E731" s="5">
        <v>4.0</v>
      </c>
      <c r="F731" s="5" t="s">
        <v>728</v>
      </c>
      <c r="G731" s="5" t="s">
        <v>230</v>
      </c>
      <c r="J731" s="5">
        <v>6.0</v>
      </c>
      <c r="N731" s="5" t="b">
        <v>0</v>
      </c>
      <c r="R731" s="5">
        <v>0.0</v>
      </c>
      <c r="T731" s="5">
        <v>10.0</v>
      </c>
      <c r="U731" s="5">
        <v>6.0</v>
      </c>
      <c r="V731" s="5" t="s">
        <v>741</v>
      </c>
      <c r="W731" s="81" t="s">
        <v>730</v>
      </c>
      <c r="X731" s="78" t="s">
        <v>731</v>
      </c>
      <c r="Y731" s="5">
        <v>0.0</v>
      </c>
      <c r="Z731" s="5">
        <v>6.0</v>
      </c>
      <c r="AA731" s="2">
        <f>2+ (P731*'Scoring System'!$B$3)+ (IF(OR(D731="DEF",D731="GK"),N731*'Scoring System'!$B$4,IF(D731="MID",N731*'Scoring System'!$B$5,0)))+ (IF(OR(D731="DEF",D731="GK"),H731*'Scoring System'!$B$6,IF(D731="MID",H731*'Scoring System'!$B$7,IF(D731="ATT",H731*'Scoring System'!$B$8,0))))+ IF(AND(OR(D731="GK",D731="DEF"),J731&gt;=3),1*'Scoring System'!$B$9,0)+ (I731*'Scoring System'!$B$10)+ (K731*'Scoring System'!$B$11)+ (M731*'Scoring System'!$B$12)+ (L731*'Scoring System'!$B$13)+ (O731*'Scoring System'!$B$14)+ (Q731*'Scoring System'!$B$15)+ (R731*'Scoring System'!$B$16)</f>
        <v>2</v>
      </c>
      <c r="AB731" s="3" t="b">
        <f>IFERROR(match(C731,'Match Day Fees'!$B$2:$B$999,0),0)=0</f>
        <v>0</v>
      </c>
      <c r="AC731" s="3">
        <f t="shared" si="2"/>
        <v>0</v>
      </c>
      <c r="AD731" s="3" t="str">
        <f>VLOOKUP(D731,'Position Lookup'!A:B,1,FALSE)</f>
        <v>MID</v>
      </c>
    </row>
    <row r="732" ht="17.25" customHeight="1">
      <c r="A732" s="31">
        <v>45206.0</v>
      </c>
      <c r="B732" s="5" t="s">
        <v>309</v>
      </c>
      <c r="C732" s="5" t="s">
        <v>296</v>
      </c>
      <c r="D732" s="5" t="s">
        <v>10</v>
      </c>
      <c r="E732" s="5">
        <v>4.0</v>
      </c>
      <c r="F732" s="5" t="s">
        <v>728</v>
      </c>
      <c r="G732" s="5" t="s">
        <v>230</v>
      </c>
      <c r="J732" s="5">
        <v>6.0</v>
      </c>
      <c r="K732" s="5">
        <v>1.0</v>
      </c>
      <c r="N732" s="5" t="b">
        <v>0</v>
      </c>
      <c r="R732" s="5">
        <v>0.0</v>
      </c>
      <c r="T732" s="5">
        <v>10.0</v>
      </c>
      <c r="U732" s="5">
        <v>6.5</v>
      </c>
      <c r="V732" s="5" t="s">
        <v>742</v>
      </c>
      <c r="W732" s="81" t="s">
        <v>730</v>
      </c>
      <c r="X732" s="78" t="s">
        <v>731</v>
      </c>
      <c r="Y732" s="5">
        <v>0.0</v>
      </c>
      <c r="Z732" s="5">
        <v>6.0</v>
      </c>
      <c r="AA732" s="2">
        <f>2+ (P732*'Scoring System'!$B$3)+ (IF(OR(D732="DEF",D732="GK"),N732*'Scoring System'!$B$4,IF(D732="MID",N732*'Scoring System'!$B$5,0)))+ (IF(OR(D732="DEF",D732="GK"),H732*'Scoring System'!$B$6,IF(D732="MID",H732*'Scoring System'!$B$7,IF(D732="ATT",H732*'Scoring System'!$B$8,0))))+ IF(AND(OR(D732="GK",D732="DEF"),J732&gt;=3),1*'Scoring System'!$B$9,0)+ (I732*'Scoring System'!$B$10)+ (K732*'Scoring System'!$B$11)+ (M732*'Scoring System'!$B$12)+ (L732*'Scoring System'!$B$13)+ (O732*'Scoring System'!$B$14)+ (Q732*'Scoring System'!$B$15)+ (R732*'Scoring System'!$B$16)</f>
        <v>1</v>
      </c>
      <c r="AB732" s="3" t="b">
        <f>IFERROR(match(C732,'Match Day Fees'!$B$2:$B$999,0),0)=0</f>
        <v>0</v>
      </c>
      <c r="AC732" s="3">
        <f t="shared" si="2"/>
        <v>0</v>
      </c>
      <c r="AD732" s="3" t="str">
        <f>VLOOKUP(D732,'Position Lookup'!A:B,1,FALSE)</f>
        <v>MID</v>
      </c>
    </row>
    <row r="733" ht="17.25" customHeight="1">
      <c r="A733" s="31">
        <v>45206.0</v>
      </c>
      <c r="B733" s="5" t="s">
        <v>309</v>
      </c>
      <c r="C733" s="5" t="s">
        <v>106</v>
      </c>
      <c r="D733" s="5" t="s">
        <v>8</v>
      </c>
      <c r="E733" s="5">
        <v>5.0</v>
      </c>
      <c r="F733" s="5" t="s">
        <v>743</v>
      </c>
      <c r="G733" s="5" t="s">
        <v>230</v>
      </c>
      <c r="J733" s="5">
        <v>5.0</v>
      </c>
      <c r="N733" s="5" t="b">
        <v>0</v>
      </c>
      <c r="R733" s="5">
        <v>0.0</v>
      </c>
      <c r="S733" s="5" t="b">
        <v>1</v>
      </c>
      <c r="T733" s="5">
        <v>0.0</v>
      </c>
      <c r="U733" s="3">
        <v>6.0</v>
      </c>
      <c r="V733" s="5" t="s">
        <v>744</v>
      </c>
      <c r="W733" s="81" t="s">
        <v>745</v>
      </c>
      <c r="X733" s="78" t="s">
        <v>746</v>
      </c>
      <c r="Y733" s="5">
        <v>3.0</v>
      </c>
      <c r="Z733" s="5">
        <v>5.0</v>
      </c>
      <c r="AA733" s="2">
        <f>2+ (P733*'Scoring System'!$B$3)+ (IF(OR(D733="DEF",D733="GK"),N733*'Scoring System'!$B$4,IF(D733="MID",N733*'Scoring System'!$B$5,0)))+ (IF(OR(D733="DEF",D733="GK"),H733*'Scoring System'!$B$6,IF(D733="MID",H733*'Scoring System'!$B$7,IF(D733="ATT",H733*'Scoring System'!$B$8,0))))+ IF(AND(OR(D733="GK",D733="DEF"),J733&gt;=3),1*'Scoring System'!$B$9,0)+ (I733*'Scoring System'!$B$10)+ (K733*'Scoring System'!$B$11)+ (M733*'Scoring System'!$B$12)+ (L733*'Scoring System'!$B$13)+ (O733*'Scoring System'!$B$14)+ (Q733*'Scoring System'!$B$15)+ (R733*'Scoring System'!$B$16)</f>
        <v>1</v>
      </c>
      <c r="AB733" s="3" t="b">
        <f>IFERROR(match(C733,'Match Day Fees'!$B$2:$B$999,0),0)=0</f>
        <v>0</v>
      </c>
      <c r="AC733" s="3">
        <f t="shared" si="2"/>
        <v>0</v>
      </c>
      <c r="AD733" s="3" t="str">
        <f>VLOOKUP(D733,'Position Lookup'!A:B,1,FALSE)</f>
        <v>GK</v>
      </c>
    </row>
    <row r="734" ht="17.25" customHeight="1">
      <c r="A734" s="31">
        <v>45206.0</v>
      </c>
      <c r="B734" s="5" t="s">
        <v>309</v>
      </c>
      <c r="C734" s="5" t="s">
        <v>154</v>
      </c>
      <c r="D734" s="5" t="s">
        <v>11</v>
      </c>
      <c r="E734" s="5">
        <v>5.0</v>
      </c>
      <c r="F734" s="5" t="s">
        <v>743</v>
      </c>
      <c r="G734" s="5" t="s">
        <v>230</v>
      </c>
      <c r="J734" s="5">
        <v>5.0</v>
      </c>
      <c r="N734" s="5" t="b">
        <v>0</v>
      </c>
      <c r="R734" s="5">
        <v>0.0</v>
      </c>
      <c r="S734" s="5" t="b">
        <v>0</v>
      </c>
      <c r="T734" s="5">
        <v>10.0</v>
      </c>
      <c r="U734" s="3">
        <v>6.5</v>
      </c>
      <c r="V734" s="5" t="s">
        <v>747</v>
      </c>
      <c r="W734" s="81" t="s">
        <v>745</v>
      </c>
      <c r="X734" s="78" t="s">
        <v>746</v>
      </c>
      <c r="Y734" s="5">
        <v>3.0</v>
      </c>
      <c r="Z734" s="5">
        <v>5.0</v>
      </c>
      <c r="AA734" s="2">
        <f>2+ (P734*'Scoring System'!$B$3)+ (IF(OR(D734="DEF",D734="GK"),N734*'Scoring System'!$B$4,IF(D734="MID",N734*'Scoring System'!$B$5,0)))+ (IF(OR(D734="DEF",D734="GK"),H734*'Scoring System'!$B$6,IF(D734="MID",H734*'Scoring System'!$B$7,IF(D734="ATT",H734*'Scoring System'!$B$8,0))))+ IF(AND(OR(D734="GK",D734="DEF"),J734&gt;=3),1*'Scoring System'!$B$9,0)+ (I734*'Scoring System'!$B$10)+ (K734*'Scoring System'!$B$11)+ (M734*'Scoring System'!$B$12)+ (L734*'Scoring System'!$B$13)+ (O734*'Scoring System'!$B$14)+ (Q734*'Scoring System'!$B$15)+ (R734*'Scoring System'!$B$16)</f>
        <v>1</v>
      </c>
      <c r="AB734" s="3" t="b">
        <f>IFERROR(match(C734,'Match Day Fees'!$B$2:$B$999,0),0)=0</f>
        <v>0</v>
      </c>
      <c r="AC734" s="3">
        <f t="shared" si="2"/>
        <v>0</v>
      </c>
      <c r="AD734" s="3" t="str">
        <f>VLOOKUP(D734,'Position Lookup'!A:B,1,FALSE)</f>
        <v>DEF</v>
      </c>
    </row>
    <row r="735" ht="17.25" customHeight="1">
      <c r="A735" s="31">
        <v>45206.0</v>
      </c>
      <c r="B735" s="5" t="s">
        <v>309</v>
      </c>
      <c r="C735" s="5" t="s">
        <v>138</v>
      </c>
      <c r="D735" s="5" t="s">
        <v>11</v>
      </c>
      <c r="E735" s="5">
        <v>5.0</v>
      </c>
      <c r="F735" s="5" t="s">
        <v>743</v>
      </c>
      <c r="G735" s="5" t="s">
        <v>230</v>
      </c>
      <c r="J735" s="5">
        <v>5.0</v>
      </c>
      <c r="N735" s="5" t="b">
        <v>0</v>
      </c>
      <c r="R735" s="5">
        <v>0.0</v>
      </c>
      <c r="T735" s="5">
        <v>10.0</v>
      </c>
      <c r="U735" s="3">
        <v>7.0</v>
      </c>
      <c r="V735" s="5" t="s">
        <v>748</v>
      </c>
      <c r="W735" s="81" t="s">
        <v>745</v>
      </c>
      <c r="X735" s="78" t="s">
        <v>746</v>
      </c>
      <c r="Y735" s="5">
        <v>3.0</v>
      </c>
      <c r="Z735" s="5">
        <v>5.0</v>
      </c>
      <c r="AA735" s="2">
        <f>2+ (P735*'Scoring System'!$B$3)+ (IF(OR(D735="DEF",D735="GK"),N735*'Scoring System'!$B$4,IF(D735="MID",N735*'Scoring System'!$B$5,0)))+ (IF(OR(D735="DEF",D735="GK"),H735*'Scoring System'!$B$6,IF(D735="MID",H735*'Scoring System'!$B$7,IF(D735="ATT",H735*'Scoring System'!$B$8,0))))+ IF(AND(OR(D735="GK",D735="DEF"),J735&gt;=3),1*'Scoring System'!$B$9,0)+ (I735*'Scoring System'!$B$10)+ (K735*'Scoring System'!$B$11)+ (M735*'Scoring System'!$B$12)+ (L735*'Scoring System'!$B$13)+ (O735*'Scoring System'!$B$14)+ (Q735*'Scoring System'!$B$15)+ (R735*'Scoring System'!$B$16)</f>
        <v>1</v>
      </c>
      <c r="AB735" s="3" t="b">
        <f>IFERROR(match(C735,'Match Day Fees'!$B$2:$B$999,0),0)=0</f>
        <v>0</v>
      </c>
      <c r="AC735" s="3">
        <f t="shared" si="2"/>
        <v>0</v>
      </c>
      <c r="AD735" s="3" t="str">
        <f>VLOOKUP(D735,'Position Lookup'!A:B,1,FALSE)</f>
        <v>DEF</v>
      </c>
    </row>
    <row r="736" ht="17.25" customHeight="1">
      <c r="A736" s="31">
        <v>45206.0</v>
      </c>
      <c r="B736" s="5" t="s">
        <v>309</v>
      </c>
      <c r="C736" s="5" t="s">
        <v>108</v>
      </c>
      <c r="D736" s="5" t="s">
        <v>11</v>
      </c>
      <c r="E736" s="5">
        <v>5.0</v>
      </c>
      <c r="F736" s="5" t="s">
        <v>743</v>
      </c>
      <c r="G736" s="5" t="s">
        <v>230</v>
      </c>
      <c r="J736" s="5">
        <v>5.0</v>
      </c>
      <c r="N736" s="5" t="b">
        <v>0</v>
      </c>
      <c r="R736" s="5">
        <v>0.0</v>
      </c>
      <c r="T736" s="5">
        <v>10.0</v>
      </c>
      <c r="U736" s="3">
        <v>7.0</v>
      </c>
      <c r="V736" s="5" t="s">
        <v>749</v>
      </c>
      <c r="W736" s="81" t="s">
        <v>745</v>
      </c>
      <c r="X736" s="78" t="s">
        <v>746</v>
      </c>
      <c r="Y736" s="5">
        <v>3.0</v>
      </c>
      <c r="Z736" s="5">
        <v>5.0</v>
      </c>
      <c r="AA736" s="2">
        <f>2+ (P736*'Scoring System'!$B$3)+ (IF(OR(D736="DEF",D736="GK"),N736*'Scoring System'!$B$4,IF(D736="MID",N736*'Scoring System'!$B$5,0)))+ (IF(OR(D736="DEF",D736="GK"),H736*'Scoring System'!$B$6,IF(D736="MID",H736*'Scoring System'!$B$7,IF(D736="ATT",H736*'Scoring System'!$B$8,0))))+ IF(AND(OR(D736="GK",D736="DEF"),J736&gt;=3),1*'Scoring System'!$B$9,0)+ (I736*'Scoring System'!$B$10)+ (K736*'Scoring System'!$B$11)+ (M736*'Scoring System'!$B$12)+ (L736*'Scoring System'!$B$13)+ (O736*'Scoring System'!$B$14)+ (Q736*'Scoring System'!$B$15)+ (R736*'Scoring System'!$B$16)</f>
        <v>1</v>
      </c>
      <c r="AB736" s="3" t="b">
        <f>IFERROR(match(C736,'Match Day Fees'!$B$2:$B$999,0),0)=0</f>
        <v>0</v>
      </c>
      <c r="AC736" s="3">
        <f t="shared" si="2"/>
        <v>0</v>
      </c>
      <c r="AD736" s="3" t="str">
        <f>VLOOKUP(D736,'Position Lookup'!A:B,1,FALSE)</f>
        <v>DEF</v>
      </c>
    </row>
    <row r="737" ht="17.25" customHeight="1">
      <c r="A737" s="31">
        <v>45206.0</v>
      </c>
      <c r="B737" s="5" t="s">
        <v>309</v>
      </c>
      <c r="C737" s="5" t="s">
        <v>145</v>
      </c>
      <c r="D737" s="5" t="s">
        <v>11</v>
      </c>
      <c r="E737" s="5">
        <v>5.0</v>
      </c>
      <c r="F737" s="5" t="s">
        <v>743</v>
      </c>
      <c r="G737" s="5" t="s">
        <v>230</v>
      </c>
      <c r="J737" s="5">
        <v>5.0</v>
      </c>
      <c r="N737" s="5" t="b">
        <v>0</v>
      </c>
      <c r="R737" s="5">
        <v>0.0</v>
      </c>
      <c r="T737" s="5">
        <v>10.0</v>
      </c>
      <c r="U737" s="3">
        <v>6.0</v>
      </c>
      <c r="V737" s="5" t="s">
        <v>750</v>
      </c>
      <c r="W737" s="81" t="s">
        <v>745</v>
      </c>
      <c r="X737" s="78" t="s">
        <v>746</v>
      </c>
      <c r="Y737" s="5">
        <v>3.0</v>
      </c>
      <c r="Z737" s="5">
        <v>5.0</v>
      </c>
      <c r="AA737" s="2">
        <f>2+ (P737*'Scoring System'!$B$3)+ (IF(OR(D737="DEF",D737="GK"),N737*'Scoring System'!$B$4,IF(D737="MID",N737*'Scoring System'!$B$5,0)))+ (IF(OR(D737="DEF",D737="GK"),H737*'Scoring System'!$B$6,IF(D737="MID",H737*'Scoring System'!$B$7,IF(D737="ATT",H737*'Scoring System'!$B$8,0))))+ IF(AND(OR(D737="GK",D737="DEF"),J737&gt;=3),1*'Scoring System'!$B$9,0)+ (I737*'Scoring System'!$B$10)+ (K737*'Scoring System'!$B$11)+ (M737*'Scoring System'!$B$12)+ (L737*'Scoring System'!$B$13)+ (O737*'Scoring System'!$B$14)+ (Q737*'Scoring System'!$B$15)+ (R737*'Scoring System'!$B$16)</f>
        <v>1</v>
      </c>
      <c r="AB737" s="3" t="b">
        <f>IFERROR(match(C737,'Match Day Fees'!$B$2:$B$999,0),0)=0</f>
        <v>0</v>
      </c>
      <c r="AC737" s="3">
        <f t="shared" si="2"/>
        <v>0</v>
      </c>
      <c r="AD737" s="3" t="str">
        <f>VLOOKUP(D737,'Position Lookup'!A:B,1,FALSE)</f>
        <v>DEF</v>
      </c>
    </row>
    <row r="738" ht="17.25" customHeight="1">
      <c r="A738" s="31">
        <v>45206.0</v>
      </c>
      <c r="B738" s="5" t="s">
        <v>309</v>
      </c>
      <c r="C738" s="5" t="s">
        <v>103</v>
      </c>
      <c r="D738" s="5" t="s">
        <v>10</v>
      </c>
      <c r="E738" s="5">
        <v>5.0</v>
      </c>
      <c r="F738" s="5" t="s">
        <v>743</v>
      </c>
      <c r="G738" s="5" t="s">
        <v>230</v>
      </c>
      <c r="I738" s="5">
        <v>1.0</v>
      </c>
      <c r="J738" s="5">
        <v>5.0</v>
      </c>
      <c r="N738" s="5" t="b">
        <v>0</v>
      </c>
      <c r="R738" s="5">
        <v>1.0</v>
      </c>
      <c r="T738" s="5">
        <v>10.0</v>
      </c>
      <c r="U738" s="3">
        <v>8.0</v>
      </c>
      <c r="V738" s="5" t="s">
        <v>751</v>
      </c>
      <c r="W738" s="81" t="s">
        <v>745</v>
      </c>
      <c r="X738" s="78" t="s">
        <v>746</v>
      </c>
      <c r="Y738" s="5">
        <v>3.0</v>
      </c>
      <c r="Z738" s="5">
        <v>5.0</v>
      </c>
      <c r="AA738" s="2">
        <f>2+ (P738*'Scoring System'!$B$3)+ (IF(OR(D738="DEF",D738="GK"),N738*'Scoring System'!$B$4,IF(D738="MID",N738*'Scoring System'!$B$5,0)))+ (IF(OR(D738="DEF",D738="GK"),H738*'Scoring System'!$B$6,IF(D738="MID",H738*'Scoring System'!$B$7,IF(D738="ATT",H738*'Scoring System'!$B$8,0))))+ IF(AND(OR(D738="GK",D738="DEF"),J738&gt;=3),1*'Scoring System'!$B$9,0)+ (I738*'Scoring System'!$B$10)+ (K738*'Scoring System'!$B$11)+ (M738*'Scoring System'!$B$12)+ (L738*'Scoring System'!$B$13)+ (O738*'Scoring System'!$B$14)+ (Q738*'Scoring System'!$B$15)+ (R738*'Scoring System'!$B$16)</f>
        <v>10</v>
      </c>
      <c r="AB738" s="3" t="b">
        <f>IFERROR(match(C738,'Match Day Fees'!$B$2:$B$999,0),0)=0</f>
        <v>0</v>
      </c>
      <c r="AC738" s="3">
        <f t="shared" si="2"/>
        <v>0</v>
      </c>
      <c r="AD738" s="3" t="str">
        <f>VLOOKUP(D738,'Position Lookup'!A:B,1,FALSE)</f>
        <v>MID</v>
      </c>
    </row>
    <row r="739" ht="17.25" customHeight="1">
      <c r="A739" s="31">
        <v>45206.0</v>
      </c>
      <c r="B739" s="5" t="s">
        <v>309</v>
      </c>
      <c r="C739" s="5" t="s">
        <v>72</v>
      </c>
      <c r="D739" s="5" t="s">
        <v>10</v>
      </c>
      <c r="E739" s="5">
        <v>5.0</v>
      </c>
      <c r="F739" s="5" t="s">
        <v>743</v>
      </c>
      <c r="G739" s="5" t="s">
        <v>230</v>
      </c>
      <c r="J739" s="5">
        <v>5.0</v>
      </c>
      <c r="N739" s="5" t="b">
        <v>0</v>
      </c>
      <c r="R739" s="5">
        <v>0.0</v>
      </c>
      <c r="T739" s="5">
        <v>5.0</v>
      </c>
      <c r="U739" s="3">
        <v>7.0</v>
      </c>
      <c r="V739" s="5" t="s">
        <v>752</v>
      </c>
      <c r="W739" s="81" t="s">
        <v>745</v>
      </c>
      <c r="X739" s="78" t="s">
        <v>746</v>
      </c>
      <c r="Y739" s="5">
        <v>3.0</v>
      </c>
      <c r="Z739" s="5">
        <v>5.0</v>
      </c>
      <c r="AA739" s="2">
        <f>2+ (P739*'Scoring System'!$B$3)+ (IF(OR(D739="DEF",D739="GK"),N739*'Scoring System'!$B$4,IF(D739="MID",N739*'Scoring System'!$B$5,0)))+ (IF(OR(D739="DEF",D739="GK"),H739*'Scoring System'!$B$6,IF(D739="MID",H739*'Scoring System'!$B$7,IF(D739="ATT",H739*'Scoring System'!$B$8,0))))+ IF(AND(OR(D739="GK",D739="DEF"),J739&gt;=3),1*'Scoring System'!$B$9,0)+ (I739*'Scoring System'!$B$10)+ (K739*'Scoring System'!$B$11)+ (M739*'Scoring System'!$B$12)+ (L739*'Scoring System'!$B$13)+ (O739*'Scoring System'!$B$14)+ (Q739*'Scoring System'!$B$15)+ (R739*'Scoring System'!$B$16)</f>
        <v>2</v>
      </c>
      <c r="AB739" s="3" t="b">
        <f>IFERROR(match(C739,'Match Day Fees'!$B$2:$B$999,0),0)=0</f>
        <v>0</v>
      </c>
      <c r="AC739" s="3">
        <f t="shared" si="2"/>
        <v>0</v>
      </c>
      <c r="AD739" s="3" t="str">
        <f>VLOOKUP(D739,'Position Lookup'!A:B,1,FALSE)</f>
        <v>MID</v>
      </c>
    </row>
    <row r="740" ht="17.25" customHeight="1">
      <c r="A740" s="31">
        <v>45206.0</v>
      </c>
      <c r="B740" s="5" t="s">
        <v>309</v>
      </c>
      <c r="C740" s="5" t="s">
        <v>237</v>
      </c>
      <c r="D740" s="5" t="s">
        <v>10</v>
      </c>
      <c r="E740" s="5">
        <v>5.0</v>
      </c>
      <c r="F740" s="5" t="s">
        <v>743</v>
      </c>
      <c r="G740" s="5" t="s">
        <v>230</v>
      </c>
      <c r="J740" s="5">
        <v>5.0</v>
      </c>
      <c r="N740" s="5" t="b">
        <v>0</v>
      </c>
      <c r="R740" s="5">
        <v>0.0</v>
      </c>
      <c r="S740" s="5" t="b">
        <v>0</v>
      </c>
      <c r="T740" s="5">
        <v>10.0</v>
      </c>
      <c r="U740" s="3">
        <v>7.0</v>
      </c>
      <c r="V740" s="5" t="s">
        <v>753</v>
      </c>
      <c r="W740" s="81" t="s">
        <v>745</v>
      </c>
      <c r="X740" s="78" t="s">
        <v>746</v>
      </c>
      <c r="Y740" s="5">
        <v>3.0</v>
      </c>
      <c r="Z740" s="5">
        <v>5.0</v>
      </c>
      <c r="AA740" s="2">
        <f>2+ (P740*'Scoring System'!$B$3)+ (IF(OR(D740="DEF",D740="GK"),N740*'Scoring System'!$B$4,IF(D740="MID",N740*'Scoring System'!$B$5,0)))+ (IF(OR(D740="DEF",D740="GK"),H740*'Scoring System'!$B$6,IF(D740="MID",H740*'Scoring System'!$B$7,IF(D740="ATT",H740*'Scoring System'!$B$8,0))))+ IF(AND(OR(D740="GK",D740="DEF"),J740&gt;=3),1*'Scoring System'!$B$9,0)+ (I740*'Scoring System'!$B$10)+ (K740*'Scoring System'!$B$11)+ (M740*'Scoring System'!$B$12)+ (L740*'Scoring System'!$B$13)+ (O740*'Scoring System'!$B$14)+ (Q740*'Scoring System'!$B$15)+ (R740*'Scoring System'!$B$16)</f>
        <v>2</v>
      </c>
      <c r="AB740" s="3" t="b">
        <f>IFERROR(match(C740,'Match Day Fees'!$B$2:$B$999,0),0)=0</f>
        <v>0</v>
      </c>
      <c r="AC740" s="3">
        <f t="shared" si="2"/>
        <v>0</v>
      </c>
      <c r="AD740" s="3" t="str">
        <f>VLOOKUP(D740,'Position Lookup'!A:B,1,FALSE)</f>
        <v>MID</v>
      </c>
    </row>
    <row r="741" ht="17.25" customHeight="1">
      <c r="A741" s="31">
        <v>45206.0</v>
      </c>
      <c r="B741" s="5" t="s">
        <v>309</v>
      </c>
      <c r="C741" s="5" t="s">
        <v>95</v>
      </c>
      <c r="D741" s="5" t="s">
        <v>9</v>
      </c>
      <c r="E741" s="5">
        <v>5.0</v>
      </c>
      <c r="F741" s="5" t="s">
        <v>743</v>
      </c>
      <c r="G741" s="5" t="s">
        <v>230</v>
      </c>
      <c r="H741" s="5">
        <v>1.0</v>
      </c>
      <c r="J741" s="5">
        <v>5.0</v>
      </c>
      <c r="N741" s="5" t="b">
        <v>0</v>
      </c>
      <c r="R741" s="5">
        <v>0.0</v>
      </c>
      <c r="S741" s="5" t="b">
        <v>0</v>
      </c>
      <c r="T741" s="5">
        <v>10.0</v>
      </c>
      <c r="U741" s="3">
        <v>7.5</v>
      </c>
      <c r="V741" s="5" t="s">
        <v>754</v>
      </c>
      <c r="W741" s="81" t="s">
        <v>745</v>
      </c>
      <c r="X741" s="78" t="s">
        <v>746</v>
      </c>
      <c r="Y741" s="5">
        <v>3.0</v>
      </c>
      <c r="Z741" s="5">
        <v>5.0</v>
      </c>
      <c r="AA741" s="2">
        <f>2+ (P741*'Scoring System'!$B$3)+ (IF(OR(D741="DEF",D741="GK"),N741*'Scoring System'!$B$4,IF(D741="MID",N741*'Scoring System'!$B$5,0)))+ (IF(OR(D741="DEF",D741="GK"),H741*'Scoring System'!$B$6,IF(D741="MID",H741*'Scoring System'!$B$7,IF(D741="ATT",H741*'Scoring System'!$B$8,0))))+ IF(AND(OR(D741="GK",D741="DEF"),J741&gt;=3),1*'Scoring System'!$B$9,0)+ (I741*'Scoring System'!$B$10)+ (K741*'Scoring System'!$B$11)+ (M741*'Scoring System'!$B$12)+ (L741*'Scoring System'!$B$13)+ (O741*'Scoring System'!$B$14)+ (Q741*'Scoring System'!$B$15)+ (R741*'Scoring System'!$B$16)</f>
        <v>6</v>
      </c>
      <c r="AB741" s="3" t="b">
        <f>IFERROR(match(C741,'Match Day Fees'!$B$2:$B$999,0),0)=0</f>
        <v>0</v>
      </c>
      <c r="AC741" s="3">
        <f t="shared" si="2"/>
        <v>0</v>
      </c>
      <c r="AD741" s="3" t="str">
        <f>VLOOKUP(D741,'Position Lookup'!A:B,1,FALSE)</f>
        <v>ATT</v>
      </c>
    </row>
    <row r="742" ht="17.25" customHeight="1">
      <c r="A742" s="31">
        <v>45206.0</v>
      </c>
      <c r="B742" s="5" t="s">
        <v>309</v>
      </c>
      <c r="C742" s="5" t="s">
        <v>140</v>
      </c>
      <c r="D742" s="5" t="s">
        <v>9</v>
      </c>
      <c r="E742" s="5">
        <v>5.0</v>
      </c>
      <c r="F742" s="5" t="s">
        <v>743</v>
      </c>
      <c r="G742" s="5" t="s">
        <v>230</v>
      </c>
      <c r="H742" s="5">
        <v>1.0</v>
      </c>
      <c r="J742" s="5">
        <v>5.0</v>
      </c>
      <c r="N742" s="5" t="b">
        <v>0</v>
      </c>
      <c r="R742" s="5">
        <v>0.0</v>
      </c>
      <c r="S742" s="5" t="b">
        <v>0</v>
      </c>
      <c r="T742" s="5">
        <v>10.0</v>
      </c>
      <c r="U742" s="3">
        <v>7.0</v>
      </c>
      <c r="V742" s="5" t="s">
        <v>755</v>
      </c>
      <c r="W742" s="81" t="s">
        <v>745</v>
      </c>
      <c r="X742" s="78" t="s">
        <v>746</v>
      </c>
      <c r="Y742" s="5">
        <v>3.0</v>
      </c>
      <c r="Z742" s="5">
        <v>5.0</v>
      </c>
      <c r="AA742" s="2">
        <f>2+ (P742*'Scoring System'!$B$3)+ (IF(OR(D742="DEF",D742="GK"),N742*'Scoring System'!$B$4,IF(D742="MID",N742*'Scoring System'!$B$5,0)))+ (IF(OR(D742="DEF",D742="GK"),H742*'Scoring System'!$B$6,IF(D742="MID",H742*'Scoring System'!$B$7,IF(D742="ATT",H742*'Scoring System'!$B$8,0))))+ IF(AND(OR(D742="GK",D742="DEF"),J742&gt;=3),1*'Scoring System'!$B$9,0)+ (I742*'Scoring System'!$B$10)+ (K742*'Scoring System'!$B$11)+ (M742*'Scoring System'!$B$12)+ (L742*'Scoring System'!$B$13)+ (O742*'Scoring System'!$B$14)+ (Q742*'Scoring System'!$B$15)+ (R742*'Scoring System'!$B$16)</f>
        <v>6</v>
      </c>
      <c r="AB742" s="3" t="b">
        <f>IFERROR(match(C742,'Match Day Fees'!$B$2:$B$999,0),0)=0</f>
        <v>0</v>
      </c>
      <c r="AC742" s="3">
        <f t="shared" si="2"/>
        <v>0</v>
      </c>
      <c r="AD742" s="3" t="str">
        <f>VLOOKUP(D742,'Position Lookup'!A:B,1,FALSE)</f>
        <v>ATT</v>
      </c>
    </row>
    <row r="743" ht="17.25" customHeight="1">
      <c r="A743" s="31">
        <v>45206.0</v>
      </c>
      <c r="B743" s="5" t="s">
        <v>309</v>
      </c>
      <c r="C743" s="5" t="s">
        <v>139</v>
      </c>
      <c r="D743" s="5" t="s">
        <v>9</v>
      </c>
      <c r="E743" s="5">
        <v>5.0</v>
      </c>
      <c r="F743" s="5" t="s">
        <v>743</v>
      </c>
      <c r="G743" s="5" t="s">
        <v>230</v>
      </c>
      <c r="J743" s="5">
        <v>5.0</v>
      </c>
      <c r="N743" s="5" t="b">
        <v>0</v>
      </c>
      <c r="R743" s="5">
        <v>0.0</v>
      </c>
      <c r="S743" s="5" t="b">
        <v>0</v>
      </c>
      <c r="T743" s="5">
        <v>10.0</v>
      </c>
      <c r="U743" s="3">
        <v>7.0</v>
      </c>
      <c r="V743" s="5" t="s">
        <v>756</v>
      </c>
      <c r="W743" s="81" t="s">
        <v>745</v>
      </c>
      <c r="X743" s="78" t="s">
        <v>746</v>
      </c>
      <c r="Y743" s="5">
        <v>3.0</v>
      </c>
      <c r="Z743" s="5">
        <v>5.0</v>
      </c>
      <c r="AA743" s="2">
        <f>2+ (P743*'Scoring System'!$B$3)+ (IF(OR(D743="DEF",D743="GK"),N743*'Scoring System'!$B$4,IF(D743="MID",N743*'Scoring System'!$B$5,0)))+ (IF(OR(D743="DEF",D743="GK"),H743*'Scoring System'!$B$6,IF(D743="MID",H743*'Scoring System'!$B$7,IF(D743="ATT",H743*'Scoring System'!$B$8,0))))+ IF(AND(OR(D743="GK",D743="DEF"),J743&gt;=3),1*'Scoring System'!$B$9,0)+ (I743*'Scoring System'!$B$10)+ (K743*'Scoring System'!$B$11)+ (M743*'Scoring System'!$B$12)+ (L743*'Scoring System'!$B$13)+ (O743*'Scoring System'!$B$14)+ (Q743*'Scoring System'!$B$15)+ (R743*'Scoring System'!$B$16)</f>
        <v>2</v>
      </c>
      <c r="AB743" s="3" t="b">
        <f>IFERROR(match(C743,'Match Day Fees'!$B$2:$B$999,0),0)=0</f>
        <v>0</v>
      </c>
      <c r="AC743" s="3">
        <f t="shared" si="2"/>
        <v>0</v>
      </c>
      <c r="AD743" s="3" t="str">
        <f>VLOOKUP(D743,'Position Lookup'!A:B,1,FALSE)</f>
        <v>ATT</v>
      </c>
    </row>
    <row r="744" ht="17.25" customHeight="1">
      <c r="A744" s="31">
        <v>45206.0</v>
      </c>
      <c r="B744" s="5" t="s">
        <v>309</v>
      </c>
      <c r="C744" s="5" t="s">
        <v>109</v>
      </c>
      <c r="D744" s="5" t="s">
        <v>9</v>
      </c>
      <c r="E744" s="5">
        <v>5.0</v>
      </c>
      <c r="F744" s="5" t="s">
        <v>743</v>
      </c>
      <c r="G744" s="5" t="s">
        <v>230</v>
      </c>
      <c r="I744" s="5">
        <v>1.0</v>
      </c>
      <c r="J744" s="5">
        <v>5.0</v>
      </c>
      <c r="N744" s="5" t="b">
        <v>0</v>
      </c>
      <c r="R744" s="5">
        <v>0.0</v>
      </c>
      <c r="S744" s="5" t="b">
        <v>0</v>
      </c>
      <c r="T744" s="5">
        <v>5.0</v>
      </c>
      <c r="U744" s="3">
        <v>7.5</v>
      </c>
      <c r="V744" s="5" t="s">
        <v>757</v>
      </c>
      <c r="W744" s="81" t="s">
        <v>745</v>
      </c>
      <c r="X744" s="78" t="s">
        <v>746</v>
      </c>
      <c r="Y744" s="5">
        <v>3.0</v>
      </c>
      <c r="Z744" s="5">
        <v>5.0</v>
      </c>
      <c r="AA744" s="2">
        <f>2+ (P744*'Scoring System'!$B$3)+ (IF(OR(D744="DEF",D744="GK"),N744*'Scoring System'!$B$4,IF(D744="MID",N744*'Scoring System'!$B$5,0)))+ (IF(OR(D744="DEF",D744="GK"),H744*'Scoring System'!$B$6,IF(D744="MID",H744*'Scoring System'!$B$7,IF(D744="ATT",H744*'Scoring System'!$B$8,0))))+ IF(AND(OR(D744="GK",D744="DEF"),J744&gt;=3),1*'Scoring System'!$B$9,0)+ (I744*'Scoring System'!$B$10)+ (K744*'Scoring System'!$B$11)+ (M744*'Scoring System'!$B$12)+ (L744*'Scoring System'!$B$13)+ (O744*'Scoring System'!$B$14)+ (Q744*'Scoring System'!$B$15)+ (R744*'Scoring System'!$B$16)</f>
        <v>5</v>
      </c>
      <c r="AB744" s="3" t="b">
        <f>IFERROR(match(C744,'Match Day Fees'!$B$2:$B$999,0),0)=0</f>
        <v>0</v>
      </c>
      <c r="AC744" s="3">
        <f t="shared" si="2"/>
        <v>0</v>
      </c>
      <c r="AD744" s="3" t="str">
        <f>VLOOKUP(D744,'Position Lookup'!A:B,1,FALSE)</f>
        <v>ATT</v>
      </c>
    </row>
    <row r="745" ht="17.25" customHeight="1">
      <c r="A745" s="31">
        <v>45206.0</v>
      </c>
      <c r="B745" s="5" t="s">
        <v>309</v>
      </c>
      <c r="C745" s="5" t="s">
        <v>591</v>
      </c>
      <c r="D745" s="5" t="s">
        <v>9</v>
      </c>
      <c r="E745" s="5">
        <v>5.0</v>
      </c>
      <c r="F745" s="5" t="s">
        <v>743</v>
      </c>
      <c r="G745" s="5" t="s">
        <v>230</v>
      </c>
      <c r="H745" s="5">
        <v>1.0</v>
      </c>
      <c r="J745" s="5">
        <v>5.0</v>
      </c>
      <c r="N745" s="5" t="b">
        <v>0</v>
      </c>
      <c r="R745" s="5">
        <v>0.0</v>
      </c>
      <c r="S745" s="5" t="b">
        <v>0</v>
      </c>
      <c r="T745" s="5">
        <v>10.0</v>
      </c>
      <c r="U745" s="3">
        <v>7.0</v>
      </c>
      <c r="V745" s="5" t="s">
        <v>758</v>
      </c>
      <c r="W745" s="81" t="s">
        <v>745</v>
      </c>
      <c r="X745" s="78" t="s">
        <v>746</v>
      </c>
      <c r="Y745" s="5">
        <v>3.0</v>
      </c>
      <c r="Z745" s="5">
        <v>5.0</v>
      </c>
      <c r="AA745" s="2">
        <f>2+ (P745*'Scoring System'!$B$3)+ (IF(OR(D745="DEF",D745="GK"),N745*'Scoring System'!$B$4,IF(D745="MID",N745*'Scoring System'!$B$5,0)))+ (IF(OR(D745="DEF",D745="GK"),H745*'Scoring System'!$B$6,IF(D745="MID",H745*'Scoring System'!$B$7,IF(D745="ATT",H745*'Scoring System'!$B$8,0))))+ IF(AND(OR(D745="GK",D745="DEF"),J745&gt;=3),1*'Scoring System'!$B$9,0)+ (I745*'Scoring System'!$B$10)+ (K745*'Scoring System'!$B$11)+ (M745*'Scoring System'!$B$12)+ (L745*'Scoring System'!$B$13)+ (O745*'Scoring System'!$B$14)+ (Q745*'Scoring System'!$B$15)+ (R745*'Scoring System'!$B$16)</f>
        <v>6</v>
      </c>
      <c r="AB745" s="3" t="b">
        <f>IFERROR(match(C745,'Match Day Fees'!$B$2:$B$999,0),0)=0</f>
        <v>0</v>
      </c>
      <c r="AC745" s="3">
        <f t="shared" si="2"/>
        <v>0</v>
      </c>
      <c r="AD745" s="3" t="str">
        <f>VLOOKUP(D745,'Position Lookup'!A:B,1,FALSE)</f>
        <v>ATT</v>
      </c>
    </row>
    <row r="746" ht="17.25" customHeight="1">
      <c r="A746" s="31">
        <v>45206.0</v>
      </c>
      <c r="B746" s="5" t="s">
        <v>309</v>
      </c>
      <c r="C746" s="5" t="s">
        <v>117</v>
      </c>
      <c r="D746" s="5" t="s">
        <v>11</v>
      </c>
      <c r="E746" s="5">
        <v>5.0</v>
      </c>
      <c r="F746" s="5" t="s">
        <v>743</v>
      </c>
      <c r="G746" s="5" t="s">
        <v>230</v>
      </c>
      <c r="J746" s="5">
        <v>5.0</v>
      </c>
      <c r="N746" s="5" t="b">
        <v>0</v>
      </c>
      <c r="R746" s="5">
        <v>0.0</v>
      </c>
      <c r="S746" s="5" t="b">
        <v>0</v>
      </c>
      <c r="T746" s="5">
        <v>5.0</v>
      </c>
      <c r="U746" s="3">
        <v>6.5</v>
      </c>
      <c r="V746" s="5" t="s">
        <v>759</v>
      </c>
      <c r="W746" s="81" t="s">
        <v>745</v>
      </c>
      <c r="X746" s="78" t="s">
        <v>746</v>
      </c>
      <c r="Y746" s="5">
        <v>3.0</v>
      </c>
      <c r="Z746" s="5">
        <v>5.0</v>
      </c>
      <c r="AA746" s="2">
        <f>2+ (P746*'Scoring System'!$B$3)+ (IF(OR(D746="DEF",D746="GK"),N746*'Scoring System'!$B$4,IF(D746="MID",N746*'Scoring System'!$B$5,0)))+ (IF(OR(D746="DEF",D746="GK"),H746*'Scoring System'!$B$6,IF(D746="MID",H746*'Scoring System'!$B$7,IF(D746="ATT",H746*'Scoring System'!$B$8,0))))+ IF(AND(OR(D746="GK",D746="DEF"),J746&gt;=3),1*'Scoring System'!$B$9,0)+ (I746*'Scoring System'!$B$10)+ (K746*'Scoring System'!$B$11)+ (M746*'Scoring System'!$B$12)+ (L746*'Scoring System'!$B$13)+ (O746*'Scoring System'!$B$14)+ (Q746*'Scoring System'!$B$15)+ (R746*'Scoring System'!$B$16)</f>
        <v>1</v>
      </c>
      <c r="AB746" s="3" t="b">
        <f>IFERROR(match(C746,'Match Day Fees'!$B$2:$B$999,0),0)=0</f>
        <v>0</v>
      </c>
      <c r="AC746" s="3">
        <f t="shared" si="2"/>
        <v>0</v>
      </c>
      <c r="AD746" s="3" t="str">
        <f>VLOOKUP(D746,'Position Lookup'!A:B,1,FALSE)</f>
        <v>DEF</v>
      </c>
    </row>
    <row r="747" ht="17.25" customHeight="1">
      <c r="A747" s="31">
        <v>45206.0</v>
      </c>
      <c r="B747" s="5" t="s">
        <v>712</v>
      </c>
      <c r="C747" s="5" t="s">
        <v>76</v>
      </c>
      <c r="D747" s="5" t="s">
        <v>8</v>
      </c>
      <c r="E747" s="5">
        <v>6.0</v>
      </c>
      <c r="F747" s="5" t="s">
        <v>760</v>
      </c>
      <c r="G747" s="5" t="s">
        <v>224</v>
      </c>
      <c r="I747" s="5">
        <v>2.0</v>
      </c>
      <c r="J747" s="5">
        <v>0.0</v>
      </c>
      <c r="N747" s="5" t="b">
        <v>1</v>
      </c>
      <c r="R747" s="5">
        <v>1.0</v>
      </c>
      <c r="T747" s="5">
        <v>0.0</v>
      </c>
      <c r="U747" s="5">
        <v>9.0</v>
      </c>
      <c r="V747" s="5" t="s">
        <v>761</v>
      </c>
      <c r="W747" s="81" t="s">
        <v>745</v>
      </c>
      <c r="X747" s="78" t="s">
        <v>762</v>
      </c>
      <c r="Y747" s="5">
        <v>2.0</v>
      </c>
      <c r="Z747" s="5">
        <v>0.0</v>
      </c>
      <c r="AA747" s="2">
        <f>2+ (P747*'Scoring System'!$B$3)+ (IF(OR(D747="DEF",D747="GK"),N747*'Scoring System'!$B$4,IF(D747="MID",N747*'Scoring System'!$B$5,0)))+ (IF(OR(D747="DEF",D747="GK"),H747*'Scoring System'!$B$6,IF(D747="MID",H747*'Scoring System'!$B$7,IF(D747="ATT",H747*'Scoring System'!$B$8,0))))+ IF(AND(OR(D747="GK",D747="DEF"),J747&gt;=3),1*'Scoring System'!$B$9,0)+ (I747*'Scoring System'!$B$10)+ (K747*'Scoring System'!$B$11)+ (M747*'Scoring System'!$B$12)+ (L747*'Scoring System'!$B$13)+ (O747*'Scoring System'!$B$14)+ (Q747*'Scoring System'!$B$15)+ (R747*'Scoring System'!$B$16)</f>
        <v>19</v>
      </c>
      <c r="AB747" s="3" t="b">
        <f>IFERROR(match(C747,'Match Day Fees'!$B$2:$B$999,0),0)=0</f>
        <v>0</v>
      </c>
      <c r="AC747" s="3">
        <f t="shared" si="2"/>
        <v>0</v>
      </c>
      <c r="AD747" s="3" t="str">
        <f>VLOOKUP(D747,'Position Lookup'!A:B,1,FALSE)</f>
        <v>GK</v>
      </c>
    </row>
    <row r="748" ht="17.25" customHeight="1">
      <c r="A748" s="31">
        <v>45206.0</v>
      </c>
      <c r="B748" s="5" t="s">
        <v>712</v>
      </c>
      <c r="C748" s="5" t="s">
        <v>98</v>
      </c>
      <c r="D748" s="5" t="s">
        <v>11</v>
      </c>
      <c r="E748" s="5">
        <v>6.0</v>
      </c>
      <c r="F748" s="5" t="s">
        <v>760</v>
      </c>
      <c r="G748" s="5" t="s">
        <v>224</v>
      </c>
      <c r="J748" s="5">
        <v>0.0</v>
      </c>
      <c r="N748" s="5" t="b">
        <v>1</v>
      </c>
      <c r="R748" s="5">
        <v>0.0</v>
      </c>
      <c r="T748" s="5">
        <v>10.0</v>
      </c>
      <c r="U748" s="5">
        <v>7.5</v>
      </c>
      <c r="V748" s="5" t="s">
        <v>763</v>
      </c>
      <c r="W748" s="81" t="s">
        <v>745</v>
      </c>
      <c r="X748" s="78" t="s">
        <v>762</v>
      </c>
      <c r="Y748" s="5">
        <v>2.0</v>
      </c>
      <c r="Z748" s="5">
        <v>0.0</v>
      </c>
      <c r="AA748" s="2">
        <f>2+ (P748*'Scoring System'!$B$3)+ (IF(OR(D748="DEF",D748="GK"),N748*'Scoring System'!$B$4,IF(D748="MID",N748*'Scoring System'!$B$5,0)))+ (IF(OR(D748="DEF",D748="GK"),H748*'Scoring System'!$B$6,IF(D748="MID",H748*'Scoring System'!$B$7,IF(D748="ATT",H748*'Scoring System'!$B$8,0))))+ IF(AND(OR(D748="GK",D748="DEF"),J748&gt;=3),1*'Scoring System'!$B$9,0)+ (I748*'Scoring System'!$B$10)+ (K748*'Scoring System'!$B$11)+ (M748*'Scoring System'!$B$12)+ (L748*'Scoring System'!$B$13)+ (O748*'Scoring System'!$B$14)+ (Q748*'Scoring System'!$B$15)+ (R748*'Scoring System'!$B$16)</f>
        <v>8</v>
      </c>
      <c r="AB748" s="3" t="b">
        <f>IFERROR(match(C748,'Match Day Fees'!$B$2:$B$999,0),0)=0</f>
        <v>0</v>
      </c>
      <c r="AC748" s="3">
        <f t="shared" si="2"/>
        <v>0</v>
      </c>
      <c r="AD748" s="3" t="str">
        <f>VLOOKUP(D748,'Position Lookup'!A:B,1,FALSE)</f>
        <v>DEF</v>
      </c>
    </row>
    <row r="749" ht="17.25" customHeight="1">
      <c r="A749" s="31">
        <v>45206.0</v>
      </c>
      <c r="B749" s="5" t="s">
        <v>712</v>
      </c>
      <c r="C749" s="5" t="s">
        <v>99</v>
      </c>
      <c r="D749" s="5" t="s">
        <v>11</v>
      </c>
      <c r="E749" s="5">
        <v>6.0</v>
      </c>
      <c r="F749" s="5" t="s">
        <v>760</v>
      </c>
      <c r="G749" s="5" t="s">
        <v>224</v>
      </c>
      <c r="J749" s="5">
        <v>0.0</v>
      </c>
      <c r="N749" s="5" t="b">
        <v>1</v>
      </c>
      <c r="R749" s="5">
        <v>0.0</v>
      </c>
      <c r="S749" s="5" t="b">
        <v>1</v>
      </c>
      <c r="T749" s="5">
        <v>0.0</v>
      </c>
      <c r="U749" s="5">
        <v>7.0</v>
      </c>
      <c r="V749" s="5" t="s">
        <v>764</v>
      </c>
      <c r="W749" s="81" t="s">
        <v>745</v>
      </c>
      <c r="X749" s="78" t="s">
        <v>762</v>
      </c>
      <c r="Y749" s="5">
        <v>2.0</v>
      </c>
      <c r="Z749" s="5">
        <v>0.0</v>
      </c>
      <c r="AA749" s="2">
        <f>2+ (P749*'Scoring System'!$B$3)+ (IF(OR(D749="DEF",D749="GK"),N749*'Scoring System'!$B$4,IF(D749="MID",N749*'Scoring System'!$B$5,0)))+ (IF(OR(D749="DEF",D749="GK"),H749*'Scoring System'!$B$6,IF(D749="MID",H749*'Scoring System'!$B$7,IF(D749="ATT",H749*'Scoring System'!$B$8,0))))+ IF(AND(OR(D749="GK",D749="DEF"),J749&gt;=3),1*'Scoring System'!$B$9,0)+ (I749*'Scoring System'!$B$10)+ (K749*'Scoring System'!$B$11)+ (M749*'Scoring System'!$B$12)+ (L749*'Scoring System'!$B$13)+ (O749*'Scoring System'!$B$14)+ (Q749*'Scoring System'!$B$15)+ (R749*'Scoring System'!$B$16)</f>
        <v>8</v>
      </c>
      <c r="AB749" s="3" t="b">
        <f>IFERROR(match(C749,'Match Day Fees'!$B$2:$B$999,0),0)=0</f>
        <v>0</v>
      </c>
      <c r="AC749" s="3">
        <f t="shared" si="2"/>
        <v>0</v>
      </c>
      <c r="AD749" s="3" t="str">
        <f>VLOOKUP(D749,'Position Lookup'!A:B,1,FALSE)</f>
        <v>DEF</v>
      </c>
    </row>
    <row r="750" ht="17.25" customHeight="1">
      <c r="A750" s="31">
        <v>45206.0</v>
      </c>
      <c r="B750" s="5" t="s">
        <v>712</v>
      </c>
      <c r="C750" s="5" t="s">
        <v>97</v>
      </c>
      <c r="D750" s="5" t="s">
        <v>11</v>
      </c>
      <c r="E750" s="5">
        <v>6.0</v>
      </c>
      <c r="F750" s="5" t="s">
        <v>760</v>
      </c>
      <c r="G750" s="5" t="s">
        <v>224</v>
      </c>
      <c r="J750" s="5">
        <v>0.0</v>
      </c>
      <c r="N750" s="5" t="b">
        <v>1</v>
      </c>
      <c r="R750" s="5">
        <v>0.0</v>
      </c>
      <c r="T750" s="5">
        <v>5.0</v>
      </c>
      <c r="U750" s="5">
        <v>7.5</v>
      </c>
      <c r="V750" s="5" t="s">
        <v>765</v>
      </c>
      <c r="W750" s="81" t="s">
        <v>745</v>
      </c>
      <c r="X750" s="78" t="s">
        <v>762</v>
      </c>
      <c r="Y750" s="5">
        <v>2.0</v>
      </c>
      <c r="Z750" s="5">
        <v>0.0</v>
      </c>
      <c r="AA750" s="2">
        <f>2+ (P750*'Scoring System'!$B$3)+ (IF(OR(D750="DEF",D750="GK"),N750*'Scoring System'!$B$4,IF(D750="MID",N750*'Scoring System'!$B$5,0)))+ (IF(OR(D750="DEF",D750="GK"),H750*'Scoring System'!$B$6,IF(D750="MID",H750*'Scoring System'!$B$7,IF(D750="ATT",H750*'Scoring System'!$B$8,0))))+ IF(AND(OR(D750="GK",D750="DEF"),J750&gt;=3),1*'Scoring System'!$B$9,0)+ (I750*'Scoring System'!$B$10)+ (K750*'Scoring System'!$B$11)+ (M750*'Scoring System'!$B$12)+ (L750*'Scoring System'!$B$13)+ (O750*'Scoring System'!$B$14)+ (Q750*'Scoring System'!$B$15)+ (R750*'Scoring System'!$B$16)</f>
        <v>8</v>
      </c>
      <c r="AB750" s="3" t="b">
        <f>IFERROR(match(C750,'Match Day Fees'!$B$2:$B$999,0),0)=0</f>
        <v>0</v>
      </c>
      <c r="AC750" s="3">
        <f t="shared" si="2"/>
        <v>0</v>
      </c>
      <c r="AD750" s="3" t="str">
        <f>VLOOKUP(D750,'Position Lookup'!A:B,1,FALSE)</f>
        <v>DEF</v>
      </c>
    </row>
    <row r="751" ht="17.25" customHeight="1">
      <c r="A751" s="31">
        <v>45206.0</v>
      </c>
      <c r="B751" s="5" t="s">
        <v>712</v>
      </c>
      <c r="C751" s="5" t="s">
        <v>89</v>
      </c>
      <c r="D751" s="5" t="s">
        <v>9</v>
      </c>
      <c r="E751" s="5">
        <v>6.0</v>
      </c>
      <c r="F751" s="5" t="s">
        <v>760</v>
      </c>
      <c r="G751" s="5" t="s">
        <v>224</v>
      </c>
      <c r="H751" s="5">
        <v>1.0</v>
      </c>
      <c r="J751" s="5">
        <v>0.0</v>
      </c>
      <c r="N751" s="5" t="b">
        <v>1</v>
      </c>
      <c r="R751" s="5">
        <v>0.0</v>
      </c>
      <c r="T751" s="5">
        <v>10.0</v>
      </c>
      <c r="U751" s="5">
        <v>8.0</v>
      </c>
      <c r="V751" s="5" t="s">
        <v>766</v>
      </c>
      <c r="W751" s="81" t="s">
        <v>745</v>
      </c>
      <c r="X751" s="78" t="s">
        <v>762</v>
      </c>
      <c r="Y751" s="5">
        <v>2.0</v>
      </c>
      <c r="Z751" s="5">
        <v>0.0</v>
      </c>
      <c r="AA751" s="2">
        <f>2+ (P751*'Scoring System'!$B$3)+ (IF(OR(D751="DEF",D751="GK"),N751*'Scoring System'!$B$4,IF(D751="MID",N751*'Scoring System'!$B$5,0)))+ (IF(OR(D751="DEF",D751="GK"),H751*'Scoring System'!$B$6,IF(D751="MID",H751*'Scoring System'!$B$7,IF(D751="ATT",H751*'Scoring System'!$B$8,0))))+ IF(AND(OR(D751="GK",D751="DEF"),J751&gt;=3),1*'Scoring System'!$B$9,0)+ (I751*'Scoring System'!$B$10)+ (K751*'Scoring System'!$B$11)+ (M751*'Scoring System'!$B$12)+ (L751*'Scoring System'!$B$13)+ (O751*'Scoring System'!$B$14)+ (Q751*'Scoring System'!$B$15)+ (R751*'Scoring System'!$B$16)</f>
        <v>6</v>
      </c>
      <c r="AB751" s="3" t="b">
        <f>IFERROR(match(C751,'Match Day Fees'!$B$2:$B$999,0),0)=0</f>
        <v>0</v>
      </c>
      <c r="AC751" s="3">
        <f t="shared" si="2"/>
        <v>0</v>
      </c>
      <c r="AD751" s="3" t="str">
        <f>VLOOKUP(D751,'Position Lookup'!A:B,1,FALSE)</f>
        <v>ATT</v>
      </c>
    </row>
    <row r="752" ht="17.25" customHeight="1">
      <c r="A752" s="31">
        <v>45206.0</v>
      </c>
      <c r="B752" s="5" t="s">
        <v>712</v>
      </c>
      <c r="C752" s="5" t="s">
        <v>101</v>
      </c>
      <c r="D752" s="5" t="s">
        <v>11</v>
      </c>
      <c r="E752" s="5">
        <v>6.0</v>
      </c>
      <c r="F752" s="5" t="s">
        <v>760</v>
      </c>
      <c r="G752" s="5" t="s">
        <v>224</v>
      </c>
      <c r="J752" s="5">
        <v>0.0</v>
      </c>
      <c r="N752" s="5" t="b">
        <v>1</v>
      </c>
      <c r="R752" s="5">
        <v>0.0</v>
      </c>
      <c r="T752" s="5">
        <v>10.0</v>
      </c>
      <c r="U752" s="5">
        <v>7.0</v>
      </c>
      <c r="V752" s="5" t="s">
        <v>767</v>
      </c>
      <c r="W752" s="81" t="s">
        <v>745</v>
      </c>
      <c r="X752" s="78" t="s">
        <v>762</v>
      </c>
      <c r="Y752" s="5">
        <v>2.0</v>
      </c>
      <c r="Z752" s="5">
        <v>0.0</v>
      </c>
      <c r="AA752" s="2">
        <f>2+ (P752*'Scoring System'!$B$3)+ (IF(OR(D752="DEF",D752="GK"),N752*'Scoring System'!$B$4,IF(D752="MID",N752*'Scoring System'!$B$5,0)))+ (IF(OR(D752="DEF",D752="GK"),H752*'Scoring System'!$B$6,IF(D752="MID",H752*'Scoring System'!$B$7,IF(D752="ATT",H752*'Scoring System'!$B$8,0))))+ IF(AND(OR(D752="GK",D752="DEF"),J752&gt;=3),1*'Scoring System'!$B$9,0)+ (I752*'Scoring System'!$B$10)+ (K752*'Scoring System'!$B$11)+ (M752*'Scoring System'!$B$12)+ (L752*'Scoring System'!$B$13)+ (O752*'Scoring System'!$B$14)+ (Q752*'Scoring System'!$B$15)+ (R752*'Scoring System'!$B$16)</f>
        <v>8</v>
      </c>
      <c r="AB752" s="3" t="b">
        <f>IFERROR(match(C752,'Match Day Fees'!$B$2:$B$999,0),0)=0</f>
        <v>0</v>
      </c>
      <c r="AC752" s="3">
        <f t="shared" si="2"/>
        <v>0</v>
      </c>
      <c r="AD752" s="3" t="str">
        <f>VLOOKUP(D752,'Position Lookup'!A:B,1,FALSE)</f>
        <v>DEF</v>
      </c>
    </row>
    <row r="753" ht="17.25" customHeight="1">
      <c r="A753" s="31">
        <v>45206.0</v>
      </c>
      <c r="B753" s="5" t="s">
        <v>712</v>
      </c>
      <c r="C753" s="5" t="s">
        <v>231</v>
      </c>
      <c r="D753" s="5" t="s">
        <v>10</v>
      </c>
      <c r="E753" s="5">
        <v>6.0</v>
      </c>
      <c r="F753" s="5" t="s">
        <v>760</v>
      </c>
      <c r="G753" s="5" t="s">
        <v>224</v>
      </c>
      <c r="J753" s="5">
        <v>0.0</v>
      </c>
      <c r="N753" s="5" t="b">
        <v>1</v>
      </c>
      <c r="R753" s="5">
        <v>0.0</v>
      </c>
      <c r="T753" s="5">
        <v>5.0</v>
      </c>
      <c r="U753" s="5">
        <v>6.0</v>
      </c>
      <c r="V753" s="5" t="s">
        <v>768</v>
      </c>
      <c r="W753" s="81" t="s">
        <v>745</v>
      </c>
      <c r="X753" s="78" t="s">
        <v>762</v>
      </c>
      <c r="Y753" s="5">
        <v>2.0</v>
      </c>
      <c r="Z753" s="5">
        <v>0.0</v>
      </c>
      <c r="AA753" s="2">
        <f>2+ (P753*'Scoring System'!$B$3)+ (IF(OR(D753="DEF",D753="GK"),N753*'Scoring System'!$B$4,IF(D753="MID",N753*'Scoring System'!$B$5,0)))+ (IF(OR(D753="DEF",D753="GK"),H753*'Scoring System'!$B$6,IF(D753="MID",H753*'Scoring System'!$B$7,IF(D753="ATT",H753*'Scoring System'!$B$8,0))))+ IF(AND(OR(D753="GK",D753="DEF"),J753&gt;=3),1*'Scoring System'!$B$9,0)+ (I753*'Scoring System'!$B$10)+ (K753*'Scoring System'!$B$11)+ (M753*'Scoring System'!$B$12)+ (L753*'Scoring System'!$B$13)+ (O753*'Scoring System'!$B$14)+ (Q753*'Scoring System'!$B$15)+ (R753*'Scoring System'!$B$16)</f>
        <v>4</v>
      </c>
      <c r="AB753" s="3" t="b">
        <f>IFERROR(match(C753,'Match Day Fees'!$B$2:$B$999,0),0)=0</f>
        <v>0</v>
      </c>
      <c r="AC753" s="3">
        <f t="shared" si="2"/>
        <v>0</v>
      </c>
      <c r="AD753" s="3" t="str">
        <f>VLOOKUP(D753,'Position Lookup'!A:B,1,FALSE)</f>
        <v>MID</v>
      </c>
    </row>
    <row r="754" ht="17.25" customHeight="1">
      <c r="A754" s="31">
        <v>45206.0</v>
      </c>
      <c r="B754" s="5" t="s">
        <v>712</v>
      </c>
      <c r="C754" s="5" t="s">
        <v>266</v>
      </c>
      <c r="D754" s="5" t="s">
        <v>10</v>
      </c>
      <c r="E754" s="5">
        <v>6.0</v>
      </c>
      <c r="F754" s="5" t="s">
        <v>760</v>
      </c>
      <c r="G754" s="5" t="s">
        <v>224</v>
      </c>
      <c r="J754" s="5">
        <v>0.0</v>
      </c>
      <c r="N754" s="5" t="b">
        <v>1</v>
      </c>
      <c r="R754" s="5">
        <v>0.0</v>
      </c>
      <c r="T754" s="5">
        <v>10.0</v>
      </c>
      <c r="U754" s="5">
        <v>6.5</v>
      </c>
      <c r="V754" s="5" t="s">
        <v>769</v>
      </c>
      <c r="W754" s="81" t="s">
        <v>745</v>
      </c>
      <c r="X754" s="78" t="s">
        <v>762</v>
      </c>
      <c r="Y754" s="5">
        <v>2.0</v>
      </c>
      <c r="Z754" s="5">
        <v>0.0</v>
      </c>
      <c r="AA754" s="2">
        <f>2+ (P754*'Scoring System'!$B$3)+ (IF(OR(D754="DEF",D754="GK"),N754*'Scoring System'!$B$4,IF(D754="MID",N754*'Scoring System'!$B$5,0)))+ (IF(OR(D754="DEF",D754="GK"),H754*'Scoring System'!$B$6,IF(D754="MID",H754*'Scoring System'!$B$7,IF(D754="ATT",H754*'Scoring System'!$B$8,0))))+ IF(AND(OR(D754="GK",D754="DEF"),J754&gt;=3),1*'Scoring System'!$B$9,0)+ (I754*'Scoring System'!$B$10)+ (K754*'Scoring System'!$B$11)+ (M754*'Scoring System'!$B$12)+ (L754*'Scoring System'!$B$13)+ (O754*'Scoring System'!$B$14)+ (Q754*'Scoring System'!$B$15)+ (R754*'Scoring System'!$B$16)</f>
        <v>4</v>
      </c>
      <c r="AB754" s="3" t="b">
        <f>IFERROR(match(C754,'Match Day Fees'!$B$2:$B$999,0),0)=0</f>
        <v>0</v>
      </c>
      <c r="AC754" s="3">
        <f t="shared" si="2"/>
        <v>0</v>
      </c>
      <c r="AD754" s="3" t="str">
        <f>VLOOKUP(D754,'Position Lookup'!A:B,1,FALSE)</f>
        <v>MID</v>
      </c>
    </row>
    <row r="755" ht="17.25" customHeight="1">
      <c r="A755" s="31">
        <v>45206.0</v>
      </c>
      <c r="B755" s="5" t="s">
        <v>712</v>
      </c>
      <c r="C755" s="5" t="s">
        <v>284</v>
      </c>
      <c r="D755" s="5" t="s">
        <v>9</v>
      </c>
      <c r="E755" s="5">
        <v>6.0</v>
      </c>
      <c r="F755" s="5" t="s">
        <v>760</v>
      </c>
      <c r="G755" s="5" t="s">
        <v>224</v>
      </c>
      <c r="J755" s="5">
        <v>0.0</v>
      </c>
      <c r="N755" s="5" t="b">
        <v>1</v>
      </c>
      <c r="R755" s="5">
        <v>0.0</v>
      </c>
      <c r="T755" s="5">
        <v>10.0</v>
      </c>
      <c r="U755" s="5">
        <v>6.0</v>
      </c>
      <c r="V755" s="5" t="s">
        <v>770</v>
      </c>
      <c r="W755" s="81" t="s">
        <v>745</v>
      </c>
      <c r="X755" s="78" t="s">
        <v>762</v>
      </c>
      <c r="Y755" s="5">
        <v>2.0</v>
      </c>
      <c r="Z755" s="5">
        <v>0.0</v>
      </c>
      <c r="AA755" s="2">
        <f>2+ (P755*'Scoring System'!$B$3)+ (IF(OR(D755="DEF",D755="GK"),N755*'Scoring System'!$B$4,IF(D755="MID",N755*'Scoring System'!$B$5,0)))+ (IF(OR(D755="DEF",D755="GK"),H755*'Scoring System'!$B$6,IF(D755="MID",H755*'Scoring System'!$B$7,IF(D755="ATT",H755*'Scoring System'!$B$8,0))))+ IF(AND(OR(D755="GK",D755="DEF"),J755&gt;=3),1*'Scoring System'!$B$9,0)+ (I755*'Scoring System'!$B$10)+ (K755*'Scoring System'!$B$11)+ (M755*'Scoring System'!$B$12)+ (L755*'Scoring System'!$B$13)+ (O755*'Scoring System'!$B$14)+ (Q755*'Scoring System'!$B$15)+ (R755*'Scoring System'!$B$16)</f>
        <v>2</v>
      </c>
      <c r="AB755" s="3" t="b">
        <f>IFERROR(match(C755,'Match Day Fees'!$B$2:$B$999,0),0)=0</f>
        <v>0</v>
      </c>
      <c r="AC755" s="3">
        <f t="shared" si="2"/>
        <v>0</v>
      </c>
      <c r="AD755" s="3" t="str">
        <f>VLOOKUP(D755,'Position Lookup'!A:B,1,FALSE)</f>
        <v>ATT</v>
      </c>
    </row>
    <row r="756" ht="17.25" customHeight="1">
      <c r="A756" s="31">
        <v>45206.0</v>
      </c>
      <c r="B756" s="5" t="s">
        <v>712</v>
      </c>
      <c r="C756" s="5" t="s">
        <v>147</v>
      </c>
      <c r="D756" s="5" t="s">
        <v>9</v>
      </c>
      <c r="E756" s="5">
        <v>6.0</v>
      </c>
      <c r="F756" s="5" t="s">
        <v>760</v>
      </c>
      <c r="G756" s="5" t="s">
        <v>224</v>
      </c>
      <c r="J756" s="5">
        <v>0.0</v>
      </c>
      <c r="N756" s="5" t="b">
        <v>1</v>
      </c>
      <c r="R756" s="5">
        <v>0.0</v>
      </c>
      <c r="T756" s="5">
        <v>5.0</v>
      </c>
      <c r="U756" s="5">
        <v>7.0</v>
      </c>
      <c r="V756" s="5" t="s">
        <v>771</v>
      </c>
      <c r="W756" s="81" t="s">
        <v>745</v>
      </c>
      <c r="X756" s="78" t="s">
        <v>762</v>
      </c>
      <c r="Y756" s="5">
        <v>2.0</v>
      </c>
      <c r="Z756" s="5">
        <v>0.0</v>
      </c>
      <c r="AA756" s="2">
        <f>2+ (P756*'Scoring System'!$B$3)+ (IF(OR(D756="DEF",D756="GK"),N756*'Scoring System'!$B$4,IF(D756="MID",N756*'Scoring System'!$B$5,0)))+ (IF(OR(D756="DEF",D756="GK"),H756*'Scoring System'!$B$6,IF(D756="MID",H756*'Scoring System'!$B$7,IF(D756="ATT",H756*'Scoring System'!$B$8,0))))+ IF(AND(OR(D756="GK",D756="DEF"),J756&gt;=3),1*'Scoring System'!$B$9,0)+ (I756*'Scoring System'!$B$10)+ (K756*'Scoring System'!$B$11)+ (M756*'Scoring System'!$B$12)+ (L756*'Scoring System'!$B$13)+ (O756*'Scoring System'!$B$14)+ (Q756*'Scoring System'!$B$15)+ (R756*'Scoring System'!$B$16)</f>
        <v>2</v>
      </c>
      <c r="AB756" s="3" t="b">
        <f>IFERROR(match(C756,'Match Day Fees'!$B$2:$B$999,0),0)=0</f>
        <v>0</v>
      </c>
      <c r="AC756" s="3">
        <f t="shared" si="2"/>
        <v>0</v>
      </c>
      <c r="AD756" s="3" t="str">
        <f>VLOOKUP(D756,'Position Lookup'!A:B,1,FALSE)</f>
        <v>ATT</v>
      </c>
    </row>
    <row r="757" ht="17.25" customHeight="1">
      <c r="A757" s="31">
        <v>45206.0</v>
      </c>
      <c r="B757" s="5" t="s">
        <v>712</v>
      </c>
      <c r="C757" s="5" t="s">
        <v>71</v>
      </c>
      <c r="D757" s="5" t="s">
        <v>9</v>
      </c>
      <c r="E757" s="5">
        <v>6.0</v>
      </c>
      <c r="F757" s="5" t="s">
        <v>760</v>
      </c>
      <c r="G757" s="5" t="s">
        <v>224</v>
      </c>
      <c r="H757" s="5">
        <v>1.0</v>
      </c>
      <c r="J757" s="5">
        <v>0.0</v>
      </c>
      <c r="N757" s="5" t="b">
        <v>1</v>
      </c>
      <c r="R757" s="5">
        <v>0.0</v>
      </c>
      <c r="T757" s="5">
        <v>10.0</v>
      </c>
      <c r="U757" s="5">
        <v>7.5</v>
      </c>
      <c r="V757" s="5" t="s">
        <v>772</v>
      </c>
      <c r="W757" s="81" t="s">
        <v>745</v>
      </c>
      <c r="X757" s="78" t="s">
        <v>762</v>
      </c>
      <c r="Y757" s="5">
        <v>2.0</v>
      </c>
      <c r="Z757" s="5">
        <v>0.0</v>
      </c>
      <c r="AA757" s="2">
        <f>2+ (P757*'Scoring System'!$B$3)+ (IF(OR(D757="DEF",D757="GK"),N757*'Scoring System'!$B$4,IF(D757="MID",N757*'Scoring System'!$B$5,0)))+ (IF(OR(D757="DEF",D757="GK"),H757*'Scoring System'!$B$6,IF(D757="MID",H757*'Scoring System'!$B$7,IF(D757="ATT",H757*'Scoring System'!$B$8,0))))+ IF(AND(OR(D757="GK",D757="DEF"),J757&gt;=3),1*'Scoring System'!$B$9,0)+ (I757*'Scoring System'!$B$10)+ (K757*'Scoring System'!$B$11)+ (M757*'Scoring System'!$B$12)+ (L757*'Scoring System'!$B$13)+ (O757*'Scoring System'!$B$14)+ (Q757*'Scoring System'!$B$15)+ (R757*'Scoring System'!$B$16)</f>
        <v>6</v>
      </c>
      <c r="AB757" s="3" t="b">
        <f>IFERROR(match(C757,'Match Day Fees'!$B$2:$B$999,0),0)=0</f>
        <v>0</v>
      </c>
      <c r="AC757" s="3">
        <f t="shared" si="2"/>
        <v>0</v>
      </c>
      <c r="AD757" s="3" t="str">
        <f>VLOOKUP(D757,'Position Lookup'!A:B,1,FALSE)</f>
        <v>ATT</v>
      </c>
    </row>
    <row r="758" ht="17.25" customHeight="1">
      <c r="A758" s="31">
        <v>45206.0</v>
      </c>
      <c r="B758" s="5" t="s">
        <v>712</v>
      </c>
      <c r="C758" s="5" t="s">
        <v>773</v>
      </c>
      <c r="D758" s="5" t="s">
        <v>10</v>
      </c>
      <c r="E758" s="5">
        <v>6.0</v>
      </c>
      <c r="F758" s="5" t="s">
        <v>760</v>
      </c>
      <c r="G758" s="5" t="s">
        <v>224</v>
      </c>
      <c r="J758" s="5">
        <v>0.0</v>
      </c>
      <c r="N758" s="5" t="b">
        <v>1</v>
      </c>
      <c r="R758" s="5">
        <v>0.0</v>
      </c>
      <c r="T758" s="5">
        <v>10.0</v>
      </c>
      <c r="U758" s="5">
        <v>7.0</v>
      </c>
      <c r="V758" s="5" t="s">
        <v>774</v>
      </c>
      <c r="W758" s="81" t="s">
        <v>745</v>
      </c>
      <c r="X758" s="78" t="s">
        <v>762</v>
      </c>
      <c r="Y758" s="5">
        <v>2.0</v>
      </c>
      <c r="Z758" s="5">
        <v>0.0</v>
      </c>
      <c r="AA758" s="2">
        <f>2+ (P758*'Scoring System'!$B$3)+ (IF(OR(D758="DEF",D758="GK"),N758*'Scoring System'!$B$4,IF(D758="MID",N758*'Scoring System'!$B$5,0)))+ (IF(OR(D758="DEF",D758="GK"),H758*'Scoring System'!$B$6,IF(D758="MID",H758*'Scoring System'!$B$7,IF(D758="ATT",H758*'Scoring System'!$B$8,0))))+ IF(AND(OR(D758="GK",D758="DEF"),J758&gt;=3),1*'Scoring System'!$B$9,0)+ (I758*'Scoring System'!$B$10)+ (K758*'Scoring System'!$B$11)+ (M758*'Scoring System'!$B$12)+ (L758*'Scoring System'!$B$13)+ (O758*'Scoring System'!$B$14)+ (Q758*'Scoring System'!$B$15)+ (R758*'Scoring System'!$B$16)</f>
        <v>4</v>
      </c>
      <c r="AB758" s="3" t="b">
        <f>IFERROR(match(C758,'Match Day Fees'!$B$2:$B$999,0),0)=0</f>
        <v>0</v>
      </c>
      <c r="AC758" s="3">
        <f t="shared" si="2"/>
        <v>0</v>
      </c>
      <c r="AD758" s="3" t="str">
        <f>VLOOKUP(D758,'Position Lookup'!A:B,1,FALSE)</f>
        <v>MID</v>
      </c>
    </row>
    <row r="759" ht="17.25" customHeight="1">
      <c r="A759" s="31">
        <v>45206.0</v>
      </c>
      <c r="B759" s="5" t="s">
        <v>712</v>
      </c>
      <c r="C759" s="5" t="s">
        <v>235</v>
      </c>
      <c r="D759" s="5" t="s">
        <v>9</v>
      </c>
      <c r="E759" s="5">
        <v>6.0</v>
      </c>
      <c r="F759" s="5" t="s">
        <v>760</v>
      </c>
      <c r="G759" s="5" t="s">
        <v>224</v>
      </c>
      <c r="J759" s="5">
        <v>0.0</v>
      </c>
      <c r="N759" s="5" t="b">
        <v>1</v>
      </c>
      <c r="R759" s="5">
        <v>0.0</v>
      </c>
      <c r="T759" s="5">
        <v>10.0</v>
      </c>
      <c r="U759" s="5">
        <v>7.0</v>
      </c>
      <c r="V759" s="5" t="s">
        <v>775</v>
      </c>
      <c r="W759" s="81" t="s">
        <v>745</v>
      </c>
      <c r="X759" s="78" t="s">
        <v>762</v>
      </c>
      <c r="Y759" s="5">
        <v>2.0</v>
      </c>
      <c r="Z759" s="5">
        <v>0.0</v>
      </c>
      <c r="AA759" s="2">
        <f>2+ (P759*'Scoring System'!$B$3)+ (IF(OR(D759="DEF",D759="GK"),N759*'Scoring System'!$B$4,IF(D759="MID",N759*'Scoring System'!$B$5,0)))+ (IF(OR(D759="DEF",D759="GK"),H759*'Scoring System'!$B$6,IF(D759="MID",H759*'Scoring System'!$B$7,IF(D759="ATT",H759*'Scoring System'!$B$8,0))))+ IF(AND(OR(D759="GK",D759="DEF"),J759&gt;=3),1*'Scoring System'!$B$9,0)+ (I759*'Scoring System'!$B$10)+ (K759*'Scoring System'!$B$11)+ (M759*'Scoring System'!$B$12)+ (L759*'Scoring System'!$B$13)+ (O759*'Scoring System'!$B$14)+ (Q759*'Scoring System'!$B$15)+ (R759*'Scoring System'!$B$16)</f>
        <v>2</v>
      </c>
      <c r="AB759" s="3" t="b">
        <f>IFERROR(match(C759,'Match Day Fees'!$B$2:$B$999,0),0)=0</f>
        <v>0</v>
      </c>
      <c r="AC759" s="3">
        <f t="shared" si="2"/>
        <v>0</v>
      </c>
      <c r="AD759" s="3" t="str">
        <f>VLOOKUP(D759,'Position Lookup'!A:B,1,FALSE)</f>
        <v>ATT</v>
      </c>
    </row>
    <row r="760" ht="17.25" customHeight="1">
      <c r="A760" s="31">
        <v>45206.0</v>
      </c>
      <c r="B760" s="5" t="s">
        <v>712</v>
      </c>
      <c r="C760" s="5" t="s">
        <v>576</v>
      </c>
      <c r="D760" s="5" t="s">
        <v>10</v>
      </c>
      <c r="E760" s="5">
        <v>6.0</v>
      </c>
      <c r="F760" s="5" t="s">
        <v>760</v>
      </c>
      <c r="G760" s="5" t="s">
        <v>224</v>
      </c>
      <c r="J760" s="5">
        <v>0.0</v>
      </c>
      <c r="K760" s="5">
        <v>1.0</v>
      </c>
      <c r="N760" s="5" t="b">
        <v>1</v>
      </c>
      <c r="R760" s="5">
        <v>0.0</v>
      </c>
      <c r="T760" s="5">
        <v>10.0</v>
      </c>
      <c r="U760" s="5">
        <v>7.5</v>
      </c>
      <c r="V760" s="5" t="s">
        <v>776</v>
      </c>
      <c r="W760" s="81" t="s">
        <v>745</v>
      </c>
      <c r="X760" s="78" t="s">
        <v>762</v>
      </c>
      <c r="Y760" s="5">
        <v>2.0</v>
      </c>
      <c r="Z760" s="5">
        <v>0.0</v>
      </c>
      <c r="AA760" s="2">
        <f>2+ (P760*'Scoring System'!$B$3)+ (IF(OR(D760="DEF",D760="GK"),N760*'Scoring System'!$B$4,IF(D760="MID",N760*'Scoring System'!$B$5,0)))+ (IF(OR(D760="DEF",D760="GK"),H760*'Scoring System'!$B$6,IF(D760="MID",H760*'Scoring System'!$B$7,IF(D760="ATT",H760*'Scoring System'!$B$8,0))))+ IF(AND(OR(D760="GK",D760="DEF"),J760&gt;=3),1*'Scoring System'!$B$9,0)+ (I760*'Scoring System'!$B$10)+ (K760*'Scoring System'!$B$11)+ (M760*'Scoring System'!$B$12)+ (L760*'Scoring System'!$B$13)+ (O760*'Scoring System'!$B$14)+ (Q760*'Scoring System'!$B$15)+ (R760*'Scoring System'!$B$16)</f>
        <v>3</v>
      </c>
      <c r="AB760" s="3" t="b">
        <f>IFERROR(match(C760,'Match Day Fees'!$B$2:$B$999,0),0)=0</f>
        <v>0</v>
      </c>
      <c r="AC760" s="3">
        <f t="shared" si="2"/>
        <v>0</v>
      </c>
      <c r="AD760" s="3" t="str">
        <f>VLOOKUP(D760,'Position Lookup'!A:B,1,FALSE)</f>
        <v>MID</v>
      </c>
    </row>
    <row r="761" ht="17.25" customHeight="1">
      <c r="A761" s="31">
        <v>45206.0</v>
      </c>
      <c r="B761" s="5" t="s">
        <v>712</v>
      </c>
      <c r="C761" s="3" t="s">
        <v>392</v>
      </c>
      <c r="D761" s="5" t="s">
        <v>9</v>
      </c>
      <c r="E761" s="5" t="s">
        <v>157</v>
      </c>
      <c r="G761" s="3" t="s">
        <v>230</v>
      </c>
      <c r="J761" s="5">
        <v>4.0</v>
      </c>
      <c r="N761" s="3" t="b">
        <v>0</v>
      </c>
      <c r="R761" s="3">
        <v>0.0</v>
      </c>
      <c r="T761" s="3">
        <v>5.0</v>
      </c>
      <c r="X761" s="77"/>
      <c r="Y761" s="3">
        <v>2.0</v>
      </c>
      <c r="Z761" s="3">
        <v>4.0</v>
      </c>
      <c r="AA761" s="2">
        <f>2+ (P761*'Scoring System'!$B$3)+ (IF(OR(D761="DEF",D761="GK"),N761*'Scoring System'!$B$4,IF(D761="MID",N761*'Scoring System'!$B$5,0)))+ (IF(OR(D761="DEF",D761="GK"),H761*'Scoring System'!$B$6,IF(D761="MID",H761*'Scoring System'!$B$7,IF(D761="ATT",H761*'Scoring System'!$B$8,0))))+ IF(AND(OR(D761="GK",D761="DEF"),J761&gt;=3),1*'Scoring System'!$B$9,0)+ (I761*'Scoring System'!$B$10)+ (K761*'Scoring System'!$B$11)+ (M761*'Scoring System'!$B$12)+ (L761*'Scoring System'!$B$13)+ (O761*'Scoring System'!$B$14)+ (Q761*'Scoring System'!$B$15)+ (R761*'Scoring System'!$B$16)</f>
        <v>2</v>
      </c>
      <c r="AB761" s="3" t="b">
        <f>IFERROR(match(C761,'Match Day Fees'!$B$2:$B$999,0),0)=0</f>
        <v>0</v>
      </c>
      <c r="AC761" s="3">
        <f t="shared" si="2"/>
        <v>0</v>
      </c>
      <c r="AD761" s="3" t="str">
        <f>VLOOKUP(D761,'Position Lookup'!A:B,1,FALSE)</f>
        <v>ATT</v>
      </c>
    </row>
    <row r="762" ht="17.25" customHeight="1">
      <c r="A762" s="31">
        <v>45206.0</v>
      </c>
      <c r="B762" s="5" t="s">
        <v>712</v>
      </c>
      <c r="C762" s="3" t="s">
        <v>293</v>
      </c>
      <c r="D762" s="5" t="s">
        <v>11</v>
      </c>
      <c r="E762" s="5" t="s">
        <v>157</v>
      </c>
      <c r="G762" s="3" t="s">
        <v>230</v>
      </c>
      <c r="I762" s="3">
        <v>1.0</v>
      </c>
      <c r="J762" s="5">
        <v>4.0</v>
      </c>
      <c r="K762" s="5">
        <v>1.0</v>
      </c>
      <c r="N762" s="3" t="b">
        <v>0</v>
      </c>
      <c r="R762" s="3">
        <v>0.0</v>
      </c>
      <c r="T762" s="3">
        <v>10.0</v>
      </c>
      <c r="X762" s="77"/>
      <c r="Y762" s="3">
        <v>2.0</v>
      </c>
      <c r="Z762" s="3">
        <v>4.0</v>
      </c>
      <c r="AA762" s="2">
        <f>2+ (P762*'Scoring System'!$B$3)+ (IF(OR(D762="DEF",D762="GK"),N762*'Scoring System'!$B$4,IF(D762="MID",N762*'Scoring System'!$B$5,0)))+ (IF(OR(D762="DEF",D762="GK"),H762*'Scoring System'!$B$6,IF(D762="MID",H762*'Scoring System'!$B$7,IF(D762="ATT",H762*'Scoring System'!$B$8,0))))+ IF(AND(OR(D762="GK",D762="DEF"),J762&gt;=3),1*'Scoring System'!$B$9,0)+ (I762*'Scoring System'!$B$10)+ (K762*'Scoring System'!$B$11)+ (M762*'Scoring System'!$B$12)+ (L762*'Scoring System'!$B$13)+ (O762*'Scoring System'!$B$14)+ (Q762*'Scoring System'!$B$15)+ (R762*'Scoring System'!$B$16)</f>
        <v>3</v>
      </c>
      <c r="AB762" s="3" t="b">
        <f>IFERROR(match(C762,'Match Day Fees'!$B$2:$B$999,0),0)=0</f>
        <v>0</v>
      </c>
      <c r="AC762" s="3">
        <f t="shared" si="2"/>
        <v>0</v>
      </c>
      <c r="AD762" s="3" t="str">
        <f>VLOOKUP(D762,'Position Lookup'!A:B,1,FALSE)</f>
        <v>DEF</v>
      </c>
    </row>
    <row r="763" ht="17.25" customHeight="1">
      <c r="A763" s="31">
        <v>45206.0</v>
      </c>
      <c r="B763" s="5" t="s">
        <v>712</v>
      </c>
      <c r="C763" s="3" t="s">
        <v>679</v>
      </c>
      <c r="D763" s="5" t="s">
        <v>10</v>
      </c>
      <c r="E763" s="5" t="s">
        <v>157</v>
      </c>
      <c r="G763" s="3" t="s">
        <v>230</v>
      </c>
      <c r="J763" s="5">
        <v>4.0</v>
      </c>
      <c r="N763" s="3" t="b">
        <v>0</v>
      </c>
      <c r="R763" s="3">
        <v>0.0</v>
      </c>
      <c r="T763" s="3">
        <v>5.0</v>
      </c>
      <c r="X763" s="77"/>
      <c r="Y763" s="3">
        <v>2.0</v>
      </c>
      <c r="Z763" s="3">
        <v>4.0</v>
      </c>
      <c r="AA763" s="2">
        <f>2+ (P763*'Scoring System'!$B$3)+ (IF(OR(D763="DEF",D763="GK"),N763*'Scoring System'!$B$4,IF(D763="MID",N763*'Scoring System'!$B$5,0)))+ (IF(OR(D763="DEF",D763="GK"),H763*'Scoring System'!$B$6,IF(D763="MID",H763*'Scoring System'!$B$7,IF(D763="ATT",H763*'Scoring System'!$B$8,0))))+ IF(AND(OR(D763="GK",D763="DEF"),J763&gt;=3),1*'Scoring System'!$B$9,0)+ (I763*'Scoring System'!$B$10)+ (K763*'Scoring System'!$B$11)+ (M763*'Scoring System'!$B$12)+ (L763*'Scoring System'!$B$13)+ (O763*'Scoring System'!$B$14)+ (Q763*'Scoring System'!$B$15)+ (R763*'Scoring System'!$B$16)</f>
        <v>2</v>
      </c>
      <c r="AB763" s="3" t="b">
        <f>IFERROR(match(C763,'Match Day Fees'!$B$2:$B$999,0),0)=0</f>
        <v>0</v>
      </c>
      <c r="AC763" s="3">
        <f t="shared" si="2"/>
        <v>0</v>
      </c>
      <c r="AD763" s="3" t="str">
        <f>VLOOKUP(D763,'Position Lookup'!A:B,1,FALSE)</f>
        <v>MID</v>
      </c>
    </row>
    <row r="764" ht="17.25" customHeight="1">
      <c r="A764" s="31">
        <v>45206.0</v>
      </c>
      <c r="B764" s="5" t="s">
        <v>712</v>
      </c>
      <c r="C764" s="3" t="s">
        <v>307</v>
      </c>
      <c r="D764" s="5" t="s">
        <v>11</v>
      </c>
      <c r="E764" s="5" t="s">
        <v>157</v>
      </c>
      <c r="G764" s="3" t="s">
        <v>230</v>
      </c>
      <c r="J764" s="5">
        <v>4.0</v>
      </c>
      <c r="N764" s="3" t="b">
        <v>0</v>
      </c>
      <c r="R764" s="3">
        <v>0.0</v>
      </c>
      <c r="T764" s="3">
        <v>10.0</v>
      </c>
      <c r="X764" s="77"/>
      <c r="Y764" s="3">
        <v>2.0</v>
      </c>
      <c r="Z764" s="3">
        <v>4.0</v>
      </c>
      <c r="AA764" s="2">
        <f>2+ (P764*'Scoring System'!$B$3)+ (IF(OR(D764="DEF",D764="GK"),N764*'Scoring System'!$B$4,IF(D764="MID",N764*'Scoring System'!$B$5,0)))+ (IF(OR(D764="DEF",D764="GK"),H764*'Scoring System'!$B$6,IF(D764="MID",H764*'Scoring System'!$B$7,IF(D764="ATT",H764*'Scoring System'!$B$8,0))))+ IF(AND(OR(D764="GK",D764="DEF"),J764&gt;=3),1*'Scoring System'!$B$9,0)+ (I764*'Scoring System'!$B$10)+ (K764*'Scoring System'!$B$11)+ (M764*'Scoring System'!$B$12)+ (L764*'Scoring System'!$B$13)+ (O764*'Scoring System'!$B$14)+ (Q764*'Scoring System'!$B$15)+ (R764*'Scoring System'!$B$16)</f>
        <v>1</v>
      </c>
      <c r="AB764" s="3" t="b">
        <f>IFERROR(match(C764,'Match Day Fees'!$B$2:$B$999,0),0)=0</f>
        <v>0</v>
      </c>
      <c r="AC764" s="3">
        <f t="shared" si="2"/>
        <v>0</v>
      </c>
      <c r="AD764" s="3" t="str">
        <f>VLOOKUP(D764,'Position Lookup'!A:B,1,FALSE)</f>
        <v>DEF</v>
      </c>
    </row>
    <row r="765" ht="17.25" customHeight="1">
      <c r="A765" s="31">
        <v>45206.0</v>
      </c>
      <c r="B765" s="5" t="s">
        <v>712</v>
      </c>
      <c r="C765" s="3" t="s">
        <v>391</v>
      </c>
      <c r="D765" s="5" t="s">
        <v>10</v>
      </c>
      <c r="E765" s="5" t="s">
        <v>157</v>
      </c>
      <c r="G765" s="3" t="s">
        <v>230</v>
      </c>
      <c r="J765" s="5">
        <v>4.0</v>
      </c>
      <c r="N765" s="3" t="b">
        <v>0</v>
      </c>
      <c r="R765" s="3">
        <v>0.0</v>
      </c>
      <c r="T765" s="3">
        <v>10.0</v>
      </c>
      <c r="X765" s="77"/>
      <c r="Y765" s="3">
        <v>2.0</v>
      </c>
      <c r="Z765" s="3">
        <v>4.0</v>
      </c>
      <c r="AA765" s="2">
        <f>2+ (P765*'Scoring System'!$B$3)+ (IF(OR(D765="DEF",D765="GK"),N765*'Scoring System'!$B$4,IF(D765="MID",N765*'Scoring System'!$B$5,0)))+ (IF(OR(D765="DEF",D765="GK"),H765*'Scoring System'!$B$6,IF(D765="MID",H765*'Scoring System'!$B$7,IF(D765="ATT",H765*'Scoring System'!$B$8,0))))+ IF(AND(OR(D765="GK",D765="DEF"),J765&gt;=3),1*'Scoring System'!$B$9,0)+ (I765*'Scoring System'!$B$10)+ (K765*'Scoring System'!$B$11)+ (M765*'Scoring System'!$B$12)+ (L765*'Scoring System'!$B$13)+ (O765*'Scoring System'!$B$14)+ (Q765*'Scoring System'!$B$15)+ (R765*'Scoring System'!$B$16)</f>
        <v>2</v>
      </c>
      <c r="AB765" s="3" t="b">
        <f>IFERROR(match(C765,'Match Day Fees'!$B$2:$B$999,0),0)=0</f>
        <v>0</v>
      </c>
      <c r="AC765" s="3">
        <f t="shared" si="2"/>
        <v>0</v>
      </c>
      <c r="AD765" s="3" t="str">
        <f>VLOOKUP(D765,'Position Lookup'!A:B,1,FALSE)</f>
        <v>MID</v>
      </c>
    </row>
    <row r="766" ht="17.25" customHeight="1">
      <c r="A766" s="31">
        <v>45206.0</v>
      </c>
      <c r="B766" s="5" t="s">
        <v>712</v>
      </c>
      <c r="C766" s="3" t="s">
        <v>395</v>
      </c>
      <c r="D766" s="5" t="s">
        <v>10</v>
      </c>
      <c r="E766" s="5" t="s">
        <v>157</v>
      </c>
      <c r="G766" s="3" t="s">
        <v>230</v>
      </c>
      <c r="J766" s="5">
        <v>4.0</v>
      </c>
      <c r="N766" s="3" t="b">
        <v>0</v>
      </c>
      <c r="R766" s="3">
        <v>0.0</v>
      </c>
      <c r="T766" s="5">
        <v>5.0</v>
      </c>
      <c r="X766" s="77"/>
      <c r="Y766" s="3">
        <v>2.0</v>
      </c>
      <c r="Z766" s="3">
        <v>4.0</v>
      </c>
      <c r="AA766" s="2">
        <f>2+ (P766*'Scoring System'!$B$3)+ (IF(OR(D766="DEF",D766="GK"),N766*'Scoring System'!$B$4,IF(D766="MID",N766*'Scoring System'!$B$5,0)))+ (IF(OR(D766="DEF",D766="GK"),H766*'Scoring System'!$B$6,IF(D766="MID",H766*'Scoring System'!$B$7,IF(D766="ATT",H766*'Scoring System'!$B$8,0))))+ IF(AND(OR(D766="GK",D766="DEF"),J766&gt;=3),1*'Scoring System'!$B$9,0)+ (I766*'Scoring System'!$B$10)+ (K766*'Scoring System'!$B$11)+ (M766*'Scoring System'!$B$12)+ (L766*'Scoring System'!$B$13)+ (O766*'Scoring System'!$B$14)+ (Q766*'Scoring System'!$B$15)+ (R766*'Scoring System'!$B$16)</f>
        <v>2</v>
      </c>
      <c r="AB766" s="3" t="b">
        <f>IFERROR(match(C766,'Match Day Fees'!$B$2:$B$999,0),0)=0</f>
        <v>0</v>
      </c>
      <c r="AC766" s="3">
        <f t="shared" si="2"/>
        <v>0</v>
      </c>
      <c r="AD766" s="3" t="str">
        <f>VLOOKUP(D766,'Position Lookup'!A:B,1,FALSE)</f>
        <v>MID</v>
      </c>
    </row>
    <row r="767" ht="17.25" customHeight="1">
      <c r="A767" s="31">
        <v>45206.0</v>
      </c>
      <c r="B767" s="5" t="s">
        <v>712</v>
      </c>
      <c r="C767" s="3" t="s">
        <v>100</v>
      </c>
      <c r="D767" s="5" t="s">
        <v>11</v>
      </c>
      <c r="E767" s="5" t="s">
        <v>157</v>
      </c>
      <c r="G767" s="3" t="s">
        <v>230</v>
      </c>
      <c r="H767" s="3">
        <v>1.0</v>
      </c>
      <c r="J767" s="5">
        <v>4.0</v>
      </c>
      <c r="N767" s="3" t="b">
        <v>0</v>
      </c>
      <c r="R767" s="3">
        <v>1.0</v>
      </c>
      <c r="T767" s="3">
        <v>10.0</v>
      </c>
      <c r="X767" s="77"/>
      <c r="Y767" s="3">
        <v>2.0</v>
      </c>
      <c r="Z767" s="3">
        <v>4.0</v>
      </c>
      <c r="AA767" s="2">
        <f>2+ (P767*'Scoring System'!$B$3)+ (IF(OR(D767="DEF",D767="GK"),N767*'Scoring System'!$B$4,IF(D767="MID",N767*'Scoring System'!$B$5,0)))+ (IF(OR(D767="DEF",D767="GK"),H767*'Scoring System'!$B$6,IF(D767="MID",H767*'Scoring System'!$B$7,IF(D767="ATT",H767*'Scoring System'!$B$8,0))))+ IF(AND(OR(D767="GK",D767="DEF"),J767&gt;=3),1*'Scoring System'!$B$9,0)+ (I767*'Scoring System'!$B$10)+ (K767*'Scoring System'!$B$11)+ (M767*'Scoring System'!$B$12)+ (L767*'Scoring System'!$B$13)+ (O767*'Scoring System'!$B$14)+ (Q767*'Scoring System'!$B$15)+ (R767*'Scoring System'!$B$16)</f>
        <v>12</v>
      </c>
      <c r="AB767" s="3" t="b">
        <f>IFERROR(match(C767,'Match Day Fees'!$B$2:$B$999,0),0)=0</f>
        <v>0</v>
      </c>
      <c r="AC767" s="3">
        <f t="shared" si="2"/>
        <v>0</v>
      </c>
      <c r="AD767" s="3" t="str">
        <f>VLOOKUP(D767,'Position Lookup'!A:B,1,FALSE)</f>
        <v>DEF</v>
      </c>
    </row>
    <row r="768" ht="17.25" customHeight="1">
      <c r="A768" s="31">
        <v>45206.0</v>
      </c>
      <c r="B768" s="5" t="s">
        <v>712</v>
      </c>
      <c r="C768" s="3" t="s">
        <v>153</v>
      </c>
      <c r="D768" s="5" t="s">
        <v>9</v>
      </c>
      <c r="E768" s="5" t="s">
        <v>157</v>
      </c>
      <c r="G768" s="3" t="s">
        <v>230</v>
      </c>
      <c r="J768" s="5">
        <v>4.0</v>
      </c>
      <c r="N768" s="3" t="b">
        <v>0</v>
      </c>
      <c r="R768" s="3">
        <v>0.0</v>
      </c>
      <c r="T768" s="3">
        <v>10.0</v>
      </c>
      <c r="X768" s="77"/>
      <c r="Y768" s="3">
        <v>2.0</v>
      </c>
      <c r="Z768" s="3">
        <v>4.0</v>
      </c>
      <c r="AA768" s="2">
        <f>2+ (P768*'Scoring System'!$B$3)+ (IF(OR(D768="DEF",D768="GK"),N768*'Scoring System'!$B$4,IF(D768="MID",N768*'Scoring System'!$B$5,0)))+ (IF(OR(D768="DEF",D768="GK"),H768*'Scoring System'!$B$6,IF(D768="MID",H768*'Scoring System'!$B$7,IF(D768="ATT",H768*'Scoring System'!$B$8,0))))+ IF(AND(OR(D768="GK",D768="DEF"),J768&gt;=3),1*'Scoring System'!$B$9,0)+ (I768*'Scoring System'!$B$10)+ (K768*'Scoring System'!$B$11)+ (M768*'Scoring System'!$B$12)+ (L768*'Scoring System'!$B$13)+ (O768*'Scoring System'!$B$14)+ (Q768*'Scoring System'!$B$15)+ (R768*'Scoring System'!$B$16)</f>
        <v>2</v>
      </c>
      <c r="AB768" s="3" t="b">
        <f>IFERROR(match(C768,'Match Day Fees'!$B$2:$B$999,0),0)=0</f>
        <v>0</v>
      </c>
      <c r="AC768" s="3">
        <f t="shared" si="2"/>
        <v>0</v>
      </c>
      <c r="AD768" s="3" t="str">
        <f>VLOOKUP(D768,'Position Lookup'!A:B,1,FALSE)</f>
        <v>ATT</v>
      </c>
    </row>
    <row r="769" ht="17.25" customHeight="1">
      <c r="A769" s="31">
        <v>45206.0</v>
      </c>
      <c r="B769" s="5" t="s">
        <v>712</v>
      </c>
      <c r="C769" s="5" t="s">
        <v>55</v>
      </c>
      <c r="D769" s="5" t="s">
        <v>11</v>
      </c>
      <c r="E769" s="5" t="s">
        <v>157</v>
      </c>
      <c r="G769" s="3" t="s">
        <v>230</v>
      </c>
      <c r="J769" s="5">
        <v>4.0</v>
      </c>
      <c r="N769" s="3" t="b">
        <v>0</v>
      </c>
      <c r="R769" s="3">
        <v>0.0</v>
      </c>
      <c r="T769" s="3">
        <v>10.0</v>
      </c>
      <c r="X769" s="77"/>
      <c r="Y769" s="3">
        <v>2.0</v>
      </c>
      <c r="Z769" s="3">
        <v>4.0</v>
      </c>
      <c r="AA769" s="2">
        <f>2+ (P769*'Scoring System'!$B$3)+ (IF(OR(D769="DEF",D769="GK"),N769*'Scoring System'!$B$4,IF(D769="MID",N769*'Scoring System'!$B$5,0)))+ (IF(OR(D769="DEF",D769="GK"),H769*'Scoring System'!$B$6,IF(D769="MID",H769*'Scoring System'!$B$7,IF(D769="ATT",H769*'Scoring System'!$B$8,0))))+ IF(AND(OR(D769="GK",D769="DEF"),J769&gt;=3),1*'Scoring System'!$B$9,0)+ (I769*'Scoring System'!$B$10)+ (K769*'Scoring System'!$B$11)+ (M769*'Scoring System'!$B$12)+ (L769*'Scoring System'!$B$13)+ (O769*'Scoring System'!$B$14)+ (Q769*'Scoring System'!$B$15)+ (R769*'Scoring System'!$B$16)</f>
        <v>1</v>
      </c>
      <c r="AB769" s="3" t="b">
        <f>IFERROR(match(C769,'Match Day Fees'!$B$2:$B$999,0),0)=0</f>
        <v>0</v>
      </c>
      <c r="AC769" s="3">
        <f t="shared" si="2"/>
        <v>0</v>
      </c>
      <c r="AD769" s="3" t="str">
        <f>VLOOKUP(D769,'Position Lookup'!A:B,1,FALSE)</f>
        <v>DEF</v>
      </c>
    </row>
    <row r="770" ht="17.25" customHeight="1">
      <c r="A770" s="31">
        <v>45206.0</v>
      </c>
      <c r="B770" s="5" t="s">
        <v>712</v>
      </c>
      <c r="C770" s="3" t="s">
        <v>129</v>
      </c>
      <c r="D770" s="5" t="s">
        <v>10</v>
      </c>
      <c r="E770" s="5" t="s">
        <v>157</v>
      </c>
      <c r="G770" s="3" t="s">
        <v>230</v>
      </c>
      <c r="J770" s="5">
        <v>4.0</v>
      </c>
      <c r="N770" s="3" t="b">
        <v>0</v>
      </c>
      <c r="R770" s="3">
        <v>0.0</v>
      </c>
      <c r="T770" s="3">
        <v>10.0</v>
      </c>
      <c r="X770" s="77"/>
      <c r="Y770" s="3">
        <v>2.0</v>
      </c>
      <c r="Z770" s="3">
        <v>4.0</v>
      </c>
      <c r="AA770" s="2">
        <f>2+ (P770*'Scoring System'!$B$3)+ (IF(OR(D770="DEF",D770="GK"),N770*'Scoring System'!$B$4,IF(D770="MID",N770*'Scoring System'!$B$5,0)))+ (IF(OR(D770="DEF",D770="GK"),H770*'Scoring System'!$B$6,IF(D770="MID",H770*'Scoring System'!$B$7,IF(D770="ATT",H770*'Scoring System'!$B$8,0))))+ IF(AND(OR(D770="GK",D770="DEF"),J770&gt;=3),1*'Scoring System'!$B$9,0)+ (I770*'Scoring System'!$B$10)+ (K770*'Scoring System'!$B$11)+ (M770*'Scoring System'!$B$12)+ (L770*'Scoring System'!$B$13)+ (O770*'Scoring System'!$B$14)+ (Q770*'Scoring System'!$B$15)+ (R770*'Scoring System'!$B$16)</f>
        <v>2</v>
      </c>
      <c r="AB770" s="3" t="b">
        <f>IFERROR(match(C770,'Match Day Fees'!$B$2:$B$999,0),0)=0</f>
        <v>0</v>
      </c>
      <c r="AC770" s="3">
        <f t="shared" si="2"/>
        <v>0</v>
      </c>
      <c r="AD770" s="3" t="str">
        <f>VLOOKUP(D770,'Position Lookup'!A:B,1,FALSE)</f>
        <v>MID</v>
      </c>
    </row>
    <row r="771" ht="17.25" customHeight="1">
      <c r="A771" s="31">
        <v>45206.0</v>
      </c>
      <c r="B771" s="5" t="s">
        <v>712</v>
      </c>
      <c r="C771" s="3" t="s">
        <v>678</v>
      </c>
      <c r="D771" s="5" t="s">
        <v>11</v>
      </c>
      <c r="E771" s="5" t="s">
        <v>157</v>
      </c>
      <c r="G771" s="3" t="s">
        <v>230</v>
      </c>
      <c r="H771" s="3">
        <v>1.0</v>
      </c>
      <c r="J771" s="5">
        <v>4.0</v>
      </c>
      <c r="N771" s="3" t="b">
        <v>0</v>
      </c>
      <c r="R771" s="3">
        <v>0.0</v>
      </c>
      <c r="T771" s="3">
        <v>10.0</v>
      </c>
      <c r="X771" s="77"/>
      <c r="Y771" s="3">
        <v>2.0</v>
      </c>
      <c r="Z771" s="3">
        <v>4.0</v>
      </c>
      <c r="AA771" s="2">
        <f>2+ (P771*'Scoring System'!$B$3)+ (IF(OR(D771="DEF",D771="GK"),N771*'Scoring System'!$B$4,IF(D771="MID",N771*'Scoring System'!$B$5,0)))+ (IF(OR(D771="DEF",D771="GK"),H771*'Scoring System'!$B$6,IF(D771="MID",H771*'Scoring System'!$B$7,IF(D771="ATT",H771*'Scoring System'!$B$8,0))))+ IF(AND(OR(D771="GK",D771="DEF"),J771&gt;=3),1*'Scoring System'!$B$9,0)+ (I771*'Scoring System'!$B$10)+ (K771*'Scoring System'!$B$11)+ (M771*'Scoring System'!$B$12)+ (L771*'Scoring System'!$B$13)+ (O771*'Scoring System'!$B$14)+ (Q771*'Scoring System'!$B$15)+ (R771*'Scoring System'!$B$16)</f>
        <v>7</v>
      </c>
      <c r="AB771" s="3" t="b">
        <f>IFERROR(match(C771,'Match Day Fees'!$B$2:$B$999,0),0)=0</f>
        <v>0</v>
      </c>
      <c r="AC771" s="3">
        <f t="shared" si="2"/>
        <v>0</v>
      </c>
      <c r="AD771" s="3" t="str">
        <f>VLOOKUP(D771,'Position Lookup'!A:B,1,FALSE)</f>
        <v>DEF</v>
      </c>
    </row>
    <row r="772" ht="17.25" customHeight="1">
      <c r="A772" s="31">
        <v>45206.0</v>
      </c>
      <c r="B772" s="5" t="s">
        <v>712</v>
      </c>
      <c r="C772" s="3" t="s">
        <v>118</v>
      </c>
      <c r="D772" s="3" t="s">
        <v>8</v>
      </c>
      <c r="E772" s="5" t="s">
        <v>157</v>
      </c>
      <c r="G772" s="3" t="s">
        <v>230</v>
      </c>
      <c r="J772" s="5">
        <v>4.0</v>
      </c>
      <c r="N772" s="3" t="b">
        <v>0</v>
      </c>
      <c r="R772" s="3">
        <v>0.0</v>
      </c>
      <c r="T772" s="3">
        <v>10.0</v>
      </c>
      <c r="X772" s="77"/>
      <c r="Y772" s="3">
        <v>2.0</v>
      </c>
      <c r="Z772" s="3">
        <v>4.0</v>
      </c>
      <c r="AA772" s="2">
        <f>2+ (P772*'Scoring System'!$B$3)+ (IF(OR(D772="DEF",D772="GK"),N772*'Scoring System'!$B$4,IF(D772="MID",N772*'Scoring System'!$B$5,0)))+ (IF(OR(D772="DEF",D772="GK"),H772*'Scoring System'!$B$6,IF(D772="MID",H772*'Scoring System'!$B$7,IF(D772="ATT",H772*'Scoring System'!$B$8,0))))+ IF(AND(OR(D772="GK",D772="DEF"),J772&gt;=3),1*'Scoring System'!$B$9,0)+ (I772*'Scoring System'!$B$10)+ (K772*'Scoring System'!$B$11)+ (M772*'Scoring System'!$B$12)+ (L772*'Scoring System'!$B$13)+ (O772*'Scoring System'!$B$14)+ (Q772*'Scoring System'!$B$15)+ (R772*'Scoring System'!$B$16)</f>
        <v>1</v>
      </c>
      <c r="AB772" s="3" t="b">
        <f>IFERROR(match(C772,'Match Day Fees'!$B$2:$B$999,0),0)=0</f>
        <v>0</v>
      </c>
      <c r="AC772" s="3">
        <f t="shared" si="2"/>
        <v>0</v>
      </c>
      <c r="AD772" s="3" t="str">
        <f>VLOOKUP(D772,'Position Lookup'!A:B,1,FALSE)</f>
        <v>GK</v>
      </c>
    </row>
    <row r="773" ht="17.25" customHeight="1">
      <c r="A773" s="31">
        <v>45206.0</v>
      </c>
      <c r="B773" s="5" t="s">
        <v>712</v>
      </c>
      <c r="C773" s="5" t="s">
        <v>304</v>
      </c>
      <c r="D773" s="5" t="s">
        <v>11</v>
      </c>
      <c r="E773" s="5" t="s">
        <v>157</v>
      </c>
      <c r="G773" s="3" t="s">
        <v>230</v>
      </c>
      <c r="J773" s="5">
        <v>4.0</v>
      </c>
      <c r="N773" s="3" t="b">
        <v>0</v>
      </c>
      <c r="R773" s="3">
        <v>0.0</v>
      </c>
      <c r="T773" s="3">
        <v>10.0</v>
      </c>
      <c r="X773" s="77"/>
      <c r="Y773" s="3">
        <v>2.0</v>
      </c>
      <c r="Z773" s="3">
        <v>4.0</v>
      </c>
      <c r="AA773" s="2">
        <f>2+ (P773*'Scoring System'!$B$3)+ (IF(OR(D773="DEF",D773="GK"),N773*'Scoring System'!$B$4,IF(D773="MID",N773*'Scoring System'!$B$5,0)))+ (IF(OR(D773="DEF",D773="GK"),H773*'Scoring System'!$B$6,IF(D773="MID",H773*'Scoring System'!$B$7,IF(D773="ATT",H773*'Scoring System'!$B$8,0))))+ IF(AND(OR(D773="GK",D773="DEF"),J773&gt;=3),1*'Scoring System'!$B$9,0)+ (I773*'Scoring System'!$B$10)+ (K773*'Scoring System'!$B$11)+ (M773*'Scoring System'!$B$12)+ (L773*'Scoring System'!$B$13)+ (O773*'Scoring System'!$B$14)+ (Q773*'Scoring System'!$B$15)+ (R773*'Scoring System'!$B$16)</f>
        <v>1</v>
      </c>
      <c r="AB773" s="3" t="b">
        <f>IFERROR(match(C773,'Match Day Fees'!$B$2:$B$999,0),0)=0</f>
        <v>0</v>
      </c>
      <c r="AC773" s="3">
        <f t="shared" si="2"/>
        <v>0</v>
      </c>
      <c r="AD773" s="3" t="str">
        <f>VLOOKUP(D773,'Position Lookup'!A:B,1,FALSE)</f>
        <v>DEF</v>
      </c>
    </row>
    <row r="774" ht="17.25" customHeight="1">
      <c r="A774" s="31">
        <v>45206.0</v>
      </c>
      <c r="B774" s="5" t="s">
        <v>712</v>
      </c>
      <c r="C774" s="3" t="s">
        <v>290</v>
      </c>
      <c r="D774" s="5" t="s">
        <v>10</v>
      </c>
      <c r="E774" s="5" t="s">
        <v>157</v>
      </c>
      <c r="G774" s="3" t="s">
        <v>230</v>
      </c>
      <c r="I774" s="3">
        <v>1.0</v>
      </c>
      <c r="J774" s="5">
        <v>4.0</v>
      </c>
      <c r="N774" s="3" t="b">
        <v>0</v>
      </c>
      <c r="R774" s="3">
        <v>0.0</v>
      </c>
      <c r="T774" s="3">
        <v>10.0</v>
      </c>
      <c r="X774" s="77"/>
      <c r="Y774" s="3">
        <v>2.0</v>
      </c>
      <c r="Z774" s="3">
        <v>4.0</v>
      </c>
      <c r="AA774" s="2">
        <f>2+ (P774*'Scoring System'!$B$3)+ (IF(OR(D774="DEF",D774="GK"),N774*'Scoring System'!$B$4,IF(D774="MID",N774*'Scoring System'!$B$5,0)))+ (IF(OR(D774="DEF",D774="GK"),H774*'Scoring System'!$B$6,IF(D774="MID",H774*'Scoring System'!$B$7,IF(D774="ATT",H774*'Scoring System'!$B$8,0))))+ IF(AND(OR(D774="GK",D774="DEF"),J774&gt;=3),1*'Scoring System'!$B$9,0)+ (I774*'Scoring System'!$B$10)+ (K774*'Scoring System'!$B$11)+ (M774*'Scoring System'!$B$12)+ (L774*'Scoring System'!$B$13)+ (O774*'Scoring System'!$B$14)+ (Q774*'Scoring System'!$B$15)+ (R774*'Scoring System'!$B$16)</f>
        <v>5</v>
      </c>
      <c r="AB774" s="3" t="b">
        <f>IFERROR(match(C774,'Match Day Fees'!$B$2:$B$999,0),0)=0</f>
        <v>0</v>
      </c>
      <c r="AC774" s="3">
        <f t="shared" si="2"/>
        <v>0</v>
      </c>
      <c r="AD774" s="3" t="str">
        <f>VLOOKUP(D774,'Position Lookup'!A:B,1,FALSE)</f>
        <v>MID</v>
      </c>
    </row>
    <row r="775" ht="17.25" customHeight="1">
      <c r="A775" s="31">
        <v>45206.0</v>
      </c>
      <c r="B775" s="5" t="s">
        <v>712</v>
      </c>
      <c r="C775" s="3" t="s">
        <v>146</v>
      </c>
      <c r="D775" s="5" t="s">
        <v>10</v>
      </c>
      <c r="E775" s="5" t="s">
        <v>157</v>
      </c>
      <c r="G775" s="3" t="s">
        <v>230</v>
      </c>
      <c r="J775" s="5">
        <v>4.0</v>
      </c>
      <c r="N775" s="3" t="b">
        <v>0</v>
      </c>
      <c r="R775" s="3">
        <v>0.0</v>
      </c>
      <c r="T775" s="3">
        <v>10.0</v>
      </c>
      <c r="X775" s="77"/>
      <c r="Y775" s="3">
        <v>2.0</v>
      </c>
      <c r="Z775" s="3">
        <v>4.0</v>
      </c>
      <c r="AA775" s="2">
        <f>2+ (P775*'Scoring System'!$B$3)+ (IF(OR(D775="DEF",D775="GK"),N775*'Scoring System'!$B$4,IF(D775="MID",N775*'Scoring System'!$B$5,0)))+ (IF(OR(D775="DEF",D775="GK"),H775*'Scoring System'!$B$6,IF(D775="MID",H775*'Scoring System'!$B$7,IF(D775="ATT",H775*'Scoring System'!$B$8,0))))+ IF(AND(OR(D775="GK",D775="DEF"),J775&gt;=3),1*'Scoring System'!$B$9,0)+ (I775*'Scoring System'!$B$10)+ (K775*'Scoring System'!$B$11)+ (M775*'Scoring System'!$B$12)+ (L775*'Scoring System'!$B$13)+ (O775*'Scoring System'!$B$14)+ (Q775*'Scoring System'!$B$15)+ (R775*'Scoring System'!$B$16)</f>
        <v>2</v>
      </c>
      <c r="AB775" s="3" t="b">
        <f>IFERROR(match(C775,'Match Day Fees'!$B$2:$B$999,0),0)=0</f>
        <v>0</v>
      </c>
      <c r="AC775" s="3">
        <f t="shared" si="2"/>
        <v>0</v>
      </c>
      <c r="AD775" s="3" t="str">
        <f>VLOOKUP(D775,'Position Lookup'!A:B,1,FALSE)</f>
        <v>MID</v>
      </c>
    </row>
    <row r="776" ht="17.25" customHeight="1">
      <c r="A776" s="32">
        <v>45213.0</v>
      </c>
      <c r="B776" s="5" t="s">
        <v>309</v>
      </c>
      <c r="C776" s="5" t="s">
        <v>53</v>
      </c>
      <c r="D776" s="5" t="s">
        <v>8</v>
      </c>
      <c r="E776" s="82">
        <v>1.0</v>
      </c>
      <c r="F776" s="5" t="s">
        <v>777</v>
      </c>
      <c r="G776" s="5" t="s">
        <v>224</v>
      </c>
      <c r="J776" s="5">
        <v>1.0</v>
      </c>
      <c r="N776" s="5" t="b">
        <v>0</v>
      </c>
      <c r="R776" s="5">
        <v>0.0</v>
      </c>
      <c r="T776" s="5">
        <v>10.0</v>
      </c>
      <c r="U776" s="5">
        <v>7.5</v>
      </c>
      <c r="V776" s="5" t="s">
        <v>778</v>
      </c>
      <c r="W776" s="81" t="s">
        <v>311</v>
      </c>
      <c r="X776" s="78" t="s">
        <v>779</v>
      </c>
      <c r="Y776" s="5">
        <v>8.0</v>
      </c>
      <c r="Z776" s="5">
        <v>1.0</v>
      </c>
      <c r="AA776" s="3">
        <f>2+ (P776*'Scoring System'!$B$3)+ (IF(OR(D776="DEF",D776="GK"),N776*'Scoring System'!$B$4,IF(D776="MID",N776*'Scoring System'!$B$5,0)))+ (IF(OR(D776="DEF",D776="GK"),H776*'Scoring System'!$B$6,IF(D776="MID",H776*'Scoring System'!$B$7,IF(D776="ATT",H776*'Scoring System'!$B$8,0))))+ IF(AND(OR(D776="GK",D776="DEF"),J776&gt;=3),1*'Scoring System'!$B$9,0)+ (I776*'Scoring System'!$B$10)+ (K776*'Scoring System'!$B$11)+ (M776*'Scoring System'!$B$12)+ (L776*'Scoring System'!$B$13)+ (O776*'Scoring System'!$B$14)+ (Q776*'Scoring System'!$B$15)+ (R776*'Scoring System'!$B$16)</f>
        <v>2</v>
      </c>
      <c r="AB776" s="3" t="b">
        <f>IFERROR(match(C776,'Match Day Fees'!$B$2:$B$999,0),0)=0</f>
        <v>0</v>
      </c>
      <c r="AC776" s="3">
        <f t="shared" si="2"/>
        <v>0</v>
      </c>
      <c r="AD776" s="3" t="str">
        <f>VLOOKUP(D776,'Position Lookup'!A:B,1,FALSE)</f>
        <v>GK</v>
      </c>
    </row>
    <row r="777" ht="17.25" customHeight="1">
      <c r="A777" s="32">
        <v>45213.0</v>
      </c>
      <c r="B777" s="5" t="s">
        <v>309</v>
      </c>
      <c r="C777" s="5" t="s">
        <v>338</v>
      </c>
      <c r="D777" s="5" t="s">
        <v>11</v>
      </c>
      <c r="E777" s="82">
        <v>1.0</v>
      </c>
      <c r="F777" s="5" t="s">
        <v>777</v>
      </c>
      <c r="G777" s="5" t="s">
        <v>224</v>
      </c>
      <c r="J777" s="5">
        <v>1.0</v>
      </c>
      <c r="N777" s="5" t="b">
        <v>0</v>
      </c>
      <c r="R777" s="5">
        <v>0.0</v>
      </c>
      <c r="T777" s="5">
        <v>10.0</v>
      </c>
      <c r="U777" s="5">
        <v>7.0</v>
      </c>
      <c r="V777" s="5" t="s">
        <v>780</v>
      </c>
      <c r="W777" s="81" t="s">
        <v>311</v>
      </c>
      <c r="X777" s="78" t="s">
        <v>779</v>
      </c>
      <c r="Y777" s="5">
        <v>8.0</v>
      </c>
      <c r="Z777" s="5">
        <v>1.0</v>
      </c>
      <c r="AA777" s="3">
        <f>2+ (P777*'Scoring System'!$B$3)+ (IF(OR(D777="DEF",D777="GK"),N777*'Scoring System'!$B$4,IF(D777="MID",N777*'Scoring System'!$B$5,0)))+ (IF(OR(D777="DEF",D777="GK"),H777*'Scoring System'!$B$6,IF(D777="MID",H777*'Scoring System'!$B$7,IF(D777="ATT",H777*'Scoring System'!$B$8,0))))+ IF(AND(OR(D777="GK",D777="DEF"),J777&gt;=3),1*'Scoring System'!$B$9,0)+ (I777*'Scoring System'!$B$10)+ (K777*'Scoring System'!$B$11)+ (M777*'Scoring System'!$B$12)+ (L777*'Scoring System'!$B$13)+ (O777*'Scoring System'!$B$14)+ (Q777*'Scoring System'!$B$15)+ (R777*'Scoring System'!$B$16)</f>
        <v>2</v>
      </c>
      <c r="AB777" s="3" t="b">
        <f>IFERROR(match(C777,'Match Day Fees'!$B$2:$B$999,0),0)=0</f>
        <v>0</v>
      </c>
      <c r="AC777" s="3">
        <f t="shared" si="2"/>
        <v>0</v>
      </c>
      <c r="AD777" s="3" t="str">
        <f>VLOOKUP(D777,'Position Lookup'!A:B,1,FALSE)</f>
        <v>DEF</v>
      </c>
    </row>
    <row r="778" ht="17.25" customHeight="1">
      <c r="A778" s="32">
        <v>45213.0</v>
      </c>
      <c r="B778" s="5" t="s">
        <v>309</v>
      </c>
      <c r="C778" s="5" t="s">
        <v>68</v>
      </c>
      <c r="D778" s="5" t="s">
        <v>11</v>
      </c>
      <c r="E778" s="82">
        <v>1.0</v>
      </c>
      <c r="F778" s="5" t="s">
        <v>777</v>
      </c>
      <c r="G778" s="5" t="s">
        <v>224</v>
      </c>
      <c r="J778" s="5">
        <v>1.0</v>
      </c>
      <c r="N778" s="5" t="b">
        <v>0</v>
      </c>
      <c r="R778" s="5">
        <v>0.0</v>
      </c>
      <c r="T778" s="5">
        <v>10.0</v>
      </c>
      <c r="U778" s="5">
        <v>7.5</v>
      </c>
      <c r="V778" s="5" t="s">
        <v>781</v>
      </c>
      <c r="W778" s="81" t="s">
        <v>311</v>
      </c>
      <c r="X778" s="78" t="s">
        <v>779</v>
      </c>
      <c r="Y778" s="5">
        <v>8.0</v>
      </c>
      <c r="Z778" s="5">
        <v>1.0</v>
      </c>
      <c r="AA778" s="3">
        <f>2+ (P778*'Scoring System'!$B$3)+ (IF(OR(D778="DEF",D778="GK"),N778*'Scoring System'!$B$4,IF(D778="MID",N778*'Scoring System'!$B$5,0)))+ (IF(OR(D778="DEF",D778="GK"),H778*'Scoring System'!$B$6,IF(D778="MID",H778*'Scoring System'!$B$7,IF(D778="ATT",H778*'Scoring System'!$B$8,0))))+ IF(AND(OR(D778="GK",D778="DEF"),J778&gt;=3),1*'Scoring System'!$B$9,0)+ (I778*'Scoring System'!$B$10)+ (K778*'Scoring System'!$B$11)+ (M778*'Scoring System'!$B$12)+ (L778*'Scoring System'!$B$13)+ (O778*'Scoring System'!$B$14)+ (Q778*'Scoring System'!$B$15)+ (R778*'Scoring System'!$B$16)</f>
        <v>2</v>
      </c>
      <c r="AB778" s="3" t="b">
        <f>IFERROR(match(C778,'Match Day Fees'!$B$2:$B$999,0),0)=0</f>
        <v>0</v>
      </c>
      <c r="AC778" s="3">
        <f t="shared" si="2"/>
        <v>0</v>
      </c>
      <c r="AD778" s="3" t="str">
        <f>VLOOKUP(D778,'Position Lookup'!A:B,1,FALSE)</f>
        <v>DEF</v>
      </c>
    </row>
    <row r="779" ht="17.25" customHeight="1">
      <c r="A779" s="32">
        <v>45213.0</v>
      </c>
      <c r="B779" s="5" t="s">
        <v>309</v>
      </c>
      <c r="C779" s="5" t="s">
        <v>76</v>
      </c>
      <c r="D779" s="5" t="s">
        <v>11</v>
      </c>
      <c r="E779" s="82">
        <v>1.0</v>
      </c>
      <c r="F779" s="5" t="s">
        <v>777</v>
      </c>
      <c r="G779" s="5" t="s">
        <v>224</v>
      </c>
      <c r="J779" s="5">
        <v>1.0</v>
      </c>
      <c r="N779" s="5" t="b">
        <v>0</v>
      </c>
      <c r="R779" s="5">
        <v>0.0</v>
      </c>
      <c r="T779" s="5">
        <v>10.0</v>
      </c>
      <c r="U779" s="5">
        <v>8.0</v>
      </c>
      <c r="V779" s="5" t="s">
        <v>782</v>
      </c>
      <c r="W779" s="81" t="s">
        <v>311</v>
      </c>
      <c r="X779" s="78" t="s">
        <v>779</v>
      </c>
      <c r="Y779" s="5">
        <v>8.0</v>
      </c>
      <c r="Z779" s="5">
        <v>1.0</v>
      </c>
      <c r="AA779" s="3">
        <f>2+ (P779*'Scoring System'!$B$3)+ (IF(OR(D779="DEF",D779="GK"),N779*'Scoring System'!$B$4,IF(D779="MID",N779*'Scoring System'!$B$5,0)))+ (IF(OR(D779="DEF",D779="GK"),H779*'Scoring System'!$B$6,IF(D779="MID",H779*'Scoring System'!$B$7,IF(D779="ATT",H779*'Scoring System'!$B$8,0))))+ IF(AND(OR(D779="GK",D779="DEF"),J779&gt;=3),1*'Scoring System'!$B$9,0)+ (I779*'Scoring System'!$B$10)+ (K779*'Scoring System'!$B$11)+ (M779*'Scoring System'!$B$12)+ (L779*'Scoring System'!$B$13)+ (O779*'Scoring System'!$B$14)+ (Q779*'Scoring System'!$B$15)+ (R779*'Scoring System'!$B$16)</f>
        <v>2</v>
      </c>
      <c r="AB779" s="3" t="b">
        <f>IFERROR(match(C779,'Match Day Fees'!$B$2:$B$999,0),0)=0</f>
        <v>0</v>
      </c>
      <c r="AC779" s="3">
        <f t="shared" si="2"/>
        <v>0</v>
      </c>
      <c r="AD779" s="3" t="str">
        <f>VLOOKUP(D779,'Position Lookup'!A:B,1,FALSE)</f>
        <v>DEF</v>
      </c>
    </row>
    <row r="780" ht="17.25" customHeight="1">
      <c r="A780" s="32">
        <v>45213.0</v>
      </c>
      <c r="B780" s="5" t="s">
        <v>309</v>
      </c>
      <c r="C780" s="5" t="s">
        <v>77</v>
      </c>
      <c r="D780" s="5" t="s">
        <v>11</v>
      </c>
      <c r="E780" s="82">
        <v>1.0</v>
      </c>
      <c r="F780" s="5" t="s">
        <v>777</v>
      </c>
      <c r="G780" s="5" t="s">
        <v>224</v>
      </c>
      <c r="I780" s="5">
        <v>1.0</v>
      </c>
      <c r="J780" s="5">
        <v>1.0</v>
      </c>
      <c r="N780" s="5" t="b">
        <v>0</v>
      </c>
      <c r="R780" s="5">
        <v>0.0</v>
      </c>
      <c r="T780" s="5">
        <v>10.0</v>
      </c>
      <c r="U780" s="5">
        <v>8.0</v>
      </c>
      <c r="V780" s="5" t="s">
        <v>783</v>
      </c>
      <c r="W780" s="81" t="s">
        <v>311</v>
      </c>
      <c r="X780" s="78" t="s">
        <v>779</v>
      </c>
      <c r="Y780" s="5">
        <v>8.0</v>
      </c>
      <c r="Z780" s="5">
        <v>1.0</v>
      </c>
      <c r="AA780" s="3">
        <f>2+ (P780*'Scoring System'!$B$3)+ (IF(OR(D780="DEF",D780="GK"),N780*'Scoring System'!$B$4,IF(D780="MID",N780*'Scoring System'!$B$5,0)))+ (IF(OR(D780="DEF",D780="GK"),H780*'Scoring System'!$B$6,IF(D780="MID",H780*'Scoring System'!$B$7,IF(D780="ATT",H780*'Scoring System'!$B$8,0))))+ IF(AND(OR(D780="GK",D780="DEF"),J780&gt;=3),1*'Scoring System'!$B$9,0)+ (I780*'Scoring System'!$B$10)+ (K780*'Scoring System'!$B$11)+ (M780*'Scoring System'!$B$12)+ (L780*'Scoring System'!$B$13)+ (O780*'Scoring System'!$B$14)+ (Q780*'Scoring System'!$B$15)+ (R780*'Scoring System'!$B$16)</f>
        <v>5</v>
      </c>
      <c r="AB780" s="3" t="b">
        <f>IFERROR(match(C780,'Match Day Fees'!$B$2:$B$999,0),0)=0</f>
        <v>0</v>
      </c>
      <c r="AC780" s="3">
        <f t="shared" si="2"/>
        <v>0</v>
      </c>
      <c r="AD780" s="3" t="str">
        <f>VLOOKUP(D780,'Position Lookup'!A:B,1,FALSE)</f>
        <v>DEF</v>
      </c>
    </row>
    <row r="781" ht="17.25" customHeight="1">
      <c r="A781" s="32">
        <v>45213.0</v>
      </c>
      <c r="B781" s="5" t="s">
        <v>309</v>
      </c>
      <c r="C781" s="5" t="s">
        <v>107</v>
      </c>
      <c r="D781" s="5" t="s">
        <v>11</v>
      </c>
      <c r="E781" s="82">
        <v>1.0</v>
      </c>
      <c r="F781" s="5" t="s">
        <v>777</v>
      </c>
      <c r="G781" s="5" t="s">
        <v>224</v>
      </c>
      <c r="H781" s="5">
        <v>1.0</v>
      </c>
      <c r="J781" s="5">
        <v>1.0</v>
      </c>
      <c r="N781" s="5" t="b">
        <v>0</v>
      </c>
      <c r="R781" s="5">
        <v>0.0</v>
      </c>
      <c r="T781" s="5">
        <v>10.0</v>
      </c>
      <c r="U781" s="5">
        <v>9.0</v>
      </c>
      <c r="V781" s="5" t="s">
        <v>784</v>
      </c>
      <c r="W781" s="81" t="s">
        <v>311</v>
      </c>
      <c r="X781" s="78" t="s">
        <v>779</v>
      </c>
      <c r="Y781" s="5">
        <v>8.0</v>
      </c>
      <c r="Z781" s="5">
        <v>1.0</v>
      </c>
      <c r="AA781" s="3">
        <f>2+ (P781*'Scoring System'!$B$3)+ (IF(OR(D781="DEF",D781="GK"),N781*'Scoring System'!$B$4,IF(D781="MID",N781*'Scoring System'!$B$5,0)))+ (IF(OR(D781="DEF",D781="GK"),H781*'Scoring System'!$B$6,IF(D781="MID",H781*'Scoring System'!$B$7,IF(D781="ATT",H781*'Scoring System'!$B$8,0))))+ IF(AND(OR(D781="GK",D781="DEF"),J781&gt;=3),1*'Scoring System'!$B$9,0)+ (I781*'Scoring System'!$B$10)+ (K781*'Scoring System'!$B$11)+ (M781*'Scoring System'!$B$12)+ (L781*'Scoring System'!$B$13)+ (O781*'Scoring System'!$B$14)+ (Q781*'Scoring System'!$B$15)+ (R781*'Scoring System'!$B$16)</f>
        <v>8</v>
      </c>
      <c r="AB781" s="3" t="b">
        <f>IFERROR(match(C781,'Match Day Fees'!$B$2:$B$999,0),0)=0</f>
        <v>0</v>
      </c>
      <c r="AC781" s="3">
        <f t="shared" si="2"/>
        <v>0</v>
      </c>
      <c r="AD781" s="3" t="str">
        <f>VLOOKUP(D781,'Position Lookup'!A:B,1,FALSE)</f>
        <v>DEF</v>
      </c>
    </row>
    <row r="782" ht="17.25" customHeight="1">
      <c r="A782" s="32">
        <v>45213.0</v>
      </c>
      <c r="B782" s="5" t="s">
        <v>309</v>
      </c>
      <c r="C782" s="5" t="s">
        <v>75</v>
      </c>
      <c r="D782" s="5" t="s">
        <v>10</v>
      </c>
      <c r="E782" s="82">
        <v>1.0</v>
      </c>
      <c r="F782" s="5" t="s">
        <v>777</v>
      </c>
      <c r="G782" s="5" t="s">
        <v>224</v>
      </c>
      <c r="I782" s="5">
        <v>2.0</v>
      </c>
      <c r="J782" s="5">
        <v>1.0</v>
      </c>
      <c r="K782" s="5">
        <v>1.0</v>
      </c>
      <c r="N782" s="5" t="b">
        <v>0</v>
      </c>
      <c r="R782" s="5">
        <v>0.0</v>
      </c>
      <c r="S782" s="5" t="b">
        <v>1</v>
      </c>
      <c r="T782" s="5">
        <v>0.0</v>
      </c>
      <c r="U782" s="5">
        <v>8.0</v>
      </c>
      <c r="V782" s="5" t="s">
        <v>785</v>
      </c>
      <c r="W782" s="81" t="s">
        <v>311</v>
      </c>
      <c r="X782" s="78" t="s">
        <v>779</v>
      </c>
      <c r="Y782" s="5">
        <v>8.0</v>
      </c>
      <c r="Z782" s="5">
        <v>1.0</v>
      </c>
      <c r="AA782" s="3">
        <f>2+ (P782*'Scoring System'!$B$3)+ (IF(OR(D782="DEF",D782="GK"),N782*'Scoring System'!$B$4,IF(D782="MID",N782*'Scoring System'!$B$5,0)))+ (IF(OR(D782="DEF",D782="GK"),H782*'Scoring System'!$B$6,IF(D782="MID",H782*'Scoring System'!$B$7,IF(D782="ATT",H782*'Scoring System'!$B$8,0))))+ IF(AND(OR(D782="GK",D782="DEF"),J782&gt;=3),1*'Scoring System'!$B$9,0)+ (I782*'Scoring System'!$B$10)+ (K782*'Scoring System'!$B$11)+ (M782*'Scoring System'!$B$12)+ (L782*'Scoring System'!$B$13)+ (O782*'Scoring System'!$B$14)+ (Q782*'Scoring System'!$B$15)+ (R782*'Scoring System'!$B$16)</f>
        <v>7</v>
      </c>
      <c r="AB782" s="3" t="b">
        <f>IFERROR(match(C782,'Match Day Fees'!$B$2:$B$999,0),0)=0</f>
        <v>0</v>
      </c>
      <c r="AC782" s="3">
        <f t="shared" si="2"/>
        <v>0</v>
      </c>
      <c r="AD782" s="3" t="str">
        <f>VLOOKUP(D782,'Position Lookup'!A:B,1,FALSE)</f>
        <v>MID</v>
      </c>
    </row>
    <row r="783" ht="17.25" customHeight="1">
      <c r="A783" s="32">
        <v>45213.0</v>
      </c>
      <c r="B783" s="5" t="s">
        <v>309</v>
      </c>
      <c r="C783" s="5" t="s">
        <v>67</v>
      </c>
      <c r="D783" s="5" t="s">
        <v>10</v>
      </c>
      <c r="E783" s="82">
        <v>1.0</v>
      </c>
      <c r="F783" s="5" t="s">
        <v>777</v>
      </c>
      <c r="G783" s="5" t="s">
        <v>224</v>
      </c>
      <c r="H783" s="5">
        <v>1.0</v>
      </c>
      <c r="J783" s="5">
        <v>1.0</v>
      </c>
      <c r="N783" s="5" t="b">
        <v>0</v>
      </c>
      <c r="R783" s="5">
        <v>0.0</v>
      </c>
      <c r="T783" s="5">
        <v>7.0</v>
      </c>
      <c r="U783" s="5">
        <v>8.5</v>
      </c>
      <c r="V783" s="5" t="s">
        <v>786</v>
      </c>
      <c r="W783" s="81" t="s">
        <v>311</v>
      </c>
      <c r="X783" s="78" t="s">
        <v>779</v>
      </c>
      <c r="Y783" s="5">
        <v>8.0</v>
      </c>
      <c r="Z783" s="5">
        <v>1.0</v>
      </c>
      <c r="AA783" s="3">
        <f>2+ (P783*'Scoring System'!$B$3)+ (IF(OR(D783="DEF",D783="GK"),N783*'Scoring System'!$B$4,IF(D783="MID",N783*'Scoring System'!$B$5,0)))+ (IF(OR(D783="DEF",D783="GK"),H783*'Scoring System'!$B$6,IF(D783="MID",H783*'Scoring System'!$B$7,IF(D783="ATT",H783*'Scoring System'!$B$8,0))))+ IF(AND(OR(D783="GK",D783="DEF"),J783&gt;=3),1*'Scoring System'!$B$9,0)+ (I783*'Scoring System'!$B$10)+ (K783*'Scoring System'!$B$11)+ (M783*'Scoring System'!$B$12)+ (L783*'Scoring System'!$B$13)+ (O783*'Scoring System'!$B$14)+ (Q783*'Scoring System'!$B$15)+ (R783*'Scoring System'!$B$16)</f>
        <v>7</v>
      </c>
      <c r="AB783" s="3" t="b">
        <f>IFERROR(match(C783,'Match Day Fees'!$B$2:$B$999,0),0)=0</f>
        <v>0</v>
      </c>
      <c r="AC783" s="3">
        <f t="shared" si="2"/>
        <v>0</v>
      </c>
      <c r="AD783" s="3" t="str">
        <f>VLOOKUP(D783,'Position Lookup'!A:B,1,FALSE)</f>
        <v>MID</v>
      </c>
    </row>
    <row r="784" ht="17.25" customHeight="1">
      <c r="A784" s="32">
        <v>45213.0</v>
      </c>
      <c r="B784" s="5" t="s">
        <v>309</v>
      </c>
      <c r="C784" s="5" t="s">
        <v>57</v>
      </c>
      <c r="D784" s="5" t="s">
        <v>10</v>
      </c>
      <c r="E784" s="82">
        <v>1.0</v>
      </c>
      <c r="F784" s="5" t="s">
        <v>777</v>
      </c>
      <c r="G784" s="5" t="s">
        <v>224</v>
      </c>
      <c r="J784" s="5">
        <v>1.0</v>
      </c>
      <c r="N784" s="5" t="b">
        <v>0</v>
      </c>
      <c r="R784" s="5">
        <v>0.0</v>
      </c>
      <c r="T784" s="5">
        <v>5.0</v>
      </c>
      <c r="U784" s="5">
        <v>8.5</v>
      </c>
      <c r="V784" s="5" t="s">
        <v>787</v>
      </c>
      <c r="W784" s="81" t="s">
        <v>311</v>
      </c>
      <c r="X784" s="78" t="s">
        <v>779</v>
      </c>
      <c r="Y784" s="5">
        <v>8.0</v>
      </c>
      <c r="Z784" s="5">
        <v>1.0</v>
      </c>
      <c r="AA784" s="3">
        <f>2+ (P784*'Scoring System'!$B$3)+ (IF(OR(D784="DEF",D784="GK"),N784*'Scoring System'!$B$4,IF(D784="MID",N784*'Scoring System'!$B$5,0)))+ (IF(OR(D784="DEF",D784="GK"),H784*'Scoring System'!$B$6,IF(D784="MID",H784*'Scoring System'!$B$7,IF(D784="ATT",H784*'Scoring System'!$B$8,0))))+ IF(AND(OR(D784="GK",D784="DEF"),J784&gt;=3),1*'Scoring System'!$B$9,0)+ (I784*'Scoring System'!$B$10)+ (K784*'Scoring System'!$B$11)+ (M784*'Scoring System'!$B$12)+ (L784*'Scoring System'!$B$13)+ (O784*'Scoring System'!$B$14)+ (Q784*'Scoring System'!$B$15)+ (R784*'Scoring System'!$B$16)</f>
        <v>2</v>
      </c>
      <c r="AB784" s="3" t="b">
        <f>IFERROR(match(C784,'Match Day Fees'!$B$2:$B$999,0),0)=0</f>
        <v>0</v>
      </c>
      <c r="AC784" s="3">
        <f t="shared" si="2"/>
        <v>0</v>
      </c>
      <c r="AD784" s="3" t="str">
        <f>VLOOKUP(D784,'Position Lookup'!A:B,1,FALSE)</f>
        <v>MID</v>
      </c>
    </row>
    <row r="785" ht="17.25" customHeight="1">
      <c r="A785" s="32">
        <v>45213.0</v>
      </c>
      <c r="B785" s="5" t="s">
        <v>309</v>
      </c>
      <c r="C785" s="5" t="s">
        <v>62</v>
      </c>
      <c r="D785" s="5" t="s">
        <v>9</v>
      </c>
      <c r="E785" s="82">
        <v>1.0</v>
      </c>
      <c r="F785" s="5" t="s">
        <v>777</v>
      </c>
      <c r="G785" s="5" t="s">
        <v>224</v>
      </c>
      <c r="H785" s="5">
        <v>2.0</v>
      </c>
      <c r="I785" s="5">
        <v>1.0</v>
      </c>
      <c r="J785" s="5">
        <v>1.0</v>
      </c>
      <c r="N785" s="5" t="b">
        <v>0</v>
      </c>
      <c r="R785" s="5">
        <v>0.0</v>
      </c>
      <c r="T785" s="5">
        <v>10.0</v>
      </c>
      <c r="U785" s="5">
        <v>9.0</v>
      </c>
      <c r="V785" s="5" t="s">
        <v>788</v>
      </c>
      <c r="W785" s="81" t="s">
        <v>311</v>
      </c>
      <c r="X785" s="78" t="s">
        <v>779</v>
      </c>
      <c r="Y785" s="5">
        <v>8.0</v>
      </c>
      <c r="Z785" s="5">
        <v>1.0</v>
      </c>
      <c r="AA785" s="3">
        <f>2+ (P785*'Scoring System'!$B$3)+ (IF(OR(D785="DEF",D785="GK"),N785*'Scoring System'!$B$4,IF(D785="MID",N785*'Scoring System'!$B$5,0)))+ (IF(OR(D785="DEF",D785="GK"),H785*'Scoring System'!$B$6,IF(D785="MID",H785*'Scoring System'!$B$7,IF(D785="ATT",H785*'Scoring System'!$B$8,0))))+ IF(AND(OR(D785="GK",D785="DEF"),J785&gt;=3),1*'Scoring System'!$B$9,0)+ (I785*'Scoring System'!$B$10)+ (K785*'Scoring System'!$B$11)+ (M785*'Scoring System'!$B$12)+ (L785*'Scoring System'!$B$13)+ (O785*'Scoring System'!$B$14)+ (Q785*'Scoring System'!$B$15)+ (R785*'Scoring System'!$B$16)</f>
        <v>13</v>
      </c>
      <c r="AB785" s="3" t="b">
        <f>IFERROR(match(C785,'Match Day Fees'!$B$2:$B$999,0),0)=0</f>
        <v>0</v>
      </c>
      <c r="AC785" s="3">
        <f t="shared" si="2"/>
        <v>0</v>
      </c>
      <c r="AD785" s="3" t="str">
        <f>VLOOKUP(D785,'Position Lookup'!A:B,1,FALSE)</f>
        <v>ATT</v>
      </c>
    </row>
    <row r="786" ht="17.25" customHeight="1">
      <c r="A786" s="32">
        <v>45213.0</v>
      </c>
      <c r="B786" s="5" t="s">
        <v>309</v>
      </c>
      <c r="C786" s="5" t="s">
        <v>47</v>
      </c>
      <c r="D786" s="5" t="s">
        <v>9</v>
      </c>
      <c r="E786" s="82">
        <v>1.0</v>
      </c>
      <c r="F786" s="5" t="s">
        <v>777</v>
      </c>
      <c r="G786" s="5" t="s">
        <v>224</v>
      </c>
      <c r="H786" s="5">
        <v>1.0</v>
      </c>
      <c r="I786" s="5">
        <v>3.0</v>
      </c>
      <c r="J786" s="5">
        <v>1.0</v>
      </c>
      <c r="N786" s="5" t="b">
        <v>0</v>
      </c>
      <c r="R786" s="5">
        <v>1.0</v>
      </c>
      <c r="T786" s="5">
        <v>10.0</v>
      </c>
      <c r="U786" s="5">
        <v>9.0</v>
      </c>
      <c r="V786" s="5" t="s">
        <v>789</v>
      </c>
      <c r="W786" s="81" t="s">
        <v>311</v>
      </c>
      <c r="X786" s="78" t="s">
        <v>779</v>
      </c>
      <c r="Y786" s="5">
        <v>8.0</v>
      </c>
      <c r="Z786" s="5">
        <v>1.0</v>
      </c>
      <c r="AA786" s="3">
        <f>2+ (P786*'Scoring System'!$B$3)+ (IF(OR(D786="DEF",D786="GK"),N786*'Scoring System'!$B$4,IF(D786="MID",N786*'Scoring System'!$B$5,0)))+ (IF(OR(D786="DEF",D786="GK"),H786*'Scoring System'!$B$6,IF(D786="MID",H786*'Scoring System'!$B$7,IF(D786="ATT",H786*'Scoring System'!$B$8,0))))+ IF(AND(OR(D786="GK",D786="DEF"),J786&gt;=3),1*'Scoring System'!$B$9,0)+ (I786*'Scoring System'!$B$10)+ (K786*'Scoring System'!$B$11)+ (M786*'Scoring System'!$B$12)+ (L786*'Scoring System'!$B$13)+ (O786*'Scoring System'!$B$14)+ (Q786*'Scoring System'!$B$15)+ (R786*'Scoring System'!$B$16)</f>
        <v>20</v>
      </c>
      <c r="AB786" s="3" t="b">
        <f>IFERROR(match(C786,'Match Day Fees'!$B$2:$B$999,0),0)=0</f>
        <v>0</v>
      </c>
      <c r="AC786" s="3">
        <f t="shared" si="2"/>
        <v>0</v>
      </c>
      <c r="AD786" s="3" t="str">
        <f>VLOOKUP(D786,'Position Lookup'!A:B,1,FALSE)</f>
        <v>ATT</v>
      </c>
    </row>
    <row r="787" ht="17.25" customHeight="1">
      <c r="A787" s="32">
        <v>45213.0</v>
      </c>
      <c r="B787" s="5" t="s">
        <v>309</v>
      </c>
      <c r="C787" s="5" t="s">
        <v>272</v>
      </c>
      <c r="D787" s="5" t="s">
        <v>10</v>
      </c>
      <c r="E787" s="82">
        <v>1.0</v>
      </c>
      <c r="F787" s="5" t="s">
        <v>777</v>
      </c>
      <c r="G787" s="5" t="s">
        <v>224</v>
      </c>
      <c r="J787" s="5">
        <v>1.0</v>
      </c>
      <c r="N787" s="5" t="b">
        <v>0</v>
      </c>
      <c r="R787" s="5">
        <v>0.0</v>
      </c>
      <c r="T787" s="5">
        <v>5.0</v>
      </c>
      <c r="U787" s="5">
        <v>6.0</v>
      </c>
      <c r="V787" s="5" t="s">
        <v>790</v>
      </c>
      <c r="W787" s="81" t="s">
        <v>311</v>
      </c>
      <c r="X787" s="78" t="s">
        <v>779</v>
      </c>
      <c r="Y787" s="5">
        <v>8.0</v>
      </c>
      <c r="Z787" s="5">
        <v>1.0</v>
      </c>
      <c r="AA787" s="3">
        <f>2+ (P787*'Scoring System'!$B$3)+ (IF(OR(D787="DEF",D787="GK"),N787*'Scoring System'!$B$4,IF(D787="MID",N787*'Scoring System'!$B$5,0)))+ (IF(OR(D787="DEF",D787="GK"),H787*'Scoring System'!$B$6,IF(D787="MID",H787*'Scoring System'!$B$7,IF(D787="ATT",H787*'Scoring System'!$B$8,0))))+ IF(AND(OR(D787="GK",D787="DEF"),J787&gt;=3),1*'Scoring System'!$B$9,0)+ (I787*'Scoring System'!$B$10)+ (K787*'Scoring System'!$B$11)+ (M787*'Scoring System'!$B$12)+ (L787*'Scoring System'!$B$13)+ (O787*'Scoring System'!$B$14)+ (Q787*'Scoring System'!$B$15)+ (R787*'Scoring System'!$B$16)</f>
        <v>2</v>
      </c>
      <c r="AB787" s="3" t="b">
        <f>IFERROR(match(C787,'Match Day Fees'!$B$2:$B$999,0),0)=0</f>
        <v>0</v>
      </c>
      <c r="AC787" s="3">
        <f t="shared" si="2"/>
        <v>0</v>
      </c>
      <c r="AD787" s="3" t="str">
        <f>VLOOKUP(D787,'Position Lookup'!A:B,1,FALSE)</f>
        <v>MID</v>
      </c>
    </row>
    <row r="788" ht="17.25" customHeight="1">
      <c r="A788" s="32">
        <v>45213.0</v>
      </c>
      <c r="B788" s="5" t="s">
        <v>309</v>
      </c>
      <c r="C788" s="5" t="s">
        <v>93</v>
      </c>
      <c r="D788" s="5" t="s">
        <v>10</v>
      </c>
      <c r="E788" s="82">
        <v>1.0</v>
      </c>
      <c r="F788" s="5" t="s">
        <v>777</v>
      </c>
      <c r="G788" s="5" t="s">
        <v>224</v>
      </c>
      <c r="H788" s="5">
        <v>1.0</v>
      </c>
      <c r="J788" s="5">
        <v>1.0</v>
      </c>
      <c r="N788" s="5" t="b">
        <v>0</v>
      </c>
      <c r="R788" s="5">
        <v>0.0</v>
      </c>
      <c r="T788" s="5">
        <v>7.0</v>
      </c>
      <c r="U788" s="5">
        <v>7.5</v>
      </c>
      <c r="V788" s="5" t="s">
        <v>791</v>
      </c>
      <c r="W788" s="81" t="s">
        <v>311</v>
      </c>
      <c r="X788" s="78" t="s">
        <v>779</v>
      </c>
      <c r="Y788" s="5">
        <v>8.0</v>
      </c>
      <c r="Z788" s="5">
        <v>1.0</v>
      </c>
      <c r="AA788" s="3">
        <f>2+ (P788*'Scoring System'!$B$3)+ (IF(OR(D788="DEF",D788="GK"),N788*'Scoring System'!$B$4,IF(D788="MID",N788*'Scoring System'!$B$5,0)))+ (IF(OR(D788="DEF",D788="GK"),H788*'Scoring System'!$B$6,IF(D788="MID",H788*'Scoring System'!$B$7,IF(D788="ATT",H788*'Scoring System'!$B$8,0))))+ IF(AND(OR(D788="GK",D788="DEF"),J788&gt;=3),1*'Scoring System'!$B$9,0)+ (I788*'Scoring System'!$B$10)+ (K788*'Scoring System'!$B$11)+ (M788*'Scoring System'!$B$12)+ (L788*'Scoring System'!$B$13)+ (O788*'Scoring System'!$B$14)+ (Q788*'Scoring System'!$B$15)+ (R788*'Scoring System'!$B$16)</f>
        <v>7</v>
      </c>
      <c r="AB788" s="3" t="b">
        <f>IFERROR(match(C788,'Match Day Fees'!$B$2:$B$999,0),0)=0</f>
        <v>0</v>
      </c>
      <c r="AC788" s="3">
        <f t="shared" si="2"/>
        <v>0</v>
      </c>
      <c r="AD788" s="3" t="str">
        <f>VLOOKUP(D788,'Position Lookup'!A:B,1,FALSE)</f>
        <v>MID</v>
      </c>
    </row>
    <row r="789" ht="17.25" customHeight="1">
      <c r="A789" s="32">
        <v>45213.0</v>
      </c>
      <c r="B789" s="5" t="s">
        <v>309</v>
      </c>
      <c r="C789" s="5" t="s">
        <v>110</v>
      </c>
      <c r="D789" s="5" t="s">
        <v>9</v>
      </c>
      <c r="E789" s="82">
        <v>1.0</v>
      </c>
      <c r="F789" s="5" t="s">
        <v>777</v>
      </c>
      <c r="G789" s="5" t="s">
        <v>224</v>
      </c>
      <c r="H789" s="5">
        <v>2.0</v>
      </c>
      <c r="I789" s="5">
        <v>1.0</v>
      </c>
      <c r="J789" s="5">
        <v>1.0</v>
      </c>
      <c r="N789" s="5" t="b">
        <v>0</v>
      </c>
      <c r="R789" s="5">
        <v>0.0</v>
      </c>
      <c r="T789" s="5">
        <v>3.0</v>
      </c>
      <c r="U789" s="5">
        <v>8.0</v>
      </c>
      <c r="V789" s="5" t="s">
        <v>792</v>
      </c>
      <c r="W789" s="81" t="s">
        <v>311</v>
      </c>
      <c r="X789" s="78" t="s">
        <v>779</v>
      </c>
      <c r="Y789" s="5">
        <v>8.0</v>
      </c>
      <c r="Z789" s="5">
        <v>1.0</v>
      </c>
      <c r="AA789" s="3">
        <f>2+ (P789*'Scoring System'!$B$3)+ (IF(OR(D789="DEF",D789="GK"),N789*'Scoring System'!$B$4,IF(D789="MID",N789*'Scoring System'!$B$5,0)))+ (IF(OR(D789="DEF",D789="GK"),H789*'Scoring System'!$B$6,IF(D789="MID",H789*'Scoring System'!$B$7,IF(D789="ATT",H789*'Scoring System'!$B$8,0))))+ IF(AND(OR(D789="GK",D789="DEF"),J789&gt;=3),1*'Scoring System'!$B$9,0)+ (I789*'Scoring System'!$B$10)+ (K789*'Scoring System'!$B$11)+ (M789*'Scoring System'!$B$12)+ (L789*'Scoring System'!$B$13)+ (O789*'Scoring System'!$B$14)+ (Q789*'Scoring System'!$B$15)+ (R789*'Scoring System'!$B$16)</f>
        <v>13</v>
      </c>
      <c r="AB789" s="3" t="b">
        <f>IFERROR(match(C789,'Match Day Fees'!$B$2:$B$999,0),0)=0</f>
        <v>0</v>
      </c>
      <c r="AC789" s="3">
        <f t="shared" si="2"/>
        <v>0</v>
      </c>
      <c r="AD789" s="3" t="str">
        <f>VLOOKUP(D789,'Position Lookup'!A:B,1,FALSE)</f>
        <v>ATT</v>
      </c>
    </row>
    <row r="790" ht="17.25" customHeight="1">
      <c r="A790" s="32">
        <v>45213.0</v>
      </c>
      <c r="B790" s="5" t="s">
        <v>712</v>
      </c>
      <c r="C790" s="5" t="s">
        <v>527</v>
      </c>
      <c r="D790" s="5" t="s">
        <v>8</v>
      </c>
      <c r="E790" s="82">
        <v>3.0</v>
      </c>
      <c r="F790" s="5" t="s">
        <v>793</v>
      </c>
      <c r="G790" s="5" t="s">
        <v>230</v>
      </c>
      <c r="J790" s="5">
        <v>3.0</v>
      </c>
      <c r="N790" s="5" t="b">
        <v>0</v>
      </c>
      <c r="R790" s="5">
        <v>0.0</v>
      </c>
      <c r="T790" s="5">
        <v>10.0</v>
      </c>
      <c r="U790" s="5">
        <v>7.0</v>
      </c>
      <c r="V790" s="5" t="s">
        <v>794</v>
      </c>
      <c r="W790" s="81" t="s">
        <v>344</v>
      </c>
      <c r="X790" s="78" t="s">
        <v>795</v>
      </c>
      <c r="Y790" s="5">
        <v>2.0</v>
      </c>
      <c r="Z790" s="5">
        <v>3.0</v>
      </c>
      <c r="AA790" s="3">
        <f>2+ (P790*'Scoring System'!$B$3)+ (IF(OR(D790="DEF",D790="GK"),N790*'Scoring System'!$B$4,IF(D790="MID",N790*'Scoring System'!$B$5,0)))+ (IF(OR(D790="DEF",D790="GK"),H790*'Scoring System'!$B$6,IF(D790="MID",H790*'Scoring System'!$B$7,IF(D790="ATT",H790*'Scoring System'!$B$8,0))))+ IF(AND(OR(D790="GK",D790="DEF"),J790&gt;=3),1*'Scoring System'!$B$9,0)+ (I790*'Scoring System'!$B$10)+ (K790*'Scoring System'!$B$11)+ (M790*'Scoring System'!$B$12)+ (L790*'Scoring System'!$B$13)+ (O790*'Scoring System'!$B$14)+ (Q790*'Scoring System'!$B$15)+ (R790*'Scoring System'!$B$16)</f>
        <v>1</v>
      </c>
      <c r="AB790" s="3" t="b">
        <f>IFERROR(match(C790,'Match Day Fees'!$B$2:$B$999,0),0)=0</f>
        <v>0</v>
      </c>
      <c r="AC790" s="3">
        <f t="shared" si="2"/>
        <v>0</v>
      </c>
      <c r="AD790" s="3" t="str">
        <f>VLOOKUP(D790,'Position Lookup'!A:B,1,FALSE)</f>
        <v>GK</v>
      </c>
    </row>
    <row r="791" ht="17.25" customHeight="1">
      <c r="A791" s="32">
        <v>45213.0</v>
      </c>
      <c r="B791" s="5" t="s">
        <v>712</v>
      </c>
      <c r="C791" s="5" t="s">
        <v>254</v>
      </c>
      <c r="D791" s="5" t="s">
        <v>11</v>
      </c>
      <c r="E791" s="82">
        <v>3.0</v>
      </c>
      <c r="F791" s="5" t="s">
        <v>793</v>
      </c>
      <c r="G791" s="5" t="s">
        <v>230</v>
      </c>
      <c r="I791" s="5">
        <v>1.0</v>
      </c>
      <c r="J791" s="5">
        <v>3.0</v>
      </c>
      <c r="N791" s="5" t="b">
        <v>0</v>
      </c>
      <c r="R791" s="5">
        <v>0.0</v>
      </c>
      <c r="S791" s="5" t="b">
        <v>1</v>
      </c>
      <c r="T791" s="5">
        <v>0.0</v>
      </c>
      <c r="U791" s="5">
        <v>8.5</v>
      </c>
      <c r="V791" s="5" t="s">
        <v>796</v>
      </c>
      <c r="W791" s="81" t="s">
        <v>344</v>
      </c>
      <c r="X791" s="78" t="s">
        <v>795</v>
      </c>
      <c r="Y791" s="5">
        <v>2.0</v>
      </c>
      <c r="Z791" s="5">
        <v>3.0</v>
      </c>
      <c r="AA791" s="3">
        <f>2+ (P791*'Scoring System'!$B$3)+ (IF(OR(D791="DEF",D791="GK"),N791*'Scoring System'!$B$4,IF(D791="MID",N791*'Scoring System'!$B$5,0)))+ (IF(OR(D791="DEF",D791="GK"),H791*'Scoring System'!$B$6,IF(D791="MID",H791*'Scoring System'!$B$7,IF(D791="ATT",H791*'Scoring System'!$B$8,0))))+ IF(AND(OR(D791="GK",D791="DEF"),J791&gt;=3),1*'Scoring System'!$B$9,0)+ (I791*'Scoring System'!$B$10)+ (K791*'Scoring System'!$B$11)+ (M791*'Scoring System'!$B$12)+ (L791*'Scoring System'!$B$13)+ (O791*'Scoring System'!$B$14)+ (Q791*'Scoring System'!$B$15)+ (R791*'Scoring System'!$B$16)</f>
        <v>4</v>
      </c>
      <c r="AB791" s="3" t="b">
        <f>IFERROR(match(C791,'Match Day Fees'!$B$2:$B$999,0),0)=0</f>
        <v>0</v>
      </c>
      <c r="AC791" s="3">
        <f t="shared" si="2"/>
        <v>0</v>
      </c>
      <c r="AD791" s="3" t="str">
        <f>VLOOKUP(D791,'Position Lookup'!A:B,1,FALSE)</f>
        <v>DEF</v>
      </c>
    </row>
    <row r="792" ht="17.25" customHeight="1">
      <c r="A792" s="32">
        <v>45213.0</v>
      </c>
      <c r="B792" s="5" t="s">
        <v>712</v>
      </c>
      <c r="C792" s="5" t="s">
        <v>256</v>
      </c>
      <c r="D792" s="5" t="s">
        <v>11</v>
      </c>
      <c r="E792" s="82">
        <v>3.0</v>
      </c>
      <c r="F792" s="5" t="s">
        <v>793</v>
      </c>
      <c r="G792" s="5" t="s">
        <v>230</v>
      </c>
      <c r="J792" s="5">
        <v>3.0</v>
      </c>
      <c r="N792" s="5" t="b">
        <v>0</v>
      </c>
      <c r="R792" s="5">
        <v>0.0</v>
      </c>
      <c r="T792" s="5">
        <v>5.0</v>
      </c>
      <c r="U792" s="5">
        <v>7.0</v>
      </c>
      <c r="V792" s="5" t="s">
        <v>797</v>
      </c>
      <c r="W792" s="81" t="s">
        <v>344</v>
      </c>
      <c r="X792" s="78" t="s">
        <v>795</v>
      </c>
      <c r="Y792" s="5">
        <v>2.0</v>
      </c>
      <c r="Z792" s="5">
        <v>3.0</v>
      </c>
      <c r="AA792" s="3">
        <f>2+ (P792*'Scoring System'!$B$3)+ (IF(OR(D792="DEF",D792="GK"),N792*'Scoring System'!$B$4,IF(D792="MID",N792*'Scoring System'!$B$5,0)))+ (IF(OR(D792="DEF",D792="GK"),H792*'Scoring System'!$B$6,IF(D792="MID",H792*'Scoring System'!$B$7,IF(D792="ATT",H792*'Scoring System'!$B$8,0))))+ IF(AND(OR(D792="GK",D792="DEF"),J792&gt;=3),1*'Scoring System'!$B$9,0)+ (I792*'Scoring System'!$B$10)+ (K792*'Scoring System'!$B$11)+ (M792*'Scoring System'!$B$12)+ (L792*'Scoring System'!$B$13)+ (O792*'Scoring System'!$B$14)+ (Q792*'Scoring System'!$B$15)+ (R792*'Scoring System'!$B$16)</f>
        <v>1</v>
      </c>
      <c r="AB792" s="3" t="b">
        <f>IFERROR(match(C792,'Match Day Fees'!$B$2:$B$999,0),0)=0</f>
        <v>0</v>
      </c>
      <c r="AC792" s="3">
        <f t="shared" si="2"/>
        <v>0</v>
      </c>
      <c r="AD792" s="3" t="str">
        <f>VLOOKUP(D792,'Position Lookup'!A:B,1,FALSE)</f>
        <v>DEF</v>
      </c>
    </row>
    <row r="793" ht="17.25" customHeight="1">
      <c r="A793" s="32">
        <v>45213.0</v>
      </c>
      <c r="B793" s="5" t="s">
        <v>712</v>
      </c>
      <c r="C793" s="5" t="s">
        <v>55</v>
      </c>
      <c r="D793" s="5" t="s">
        <v>11</v>
      </c>
      <c r="E793" s="82">
        <v>3.0</v>
      </c>
      <c r="F793" s="5" t="s">
        <v>793</v>
      </c>
      <c r="G793" s="5" t="s">
        <v>230</v>
      </c>
      <c r="J793" s="5">
        <v>3.0</v>
      </c>
      <c r="N793" s="5" t="b">
        <v>0</v>
      </c>
      <c r="R793" s="5">
        <v>0.0</v>
      </c>
      <c r="T793" s="5">
        <v>10.0</v>
      </c>
      <c r="U793" s="5">
        <v>8.0</v>
      </c>
      <c r="V793" s="5" t="s">
        <v>798</v>
      </c>
      <c r="W793" s="81" t="s">
        <v>344</v>
      </c>
      <c r="X793" s="78" t="s">
        <v>795</v>
      </c>
      <c r="Y793" s="5">
        <v>2.0</v>
      </c>
      <c r="Z793" s="5">
        <v>3.0</v>
      </c>
      <c r="AA793" s="3">
        <f>2+ (P793*'Scoring System'!$B$3)+ (IF(OR(D793="DEF",D793="GK"),N793*'Scoring System'!$B$4,IF(D793="MID",N793*'Scoring System'!$B$5,0)))+ (IF(OR(D793="DEF",D793="GK"),H793*'Scoring System'!$B$6,IF(D793="MID",H793*'Scoring System'!$B$7,IF(D793="ATT",H793*'Scoring System'!$B$8,0))))+ IF(AND(OR(D793="GK",D793="DEF"),J793&gt;=3),1*'Scoring System'!$B$9,0)+ (I793*'Scoring System'!$B$10)+ (K793*'Scoring System'!$B$11)+ (M793*'Scoring System'!$B$12)+ (L793*'Scoring System'!$B$13)+ (O793*'Scoring System'!$B$14)+ (Q793*'Scoring System'!$B$15)+ (R793*'Scoring System'!$B$16)</f>
        <v>1</v>
      </c>
      <c r="AB793" s="3" t="b">
        <f>IFERROR(match(C793,'Match Day Fees'!$B$2:$B$999,0),0)=0</f>
        <v>0</v>
      </c>
      <c r="AC793" s="3">
        <f t="shared" si="2"/>
        <v>0</v>
      </c>
      <c r="AD793" s="3" t="str">
        <f>VLOOKUP(D793,'Position Lookup'!A:B,1,FALSE)</f>
        <v>DEF</v>
      </c>
    </row>
    <row r="794" ht="17.25" customHeight="1">
      <c r="A794" s="32">
        <v>45213.0</v>
      </c>
      <c r="B794" s="5" t="s">
        <v>712</v>
      </c>
      <c r="C794" s="5" t="s">
        <v>41</v>
      </c>
      <c r="D794" s="5" t="s">
        <v>11</v>
      </c>
      <c r="E794" s="82">
        <v>3.0</v>
      </c>
      <c r="F794" s="5" t="s">
        <v>793</v>
      </c>
      <c r="G794" s="5" t="s">
        <v>230</v>
      </c>
      <c r="J794" s="5">
        <v>3.0</v>
      </c>
      <c r="N794" s="5" t="b">
        <v>0</v>
      </c>
      <c r="R794" s="5">
        <v>0.0</v>
      </c>
      <c r="T794" s="5">
        <v>10.0</v>
      </c>
      <c r="U794" s="5">
        <v>7.0</v>
      </c>
      <c r="V794" s="5" t="s">
        <v>799</v>
      </c>
      <c r="W794" s="81" t="s">
        <v>344</v>
      </c>
      <c r="X794" s="78" t="s">
        <v>795</v>
      </c>
      <c r="Y794" s="5">
        <v>2.0</v>
      </c>
      <c r="Z794" s="5">
        <v>3.0</v>
      </c>
      <c r="AA794" s="3">
        <f>2+ (P794*'Scoring System'!$B$3)+ (IF(OR(D794="DEF",D794="GK"),N794*'Scoring System'!$B$4,IF(D794="MID",N794*'Scoring System'!$B$5,0)))+ (IF(OR(D794="DEF",D794="GK"),H794*'Scoring System'!$B$6,IF(D794="MID",H794*'Scoring System'!$B$7,IF(D794="ATT",H794*'Scoring System'!$B$8,0))))+ IF(AND(OR(D794="GK",D794="DEF"),J794&gt;=3),1*'Scoring System'!$B$9,0)+ (I794*'Scoring System'!$B$10)+ (K794*'Scoring System'!$B$11)+ (M794*'Scoring System'!$B$12)+ (L794*'Scoring System'!$B$13)+ (O794*'Scoring System'!$B$14)+ (Q794*'Scoring System'!$B$15)+ (R794*'Scoring System'!$B$16)</f>
        <v>1</v>
      </c>
      <c r="AB794" s="3" t="b">
        <f>IFERROR(match(C794,'Match Day Fees'!$B$2:$B$999,0),0)=0</f>
        <v>0</v>
      </c>
      <c r="AC794" s="3">
        <f t="shared" si="2"/>
        <v>0</v>
      </c>
      <c r="AD794" s="3" t="str">
        <f>VLOOKUP(D794,'Position Lookup'!A:B,1,FALSE)</f>
        <v>DEF</v>
      </c>
    </row>
    <row r="795" ht="17.25" customHeight="1">
      <c r="A795" s="32">
        <v>45213.0</v>
      </c>
      <c r="B795" s="5" t="s">
        <v>712</v>
      </c>
      <c r="C795" s="5" t="s">
        <v>86</v>
      </c>
      <c r="D795" s="5" t="s">
        <v>10</v>
      </c>
      <c r="E795" s="82">
        <v>3.0</v>
      </c>
      <c r="F795" s="5" t="s">
        <v>793</v>
      </c>
      <c r="G795" s="5" t="s">
        <v>230</v>
      </c>
      <c r="I795" s="5">
        <v>1.0</v>
      </c>
      <c r="J795" s="5">
        <v>3.0</v>
      </c>
      <c r="N795" s="5" t="b">
        <v>0</v>
      </c>
      <c r="R795" s="5">
        <v>0.0</v>
      </c>
      <c r="T795" s="5">
        <v>10.0</v>
      </c>
      <c r="U795" s="5">
        <v>6.5</v>
      </c>
      <c r="V795" s="5" t="s">
        <v>800</v>
      </c>
      <c r="W795" s="81" t="s">
        <v>344</v>
      </c>
      <c r="X795" s="78" t="s">
        <v>795</v>
      </c>
      <c r="Y795" s="5">
        <v>2.0</v>
      </c>
      <c r="Z795" s="5">
        <v>3.0</v>
      </c>
      <c r="AA795" s="3">
        <f>2+ (P795*'Scoring System'!$B$3)+ (IF(OR(D795="DEF",D795="GK"),N795*'Scoring System'!$B$4,IF(D795="MID",N795*'Scoring System'!$B$5,0)))+ (IF(OR(D795="DEF",D795="GK"),H795*'Scoring System'!$B$6,IF(D795="MID",H795*'Scoring System'!$B$7,IF(D795="ATT",H795*'Scoring System'!$B$8,0))))+ IF(AND(OR(D795="GK",D795="DEF"),J795&gt;=3),1*'Scoring System'!$B$9,0)+ (I795*'Scoring System'!$B$10)+ (K795*'Scoring System'!$B$11)+ (M795*'Scoring System'!$B$12)+ (L795*'Scoring System'!$B$13)+ (O795*'Scoring System'!$B$14)+ (Q795*'Scoring System'!$B$15)+ (R795*'Scoring System'!$B$16)</f>
        <v>5</v>
      </c>
      <c r="AB795" s="3" t="b">
        <f>IFERROR(match(C795,'Match Day Fees'!$B$2:$B$999,0),0)=0</f>
        <v>0</v>
      </c>
      <c r="AC795" s="3">
        <f t="shared" si="2"/>
        <v>0</v>
      </c>
      <c r="AD795" s="3" t="str">
        <f>VLOOKUP(D795,'Position Lookup'!A:B,1,FALSE)</f>
        <v>MID</v>
      </c>
    </row>
    <row r="796" ht="17.25" customHeight="1">
      <c r="A796" s="32">
        <v>45213.0</v>
      </c>
      <c r="B796" s="5" t="s">
        <v>712</v>
      </c>
      <c r="C796" s="5" t="s">
        <v>112</v>
      </c>
      <c r="D796" s="5" t="s">
        <v>10</v>
      </c>
      <c r="E796" s="82">
        <v>3.0</v>
      </c>
      <c r="F796" s="5" t="s">
        <v>793</v>
      </c>
      <c r="G796" s="5" t="s">
        <v>230</v>
      </c>
      <c r="J796" s="5">
        <v>3.0</v>
      </c>
      <c r="N796" s="5" t="b">
        <v>0</v>
      </c>
      <c r="R796" s="5">
        <v>0.0</v>
      </c>
      <c r="T796" s="5">
        <v>10.0</v>
      </c>
      <c r="U796" s="5">
        <v>6.5</v>
      </c>
      <c r="V796" s="5" t="s">
        <v>801</v>
      </c>
      <c r="W796" s="81" t="s">
        <v>344</v>
      </c>
      <c r="X796" s="78" t="s">
        <v>795</v>
      </c>
      <c r="Y796" s="5">
        <v>2.0</v>
      </c>
      <c r="Z796" s="5">
        <v>3.0</v>
      </c>
      <c r="AA796" s="3">
        <f>2+ (P796*'Scoring System'!$B$3)+ (IF(OR(D796="DEF",D796="GK"),N796*'Scoring System'!$B$4,IF(D796="MID",N796*'Scoring System'!$B$5,0)))+ (IF(OR(D796="DEF",D796="GK"),H796*'Scoring System'!$B$6,IF(D796="MID",H796*'Scoring System'!$B$7,IF(D796="ATT",H796*'Scoring System'!$B$8,0))))+ IF(AND(OR(D796="GK",D796="DEF"),J796&gt;=3),1*'Scoring System'!$B$9,0)+ (I796*'Scoring System'!$B$10)+ (K796*'Scoring System'!$B$11)+ (M796*'Scoring System'!$B$12)+ (L796*'Scoring System'!$B$13)+ (O796*'Scoring System'!$B$14)+ (Q796*'Scoring System'!$B$15)+ (R796*'Scoring System'!$B$16)</f>
        <v>2</v>
      </c>
      <c r="AB796" s="3" t="b">
        <f>IFERROR(match(C796,'Match Day Fees'!$B$2:$B$999,0),0)=0</f>
        <v>0</v>
      </c>
      <c r="AC796" s="3">
        <f t="shared" si="2"/>
        <v>0</v>
      </c>
      <c r="AD796" s="3" t="str">
        <f>VLOOKUP(D796,'Position Lookup'!A:B,1,FALSE)</f>
        <v>MID</v>
      </c>
    </row>
    <row r="797" ht="17.25" customHeight="1">
      <c r="A797" s="32">
        <v>45213.0</v>
      </c>
      <c r="B797" s="5" t="s">
        <v>712</v>
      </c>
      <c r="C797" s="5" t="s">
        <v>59</v>
      </c>
      <c r="D797" s="5" t="s">
        <v>10</v>
      </c>
      <c r="E797" s="82">
        <v>3.0</v>
      </c>
      <c r="F797" s="5" t="s">
        <v>793</v>
      </c>
      <c r="G797" s="5" t="s">
        <v>230</v>
      </c>
      <c r="J797" s="5">
        <v>3.0</v>
      </c>
      <c r="N797" s="5" t="b">
        <v>0</v>
      </c>
      <c r="R797" s="5">
        <v>0.0</v>
      </c>
      <c r="T797" s="5">
        <v>10.0</v>
      </c>
      <c r="U797" s="5">
        <v>8.5</v>
      </c>
      <c r="V797" s="5" t="s">
        <v>802</v>
      </c>
      <c r="W797" s="81" t="s">
        <v>344</v>
      </c>
      <c r="X797" s="78" t="s">
        <v>795</v>
      </c>
      <c r="Y797" s="5">
        <v>2.0</v>
      </c>
      <c r="Z797" s="5">
        <v>3.0</v>
      </c>
      <c r="AA797" s="3">
        <f>2+ (P797*'Scoring System'!$B$3)+ (IF(OR(D797="DEF",D797="GK"),N797*'Scoring System'!$B$4,IF(D797="MID",N797*'Scoring System'!$B$5,0)))+ (IF(OR(D797="DEF",D797="GK"),H797*'Scoring System'!$B$6,IF(D797="MID",H797*'Scoring System'!$B$7,IF(D797="ATT",H797*'Scoring System'!$B$8,0))))+ IF(AND(OR(D797="GK",D797="DEF"),J797&gt;=3),1*'Scoring System'!$B$9,0)+ (I797*'Scoring System'!$B$10)+ (K797*'Scoring System'!$B$11)+ (M797*'Scoring System'!$B$12)+ (L797*'Scoring System'!$B$13)+ (O797*'Scoring System'!$B$14)+ (Q797*'Scoring System'!$B$15)+ (R797*'Scoring System'!$B$16)</f>
        <v>2</v>
      </c>
      <c r="AB797" s="3" t="b">
        <f>IFERROR(match(C797,'Match Day Fees'!$B$2:$B$999,0),0)=0</f>
        <v>0</v>
      </c>
      <c r="AC797" s="3">
        <f t="shared" si="2"/>
        <v>0</v>
      </c>
      <c r="AD797" s="3" t="str">
        <f>VLOOKUP(D797,'Position Lookup'!A:B,1,FALSE)</f>
        <v>MID</v>
      </c>
    </row>
    <row r="798" ht="17.25" customHeight="1">
      <c r="A798" s="32">
        <v>45213.0</v>
      </c>
      <c r="B798" s="5" t="s">
        <v>712</v>
      </c>
      <c r="C798" s="5" t="s">
        <v>132</v>
      </c>
      <c r="D798" s="5" t="s">
        <v>9</v>
      </c>
      <c r="E798" s="82">
        <v>3.0</v>
      </c>
      <c r="F798" s="5" t="s">
        <v>793</v>
      </c>
      <c r="G798" s="5" t="s">
        <v>230</v>
      </c>
      <c r="J798" s="5">
        <v>3.0</v>
      </c>
      <c r="N798" s="5" t="b">
        <v>0</v>
      </c>
      <c r="R798" s="5">
        <v>0.0</v>
      </c>
      <c r="T798" s="5">
        <v>10.0</v>
      </c>
      <c r="U798" s="5">
        <v>5.5</v>
      </c>
      <c r="V798" s="5" t="s">
        <v>803</v>
      </c>
      <c r="W798" s="81" t="s">
        <v>344</v>
      </c>
      <c r="X798" s="78" t="s">
        <v>795</v>
      </c>
      <c r="Y798" s="5">
        <v>2.0</v>
      </c>
      <c r="Z798" s="5">
        <v>3.0</v>
      </c>
      <c r="AA798" s="3">
        <f>2+ (P798*'Scoring System'!$B$3)+ (IF(OR(D798="DEF",D798="GK"),N798*'Scoring System'!$B$4,IF(D798="MID",N798*'Scoring System'!$B$5,0)))+ (IF(OR(D798="DEF",D798="GK"),H798*'Scoring System'!$B$6,IF(D798="MID",H798*'Scoring System'!$B$7,IF(D798="ATT",H798*'Scoring System'!$B$8,0))))+ IF(AND(OR(D798="GK",D798="DEF"),J798&gt;=3),1*'Scoring System'!$B$9,0)+ (I798*'Scoring System'!$B$10)+ (K798*'Scoring System'!$B$11)+ (M798*'Scoring System'!$B$12)+ (L798*'Scoring System'!$B$13)+ (O798*'Scoring System'!$B$14)+ (Q798*'Scoring System'!$B$15)+ (R798*'Scoring System'!$B$16)</f>
        <v>2</v>
      </c>
      <c r="AB798" s="3" t="b">
        <f>IFERROR(match(C798,'Match Day Fees'!$B$2:$B$999,0),0)=0</f>
        <v>0</v>
      </c>
      <c r="AC798" s="3">
        <f t="shared" si="2"/>
        <v>0</v>
      </c>
      <c r="AD798" s="3" t="str">
        <f>VLOOKUP(D798,'Position Lookup'!A:B,1,FALSE)</f>
        <v>ATT</v>
      </c>
    </row>
    <row r="799" ht="17.25" customHeight="1">
      <c r="A799" s="32">
        <v>45213.0</v>
      </c>
      <c r="B799" s="5" t="s">
        <v>712</v>
      </c>
      <c r="C799" s="5" t="s">
        <v>130</v>
      </c>
      <c r="D799" s="5" t="s">
        <v>10</v>
      </c>
      <c r="E799" s="82">
        <v>3.0</v>
      </c>
      <c r="F799" s="5" t="s">
        <v>793</v>
      </c>
      <c r="G799" s="5" t="s">
        <v>230</v>
      </c>
      <c r="J799" s="5">
        <v>3.0</v>
      </c>
      <c r="N799" s="5" t="b">
        <v>0</v>
      </c>
      <c r="R799" s="5">
        <v>0.0</v>
      </c>
      <c r="T799" s="5">
        <v>10.0</v>
      </c>
      <c r="U799" s="5">
        <v>6.5</v>
      </c>
      <c r="V799" s="5" t="s">
        <v>804</v>
      </c>
      <c r="W799" s="81" t="s">
        <v>344</v>
      </c>
      <c r="X799" s="78" t="s">
        <v>795</v>
      </c>
      <c r="Y799" s="5">
        <v>2.0</v>
      </c>
      <c r="Z799" s="5">
        <v>3.0</v>
      </c>
      <c r="AA799" s="3">
        <f>2+ (P799*'Scoring System'!$B$3)+ (IF(OR(D799="DEF",D799="GK"),N799*'Scoring System'!$B$4,IF(D799="MID",N799*'Scoring System'!$B$5,0)))+ (IF(OR(D799="DEF",D799="GK"),H799*'Scoring System'!$B$6,IF(D799="MID",H799*'Scoring System'!$B$7,IF(D799="ATT",H799*'Scoring System'!$B$8,0))))+ IF(AND(OR(D799="GK",D799="DEF"),J799&gt;=3),1*'Scoring System'!$B$9,0)+ (I799*'Scoring System'!$B$10)+ (K799*'Scoring System'!$B$11)+ (M799*'Scoring System'!$B$12)+ (L799*'Scoring System'!$B$13)+ (O799*'Scoring System'!$B$14)+ (Q799*'Scoring System'!$B$15)+ (R799*'Scoring System'!$B$16)</f>
        <v>2</v>
      </c>
      <c r="AB799" s="3" t="b">
        <f>IFERROR(match(C799,'Match Day Fees'!$B$2:$B$999,0),0)=0</f>
        <v>0</v>
      </c>
      <c r="AC799" s="3">
        <f t="shared" si="2"/>
        <v>0</v>
      </c>
      <c r="AD799" s="3" t="str">
        <f>VLOOKUP(D799,'Position Lookup'!A:B,1,FALSE)</f>
        <v>MID</v>
      </c>
    </row>
    <row r="800" ht="17.25" customHeight="1">
      <c r="A800" s="32">
        <v>45213.0</v>
      </c>
      <c r="B800" s="5" t="s">
        <v>712</v>
      </c>
      <c r="C800" s="5" t="s">
        <v>46</v>
      </c>
      <c r="D800" s="5" t="s">
        <v>9</v>
      </c>
      <c r="E800" s="82">
        <v>3.0</v>
      </c>
      <c r="F800" s="5" t="s">
        <v>793</v>
      </c>
      <c r="G800" s="5" t="s">
        <v>230</v>
      </c>
      <c r="H800" s="5">
        <v>1.0</v>
      </c>
      <c r="J800" s="5">
        <v>3.0</v>
      </c>
      <c r="N800" s="5" t="b">
        <v>0</v>
      </c>
      <c r="R800" s="5">
        <v>0.0</v>
      </c>
      <c r="T800" s="5">
        <v>10.0</v>
      </c>
      <c r="U800" s="5">
        <v>7.5</v>
      </c>
      <c r="V800" s="5" t="s">
        <v>805</v>
      </c>
      <c r="W800" s="81" t="s">
        <v>344</v>
      </c>
      <c r="X800" s="78" t="s">
        <v>795</v>
      </c>
      <c r="Y800" s="5">
        <v>2.0</v>
      </c>
      <c r="Z800" s="5">
        <v>3.0</v>
      </c>
      <c r="AA800" s="3">
        <f>2+ (P800*'Scoring System'!$B$3)+ (IF(OR(D800="DEF",D800="GK"),N800*'Scoring System'!$B$4,IF(D800="MID",N800*'Scoring System'!$B$5,0)))+ (IF(OR(D800="DEF",D800="GK"),H800*'Scoring System'!$B$6,IF(D800="MID",H800*'Scoring System'!$B$7,IF(D800="ATT",H800*'Scoring System'!$B$8,0))))+ IF(AND(OR(D800="GK",D800="DEF"),J800&gt;=3),1*'Scoring System'!$B$9,0)+ (I800*'Scoring System'!$B$10)+ (K800*'Scoring System'!$B$11)+ (M800*'Scoring System'!$B$12)+ (L800*'Scoring System'!$B$13)+ (O800*'Scoring System'!$B$14)+ (Q800*'Scoring System'!$B$15)+ (R800*'Scoring System'!$B$16)</f>
        <v>6</v>
      </c>
      <c r="AB800" s="3" t="b">
        <f>IFERROR(match(C800,'Match Day Fees'!$B$2:$B$999,0),0)=0</f>
        <v>0</v>
      </c>
      <c r="AC800" s="3">
        <f t="shared" si="2"/>
        <v>0</v>
      </c>
      <c r="AD800" s="3" t="str">
        <f>VLOOKUP(D800,'Position Lookup'!A:B,1,FALSE)</f>
        <v>ATT</v>
      </c>
    </row>
    <row r="801" ht="17.25" customHeight="1">
      <c r="A801" s="32">
        <v>45213.0</v>
      </c>
      <c r="B801" s="5" t="s">
        <v>712</v>
      </c>
      <c r="C801" s="5" t="s">
        <v>146</v>
      </c>
      <c r="D801" s="5" t="s">
        <v>9</v>
      </c>
      <c r="E801" s="82">
        <v>3.0</v>
      </c>
      <c r="F801" s="5" t="s">
        <v>793</v>
      </c>
      <c r="G801" s="5" t="s">
        <v>230</v>
      </c>
      <c r="H801" s="5">
        <v>1.0</v>
      </c>
      <c r="J801" s="5">
        <v>3.0</v>
      </c>
      <c r="N801" s="5" t="b">
        <v>0</v>
      </c>
      <c r="R801" s="5">
        <v>1.0</v>
      </c>
      <c r="T801" s="5">
        <v>10.0</v>
      </c>
      <c r="U801" s="5">
        <v>7.0</v>
      </c>
      <c r="V801" s="5" t="s">
        <v>806</v>
      </c>
      <c r="W801" s="81" t="s">
        <v>344</v>
      </c>
      <c r="X801" s="78" t="s">
        <v>795</v>
      </c>
      <c r="Y801" s="5">
        <v>2.0</v>
      </c>
      <c r="Z801" s="5">
        <v>3.0</v>
      </c>
      <c r="AA801" s="3">
        <f>2+ (P801*'Scoring System'!$B$3)+ (IF(OR(D801="DEF",D801="GK"),N801*'Scoring System'!$B$4,IF(D801="MID",N801*'Scoring System'!$B$5,0)))+ (IF(OR(D801="DEF",D801="GK"),H801*'Scoring System'!$B$6,IF(D801="MID",H801*'Scoring System'!$B$7,IF(D801="ATT",H801*'Scoring System'!$B$8,0))))+ IF(AND(OR(D801="GK",D801="DEF"),J801&gt;=3),1*'Scoring System'!$B$9,0)+ (I801*'Scoring System'!$B$10)+ (K801*'Scoring System'!$B$11)+ (M801*'Scoring System'!$B$12)+ (L801*'Scoring System'!$B$13)+ (O801*'Scoring System'!$B$14)+ (Q801*'Scoring System'!$B$15)+ (R801*'Scoring System'!$B$16)</f>
        <v>11</v>
      </c>
      <c r="AB801" s="3" t="b">
        <f>IFERROR(match(C801,'Match Day Fees'!$B$2:$B$999,0),0)=0</f>
        <v>0</v>
      </c>
      <c r="AC801" s="3">
        <f t="shared" si="2"/>
        <v>0</v>
      </c>
      <c r="AD801" s="3" t="str">
        <f>VLOOKUP(D801,'Position Lookup'!A:B,1,FALSE)</f>
        <v>ATT</v>
      </c>
    </row>
    <row r="802" ht="17.25" customHeight="1">
      <c r="A802" s="32">
        <v>45213.0</v>
      </c>
      <c r="B802" s="5" t="s">
        <v>712</v>
      </c>
      <c r="C802" s="5" t="s">
        <v>253</v>
      </c>
      <c r="D802" s="5" t="s">
        <v>9</v>
      </c>
      <c r="E802" s="82">
        <v>3.0</v>
      </c>
      <c r="F802" s="5" t="s">
        <v>793</v>
      </c>
      <c r="G802" s="5" t="s">
        <v>230</v>
      </c>
      <c r="J802" s="5">
        <v>3.0</v>
      </c>
      <c r="N802" s="5" t="b">
        <v>0</v>
      </c>
      <c r="R802" s="5">
        <v>0.0</v>
      </c>
      <c r="T802" s="5">
        <v>10.0</v>
      </c>
      <c r="U802" s="5">
        <v>6.5</v>
      </c>
      <c r="V802" s="5" t="s">
        <v>807</v>
      </c>
      <c r="W802" s="81" t="s">
        <v>344</v>
      </c>
      <c r="X802" s="78" t="s">
        <v>795</v>
      </c>
      <c r="Y802" s="5">
        <v>2.0</v>
      </c>
      <c r="Z802" s="5">
        <v>3.0</v>
      </c>
      <c r="AA802" s="3">
        <f>2+ (P802*'Scoring System'!$B$3)+ (IF(OR(D802="DEF",D802="GK"),N802*'Scoring System'!$B$4,IF(D802="MID",N802*'Scoring System'!$B$5,0)))+ (IF(OR(D802="DEF",D802="GK"),H802*'Scoring System'!$B$6,IF(D802="MID",H802*'Scoring System'!$B$7,IF(D802="ATT",H802*'Scoring System'!$B$8,0))))+ IF(AND(OR(D802="GK",D802="DEF"),J802&gt;=3),1*'Scoring System'!$B$9,0)+ (I802*'Scoring System'!$B$10)+ (K802*'Scoring System'!$B$11)+ (M802*'Scoring System'!$B$12)+ (L802*'Scoring System'!$B$13)+ (O802*'Scoring System'!$B$14)+ (Q802*'Scoring System'!$B$15)+ (R802*'Scoring System'!$B$16)</f>
        <v>2</v>
      </c>
      <c r="AB802" s="3" t="b">
        <f>IFERROR(match(C802,'Match Day Fees'!$B$2:$B$999,0),0)=0</f>
        <v>0</v>
      </c>
      <c r="AC802" s="3">
        <f t="shared" si="2"/>
        <v>0</v>
      </c>
      <c r="AD802" s="3" t="str">
        <f>VLOOKUP(D802,'Position Lookup'!A:B,1,FALSE)</f>
        <v>ATT</v>
      </c>
    </row>
    <row r="803" ht="17.25" customHeight="1">
      <c r="A803" s="32">
        <v>45213.0</v>
      </c>
      <c r="B803" s="5" t="s">
        <v>712</v>
      </c>
      <c r="C803" s="5" t="s">
        <v>808</v>
      </c>
      <c r="D803" s="5" t="s">
        <v>9</v>
      </c>
      <c r="E803" s="82">
        <v>3.0</v>
      </c>
      <c r="F803" s="5" t="s">
        <v>793</v>
      </c>
      <c r="G803" s="5" t="s">
        <v>230</v>
      </c>
      <c r="J803" s="5">
        <v>3.0</v>
      </c>
      <c r="N803" s="5" t="b">
        <v>0</v>
      </c>
      <c r="R803" s="5">
        <v>0.0</v>
      </c>
      <c r="T803" s="5">
        <v>10.0</v>
      </c>
      <c r="U803" s="5">
        <v>5.5</v>
      </c>
      <c r="V803" s="5" t="s">
        <v>809</v>
      </c>
      <c r="W803" s="81" t="s">
        <v>344</v>
      </c>
      <c r="X803" s="78" t="s">
        <v>795</v>
      </c>
      <c r="Y803" s="5">
        <v>2.0</v>
      </c>
      <c r="Z803" s="5">
        <v>3.0</v>
      </c>
      <c r="AA803" s="3">
        <f>2+ (P803*'Scoring System'!$B$3)+ (IF(OR(D803="DEF",D803="GK"),N803*'Scoring System'!$B$4,IF(D803="MID",N803*'Scoring System'!$B$5,0)))+ (IF(OR(D803="DEF",D803="GK"),H803*'Scoring System'!$B$6,IF(D803="MID",H803*'Scoring System'!$B$7,IF(D803="ATT",H803*'Scoring System'!$B$8,0))))+ IF(AND(OR(D803="GK",D803="DEF"),J803&gt;=3),1*'Scoring System'!$B$9,0)+ (I803*'Scoring System'!$B$10)+ (K803*'Scoring System'!$B$11)+ (M803*'Scoring System'!$B$12)+ (L803*'Scoring System'!$B$13)+ (O803*'Scoring System'!$B$14)+ (Q803*'Scoring System'!$B$15)+ (R803*'Scoring System'!$B$16)</f>
        <v>2</v>
      </c>
      <c r="AB803" s="3" t="b">
        <f>IFERROR(match(C803,'Match Day Fees'!$B$2:$B$999,0),0)=0</f>
        <v>0</v>
      </c>
      <c r="AC803" s="3">
        <f t="shared" si="2"/>
        <v>0</v>
      </c>
      <c r="AD803" s="3" t="str">
        <f>VLOOKUP(D803,'Position Lookup'!A:B,1,FALSE)</f>
        <v>ATT</v>
      </c>
    </row>
    <row r="804" ht="17.25" customHeight="1">
      <c r="A804" s="32">
        <v>45213.0</v>
      </c>
      <c r="B804" s="5" t="s">
        <v>712</v>
      </c>
      <c r="C804" s="5" t="s">
        <v>810</v>
      </c>
      <c r="D804" s="5" t="s">
        <v>8</v>
      </c>
      <c r="E804" s="82">
        <v>4.0</v>
      </c>
      <c r="F804" s="5" t="s">
        <v>811</v>
      </c>
      <c r="G804" s="5" t="s">
        <v>230</v>
      </c>
      <c r="J804" s="5">
        <v>3.0</v>
      </c>
      <c r="N804" s="5" t="b">
        <v>0</v>
      </c>
      <c r="R804" s="5">
        <v>0.0</v>
      </c>
      <c r="T804" s="5">
        <v>10.0</v>
      </c>
      <c r="U804" s="5">
        <v>7.5</v>
      </c>
      <c r="V804" s="5" t="s">
        <v>812</v>
      </c>
      <c r="W804" s="81" t="s">
        <v>730</v>
      </c>
      <c r="X804" s="78" t="s">
        <v>813</v>
      </c>
      <c r="Y804" s="5">
        <v>0.0</v>
      </c>
      <c r="Z804" s="5">
        <v>3.0</v>
      </c>
      <c r="AA804" s="3">
        <f>2+ (P804*'Scoring System'!$B$3)+ (IF(OR(D804="DEF",D804="GK"),N804*'Scoring System'!$B$4,IF(D804="MID",N804*'Scoring System'!$B$5,0)))+ (IF(OR(D804="DEF",D804="GK"),H804*'Scoring System'!$B$6,IF(D804="MID",H804*'Scoring System'!$B$7,IF(D804="ATT",H804*'Scoring System'!$B$8,0))))+ IF(AND(OR(D804="GK",D804="DEF"),J804&gt;=3),1*'Scoring System'!$B$9,0)+ (I804*'Scoring System'!$B$10)+ (K804*'Scoring System'!$B$11)+ (M804*'Scoring System'!$B$12)+ (L804*'Scoring System'!$B$13)+ (O804*'Scoring System'!$B$14)+ (Q804*'Scoring System'!$B$15)+ (R804*'Scoring System'!$B$16)</f>
        <v>1</v>
      </c>
      <c r="AB804" s="3" t="b">
        <f>IFERROR(match(C804,'Match Day Fees'!$B$2:$B$999,0),0)=0</f>
        <v>0</v>
      </c>
      <c r="AC804" s="3">
        <f t="shared" si="2"/>
        <v>0</v>
      </c>
      <c r="AD804" s="3" t="str">
        <f>VLOOKUP(D804,'Position Lookup'!A:B,1,FALSE)</f>
        <v>GK</v>
      </c>
    </row>
    <row r="805" ht="17.25" customHeight="1">
      <c r="A805" s="32">
        <v>45213.0</v>
      </c>
      <c r="B805" s="5" t="s">
        <v>712</v>
      </c>
      <c r="C805" s="5" t="s">
        <v>126</v>
      </c>
      <c r="D805" s="5" t="s">
        <v>11</v>
      </c>
      <c r="E805" s="82">
        <v>4.0</v>
      </c>
      <c r="F805" s="5" t="s">
        <v>811</v>
      </c>
      <c r="G805" s="5" t="s">
        <v>230</v>
      </c>
      <c r="J805" s="5">
        <v>3.0</v>
      </c>
      <c r="K805" s="5">
        <v>1.0</v>
      </c>
      <c r="N805" s="5" t="b">
        <v>0</v>
      </c>
      <c r="R805" s="5">
        <v>0.0</v>
      </c>
      <c r="T805" s="5">
        <v>5.0</v>
      </c>
      <c r="U805" s="5">
        <v>6.5</v>
      </c>
      <c r="V805" s="5" t="s">
        <v>814</v>
      </c>
      <c r="W805" s="81" t="s">
        <v>730</v>
      </c>
      <c r="X805" s="78" t="s">
        <v>813</v>
      </c>
      <c r="Y805" s="5">
        <v>0.0</v>
      </c>
      <c r="Z805" s="5">
        <v>3.0</v>
      </c>
      <c r="AA805" s="3">
        <f>2+ (P805*'Scoring System'!$B$3)+ (IF(OR(D805="DEF",D805="GK"),N805*'Scoring System'!$B$4,IF(D805="MID",N805*'Scoring System'!$B$5,0)))+ (IF(OR(D805="DEF",D805="GK"),H805*'Scoring System'!$B$6,IF(D805="MID",H805*'Scoring System'!$B$7,IF(D805="ATT",H805*'Scoring System'!$B$8,0))))+ IF(AND(OR(D805="GK",D805="DEF"),J805&gt;=3),1*'Scoring System'!$B$9,0)+ (I805*'Scoring System'!$B$10)+ (K805*'Scoring System'!$B$11)+ (M805*'Scoring System'!$B$12)+ (L805*'Scoring System'!$B$13)+ (O805*'Scoring System'!$B$14)+ (Q805*'Scoring System'!$B$15)+ (R805*'Scoring System'!$B$16)</f>
        <v>0</v>
      </c>
      <c r="AB805" s="3" t="b">
        <f>IFERROR(match(C805,'Match Day Fees'!$B$2:$B$999,0),0)=0</f>
        <v>0</v>
      </c>
      <c r="AC805" s="3">
        <f t="shared" si="2"/>
        <v>0</v>
      </c>
      <c r="AD805" s="3" t="str">
        <f>VLOOKUP(D805,'Position Lookup'!A:B,1,FALSE)</f>
        <v>DEF</v>
      </c>
    </row>
    <row r="806" ht="17.25" customHeight="1">
      <c r="A806" s="32">
        <v>45213.0</v>
      </c>
      <c r="B806" s="5" t="s">
        <v>712</v>
      </c>
      <c r="C806" s="5" t="s">
        <v>108</v>
      </c>
      <c r="D806" s="5" t="s">
        <v>11</v>
      </c>
      <c r="E806" s="82">
        <v>4.0</v>
      </c>
      <c r="F806" s="5" t="s">
        <v>811</v>
      </c>
      <c r="G806" s="5" t="s">
        <v>230</v>
      </c>
      <c r="J806" s="5">
        <v>3.0</v>
      </c>
      <c r="N806" s="5" t="b">
        <v>0</v>
      </c>
      <c r="R806" s="5">
        <v>1.0</v>
      </c>
      <c r="T806" s="5">
        <v>10.0</v>
      </c>
      <c r="U806" s="5">
        <v>8.0</v>
      </c>
      <c r="V806" s="5" t="s">
        <v>815</v>
      </c>
      <c r="W806" s="81" t="s">
        <v>730</v>
      </c>
      <c r="X806" s="78" t="s">
        <v>813</v>
      </c>
      <c r="Y806" s="5">
        <v>0.0</v>
      </c>
      <c r="Z806" s="5">
        <v>3.0</v>
      </c>
      <c r="AA806" s="3">
        <f>2+ (P806*'Scoring System'!$B$3)+ (IF(OR(D806="DEF",D806="GK"),N806*'Scoring System'!$B$4,IF(D806="MID",N806*'Scoring System'!$B$5,0)))+ (IF(OR(D806="DEF",D806="GK"),H806*'Scoring System'!$B$6,IF(D806="MID",H806*'Scoring System'!$B$7,IF(D806="ATT",H806*'Scoring System'!$B$8,0))))+ IF(AND(OR(D806="GK",D806="DEF"),J806&gt;=3),1*'Scoring System'!$B$9,0)+ (I806*'Scoring System'!$B$10)+ (K806*'Scoring System'!$B$11)+ (M806*'Scoring System'!$B$12)+ (L806*'Scoring System'!$B$13)+ (O806*'Scoring System'!$B$14)+ (Q806*'Scoring System'!$B$15)+ (R806*'Scoring System'!$B$16)</f>
        <v>6</v>
      </c>
      <c r="AB806" s="3" t="b">
        <f>IFERROR(match(C806,'Match Day Fees'!$B$2:$B$999,0),0)=0</f>
        <v>0</v>
      </c>
      <c r="AC806" s="3">
        <f t="shared" si="2"/>
        <v>0</v>
      </c>
      <c r="AD806" s="3" t="str">
        <f>VLOOKUP(D806,'Position Lookup'!A:B,1,FALSE)</f>
        <v>DEF</v>
      </c>
    </row>
    <row r="807" ht="17.25" customHeight="1">
      <c r="A807" s="32">
        <v>45213.0</v>
      </c>
      <c r="B807" s="5" t="s">
        <v>712</v>
      </c>
      <c r="C807" s="5" t="s">
        <v>44</v>
      </c>
      <c r="D807" s="5" t="s">
        <v>10</v>
      </c>
      <c r="E807" s="82">
        <v>4.0</v>
      </c>
      <c r="F807" s="5" t="s">
        <v>811</v>
      </c>
      <c r="G807" s="5" t="s">
        <v>230</v>
      </c>
      <c r="J807" s="5">
        <v>3.0</v>
      </c>
      <c r="K807" s="5">
        <v>1.0</v>
      </c>
      <c r="N807" s="5" t="b">
        <v>0</v>
      </c>
      <c r="R807" s="5">
        <v>0.0</v>
      </c>
      <c r="T807" s="5">
        <v>5.0</v>
      </c>
      <c r="U807" s="5">
        <v>6.5</v>
      </c>
      <c r="V807" s="5" t="s">
        <v>816</v>
      </c>
      <c r="W807" s="81" t="s">
        <v>730</v>
      </c>
      <c r="X807" s="78" t="s">
        <v>813</v>
      </c>
      <c r="Y807" s="5">
        <v>0.0</v>
      </c>
      <c r="Z807" s="5">
        <v>3.0</v>
      </c>
      <c r="AA807" s="3">
        <f>2+ (P807*'Scoring System'!$B$3)+ (IF(OR(D807="DEF",D807="GK"),N807*'Scoring System'!$B$4,IF(D807="MID",N807*'Scoring System'!$B$5,0)))+ (IF(OR(D807="DEF",D807="GK"),H807*'Scoring System'!$B$6,IF(D807="MID",H807*'Scoring System'!$B$7,IF(D807="ATT",H807*'Scoring System'!$B$8,0))))+ IF(AND(OR(D807="GK",D807="DEF"),J807&gt;=3),1*'Scoring System'!$B$9,0)+ (I807*'Scoring System'!$B$10)+ (K807*'Scoring System'!$B$11)+ (M807*'Scoring System'!$B$12)+ (L807*'Scoring System'!$B$13)+ (O807*'Scoring System'!$B$14)+ (Q807*'Scoring System'!$B$15)+ (R807*'Scoring System'!$B$16)</f>
        <v>1</v>
      </c>
      <c r="AB807" s="3" t="b">
        <f>IFERROR(match(C807,'Match Day Fees'!$B$2:$B$999,0),0)=0</f>
        <v>0</v>
      </c>
      <c r="AC807" s="3">
        <f t="shared" si="2"/>
        <v>0</v>
      </c>
      <c r="AD807" s="3" t="str">
        <f>VLOOKUP(D807,'Position Lookup'!A:B,1,FALSE)</f>
        <v>MID</v>
      </c>
    </row>
    <row r="808" ht="17.25" customHeight="1">
      <c r="A808" s="32">
        <v>45213.0</v>
      </c>
      <c r="B808" s="5" t="s">
        <v>712</v>
      </c>
      <c r="C808" s="5" t="s">
        <v>127</v>
      </c>
      <c r="D808" s="5" t="s">
        <v>11</v>
      </c>
      <c r="E808" s="82">
        <v>4.0</v>
      </c>
      <c r="F808" s="5" t="s">
        <v>811</v>
      </c>
      <c r="G808" s="5" t="s">
        <v>230</v>
      </c>
      <c r="J808" s="5">
        <v>3.0</v>
      </c>
      <c r="N808" s="5" t="b">
        <v>0</v>
      </c>
      <c r="R808" s="5">
        <v>0.0</v>
      </c>
      <c r="T808" s="5">
        <v>10.0</v>
      </c>
      <c r="U808" s="5">
        <v>6.5</v>
      </c>
      <c r="V808" s="5" t="s">
        <v>817</v>
      </c>
      <c r="W808" s="81" t="s">
        <v>730</v>
      </c>
      <c r="X808" s="78" t="s">
        <v>813</v>
      </c>
      <c r="Y808" s="5">
        <v>0.0</v>
      </c>
      <c r="Z808" s="5">
        <v>3.0</v>
      </c>
      <c r="AA808" s="3">
        <f>2+ (P808*'Scoring System'!$B$3)+ (IF(OR(D808="DEF",D808="GK"),N808*'Scoring System'!$B$4,IF(D808="MID",N808*'Scoring System'!$B$5,0)))+ (IF(OR(D808="DEF",D808="GK"),H808*'Scoring System'!$B$6,IF(D808="MID",H808*'Scoring System'!$B$7,IF(D808="ATT",H808*'Scoring System'!$B$8,0))))+ IF(AND(OR(D808="GK",D808="DEF"),J808&gt;=3),1*'Scoring System'!$B$9,0)+ (I808*'Scoring System'!$B$10)+ (K808*'Scoring System'!$B$11)+ (M808*'Scoring System'!$B$12)+ (L808*'Scoring System'!$B$13)+ (O808*'Scoring System'!$B$14)+ (Q808*'Scoring System'!$B$15)+ (R808*'Scoring System'!$B$16)</f>
        <v>1</v>
      </c>
      <c r="AB808" s="3" t="b">
        <f>IFERROR(match(C808,'Match Day Fees'!$B$2:$B$999,0),0)=0</f>
        <v>0</v>
      </c>
      <c r="AC808" s="3">
        <f t="shared" si="2"/>
        <v>0</v>
      </c>
      <c r="AD808" s="3" t="str">
        <f>VLOOKUP(D808,'Position Lookup'!A:B,1,FALSE)</f>
        <v>DEF</v>
      </c>
    </row>
    <row r="809" ht="17.25" customHeight="1">
      <c r="A809" s="32">
        <v>45213.0</v>
      </c>
      <c r="B809" s="5" t="s">
        <v>712</v>
      </c>
      <c r="C809" s="5" t="s">
        <v>119</v>
      </c>
      <c r="D809" s="5" t="s">
        <v>11</v>
      </c>
      <c r="E809" s="82">
        <v>4.0</v>
      </c>
      <c r="F809" s="5" t="s">
        <v>811</v>
      </c>
      <c r="G809" s="5" t="s">
        <v>230</v>
      </c>
      <c r="J809" s="5">
        <v>3.0</v>
      </c>
      <c r="N809" s="5" t="b">
        <v>0</v>
      </c>
      <c r="R809" s="5">
        <v>0.0</v>
      </c>
      <c r="T809" s="5">
        <v>10.0</v>
      </c>
      <c r="U809" s="5">
        <v>7.0</v>
      </c>
      <c r="V809" s="5" t="s">
        <v>818</v>
      </c>
      <c r="W809" s="81" t="s">
        <v>730</v>
      </c>
      <c r="X809" s="78" t="s">
        <v>813</v>
      </c>
      <c r="Y809" s="5">
        <v>0.0</v>
      </c>
      <c r="Z809" s="5">
        <v>3.0</v>
      </c>
      <c r="AA809" s="3">
        <f>2+ (P809*'Scoring System'!$B$3)+ (IF(OR(D809="DEF",D809="GK"),N809*'Scoring System'!$B$4,IF(D809="MID",N809*'Scoring System'!$B$5,0)))+ (IF(OR(D809="DEF",D809="GK"),H809*'Scoring System'!$B$6,IF(D809="MID",H809*'Scoring System'!$B$7,IF(D809="ATT",H809*'Scoring System'!$B$8,0))))+ IF(AND(OR(D809="GK",D809="DEF"),J809&gt;=3),1*'Scoring System'!$B$9,0)+ (I809*'Scoring System'!$B$10)+ (K809*'Scoring System'!$B$11)+ (M809*'Scoring System'!$B$12)+ (L809*'Scoring System'!$B$13)+ (O809*'Scoring System'!$B$14)+ (Q809*'Scoring System'!$B$15)+ (R809*'Scoring System'!$B$16)</f>
        <v>1</v>
      </c>
      <c r="AB809" s="3" t="b">
        <f>IFERROR(match(C809,'Match Day Fees'!$B$2:$B$999,0),0)=0</f>
        <v>0</v>
      </c>
      <c r="AC809" s="3">
        <f t="shared" si="2"/>
        <v>0</v>
      </c>
      <c r="AD809" s="3" t="str">
        <f>VLOOKUP(D809,'Position Lookup'!A:B,1,FALSE)</f>
        <v>DEF</v>
      </c>
    </row>
    <row r="810" ht="17.25" customHeight="1">
      <c r="A810" s="32">
        <v>45213.0</v>
      </c>
      <c r="B810" s="5" t="s">
        <v>712</v>
      </c>
      <c r="C810" s="5" t="s">
        <v>136</v>
      </c>
      <c r="D810" s="5" t="s">
        <v>10</v>
      </c>
      <c r="E810" s="82">
        <v>4.0</v>
      </c>
      <c r="F810" s="5" t="s">
        <v>811</v>
      </c>
      <c r="G810" s="5" t="s">
        <v>230</v>
      </c>
      <c r="J810" s="5">
        <v>3.0</v>
      </c>
      <c r="N810" s="5" t="b">
        <v>0</v>
      </c>
      <c r="R810" s="5">
        <v>0.0</v>
      </c>
      <c r="S810" s="5" t="b">
        <v>1</v>
      </c>
      <c r="T810" s="5">
        <v>0.0</v>
      </c>
      <c r="U810" s="5">
        <v>6.5</v>
      </c>
      <c r="V810" s="5" t="s">
        <v>819</v>
      </c>
      <c r="W810" s="81" t="s">
        <v>730</v>
      </c>
      <c r="X810" s="78" t="s">
        <v>813</v>
      </c>
      <c r="Y810" s="5">
        <v>0.0</v>
      </c>
      <c r="Z810" s="5">
        <v>3.0</v>
      </c>
      <c r="AA810" s="3">
        <f>2+ (P810*'Scoring System'!$B$3)+ (IF(OR(D810="DEF",D810="GK"),N810*'Scoring System'!$B$4,IF(D810="MID",N810*'Scoring System'!$B$5,0)))+ (IF(OR(D810="DEF",D810="GK"),H810*'Scoring System'!$B$6,IF(D810="MID",H810*'Scoring System'!$B$7,IF(D810="ATT",H810*'Scoring System'!$B$8,0))))+ IF(AND(OR(D810="GK",D810="DEF"),J810&gt;=3),1*'Scoring System'!$B$9,0)+ (I810*'Scoring System'!$B$10)+ (K810*'Scoring System'!$B$11)+ (M810*'Scoring System'!$B$12)+ (L810*'Scoring System'!$B$13)+ (O810*'Scoring System'!$B$14)+ (Q810*'Scoring System'!$B$15)+ (R810*'Scoring System'!$B$16)</f>
        <v>2</v>
      </c>
      <c r="AB810" s="3" t="b">
        <f>IFERROR(match(C810,'Match Day Fees'!$B$2:$B$999,0),0)=0</f>
        <v>0</v>
      </c>
      <c r="AC810" s="3">
        <f t="shared" si="2"/>
        <v>0</v>
      </c>
      <c r="AD810" s="3" t="str">
        <f>VLOOKUP(D810,'Position Lookup'!A:B,1,FALSE)</f>
        <v>MID</v>
      </c>
    </row>
    <row r="811" ht="17.25" customHeight="1">
      <c r="A811" s="32">
        <v>45213.0</v>
      </c>
      <c r="B811" s="5" t="s">
        <v>712</v>
      </c>
      <c r="C811" s="5" t="s">
        <v>103</v>
      </c>
      <c r="D811" s="5" t="s">
        <v>10</v>
      </c>
      <c r="E811" s="82">
        <v>4.0</v>
      </c>
      <c r="F811" s="5" t="s">
        <v>811</v>
      </c>
      <c r="G811" s="5" t="s">
        <v>230</v>
      </c>
      <c r="J811" s="5">
        <v>3.0</v>
      </c>
      <c r="N811" s="5" t="b">
        <v>0</v>
      </c>
      <c r="R811" s="5">
        <v>0.0</v>
      </c>
      <c r="T811" s="5">
        <v>10.0</v>
      </c>
      <c r="U811" s="5">
        <v>6.0</v>
      </c>
      <c r="V811" s="5" t="s">
        <v>820</v>
      </c>
      <c r="W811" s="81" t="s">
        <v>730</v>
      </c>
      <c r="X811" s="78" t="s">
        <v>813</v>
      </c>
      <c r="Y811" s="5">
        <v>0.0</v>
      </c>
      <c r="Z811" s="5">
        <v>3.0</v>
      </c>
      <c r="AA811" s="3">
        <f>2+ (P811*'Scoring System'!$B$3)+ (IF(OR(D811="DEF",D811="GK"),N811*'Scoring System'!$B$4,IF(D811="MID",N811*'Scoring System'!$B$5,0)))+ (IF(OR(D811="DEF",D811="GK"),H811*'Scoring System'!$B$6,IF(D811="MID",H811*'Scoring System'!$B$7,IF(D811="ATT",H811*'Scoring System'!$B$8,0))))+ IF(AND(OR(D811="GK",D811="DEF"),J811&gt;=3),1*'Scoring System'!$B$9,0)+ (I811*'Scoring System'!$B$10)+ (K811*'Scoring System'!$B$11)+ (M811*'Scoring System'!$B$12)+ (L811*'Scoring System'!$B$13)+ (O811*'Scoring System'!$B$14)+ (Q811*'Scoring System'!$B$15)+ (R811*'Scoring System'!$B$16)</f>
        <v>2</v>
      </c>
      <c r="AB811" s="3" t="b">
        <f>IFERROR(match(C811,'Match Day Fees'!$B$2:$B$999,0),0)=0</f>
        <v>0</v>
      </c>
      <c r="AC811" s="3">
        <f t="shared" si="2"/>
        <v>0</v>
      </c>
      <c r="AD811" s="3" t="str">
        <f>VLOOKUP(D811,'Position Lookup'!A:B,1,FALSE)</f>
        <v>MID</v>
      </c>
    </row>
    <row r="812" ht="17.25" customHeight="1">
      <c r="A812" s="32">
        <v>45213.0</v>
      </c>
      <c r="B812" s="5" t="s">
        <v>712</v>
      </c>
      <c r="C812" s="5" t="s">
        <v>45</v>
      </c>
      <c r="D812" s="5" t="s">
        <v>9</v>
      </c>
      <c r="E812" s="82">
        <v>4.0</v>
      </c>
      <c r="F812" s="5" t="s">
        <v>811</v>
      </c>
      <c r="G812" s="5" t="s">
        <v>230</v>
      </c>
      <c r="J812" s="5">
        <v>3.0</v>
      </c>
      <c r="N812" s="5" t="b">
        <v>0</v>
      </c>
      <c r="R812" s="5">
        <v>0.0</v>
      </c>
      <c r="T812" s="5">
        <v>10.0</v>
      </c>
      <c r="U812" s="5">
        <v>7.0</v>
      </c>
      <c r="V812" s="5" t="s">
        <v>821</v>
      </c>
      <c r="W812" s="81" t="s">
        <v>730</v>
      </c>
      <c r="X812" s="78" t="s">
        <v>813</v>
      </c>
      <c r="Y812" s="5">
        <v>0.0</v>
      </c>
      <c r="Z812" s="5">
        <v>3.0</v>
      </c>
      <c r="AA812" s="3">
        <f>2+ (P812*'Scoring System'!$B$3)+ (IF(OR(D812="DEF",D812="GK"),N812*'Scoring System'!$B$4,IF(D812="MID",N812*'Scoring System'!$B$5,0)))+ (IF(OR(D812="DEF",D812="GK"),H812*'Scoring System'!$B$6,IF(D812="MID",H812*'Scoring System'!$B$7,IF(D812="ATT",H812*'Scoring System'!$B$8,0))))+ IF(AND(OR(D812="GK",D812="DEF"),J812&gt;=3),1*'Scoring System'!$B$9,0)+ (I812*'Scoring System'!$B$10)+ (K812*'Scoring System'!$B$11)+ (M812*'Scoring System'!$B$12)+ (L812*'Scoring System'!$B$13)+ (O812*'Scoring System'!$B$14)+ (Q812*'Scoring System'!$B$15)+ (R812*'Scoring System'!$B$16)</f>
        <v>2</v>
      </c>
      <c r="AB812" s="3" t="b">
        <f>IFERROR(match(C812,'Match Day Fees'!$B$2:$B$999,0),0)=0</f>
        <v>0</v>
      </c>
      <c r="AC812" s="3">
        <f t="shared" si="2"/>
        <v>0</v>
      </c>
      <c r="AD812" s="3" t="str">
        <f>VLOOKUP(D812,'Position Lookup'!A:B,1,FALSE)</f>
        <v>ATT</v>
      </c>
    </row>
    <row r="813" ht="17.25" customHeight="1">
      <c r="A813" s="32">
        <v>45213.0</v>
      </c>
      <c r="B813" s="5" t="s">
        <v>712</v>
      </c>
      <c r="C813" s="5" t="s">
        <v>70</v>
      </c>
      <c r="D813" s="5" t="s">
        <v>9</v>
      </c>
      <c r="E813" s="82">
        <v>4.0</v>
      </c>
      <c r="F813" s="5" t="s">
        <v>811</v>
      </c>
      <c r="G813" s="5" t="s">
        <v>230</v>
      </c>
      <c r="J813" s="5">
        <v>3.0</v>
      </c>
      <c r="K813" s="5">
        <v>1.0</v>
      </c>
      <c r="N813" s="5" t="b">
        <v>0</v>
      </c>
      <c r="R813" s="5">
        <v>0.0</v>
      </c>
      <c r="T813" s="5">
        <v>5.0</v>
      </c>
      <c r="U813" s="5">
        <v>5.5</v>
      </c>
      <c r="V813" s="5" t="s">
        <v>822</v>
      </c>
      <c r="W813" s="81" t="s">
        <v>730</v>
      </c>
      <c r="X813" s="78" t="s">
        <v>813</v>
      </c>
      <c r="Y813" s="5">
        <v>0.0</v>
      </c>
      <c r="Z813" s="5">
        <v>3.0</v>
      </c>
      <c r="AA813" s="3">
        <f>2+ (P813*'Scoring System'!$B$3)+ (IF(OR(D813="DEF",D813="GK"),N813*'Scoring System'!$B$4,IF(D813="MID",N813*'Scoring System'!$B$5,0)))+ (IF(OR(D813="DEF",D813="GK"),H813*'Scoring System'!$B$6,IF(D813="MID",H813*'Scoring System'!$B$7,IF(D813="ATT",H813*'Scoring System'!$B$8,0))))+ IF(AND(OR(D813="GK",D813="DEF"),J813&gt;=3),1*'Scoring System'!$B$9,0)+ (I813*'Scoring System'!$B$10)+ (K813*'Scoring System'!$B$11)+ (M813*'Scoring System'!$B$12)+ (L813*'Scoring System'!$B$13)+ (O813*'Scoring System'!$B$14)+ (Q813*'Scoring System'!$B$15)+ (R813*'Scoring System'!$B$16)</f>
        <v>1</v>
      </c>
      <c r="AB813" s="3" t="b">
        <f>IFERROR(match(C813,'Match Day Fees'!$B$2:$B$999,0),0)=0</f>
        <v>0</v>
      </c>
      <c r="AC813" s="3">
        <f t="shared" si="2"/>
        <v>0</v>
      </c>
      <c r="AD813" s="3" t="str">
        <f>VLOOKUP(D813,'Position Lookup'!A:B,1,FALSE)</f>
        <v>ATT</v>
      </c>
    </row>
    <row r="814" ht="17.25" customHeight="1">
      <c r="A814" s="32">
        <v>45213.0</v>
      </c>
      <c r="B814" s="5" t="s">
        <v>712</v>
      </c>
      <c r="C814" s="5" t="s">
        <v>105</v>
      </c>
      <c r="D814" s="5" t="s">
        <v>9</v>
      </c>
      <c r="E814" s="82">
        <v>4.0</v>
      </c>
      <c r="F814" s="5" t="s">
        <v>811</v>
      </c>
      <c r="G814" s="5" t="s">
        <v>230</v>
      </c>
      <c r="J814" s="5">
        <v>3.0</v>
      </c>
      <c r="N814" s="5" t="b">
        <v>0</v>
      </c>
      <c r="R814" s="5">
        <v>0.0</v>
      </c>
      <c r="T814" s="5">
        <v>10.0</v>
      </c>
      <c r="U814" s="5">
        <v>6.5</v>
      </c>
      <c r="V814" s="5" t="s">
        <v>823</v>
      </c>
      <c r="W814" s="81" t="s">
        <v>730</v>
      </c>
      <c r="X814" s="78" t="s">
        <v>813</v>
      </c>
      <c r="Y814" s="5">
        <v>0.0</v>
      </c>
      <c r="Z814" s="5">
        <v>3.0</v>
      </c>
      <c r="AA814" s="3">
        <f>2+ (P814*'Scoring System'!$B$3)+ (IF(OR(D814="DEF",D814="GK"),N814*'Scoring System'!$B$4,IF(D814="MID",N814*'Scoring System'!$B$5,0)))+ (IF(OR(D814="DEF",D814="GK"),H814*'Scoring System'!$B$6,IF(D814="MID",H814*'Scoring System'!$B$7,IF(D814="ATT",H814*'Scoring System'!$B$8,0))))+ IF(AND(OR(D814="GK",D814="DEF"),J814&gt;=3),1*'Scoring System'!$B$9,0)+ (I814*'Scoring System'!$B$10)+ (K814*'Scoring System'!$B$11)+ (M814*'Scoring System'!$B$12)+ (L814*'Scoring System'!$B$13)+ (O814*'Scoring System'!$B$14)+ (Q814*'Scoring System'!$B$15)+ (R814*'Scoring System'!$B$16)</f>
        <v>2</v>
      </c>
      <c r="AB814" s="3" t="b">
        <f>IFERROR(match(C814,'Match Day Fees'!$B$2:$B$999,0),0)=0</f>
        <v>0</v>
      </c>
      <c r="AC814" s="3">
        <f t="shared" si="2"/>
        <v>0</v>
      </c>
      <c r="AD814" s="3" t="str">
        <f>VLOOKUP(D814,'Position Lookup'!A:B,1,FALSE)</f>
        <v>ATT</v>
      </c>
    </row>
    <row r="815" ht="17.25" customHeight="1">
      <c r="A815" s="32">
        <v>45213.0</v>
      </c>
      <c r="B815" s="5" t="s">
        <v>712</v>
      </c>
      <c r="C815" s="5" t="s">
        <v>284</v>
      </c>
      <c r="D815" s="5" t="s">
        <v>9</v>
      </c>
      <c r="E815" s="82">
        <v>4.0</v>
      </c>
      <c r="F815" s="5" t="s">
        <v>811</v>
      </c>
      <c r="G815" s="5" t="s">
        <v>230</v>
      </c>
      <c r="J815" s="5">
        <v>3.0</v>
      </c>
      <c r="N815" s="5" t="b">
        <v>0</v>
      </c>
      <c r="R815" s="5">
        <v>0.0</v>
      </c>
      <c r="T815" s="5">
        <v>5.0</v>
      </c>
      <c r="U815" s="5">
        <v>5.5</v>
      </c>
      <c r="V815" s="5" t="s">
        <v>824</v>
      </c>
      <c r="W815" s="81" t="s">
        <v>730</v>
      </c>
      <c r="X815" s="78" t="s">
        <v>813</v>
      </c>
      <c r="Y815" s="5">
        <v>0.0</v>
      </c>
      <c r="Z815" s="5">
        <v>3.0</v>
      </c>
      <c r="AA815" s="3">
        <f>2+ (P815*'Scoring System'!$B$3)+ (IF(OR(D815="DEF",D815="GK"),N815*'Scoring System'!$B$4,IF(D815="MID",N815*'Scoring System'!$B$5,0)))+ (IF(OR(D815="DEF",D815="GK"),H815*'Scoring System'!$B$6,IF(D815="MID",H815*'Scoring System'!$B$7,IF(D815="ATT",H815*'Scoring System'!$B$8,0))))+ IF(AND(OR(D815="GK",D815="DEF"),J815&gt;=3),1*'Scoring System'!$B$9,0)+ (I815*'Scoring System'!$B$10)+ (K815*'Scoring System'!$B$11)+ (M815*'Scoring System'!$B$12)+ (L815*'Scoring System'!$B$13)+ (O815*'Scoring System'!$B$14)+ (Q815*'Scoring System'!$B$15)+ (R815*'Scoring System'!$B$16)</f>
        <v>2</v>
      </c>
      <c r="AB815" s="3" t="b">
        <f>IFERROR(match(C815,'Match Day Fees'!$B$2:$B$999,0),0)=0</f>
        <v>0</v>
      </c>
      <c r="AC815" s="3">
        <f t="shared" si="2"/>
        <v>0</v>
      </c>
      <c r="AD815" s="3" t="str">
        <f>VLOOKUP(D815,'Position Lookup'!A:B,1,FALSE)</f>
        <v>ATT</v>
      </c>
    </row>
    <row r="816" ht="17.25" customHeight="1">
      <c r="A816" s="32">
        <v>45213.0</v>
      </c>
      <c r="B816" s="5" t="s">
        <v>712</v>
      </c>
      <c r="C816" s="5" t="s">
        <v>94</v>
      </c>
      <c r="D816" s="5" t="s">
        <v>10</v>
      </c>
      <c r="E816" s="82">
        <v>4.0</v>
      </c>
      <c r="F816" s="5" t="s">
        <v>811</v>
      </c>
      <c r="G816" s="5" t="s">
        <v>230</v>
      </c>
      <c r="J816" s="5">
        <v>3.0</v>
      </c>
      <c r="N816" s="5" t="b">
        <v>0</v>
      </c>
      <c r="R816" s="5">
        <v>0.0</v>
      </c>
      <c r="T816" s="5">
        <v>5.0</v>
      </c>
      <c r="U816" s="5">
        <v>6.0</v>
      </c>
      <c r="V816" s="5" t="s">
        <v>825</v>
      </c>
      <c r="W816" s="81" t="s">
        <v>730</v>
      </c>
      <c r="X816" s="78" t="s">
        <v>813</v>
      </c>
      <c r="Y816" s="5">
        <v>0.0</v>
      </c>
      <c r="Z816" s="5">
        <v>3.0</v>
      </c>
      <c r="AA816" s="3">
        <f>2+ (P816*'Scoring System'!$B$3)+ (IF(OR(D816="DEF",D816="GK"),N816*'Scoring System'!$B$4,IF(D816="MID",N816*'Scoring System'!$B$5,0)))+ (IF(OR(D816="DEF",D816="GK"),H816*'Scoring System'!$B$6,IF(D816="MID",H816*'Scoring System'!$B$7,IF(D816="ATT",H816*'Scoring System'!$B$8,0))))+ IF(AND(OR(D816="GK",D816="DEF"),J816&gt;=3),1*'Scoring System'!$B$9,0)+ (I816*'Scoring System'!$B$10)+ (K816*'Scoring System'!$B$11)+ (M816*'Scoring System'!$B$12)+ (L816*'Scoring System'!$B$13)+ (O816*'Scoring System'!$B$14)+ (Q816*'Scoring System'!$B$15)+ (R816*'Scoring System'!$B$16)</f>
        <v>2</v>
      </c>
      <c r="AB816" s="3" t="b">
        <f>IFERROR(match(C816,'Match Day Fees'!$B$2:$B$999,0),0)=0</f>
        <v>0</v>
      </c>
      <c r="AC816" s="3">
        <f t="shared" si="2"/>
        <v>0</v>
      </c>
      <c r="AD816" s="3" t="str">
        <f>VLOOKUP(D816,'Position Lookup'!A:B,1,FALSE)</f>
        <v>MID</v>
      </c>
    </row>
    <row r="817" ht="17.25" customHeight="1">
      <c r="A817" s="32">
        <v>45213.0</v>
      </c>
      <c r="B817" s="5" t="s">
        <v>712</v>
      </c>
      <c r="C817" s="5" t="s">
        <v>139</v>
      </c>
      <c r="D817" s="5" t="s">
        <v>9</v>
      </c>
      <c r="E817" s="82">
        <v>4.0</v>
      </c>
      <c r="F817" s="5" t="s">
        <v>811</v>
      </c>
      <c r="G817" s="5" t="s">
        <v>230</v>
      </c>
      <c r="J817" s="5">
        <v>3.0</v>
      </c>
      <c r="N817" s="5" t="b">
        <v>0</v>
      </c>
      <c r="R817" s="5">
        <v>0.0</v>
      </c>
      <c r="T817" s="5">
        <v>5.0</v>
      </c>
      <c r="U817" s="5">
        <v>6.0</v>
      </c>
      <c r="V817" s="5" t="s">
        <v>826</v>
      </c>
      <c r="W817" s="81" t="s">
        <v>730</v>
      </c>
      <c r="X817" s="78" t="s">
        <v>813</v>
      </c>
      <c r="Y817" s="5">
        <v>0.0</v>
      </c>
      <c r="Z817" s="5">
        <v>3.0</v>
      </c>
      <c r="AA817" s="3">
        <f>2+ (P817*'Scoring System'!$B$3)+ (IF(OR(D817="DEF",D817="GK"),N817*'Scoring System'!$B$4,IF(D817="MID",N817*'Scoring System'!$B$5,0)))+ (IF(OR(D817="DEF",D817="GK"),H817*'Scoring System'!$B$6,IF(D817="MID",H817*'Scoring System'!$B$7,IF(D817="ATT",H817*'Scoring System'!$B$8,0))))+ IF(AND(OR(D817="GK",D817="DEF"),J817&gt;=3),1*'Scoring System'!$B$9,0)+ (I817*'Scoring System'!$B$10)+ (K817*'Scoring System'!$B$11)+ (M817*'Scoring System'!$B$12)+ (L817*'Scoring System'!$B$13)+ (O817*'Scoring System'!$B$14)+ (Q817*'Scoring System'!$B$15)+ (R817*'Scoring System'!$B$16)</f>
        <v>2</v>
      </c>
      <c r="AB817" s="3" t="b">
        <f>IFERROR(match(C817,'Match Day Fees'!$B$2:$B$999,0),0)=0</f>
        <v>0</v>
      </c>
      <c r="AC817" s="3">
        <f t="shared" si="2"/>
        <v>0</v>
      </c>
      <c r="AD817" s="3" t="str">
        <f>VLOOKUP(D817,'Position Lookup'!A:B,1,FALSE)</f>
        <v>ATT</v>
      </c>
    </row>
    <row r="818" ht="17.25" customHeight="1">
      <c r="A818" s="32">
        <v>45213.0</v>
      </c>
      <c r="B818" s="5" t="s">
        <v>309</v>
      </c>
      <c r="C818" s="5" t="s">
        <v>106</v>
      </c>
      <c r="D818" s="5" t="s">
        <v>8</v>
      </c>
      <c r="E818" s="82">
        <v>5.0</v>
      </c>
      <c r="F818" s="5" t="s">
        <v>827</v>
      </c>
      <c r="G818" s="5" t="s">
        <v>224</v>
      </c>
      <c r="J818" s="5">
        <v>3.0</v>
      </c>
      <c r="N818" s="5" t="b">
        <v>0</v>
      </c>
      <c r="P818" s="5">
        <v>1.0</v>
      </c>
      <c r="R818" s="5">
        <v>0.0</v>
      </c>
      <c r="S818" s="5" t="b">
        <v>1</v>
      </c>
      <c r="T818" s="5">
        <v>0.0</v>
      </c>
      <c r="U818" s="5">
        <v>7.0</v>
      </c>
      <c r="V818" s="5" t="s">
        <v>828</v>
      </c>
      <c r="W818" s="81" t="s">
        <v>344</v>
      </c>
      <c r="X818" s="78" t="s">
        <v>829</v>
      </c>
      <c r="Y818" s="5">
        <v>4.0</v>
      </c>
      <c r="Z818" s="5">
        <v>3.0</v>
      </c>
      <c r="AA818" s="3">
        <f>2+ (P818*'Scoring System'!$B$3)+ (IF(OR(D818="DEF",D818="GK"),N818*'Scoring System'!$B$4,IF(D818="MID",N818*'Scoring System'!$B$5,0)))+ (IF(OR(D818="DEF",D818="GK"),H818*'Scoring System'!$B$6,IF(D818="MID",H818*'Scoring System'!$B$7,IF(D818="ATT",H818*'Scoring System'!$B$8,0))))+ IF(AND(OR(D818="GK",D818="DEF"),J818&gt;=3),1*'Scoring System'!$B$9,0)+ (I818*'Scoring System'!$B$10)+ (K818*'Scoring System'!$B$11)+ (M818*'Scoring System'!$B$12)+ (L818*'Scoring System'!$B$13)+ (O818*'Scoring System'!$B$14)+ (Q818*'Scoring System'!$B$15)+ (R818*'Scoring System'!$B$16)</f>
        <v>6</v>
      </c>
      <c r="AB818" s="3" t="b">
        <f>IFERROR(match(C818,'Match Day Fees'!$B$2:$B$999,0),0)=0</f>
        <v>0</v>
      </c>
      <c r="AC818" s="3">
        <f t="shared" si="2"/>
        <v>0</v>
      </c>
      <c r="AD818" s="3" t="str">
        <f>VLOOKUP(D818,'Position Lookup'!A:B,1,FALSE)</f>
        <v>GK</v>
      </c>
    </row>
    <row r="819" ht="17.25" customHeight="1">
      <c r="A819" s="32">
        <v>45213.0</v>
      </c>
      <c r="B819" s="5" t="s">
        <v>309</v>
      </c>
      <c r="C819" s="5" t="s">
        <v>133</v>
      </c>
      <c r="D819" s="5" t="s">
        <v>11</v>
      </c>
      <c r="E819" s="82">
        <v>5.0</v>
      </c>
      <c r="F819" s="5" t="s">
        <v>827</v>
      </c>
      <c r="G819" s="5" t="s">
        <v>224</v>
      </c>
      <c r="J819" s="5">
        <v>3.0</v>
      </c>
      <c r="N819" s="5" t="b">
        <v>0</v>
      </c>
      <c r="R819" s="5">
        <v>0.0</v>
      </c>
      <c r="T819" s="5">
        <v>10.0</v>
      </c>
      <c r="U819" s="5">
        <v>8.0</v>
      </c>
      <c r="V819" s="5" t="s">
        <v>830</v>
      </c>
      <c r="W819" s="81" t="s">
        <v>344</v>
      </c>
      <c r="X819" s="78" t="s">
        <v>829</v>
      </c>
      <c r="Y819" s="5">
        <v>4.0</v>
      </c>
      <c r="Z819" s="5">
        <v>3.0</v>
      </c>
      <c r="AA819" s="3">
        <f>2+ (P819*'Scoring System'!$B$3)+ (IF(OR(D819="DEF",D819="GK"),N819*'Scoring System'!$B$4,IF(D819="MID",N819*'Scoring System'!$B$5,0)))+ (IF(OR(D819="DEF",D819="GK"),H819*'Scoring System'!$B$6,IF(D819="MID",H819*'Scoring System'!$B$7,IF(D819="ATT",H819*'Scoring System'!$B$8,0))))+ IF(AND(OR(D819="GK",D819="DEF"),J819&gt;=3),1*'Scoring System'!$B$9,0)+ (I819*'Scoring System'!$B$10)+ (K819*'Scoring System'!$B$11)+ (M819*'Scoring System'!$B$12)+ (L819*'Scoring System'!$B$13)+ (O819*'Scoring System'!$B$14)+ (Q819*'Scoring System'!$B$15)+ (R819*'Scoring System'!$B$16)</f>
        <v>1</v>
      </c>
      <c r="AB819" s="3" t="b">
        <f>IFERROR(match(C819,'Match Day Fees'!$B$2:$B$999,0),0)=0</f>
        <v>0</v>
      </c>
      <c r="AC819" s="3">
        <f t="shared" si="2"/>
        <v>0</v>
      </c>
      <c r="AD819" s="3" t="str">
        <f>VLOOKUP(D819,'Position Lookup'!A:B,1,FALSE)</f>
        <v>DEF</v>
      </c>
    </row>
    <row r="820" ht="17.25" customHeight="1">
      <c r="A820" s="32">
        <v>45213.0</v>
      </c>
      <c r="B820" s="5" t="s">
        <v>309</v>
      </c>
      <c r="C820" s="5" t="s">
        <v>154</v>
      </c>
      <c r="D820" s="5" t="s">
        <v>11</v>
      </c>
      <c r="E820" s="82">
        <v>5.0</v>
      </c>
      <c r="F820" s="5" t="s">
        <v>827</v>
      </c>
      <c r="G820" s="5" t="s">
        <v>224</v>
      </c>
      <c r="J820" s="5">
        <v>3.0</v>
      </c>
      <c r="N820" s="5" t="b">
        <v>0</v>
      </c>
      <c r="R820" s="5">
        <v>0.0</v>
      </c>
      <c r="T820" s="5">
        <v>10.0</v>
      </c>
      <c r="U820" s="5">
        <v>7.5</v>
      </c>
      <c r="V820" s="5" t="s">
        <v>831</v>
      </c>
      <c r="W820" s="81" t="s">
        <v>344</v>
      </c>
      <c r="X820" s="78" t="s">
        <v>829</v>
      </c>
      <c r="Y820" s="5">
        <v>4.0</v>
      </c>
      <c r="Z820" s="5">
        <v>3.0</v>
      </c>
      <c r="AA820" s="3">
        <f>2+ (P820*'Scoring System'!$B$3)+ (IF(OR(D820="DEF",D820="GK"),N820*'Scoring System'!$B$4,IF(D820="MID",N820*'Scoring System'!$B$5,0)))+ (IF(OR(D820="DEF",D820="GK"),H820*'Scoring System'!$B$6,IF(D820="MID",H820*'Scoring System'!$B$7,IF(D820="ATT",H820*'Scoring System'!$B$8,0))))+ IF(AND(OR(D820="GK",D820="DEF"),J820&gt;=3),1*'Scoring System'!$B$9,0)+ (I820*'Scoring System'!$B$10)+ (K820*'Scoring System'!$B$11)+ (M820*'Scoring System'!$B$12)+ (L820*'Scoring System'!$B$13)+ (O820*'Scoring System'!$B$14)+ (Q820*'Scoring System'!$B$15)+ (R820*'Scoring System'!$B$16)</f>
        <v>1</v>
      </c>
      <c r="AB820" s="3" t="b">
        <f>IFERROR(match(C820,'Match Day Fees'!$B$2:$B$999,0),0)=0</f>
        <v>0</v>
      </c>
      <c r="AC820" s="3">
        <f t="shared" si="2"/>
        <v>0</v>
      </c>
      <c r="AD820" s="3" t="str">
        <f>VLOOKUP(D820,'Position Lookup'!A:B,1,FALSE)</f>
        <v>DEF</v>
      </c>
    </row>
    <row r="821" ht="17.25" customHeight="1">
      <c r="A821" s="32">
        <v>45213.0</v>
      </c>
      <c r="B821" s="5" t="s">
        <v>309</v>
      </c>
      <c r="C821" s="5" t="s">
        <v>145</v>
      </c>
      <c r="D821" s="5" t="s">
        <v>11</v>
      </c>
      <c r="E821" s="82">
        <v>5.0</v>
      </c>
      <c r="F821" s="5" t="s">
        <v>827</v>
      </c>
      <c r="G821" s="5" t="s">
        <v>224</v>
      </c>
      <c r="J821" s="5">
        <v>3.0</v>
      </c>
      <c r="N821" s="5" t="b">
        <v>0</v>
      </c>
      <c r="R821" s="5">
        <v>0.0</v>
      </c>
      <c r="T821" s="5">
        <v>10.0</v>
      </c>
      <c r="U821" s="5">
        <v>7.5</v>
      </c>
      <c r="V821" s="5" t="s">
        <v>832</v>
      </c>
      <c r="W821" s="81" t="s">
        <v>344</v>
      </c>
      <c r="X821" s="78" t="s">
        <v>829</v>
      </c>
      <c r="Y821" s="5">
        <v>4.0</v>
      </c>
      <c r="Z821" s="5">
        <v>3.0</v>
      </c>
      <c r="AA821" s="3">
        <f>2+ (P821*'Scoring System'!$B$3)+ (IF(OR(D821="DEF",D821="GK"),N821*'Scoring System'!$B$4,IF(D821="MID",N821*'Scoring System'!$B$5,0)))+ (IF(OR(D821="DEF",D821="GK"),H821*'Scoring System'!$B$6,IF(D821="MID",H821*'Scoring System'!$B$7,IF(D821="ATT",H821*'Scoring System'!$B$8,0))))+ IF(AND(OR(D821="GK",D821="DEF"),J821&gt;=3),1*'Scoring System'!$B$9,0)+ (I821*'Scoring System'!$B$10)+ (K821*'Scoring System'!$B$11)+ (M821*'Scoring System'!$B$12)+ (L821*'Scoring System'!$B$13)+ (O821*'Scoring System'!$B$14)+ (Q821*'Scoring System'!$B$15)+ (R821*'Scoring System'!$B$16)</f>
        <v>1</v>
      </c>
      <c r="AB821" s="3" t="b">
        <f>IFERROR(match(C821,'Match Day Fees'!$B$2:$B$999,0),0)=0</f>
        <v>0</v>
      </c>
      <c r="AC821" s="3">
        <f t="shared" si="2"/>
        <v>0</v>
      </c>
      <c r="AD821" s="3" t="str">
        <f>VLOOKUP(D821,'Position Lookup'!A:B,1,FALSE)</f>
        <v>DEF</v>
      </c>
    </row>
    <row r="822" ht="17.25" customHeight="1">
      <c r="A822" s="32">
        <v>45213.0</v>
      </c>
      <c r="B822" s="5" t="s">
        <v>309</v>
      </c>
      <c r="C822" s="5" t="s">
        <v>117</v>
      </c>
      <c r="D822" s="5" t="s">
        <v>11</v>
      </c>
      <c r="E822" s="82">
        <v>5.0</v>
      </c>
      <c r="F822" s="5" t="s">
        <v>827</v>
      </c>
      <c r="G822" s="5" t="s">
        <v>224</v>
      </c>
      <c r="J822" s="5">
        <v>3.0</v>
      </c>
      <c r="M822" s="5">
        <v>1.0</v>
      </c>
      <c r="N822" s="5" t="b">
        <v>0</v>
      </c>
      <c r="R822" s="5">
        <v>0.0</v>
      </c>
      <c r="T822" s="5">
        <v>10.0</v>
      </c>
      <c r="U822" s="5">
        <v>7.5</v>
      </c>
      <c r="V822" s="5" t="s">
        <v>833</v>
      </c>
      <c r="W822" s="81" t="s">
        <v>344</v>
      </c>
      <c r="X822" s="78" t="s">
        <v>829</v>
      </c>
      <c r="Y822" s="5">
        <v>4.0</v>
      </c>
      <c r="Z822" s="5">
        <v>3.0</v>
      </c>
      <c r="AA822" s="3">
        <f>2+ (P822*'Scoring System'!$B$3)+ (IF(OR(D822="DEF",D822="GK"),N822*'Scoring System'!$B$4,IF(D822="MID",N822*'Scoring System'!$B$5,0)))+ (IF(OR(D822="DEF",D822="GK"),H822*'Scoring System'!$B$6,IF(D822="MID",H822*'Scoring System'!$B$7,IF(D822="ATT",H822*'Scoring System'!$B$8,0))))+ IF(AND(OR(D822="GK",D822="DEF"),J822&gt;=3),1*'Scoring System'!$B$9,0)+ (I822*'Scoring System'!$B$10)+ (K822*'Scoring System'!$B$11)+ (M822*'Scoring System'!$B$12)+ (L822*'Scoring System'!$B$13)+ (O822*'Scoring System'!$B$14)+ (Q822*'Scoring System'!$B$15)+ (R822*'Scoring System'!$B$16)</f>
        <v>-2</v>
      </c>
      <c r="AB822" s="3" t="b">
        <f>IFERROR(match(C822,'Match Day Fees'!$B$2:$B$999,0),0)=0</f>
        <v>0</v>
      </c>
      <c r="AC822" s="3">
        <f t="shared" si="2"/>
        <v>0</v>
      </c>
      <c r="AD822" s="3" t="str">
        <f>VLOOKUP(D822,'Position Lookup'!A:B,1,FALSE)</f>
        <v>DEF</v>
      </c>
    </row>
    <row r="823" ht="17.25" customHeight="1">
      <c r="A823" s="32">
        <v>45213.0</v>
      </c>
      <c r="B823" s="5" t="s">
        <v>309</v>
      </c>
      <c r="C823" s="5" t="s">
        <v>138</v>
      </c>
      <c r="D823" s="5" t="s">
        <v>11</v>
      </c>
      <c r="E823" s="82">
        <v>5.0</v>
      </c>
      <c r="F823" s="5" t="s">
        <v>827</v>
      </c>
      <c r="G823" s="5" t="s">
        <v>224</v>
      </c>
      <c r="J823" s="5">
        <v>3.0</v>
      </c>
      <c r="N823" s="5" t="b">
        <v>0</v>
      </c>
      <c r="R823" s="5">
        <v>0.0</v>
      </c>
      <c r="T823" s="5">
        <v>7.0</v>
      </c>
      <c r="U823" s="5">
        <v>7.0</v>
      </c>
      <c r="V823" s="5" t="s">
        <v>834</v>
      </c>
      <c r="W823" s="81" t="s">
        <v>344</v>
      </c>
      <c r="X823" s="78" t="s">
        <v>829</v>
      </c>
      <c r="Y823" s="5">
        <v>4.0</v>
      </c>
      <c r="Z823" s="5">
        <v>3.0</v>
      </c>
      <c r="AA823" s="3">
        <f>2+ (P823*'Scoring System'!$B$3)+ (IF(OR(D823="DEF",D823="GK"),N823*'Scoring System'!$B$4,IF(D823="MID",N823*'Scoring System'!$B$5,0)))+ (IF(OR(D823="DEF",D823="GK"),H823*'Scoring System'!$B$6,IF(D823="MID",H823*'Scoring System'!$B$7,IF(D823="ATT",H823*'Scoring System'!$B$8,0))))+ IF(AND(OR(D823="GK",D823="DEF"),J823&gt;=3),1*'Scoring System'!$B$9,0)+ (I823*'Scoring System'!$B$10)+ (K823*'Scoring System'!$B$11)+ (M823*'Scoring System'!$B$12)+ (L823*'Scoring System'!$B$13)+ (O823*'Scoring System'!$B$14)+ (Q823*'Scoring System'!$B$15)+ (R823*'Scoring System'!$B$16)</f>
        <v>1</v>
      </c>
      <c r="AB823" s="3" t="b">
        <f>IFERROR(match(C823,'Match Day Fees'!$B$2:$B$999,0),0)=0</f>
        <v>0</v>
      </c>
      <c r="AC823" s="3">
        <f t="shared" si="2"/>
        <v>0</v>
      </c>
      <c r="AD823" s="3" t="str">
        <f>VLOOKUP(D823,'Position Lookup'!A:B,1,FALSE)</f>
        <v>DEF</v>
      </c>
    </row>
    <row r="824" ht="17.25" customHeight="1">
      <c r="A824" s="32">
        <v>45213.0</v>
      </c>
      <c r="B824" s="5" t="s">
        <v>309</v>
      </c>
      <c r="C824" s="5" t="s">
        <v>58</v>
      </c>
      <c r="D824" s="5" t="s">
        <v>9</v>
      </c>
      <c r="E824" s="82">
        <v>5.0</v>
      </c>
      <c r="F824" s="5" t="s">
        <v>827</v>
      </c>
      <c r="G824" s="5" t="s">
        <v>224</v>
      </c>
      <c r="I824" s="5">
        <v>2.0</v>
      </c>
      <c r="J824" s="5">
        <v>3.0</v>
      </c>
      <c r="N824" s="5" t="b">
        <v>0</v>
      </c>
      <c r="R824" s="5">
        <v>0.0</v>
      </c>
      <c r="T824" s="5">
        <v>7.0</v>
      </c>
      <c r="U824" s="5">
        <v>7.5</v>
      </c>
      <c r="V824" s="5" t="s">
        <v>835</v>
      </c>
      <c r="W824" s="81" t="s">
        <v>344</v>
      </c>
      <c r="X824" s="78" t="s">
        <v>829</v>
      </c>
      <c r="Y824" s="5">
        <v>4.0</v>
      </c>
      <c r="Z824" s="5">
        <v>3.0</v>
      </c>
      <c r="AA824" s="3">
        <f>2+ (P824*'Scoring System'!$B$3)+ (IF(OR(D824="DEF",D824="GK"),N824*'Scoring System'!$B$4,IF(D824="MID",N824*'Scoring System'!$B$5,0)))+ (IF(OR(D824="DEF",D824="GK"),H824*'Scoring System'!$B$6,IF(D824="MID",H824*'Scoring System'!$B$7,IF(D824="ATT",H824*'Scoring System'!$B$8,0))))+ IF(AND(OR(D824="GK",D824="DEF"),J824&gt;=3),1*'Scoring System'!$B$9,0)+ (I824*'Scoring System'!$B$10)+ (K824*'Scoring System'!$B$11)+ (M824*'Scoring System'!$B$12)+ (L824*'Scoring System'!$B$13)+ (O824*'Scoring System'!$B$14)+ (Q824*'Scoring System'!$B$15)+ (R824*'Scoring System'!$B$16)</f>
        <v>8</v>
      </c>
      <c r="AB824" s="3" t="b">
        <f>IFERROR(match(C824,'Match Day Fees'!$B$2:$B$999,0),0)=0</f>
        <v>0</v>
      </c>
      <c r="AC824" s="3">
        <f t="shared" si="2"/>
        <v>0</v>
      </c>
      <c r="AD824" s="3" t="str">
        <f>VLOOKUP(D824,'Position Lookup'!A:B,1,FALSE)</f>
        <v>ATT</v>
      </c>
    </row>
    <row r="825" ht="17.25" customHeight="1">
      <c r="A825" s="32">
        <v>45213.0</v>
      </c>
      <c r="B825" s="5" t="s">
        <v>309</v>
      </c>
      <c r="C825" s="5" t="s">
        <v>474</v>
      </c>
      <c r="D825" s="5" t="s">
        <v>10</v>
      </c>
      <c r="E825" s="82">
        <v>5.0</v>
      </c>
      <c r="F825" s="5" t="s">
        <v>827</v>
      </c>
      <c r="G825" s="5" t="s">
        <v>224</v>
      </c>
      <c r="J825" s="5">
        <v>3.0</v>
      </c>
      <c r="N825" s="5" t="b">
        <v>0</v>
      </c>
      <c r="R825" s="5">
        <v>0.0</v>
      </c>
      <c r="T825" s="5">
        <v>10.0</v>
      </c>
      <c r="U825" s="5">
        <v>7.0</v>
      </c>
      <c r="V825" s="5" t="s">
        <v>836</v>
      </c>
      <c r="W825" s="81" t="s">
        <v>344</v>
      </c>
      <c r="X825" s="78" t="s">
        <v>829</v>
      </c>
      <c r="Y825" s="5">
        <v>4.0</v>
      </c>
      <c r="Z825" s="5">
        <v>3.0</v>
      </c>
      <c r="AA825" s="3">
        <f>2+ (P825*'Scoring System'!$B$3)+ (IF(OR(D825="DEF",D825="GK"),N825*'Scoring System'!$B$4,IF(D825="MID",N825*'Scoring System'!$B$5,0)))+ (IF(OR(D825="DEF",D825="GK"),H825*'Scoring System'!$B$6,IF(D825="MID",H825*'Scoring System'!$B$7,IF(D825="ATT",H825*'Scoring System'!$B$8,0))))+ IF(AND(OR(D825="GK",D825="DEF"),J825&gt;=3),1*'Scoring System'!$B$9,0)+ (I825*'Scoring System'!$B$10)+ (K825*'Scoring System'!$B$11)+ (M825*'Scoring System'!$B$12)+ (L825*'Scoring System'!$B$13)+ (O825*'Scoring System'!$B$14)+ (Q825*'Scoring System'!$B$15)+ (R825*'Scoring System'!$B$16)</f>
        <v>2</v>
      </c>
      <c r="AB825" s="3" t="b">
        <f>IFERROR(match(C825,'Match Day Fees'!$B$2:$B$999,0),0)=0</f>
        <v>0</v>
      </c>
      <c r="AC825" s="3">
        <f t="shared" si="2"/>
        <v>0</v>
      </c>
      <c r="AD825" s="3" t="str">
        <f>VLOOKUP(D825,'Position Lookup'!A:B,1,FALSE)</f>
        <v>MID</v>
      </c>
    </row>
    <row r="826" ht="17.25" customHeight="1">
      <c r="A826" s="32">
        <v>45213.0</v>
      </c>
      <c r="B826" s="5" t="s">
        <v>309</v>
      </c>
      <c r="C826" s="5" t="s">
        <v>237</v>
      </c>
      <c r="D826" s="5" t="s">
        <v>10</v>
      </c>
      <c r="E826" s="82">
        <v>5.0</v>
      </c>
      <c r="F826" s="5" t="s">
        <v>827</v>
      </c>
      <c r="G826" s="5" t="s">
        <v>224</v>
      </c>
      <c r="J826" s="5">
        <v>3.0</v>
      </c>
      <c r="N826" s="5" t="b">
        <v>0</v>
      </c>
      <c r="R826" s="5">
        <v>0.0</v>
      </c>
      <c r="T826" s="5">
        <v>10.0</v>
      </c>
      <c r="U826" s="5">
        <v>7.0</v>
      </c>
      <c r="V826" s="5" t="s">
        <v>837</v>
      </c>
      <c r="W826" s="81" t="s">
        <v>344</v>
      </c>
      <c r="X826" s="78" t="s">
        <v>829</v>
      </c>
      <c r="Y826" s="5">
        <v>4.0</v>
      </c>
      <c r="Z826" s="5">
        <v>3.0</v>
      </c>
      <c r="AA826" s="3">
        <f>2+ (P826*'Scoring System'!$B$3)+ (IF(OR(D826="DEF",D826="GK"),N826*'Scoring System'!$B$4,IF(D826="MID",N826*'Scoring System'!$B$5,0)))+ (IF(OR(D826="DEF",D826="GK"),H826*'Scoring System'!$B$6,IF(D826="MID",H826*'Scoring System'!$B$7,IF(D826="ATT",H826*'Scoring System'!$B$8,0))))+ IF(AND(OR(D826="GK",D826="DEF"),J826&gt;=3),1*'Scoring System'!$B$9,0)+ (I826*'Scoring System'!$B$10)+ (K826*'Scoring System'!$B$11)+ (M826*'Scoring System'!$B$12)+ (L826*'Scoring System'!$B$13)+ (O826*'Scoring System'!$B$14)+ (Q826*'Scoring System'!$B$15)+ (R826*'Scoring System'!$B$16)</f>
        <v>2</v>
      </c>
      <c r="AB826" s="3" t="b">
        <f>IFERROR(match(C826,'Match Day Fees'!$B$2:$B$999,0),0)=0</f>
        <v>0</v>
      </c>
      <c r="AC826" s="3">
        <f t="shared" si="2"/>
        <v>0</v>
      </c>
      <c r="AD826" s="3" t="str">
        <f>VLOOKUP(D826,'Position Lookup'!A:B,1,FALSE)</f>
        <v>MID</v>
      </c>
    </row>
    <row r="827" ht="17.25" customHeight="1">
      <c r="A827" s="32">
        <v>45213.0</v>
      </c>
      <c r="B827" s="5" t="s">
        <v>309</v>
      </c>
      <c r="C827" s="5" t="s">
        <v>122</v>
      </c>
      <c r="D827" s="5" t="s">
        <v>10</v>
      </c>
      <c r="E827" s="82">
        <v>5.0</v>
      </c>
      <c r="F827" s="5" t="s">
        <v>827</v>
      </c>
      <c r="G827" s="5" t="s">
        <v>224</v>
      </c>
      <c r="J827" s="5">
        <v>3.0</v>
      </c>
      <c r="N827" s="5" t="b">
        <v>0</v>
      </c>
      <c r="R827" s="5">
        <v>0.0</v>
      </c>
      <c r="T827" s="5">
        <v>3.0</v>
      </c>
      <c r="U827" s="5">
        <v>7.5</v>
      </c>
      <c r="V827" s="5" t="s">
        <v>838</v>
      </c>
      <c r="W827" s="81" t="s">
        <v>344</v>
      </c>
      <c r="X827" s="78" t="s">
        <v>829</v>
      </c>
      <c r="Y827" s="5">
        <v>4.0</v>
      </c>
      <c r="Z827" s="5">
        <v>3.0</v>
      </c>
      <c r="AA827" s="3">
        <f>2+ (P827*'Scoring System'!$B$3)+ (IF(OR(D827="DEF",D827="GK"),N827*'Scoring System'!$B$4,IF(D827="MID",N827*'Scoring System'!$B$5,0)))+ (IF(OR(D827="DEF",D827="GK"),H827*'Scoring System'!$B$6,IF(D827="MID",H827*'Scoring System'!$B$7,IF(D827="ATT",H827*'Scoring System'!$B$8,0))))+ IF(AND(OR(D827="GK",D827="DEF"),J827&gt;=3),1*'Scoring System'!$B$9,0)+ (I827*'Scoring System'!$B$10)+ (K827*'Scoring System'!$B$11)+ (M827*'Scoring System'!$B$12)+ (L827*'Scoring System'!$B$13)+ (O827*'Scoring System'!$B$14)+ (Q827*'Scoring System'!$B$15)+ (R827*'Scoring System'!$B$16)</f>
        <v>2</v>
      </c>
      <c r="AB827" s="3" t="b">
        <f>IFERROR(match(C827,'Match Day Fees'!$B$2:$B$999,0),0)=0</f>
        <v>0</v>
      </c>
      <c r="AC827" s="3">
        <f t="shared" si="2"/>
        <v>0</v>
      </c>
      <c r="AD827" s="3" t="str">
        <f>VLOOKUP(D827,'Position Lookup'!A:B,1,FALSE)</f>
        <v>MID</v>
      </c>
    </row>
    <row r="828" ht="17.25" customHeight="1">
      <c r="A828" s="32">
        <v>45213.0</v>
      </c>
      <c r="B828" s="5" t="s">
        <v>309</v>
      </c>
      <c r="C828" s="5" t="s">
        <v>109</v>
      </c>
      <c r="D828" s="5" t="s">
        <v>9</v>
      </c>
      <c r="E828" s="82">
        <v>5.0</v>
      </c>
      <c r="F828" s="5" t="s">
        <v>827</v>
      </c>
      <c r="G828" s="5" t="s">
        <v>224</v>
      </c>
      <c r="H828" s="5">
        <v>2.0</v>
      </c>
      <c r="J828" s="5">
        <v>3.0</v>
      </c>
      <c r="N828" s="5" t="b">
        <v>0</v>
      </c>
      <c r="R828" s="5">
        <v>1.0</v>
      </c>
      <c r="T828" s="5">
        <v>5.0</v>
      </c>
      <c r="U828" s="5">
        <v>8.0</v>
      </c>
      <c r="V828" s="5" t="s">
        <v>839</v>
      </c>
      <c r="W828" s="81" t="s">
        <v>344</v>
      </c>
      <c r="X828" s="78" t="s">
        <v>829</v>
      </c>
      <c r="Y828" s="5">
        <v>4.0</v>
      </c>
      <c r="Z828" s="5">
        <v>3.0</v>
      </c>
      <c r="AA828" s="3">
        <f>2+ (P828*'Scoring System'!$B$3)+ (IF(OR(D828="DEF",D828="GK"),N828*'Scoring System'!$B$4,IF(D828="MID",N828*'Scoring System'!$B$5,0)))+ (IF(OR(D828="DEF",D828="GK"),H828*'Scoring System'!$B$6,IF(D828="MID",H828*'Scoring System'!$B$7,IF(D828="ATT",H828*'Scoring System'!$B$8,0))))+ IF(AND(OR(D828="GK",D828="DEF"),J828&gt;=3),1*'Scoring System'!$B$9,0)+ (I828*'Scoring System'!$B$10)+ (K828*'Scoring System'!$B$11)+ (M828*'Scoring System'!$B$12)+ (L828*'Scoring System'!$B$13)+ (O828*'Scoring System'!$B$14)+ (Q828*'Scoring System'!$B$15)+ (R828*'Scoring System'!$B$16)</f>
        <v>15</v>
      </c>
      <c r="AB828" s="3" t="b">
        <f>IFERROR(match(C828,'Match Day Fees'!$B$2:$B$999,0),0)=0</f>
        <v>0</v>
      </c>
      <c r="AC828" s="3">
        <f t="shared" si="2"/>
        <v>0</v>
      </c>
      <c r="AD828" s="3" t="str">
        <f>VLOOKUP(D828,'Position Lookup'!A:B,1,FALSE)</f>
        <v>ATT</v>
      </c>
    </row>
    <row r="829" ht="17.25" customHeight="1">
      <c r="A829" s="32">
        <v>45213.0</v>
      </c>
      <c r="B829" s="5" t="s">
        <v>309</v>
      </c>
      <c r="C829" s="5" t="s">
        <v>140</v>
      </c>
      <c r="D829" s="5" t="s">
        <v>9</v>
      </c>
      <c r="E829" s="82">
        <v>5.0</v>
      </c>
      <c r="F829" s="5" t="s">
        <v>827</v>
      </c>
      <c r="G829" s="5" t="s">
        <v>224</v>
      </c>
      <c r="I829" s="5">
        <v>1.0</v>
      </c>
      <c r="J829" s="5">
        <v>3.0</v>
      </c>
      <c r="N829" s="5" t="b">
        <v>0</v>
      </c>
      <c r="O829" s="5">
        <v>1.0</v>
      </c>
      <c r="R829" s="5">
        <v>0.0</v>
      </c>
      <c r="T829" s="5">
        <v>10.0</v>
      </c>
      <c r="U829" s="5">
        <v>7.0</v>
      </c>
      <c r="V829" s="5" t="s">
        <v>840</v>
      </c>
      <c r="W829" s="81" t="s">
        <v>344</v>
      </c>
      <c r="X829" s="78" t="s">
        <v>829</v>
      </c>
      <c r="Y829" s="5">
        <v>4.0</v>
      </c>
      <c r="Z829" s="5">
        <v>3.0</v>
      </c>
      <c r="AA829" s="3">
        <f>2+ (P829*'Scoring System'!$B$3)+ (IF(OR(D829="DEF",D829="GK"),N829*'Scoring System'!$B$4,IF(D829="MID",N829*'Scoring System'!$B$5,0)))+ (IF(OR(D829="DEF",D829="GK"),H829*'Scoring System'!$B$6,IF(D829="MID",H829*'Scoring System'!$B$7,IF(D829="ATT",H829*'Scoring System'!$B$8,0))))+ IF(AND(OR(D829="GK",D829="DEF"),J829&gt;=3),1*'Scoring System'!$B$9,0)+ (I829*'Scoring System'!$B$10)+ (K829*'Scoring System'!$B$11)+ (M829*'Scoring System'!$B$12)+ (L829*'Scoring System'!$B$13)+ (O829*'Scoring System'!$B$14)+ (Q829*'Scoring System'!$B$15)+ (R829*'Scoring System'!$B$16)</f>
        <v>3</v>
      </c>
      <c r="AB829" s="3" t="b">
        <f>IFERROR(match(C829,'Match Day Fees'!$B$2:$B$999,0),0)=0</f>
        <v>0</v>
      </c>
      <c r="AC829" s="3">
        <f t="shared" si="2"/>
        <v>0</v>
      </c>
      <c r="AD829" s="3" t="str">
        <f>VLOOKUP(D829,'Position Lookup'!A:B,1,FALSE)</f>
        <v>ATT</v>
      </c>
    </row>
    <row r="830" ht="17.25" customHeight="1">
      <c r="A830" s="32">
        <v>45213.0</v>
      </c>
      <c r="B830" s="5" t="s">
        <v>309</v>
      </c>
      <c r="C830" s="5" t="s">
        <v>89</v>
      </c>
      <c r="D830" s="5" t="s">
        <v>9</v>
      </c>
      <c r="E830" s="82">
        <v>5.0</v>
      </c>
      <c r="F830" s="5" t="s">
        <v>827</v>
      </c>
      <c r="G830" s="5" t="s">
        <v>224</v>
      </c>
      <c r="H830" s="5">
        <v>2.0</v>
      </c>
      <c r="J830" s="5">
        <v>3.0</v>
      </c>
      <c r="N830" s="5" t="b">
        <v>0</v>
      </c>
      <c r="R830" s="5">
        <v>0.0</v>
      </c>
      <c r="T830" s="5">
        <v>5.0</v>
      </c>
      <c r="U830" s="5">
        <v>8.0</v>
      </c>
      <c r="V830" s="5" t="s">
        <v>841</v>
      </c>
      <c r="W830" s="81" t="s">
        <v>344</v>
      </c>
      <c r="X830" s="78" t="s">
        <v>829</v>
      </c>
      <c r="Y830" s="5">
        <v>4.0</v>
      </c>
      <c r="Z830" s="5">
        <v>3.0</v>
      </c>
      <c r="AA830" s="3">
        <f>2+ (P830*'Scoring System'!$B$3)+ (IF(OR(D830="DEF",D830="GK"),N830*'Scoring System'!$B$4,IF(D830="MID",N830*'Scoring System'!$B$5,0)))+ (IF(OR(D830="DEF",D830="GK"),H830*'Scoring System'!$B$6,IF(D830="MID",H830*'Scoring System'!$B$7,IF(D830="ATT",H830*'Scoring System'!$B$8,0))))+ IF(AND(OR(D830="GK",D830="DEF"),J830&gt;=3),1*'Scoring System'!$B$9,0)+ (I830*'Scoring System'!$B$10)+ (K830*'Scoring System'!$B$11)+ (M830*'Scoring System'!$B$12)+ (L830*'Scoring System'!$B$13)+ (O830*'Scoring System'!$B$14)+ (Q830*'Scoring System'!$B$15)+ (R830*'Scoring System'!$B$16)</f>
        <v>10</v>
      </c>
      <c r="AB830" s="3" t="b">
        <f>IFERROR(match(C830,'Match Day Fees'!$B$2:$B$999,0),0)=0</f>
        <v>0</v>
      </c>
      <c r="AC830" s="3">
        <f t="shared" si="2"/>
        <v>0</v>
      </c>
      <c r="AD830" s="3" t="str">
        <f>VLOOKUP(D830,'Position Lookup'!A:B,1,FALSE)</f>
        <v>ATT</v>
      </c>
    </row>
    <row r="831" ht="17.25" customHeight="1">
      <c r="A831" s="32">
        <v>45213.0</v>
      </c>
      <c r="B831" s="5" t="s">
        <v>309</v>
      </c>
      <c r="C831" s="5" t="s">
        <v>71</v>
      </c>
      <c r="D831" s="5" t="s">
        <v>10</v>
      </c>
      <c r="E831" s="82">
        <v>5.0</v>
      </c>
      <c r="F831" s="5" t="s">
        <v>827</v>
      </c>
      <c r="G831" s="5" t="s">
        <v>224</v>
      </c>
      <c r="I831" s="5">
        <v>1.0</v>
      </c>
      <c r="J831" s="5">
        <v>3.0</v>
      </c>
      <c r="N831" s="5" t="b">
        <v>0</v>
      </c>
      <c r="R831" s="5">
        <v>0.0</v>
      </c>
      <c r="T831" s="5">
        <v>10.0</v>
      </c>
      <c r="U831" s="5">
        <v>7.5</v>
      </c>
      <c r="V831" s="5" t="s">
        <v>842</v>
      </c>
      <c r="W831" s="81" t="s">
        <v>344</v>
      </c>
      <c r="X831" s="78" t="s">
        <v>829</v>
      </c>
      <c r="Y831" s="5">
        <v>4.0</v>
      </c>
      <c r="Z831" s="5">
        <v>3.0</v>
      </c>
      <c r="AA831" s="3">
        <f>2+ (P831*'Scoring System'!$B$3)+ (IF(OR(D831="DEF",D831="GK"),N831*'Scoring System'!$B$4,IF(D831="MID",N831*'Scoring System'!$B$5,0)))+ (IF(OR(D831="DEF",D831="GK"),H831*'Scoring System'!$B$6,IF(D831="MID",H831*'Scoring System'!$B$7,IF(D831="ATT",H831*'Scoring System'!$B$8,0))))+ IF(AND(OR(D831="GK",D831="DEF"),J831&gt;=3),1*'Scoring System'!$B$9,0)+ (I831*'Scoring System'!$B$10)+ (K831*'Scoring System'!$B$11)+ (M831*'Scoring System'!$B$12)+ (L831*'Scoring System'!$B$13)+ (O831*'Scoring System'!$B$14)+ (Q831*'Scoring System'!$B$15)+ (R831*'Scoring System'!$B$16)</f>
        <v>5</v>
      </c>
      <c r="AB831" s="3" t="b">
        <f>IFERROR(match(C831,'Match Day Fees'!$B$2:$B$999,0),0)=0</f>
        <v>0</v>
      </c>
      <c r="AC831" s="3">
        <f t="shared" si="2"/>
        <v>0</v>
      </c>
      <c r="AD831" s="3" t="str">
        <f>VLOOKUP(D831,'Position Lookup'!A:B,1,FALSE)</f>
        <v>MID</v>
      </c>
    </row>
    <row r="832" ht="17.25" customHeight="1">
      <c r="A832" s="32">
        <v>45213.0</v>
      </c>
      <c r="B832" s="5" t="s">
        <v>309</v>
      </c>
      <c r="C832" s="5" t="s">
        <v>259</v>
      </c>
      <c r="D832" s="5" t="s">
        <v>8</v>
      </c>
      <c r="E832" s="82">
        <v>6.0</v>
      </c>
      <c r="F832" s="5" t="s">
        <v>843</v>
      </c>
      <c r="G832" s="5" t="s">
        <v>230</v>
      </c>
      <c r="J832" s="5">
        <v>4.0</v>
      </c>
      <c r="N832" s="5" t="b">
        <v>0</v>
      </c>
      <c r="R832" s="5">
        <v>0.0</v>
      </c>
      <c r="T832" s="5">
        <v>10.0</v>
      </c>
      <c r="U832" s="5">
        <v>7.0</v>
      </c>
      <c r="V832" s="5" t="s">
        <v>844</v>
      </c>
      <c r="W832" s="81" t="s">
        <v>845</v>
      </c>
      <c r="X832" s="78" t="s">
        <v>846</v>
      </c>
      <c r="Y832" s="5">
        <v>2.0</v>
      </c>
      <c r="Z832" s="5">
        <v>4.0</v>
      </c>
      <c r="AA832" s="3">
        <f>2+ (P832*'Scoring System'!$B$3)+ (IF(OR(D832="DEF",D832="GK"),N832*'Scoring System'!$B$4,IF(D832="MID",N832*'Scoring System'!$B$5,0)))+ (IF(OR(D832="DEF",D832="GK"),H832*'Scoring System'!$B$6,IF(D832="MID",H832*'Scoring System'!$B$7,IF(D832="ATT",H832*'Scoring System'!$B$8,0))))+ IF(AND(OR(D832="GK",D832="DEF"),J832&gt;=3),1*'Scoring System'!$B$9,0)+ (I832*'Scoring System'!$B$10)+ (K832*'Scoring System'!$B$11)+ (M832*'Scoring System'!$B$12)+ (L832*'Scoring System'!$B$13)+ (O832*'Scoring System'!$B$14)+ (Q832*'Scoring System'!$B$15)+ (R832*'Scoring System'!$B$16)</f>
        <v>1</v>
      </c>
      <c r="AB832" s="3" t="b">
        <f>IFERROR(match(C832,'Match Day Fees'!$B$2:$B$999,0),0)=0</f>
        <v>0</v>
      </c>
      <c r="AC832" s="3">
        <f t="shared" si="2"/>
        <v>0</v>
      </c>
      <c r="AD832" s="3" t="str">
        <f>VLOOKUP(D832,'Position Lookup'!A:B,1,FALSE)</f>
        <v>GK</v>
      </c>
    </row>
    <row r="833" ht="17.25" customHeight="1">
      <c r="A833" s="32">
        <v>45213.0</v>
      </c>
      <c r="B833" s="5" t="s">
        <v>309</v>
      </c>
      <c r="C833" s="5" t="s">
        <v>142</v>
      </c>
      <c r="D833" s="5" t="s">
        <v>11</v>
      </c>
      <c r="E833" s="82">
        <v>6.0</v>
      </c>
      <c r="F833" s="5" t="s">
        <v>843</v>
      </c>
      <c r="G833" s="5" t="s">
        <v>230</v>
      </c>
      <c r="I833" s="5">
        <v>1.0</v>
      </c>
      <c r="J833" s="5">
        <v>4.0</v>
      </c>
      <c r="N833" s="5" t="b">
        <v>0</v>
      </c>
      <c r="R833" s="5">
        <v>0.0</v>
      </c>
      <c r="T833" s="5">
        <v>10.0</v>
      </c>
      <c r="U833" s="5">
        <v>7.5</v>
      </c>
      <c r="V833" s="5" t="s">
        <v>847</v>
      </c>
      <c r="W833" s="81" t="s">
        <v>845</v>
      </c>
      <c r="X833" s="78" t="s">
        <v>846</v>
      </c>
      <c r="Y833" s="5">
        <v>2.0</v>
      </c>
      <c r="Z833" s="5">
        <v>4.0</v>
      </c>
      <c r="AA833" s="3">
        <f>2+ (P833*'Scoring System'!$B$3)+ (IF(OR(D833="DEF",D833="GK"),N833*'Scoring System'!$B$4,IF(D833="MID",N833*'Scoring System'!$B$5,0)))+ (IF(OR(D833="DEF",D833="GK"),H833*'Scoring System'!$B$6,IF(D833="MID",H833*'Scoring System'!$B$7,IF(D833="ATT",H833*'Scoring System'!$B$8,0))))+ IF(AND(OR(D833="GK",D833="DEF"),J833&gt;=3),1*'Scoring System'!$B$9,0)+ (I833*'Scoring System'!$B$10)+ (K833*'Scoring System'!$B$11)+ (M833*'Scoring System'!$B$12)+ (L833*'Scoring System'!$B$13)+ (O833*'Scoring System'!$B$14)+ (Q833*'Scoring System'!$B$15)+ (R833*'Scoring System'!$B$16)</f>
        <v>4</v>
      </c>
      <c r="AB833" s="3" t="b">
        <f>IFERROR(match(C833,'Match Day Fees'!$B$2:$B$999,0),0)=0</f>
        <v>0</v>
      </c>
      <c r="AC833" s="3">
        <f t="shared" si="2"/>
        <v>0</v>
      </c>
      <c r="AD833" s="3" t="str">
        <f>VLOOKUP(D833,'Position Lookup'!A:B,1,FALSE)</f>
        <v>DEF</v>
      </c>
    </row>
    <row r="834" ht="17.25" customHeight="1">
      <c r="A834" s="32">
        <v>45213.0</v>
      </c>
      <c r="B834" s="5" t="s">
        <v>309</v>
      </c>
      <c r="C834" s="5" t="s">
        <v>99</v>
      </c>
      <c r="D834" s="5" t="s">
        <v>11</v>
      </c>
      <c r="E834" s="82">
        <v>6.0</v>
      </c>
      <c r="F834" s="5" t="s">
        <v>843</v>
      </c>
      <c r="G834" s="5" t="s">
        <v>230</v>
      </c>
      <c r="J834" s="5">
        <v>4.0</v>
      </c>
      <c r="N834" s="5" t="b">
        <v>0</v>
      </c>
      <c r="R834" s="5">
        <v>0.0</v>
      </c>
      <c r="S834" s="5" t="b">
        <v>1</v>
      </c>
      <c r="T834" s="5">
        <v>0.0</v>
      </c>
      <c r="U834" s="5">
        <v>6.5</v>
      </c>
      <c r="V834" s="5" t="s">
        <v>848</v>
      </c>
      <c r="W834" s="81" t="s">
        <v>845</v>
      </c>
      <c r="X834" s="78" t="s">
        <v>846</v>
      </c>
      <c r="Y834" s="5">
        <v>2.0</v>
      </c>
      <c r="Z834" s="5">
        <v>4.0</v>
      </c>
      <c r="AA834" s="3">
        <f>2+ (P834*'Scoring System'!$B$3)+ (IF(OR(D834="DEF",D834="GK"),N834*'Scoring System'!$B$4,IF(D834="MID",N834*'Scoring System'!$B$5,0)))+ (IF(OR(D834="DEF",D834="GK"),H834*'Scoring System'!$B$6,IF(D834="MID",H834*'Scoring System'!$B$7,IF(D834="ATT",H834*'Scoring System'!$B$8,0))))+ IF(AND(OR(D834="GK",D834="DEF"),J834&gt;=3),1*'Scoring System'!$B$9,0)+ (I834*'Scoring System'!$B$10)+ (K834*'Scoring System'!$B$11)+ (M834*'Scoring System'!$B$12)+ (L834*'Scoring System'!$B$13)+ (O834*'Scoring System'!$B$14)+ (Q834*'Scoring System'!$B$15)+ (R834*'Scoring System'!$B$16)</f>
        <v>1</v>
      </c>
      <c r="AB834" s="3" t="b">
        <f>IFERROR(match(C834,'Match Day Fees'!$B$2:$B$999,0),0)=0</f>
        <v>0</v>
      </c>
      <c r="AC834" s="3">
        <f t="shared" si="2"/>
        <v>0</v>
      </c>
      <c r="AD834" s="3" t="str">
        <f>VLOOKUP(D834,'Position Lookup'!A:B,1,FALSE)</f>
        <v>DEF</v>
      </c>
    </row>
    <row r="835" ht="17.25" customHeight="1">
      <c r="A835" s="32">
        <v>45213.0</v>
      </c>
      <c r="B835" s="5" t="s">
        <v>309</v>
      </c>
      <c r="C835" s="5" t="s">
        <v>97</v>
      </c>
      <c r="D835" s="5" t="s">
        <v>11</v>
      </c>
      <c r="E835" s="82">
        <v>6.0</v>
      </c>
      <c r="F835" s="5" t="s">
        <v>843</v>
      </c>
      <c r="G835" s="5" t="s">
        <v>230</v>
      </c>
      <c r="J835" s="5">
        <v>4.0</v>
      </c>
      <c r="N835" s="5" t="b">
        <v>0</v>
      </c>
      <c r="R835" s="5">
        <v>0.0</v>
      </c>
      <c r="T835" s="5">
        <v>5.0</v>
      </c>
      <c r="U835" s="5">
        <v>6.0</v>
      </c>
      <c r="V835" s="5" t="s">
        <v>849</v>
      </c>
      <c r="W835" s="81" t="s">
        <v>845</v>
      </c>
      <c r="X835" s="78" t="s">
        <v>846</v>
      </c>
      <c r="Y835" s="5">
        <v>2.0</v>
      </c>
      <c r="Z835" s="5">
        <v>4.0</v>
      </c>
      <c r="AA835" s="3">
        <f>2+ (P835*'Scoring System'!$B$3)+ (IF(OR(D835="DEF",D835="GK"),N835*'Scoring System'!$B$4,IF(D835="MID",N835*'Scoring System'!$B$5,0)))+ (IF(OR(D835="DEF",D835="GK"),H835*'Scoring System'!$B$6,IF(D835="MID",H835*'Scoring System'!$B$7,IF(D835="ATT",H835*'Scoring System'!$B$8,0))))+ IF(AND(OR(D835="GK",D835="DEF"),J835&gt;=3),1*'Scoring System'!$B$9,0)+ (I835*'Scoring System'!$B$10)+ (K835*'Scoring System'!$B$11)+ (M835*'Scoring System'!$B$12)+ (L835*'Scoring System'!$B$13)+ (O835*'Scoring System'!$B$14)+ (Q835*'Scoring System'!$B$15)+ (R835*'Scoring System'!$B$16)</f>
        <v>1</v>
      </c>
      <c r="AB835" s="3" t="b">
        <f>IFERROR(match(C835,'Match Day Fees'!$B$2:$B$999,0),0)=0</f>
        <v>0</v>
      </c>
      <c r="AC835" s="3">
        <f t="shared" si="2"/>
        <v>0</v>
      </c>
      <c r="AD835" s="3" t="str">
        <f>VLOOKUP(D835,'Position Lookup'!A:B,1,FALSE)</f>
        <v>DEF</v>
      </c>
    </row>
    <row r="836" ht="17.25" customHeight="1">
      <c r="A836" s="32">
        <v>45213.0</v>
      </c>
      <c r="B836" s="5" t="s">
        <v>309</v>
      </c>
      <c r="C836" s="5" t="s">
        <v>147</v>
      </c>
      <c r="D836" s="5" t="s">
        <v>11</v>
      </c>
      <c r="E836" s="82">
        <v>6.0</v>
      </c>
      <c r="F836" s="5" t="s">
        <v>843</v>
      </c>
      <c r="G836" s="5" t="s">
        <v>230</v>
      </c>
      <c r="J836" s="5">
        <v>4.0</v>
      </c>
      <c r="N836" s="5" t="b">
        <v>0</v>
      </c>
      <c r="R836" s="5">
        <v>0.0</v>
      </c>
      <c r="T836" s="5">
        <v>10.0</v>
      </c>
      <c r="U836" s="5">
        <v>6.5</v>
      </c>
      <c r="V836" s="5" t="s">
        <v>850</v>
      </c>
      <c r="W836" s="81" t="s">
        <v>845</v>
      </c>
      <c r="X836" s="78" t="s">
        <v>846</v>
      </c>
      <c r="Y836" s="5">
        <v>2.0</v>
      </c>
      <c r="Z836" s="5">
        <v>4.0</v>
      </c>
      <c r="AA836" s="3">
        <f>2+ (P836*'Scoring System'!$B$3)+ (IF(OR(D836="DEF",D836="GK"),N836*'Scoring System'!$B$4,IF(D836="MID",N836*'Scoring System'!$B$5,0)))+ (IF(OR(D836="DEF",D836="GK"),H836*'Scoring System'!$B$6,IF(D836="MID",H836*'Scoring System'!$B$7,IF(D836="ATT",H836*'Scoring System'!$B$8,0))))+ IF(AND(OR(D836="GK",D836="DEF"),J836&gt;=3),1*'Scoring System'!$B$9,0)+ (I836*'Scoring System'!$B$10)+ (K836*'Scoring System'!$B$11)+ (M836*'Scoring System'!$B$12)+ (L836*'Scoring System'!$B$13)+ (O836*'Scoring System'!$B$14)+ (Q836*'Scoring System'!$B$15)+ (R836*'Scoring System'!$B$16)</f>
        <v>1</v>
      </c>
      <c r="AB836" s="3" t="b">
        <f>IFERROR(match(C836,'Match Day Fees'!$B$2:$B$999,0),0)=0</f>
        <v>0</v>
      </c>
      <c r="AC836" s="3">
        <f t="shared" si="2"/>
        <v>0</v>
      </c>
      <c r="AD836" s="3" t="str">
        <f>VLOOKUP(D836,'Position Lookup'!A:B,1,FALSE)</f>
        <v>DEF</v>
      </c>
    </row>
    <row r="837" ht="17.25" customHeight="1">
      <c r="A837" s="32">
        <v>45213.0</v>
      </c>
      <c r="B837" s="5" t="s">
        <v>309</v>
      </c>
      <c r="C837" s="5" t="s">
        <v>266</v>
      </c>
      <c r="D837" s="5" t="s">
        <v>10</v>
      </c>
      <c r="E837" s="82">
        <v>6.0</v>
      </c>
      <c r="F837" s="5" t="s">
        <v>843</v>
      </c>
      <c r="G837" s="5" t="s">
        <v>230</v>
      </c>
      <c r="J837" s="5">
        <v>4.0</v>
      </c>
      <c r="N837" s="5" t="b">
        <v>0</v>
      </c>
      <c r="R837" s="5">
        <v>1.0</v>
      </c>
      <c r="T837" s="5">
        <v>10.0</v>
      </c>
      <c r="U837" s="5">
        <v>8.0</v>
      </c>
      <c r="V837" s="5" t="s">
        <v>851</v>
      </c>
      <c r="W837" s="81" t="s">
        <v>845</v>
      </c>
      <c r="X837" s="78" t="s">
        <v>846</v>
      </c>
      <c r="Y837" s="5">
        <v>2.0</v>
      </c>
      <c r="Z837" s="5">
        <v>4.0</v>
      </c>
      <c r="AA837" s="3">
        <f>2+ (P837*'Scoring System'!$B$3)+ (IF(OR(D837="DEF",D837="GK"),N837*'Scoring System'!$B$4,IF(D837="MID",N837*'Scoring System'!$B$5,0)))+ (IF(OR(D837="DEF",D837="GK"),H837*'Scoring System'!$B$6,IF(D837="MID",H837*'Scoring System'!$B$7,IF(D837="ATT",H837*'Scoring System'!$B$8,0))))+ IF(AND(OR(D837="GK",D837="DEF"),J837&gt;=3),1*'Scoring System'!$B$9,0)+ (I837*'Scoring System'!$B$10)+ (K837*'Scoring System'!$B$11)+ (M837*'Scoring System'!$B$12)+ (L837*'Scoring System'!$B$13)+ (O837*'Scoring System'!$B$14)+ (Q837*'Scoring System'!$B$15)+ (R837*'Scoring System'!$B$16)</f>
        <v>7</v>
      </c>
      <c r="AB837" s="3" t="b">
        <f>IFERROR(match(C837,'Match Day Fees'!$B$2:$B$999,0),0)=0</f>
        <v>0</v>
      </c>
      <c r="AC837" s="3">
        <f t="shared" si="2"/>
        <v>0</v>
      </c>
      <c r="AD837" s="3" t="str">
        <f>VLOOKUP(D837,'Position Lookup'!A:B,1,FALSE)</f>
        <v>MID</v>
      </c>
    </row>
    <row r="838" ht="17.25" customHeight="1">
      <c r="A838" s="32">
        <v>45213.0</v>
      </c>
      <c r="B838" s="5" t="s">
        <v>309</v>
      </c>
      <c r="C838" s="5" t="s">
        <v>234</v>
      </c>
      <c r="D838" s="5" t="s">
        <v>9</v>
      </c>
      <c r="E838" s="82">
        <v>6.0</v>
      </c>
      <c r="F838" s="5" t="s">
        <v>843</v>
      </c>
      <c r="G838" s="5" t="s">
        <v>230</v>
      </c>
      <c r="J838" s="5">
        <v>4.0</v>
      </c>
      <c r="N838" s="5" t="b">
        <v>0</v>
      </c>
      <c r="R838" s="5">
        <v>0.0</v>
      </c>
      <c r="T838" s="5">
        <v>5.0</v>
      </c>
      <c r="U838" s="5">
        <v>4.0</v>
      </c>
      <c r="V838" s="5" t="s">
        <v>852</v>
      </c>
      <c r="W838" s="81" t="s">
        <v>845</v>
      </c>
      <c r="X838" s="78" t="s">
        <v>846</v>
      </c>
      <c r="Y838" s="5">
        <v>2.0</v>
      </c>
      <c r="Z838" s="5">
        <v>4.0</v>
      </c>
      <c r="AA838" s="3">
        <f>2+ (P838*'Scoring System'!$B$3)+ (IF(OR(D838="DEF",D838="GK"),N838*'Scoring System'!$B$4,IF(D838="MID",N838*'Scoring System'!$B$5,0)))+ (IF(OR(D838="DEF",D838="GK"),H838*'Scoring System'!$B$6,IF(D838="MID",H838*'Scoring System'!$B$7,IF(D838="ATT",H838*'Scoring System'!$B$8,0))))+ IF(AND(OR(D838="GK",D838="DEF"),J838&gt;=3),1*'Scoring System'!$B$9,0)+ (I838*'Scoring System'!$B$10)+ (K838*'Scoring System'!$B$11)+ (M838*'Scoring System'!$B$12)+ (L838*'Scoring System'!$B$13)+ (O838*'Scoring System'!$B$14)+ (Q838*'Scoring System'!$B$15)+ (R838*'Scoring System'!$B$16)</f>
        <v>2</v>
      </c>
      <c r="AB838" s="3" t="b">
        <f>IFERROR(match(C838,'Match Day Fees'!$B$2:$B$999,0),0)=0</f>
        <v>0</v>
      </c>
      <c r="AC838" s="3">
        <f t="shared" si="2"/>
        <v>0</v>
      </c>
      <c r="AD838" s="3" t="str">
        <f>VLOOKUP(D838,'Position Lookup'!A:B,1,FALSE)</f>
        <v>ATT</v>
      </c>
    </row>
    <row r="839" ht="17.25" customHeight="1">
      <c r="A839" s="32">
        <v>45213.0</v>
      </c>
      <c r="B839" s="5" t="s">
        <v>309</v>
      </c>
      <c r="C839" s="5" t="s">
        <v>576</v>
      </c>
      <c r="D839" s="5" t="s">
        <v>10</v>
      </c>
      <c r="E839" s="82">
        <v>6.0</v>
      </c>
      <c r="F839" s="5" t="s">
        <v>843</v>
      </c>
      <c r="G839" s="5" t="s">
        <v>230</v>
      </c>
      <c r="H839" s="5">
        <v>1.0</v>
      </c>
      <c r="J839" s="5">
        <v>4.0</v>
      </c>
      <c r="N839" s="5" t="b">
        <v>0</v>
      </c>
      <c r="R839" s="5">
        <v>0.0</v>
      </c>
      <c r="T839" s="5">
        <v>5.0</v>
      </c>
      <c r="U839" s="5">
        <v>7.0</v>
      </c>
      <c r="V839" s="5" t="s">
        <v>853</v>
      </c>
      <c r="W839" s="81" t="s">
        <v>845</v>
      </c>
      <c r="X839" s="78" t="s">
        <v>846</v>
      </c>
      <c r="Y839" s="5">
        <v>2.0</v>
      </c>
      <c r="Z839" s="5">
        <v>4.0</v>
      </c>
      <c r="AA839" s="3">
        <f>2+ (P839*'Scoring System'!$B$3)+ (IF(OR(D839="DEF",D839="GK"),N839*'Scoring System'!$B$4,IF(D839="MID",N839*'Scoring System'!$B$5,0)))+ (IF(OR(D839="DEF",D839="GK"),H839*'Scoring System'!$B$6,IF(D839="MID",H839*'Scoring System'!$B$7,IF(D839="ATT",H839*'Scoring System'!$B$8,0))))+ IF(AND(OR(D839="GK",D839="DEF"),J839&gt;=3),1*'Scoring System'!$B$9,0)+ (I839*'Scoring System'!$B$10)+ (K839*'Scoring System'!$B$11)+ (M839*'Scoring System'!$B$12)+ (L839*'Scoring System'!$B$13)+ (O839*'Scoring System'!$B$14)+ (Q839*'Scoring System'!$B$15)+ (R839*'Scoring System'!$B$16)</f>
        <v>7</v>
      </c>
      <c r="AB839" s="3" t="b">
        <f>IFERROR(match(C839,'Match Day Fees'!$B$2:$B$999,0),0)=0</f>
        <v>0</v>
      </c>
      <c r="AC839" s="3">
        <f t="shared" si="2"/>
        <v>0</v>
      </c>
      <c r="AD839" s="3" t="str">
        <f>VLOOKUP(D839,'Position Lookup'!A:B,1,FALSE)</f>
        <v>MID</v>
      </c>
    </row>
    <row r="840" ht="17.25" customHeight="1">
      <c r="A840" s="32">
        <v>45213.0</v>
      </c>
      <c r="B840" s="5" t="s">
        <v>309</v>
      </c>
      <c r="C840" s="5" t="s">
        <v>231</v>
      </c>
      <c r="D840" s="5" t="s">
        <v>10</v>
      </c>
      <c r="E840" s="82">
        <v>6.0</v>
      </c>
      <c r="F840" s="5" t="s">
        <v>843</v>
      </c>
      <c r="G840" s="5" t="s">
        <v>230</v>
      </c>
      <c r="J840" s="5">
        <v>4.0</v>
      </c>
      <c r="N840" s="5" t="b">
        <v>0</v>
      </c>
      <c r="R840" s="5">
        <v>0.0</v>
      </c>
      <c r="T840" s="5">
        <v>10.0</v>
      </c>
      <c r="U840" s="5">
        <v>8.0</v>
      </c>
      <c r="V840" s="5" t="s">
        <v>854</v>
      </c>
      <c r="W840" s="81" t="s">
        <v>845</v>
      </c>
      <c r="X840" s="78" t="s">
        <v>846</v>
      </c>
      <c r="Y840" s="5">
        <v>2.0</v>
      </c>
      <c r="Z840" s="5">
        <v>4.0</v>
      </c>
      <c r="AA840" s="3">
        <f>2+ (P840*'Scoring System'!$B$3)+ (IF(OR(D840="DEF",D840="GK"),N840*'Scoring System'!$B$4,IF(D840="MID",N840*'Scoring System'!$B$5,0)))+ (IF(OR(D840="DEF",D840="GK"),H840*'Scoring System'!$B$6,IF(D840="MID",H840*'Scoring System'!$B$7,IF(D840="ATT",H840*'Scoring System'!$B$8,0))))+ IF(AND(OR(D840="GK",D840="DEF"),J840&gt;=3),1*'Scoring System'!$B$9,0)+ (I840*'Scoring System'!$B$10)+ (K840*'Scoring System'!$B$11)+ (M840*'Scoring System'!$B$12)+ (L840*'Scoring System'!$B$13)+ (O840*'Scoring System'!$B$14)+ (Q840*'Scoring System'!$B$15)+ (R840*'Scoring System'!$B$16)</f>
        <v>2</v>
      </c>
      <c r="AB840" s="3" t="b">
        <f>IFERROR(match(C840,'Match Day Fees'!$B$2:$B$999,0),0)=0</f>
        <v>0</v>
      </c>
      <c r="AC840" s="3">
        <f t="shared" si="2"/>
        <v>0</v>
      </c>
      <c r="AD840" s="3" t="str">
        <f>VLOOKUP(D840,'Position Lookup'!A:B,1,FALSE)</f>
        <v>MID</v>
      </c>
    </row>
    <row r="841" ht="17.25" customHeight="1">
      <c r="A841" s="32">
        <v>45213.0</v>
      </c>
      <c r="B841" s="5" t="s">
        <v>309</v>
      </c>
      <c r="C841" s="5" t="s">
        <v>141</v>
      </c>
      <c r="D841" s="5" t="s">
        <v>9</v>
      </c>
      <c r="E841" s="82">
        <v>6.0</v>
      </c>
      <c r="F841" s="5" t="s">
        <v>843</v>
      </c>
      <c r="G841" s="5" t="s">
        <v>230</v>
      </c>
      <c r="J841" s="5">
        <v>4.0</v>
      </c>
      <c r="N841" s="5" t="b">
        <v>0</v>
      </c>
      <c r="R841" s="5">
        <v>0.0</v>
      </c>
      <c r="T841" s="5">
        <v>10.0</v>
      </c>
      <c r="U841" s="5">
        <v>6.0</v>
      </c>
      <c r="V841" s="5" t="s">
        <v>855</v>
      </c>
      <c r="W841" s="81" t="s">
        <v>845</v>
      </c>
      <c r="X841" s="78" t="s">
        <v>846</v>
      </c>
      <c r="Y841" s="5">
        <v>2.0</v>
      </c>
      <c r="Z841" s="5">
        <v>4.0</v>
      </c>
      <c r="AA841" s="3">
        <f>2+ (P841*'Scoring System'!$B$3)+ (IF(OR(D841="DEF",D841="GK"),N841*'Scoring System'!$B$4,IF(D841="MID",N841*'Scoring System'!$B$5,0)))+ (IF(OR(D841="DEF",D841="GK"),H841*'Scoring System'!$B$6,IF(D841="MID",H841*'Scoring System'!$B$7,IF(D841="ATT",H841*'Scoring System'!$B$8,0))))+ IF(AND(OR(D841="GK",D841="DEF"),J841&gt;=3),1*'Scoring System'!$B$9,0)+ (I841*'Scoring System'!$B$10)+ (K841*'Scoring System'!$B$11)+ (M841*'Scoring System'!$B$12)+ (L841*'Scoring System'!$B$13)+ (O841*'Scoring System'!$B$14)+ (Q841*'Scoring System'!$B$15)+ (R841*'Scoring System'!$B$16)</f>
        <v>2</v>
      </c>
      <c r="AB841" s="3" t="b">
        <f>IFERROR(match(C841,'Match Day Fees'!$B$2:$B$999,0),0)=0</f>
        <v>0</v>
      </c>
      <c r="AC841" s="3">
        <f t="shared" si="2"/>
        <v>0</v>
      </c>
      <c r="AD841" s="3" t="str">
        <f>VLOOKUP(D841,'Position Lookup'!A:B,1,FALSE)</f>
        <v>ATT</v>
      </c>
    </row>
    <row r="842" ht="17.25" customHeight="1">
      <c r="A842" s="32">
        <v>45213.0</v>
      </c>
      <c r="B842" s="5" t="s">
        <v>309</v>
      </c>
      <c r="C842" s="5" t="s">
        <v>143</v>
      </c>
      <c r="D842" s="5" t="s">
        <v>9</v>
      </c>
      <c r="E842" s="82">
        <v>6.0</v>
      </c>
      <c r="F842" s="5" t="s">
        <v>843</v>
      </c>
      <c r="G842" s="5" t="s">
        <v>230</v>
      </c>
      <c r="H842" s="5">
        <v>1.0</v>
      </c>
      <c r="J842" s="5">
        <v>4.0</v>
      </c>
      <c r="N842" s="5" t="b">
        <v>0</v>
      </c>
      <c r="R842" s="5">
        <v>0.0</v>
      </c>
      <c r="T842" s="5">
        <v>10.0</v>
      </c>
      <c r="U842" s="5">
        <v>7.0</v>
      </c>
      <c r="V842" s="5" t="s">
        <v>856</v>
      </c>
      <c r="W842" s="81" t="s">
        <v>845</v>
      </c>
      <c r="X842" s="78" t="s">
        <v>846</v>
      </c>
      <c r="Y842" s="5">
        <v>2.0</v>
      </c>
      <c r="Z842" s="5">
        <v>4.0</v>
      </c>
      <c r="AA842" s="3">
        <f>2+ (P842*'Scoring System'!$B$3)+ (IF(OR(D842="DEF",D842="GK"),N842*'Scoring System'!$B$4,IF(D842="MID",N842*'Scoring System'!$B$5,0)))+ (IF(OR(D842="DEF",D842="GK"),H842*'Scoring System'!$B$6,IF(D842="MID",H842*'Scoring System'!$B$7,IF(D842="ATT",H842*'Scoring System'!$B$8,0))))+ IF(AND(OR(D842="GK",D842="DEF"),J842&gt;=3),1*'Scoring System'!$B$9,0)+ (I842*'Scoring System'!$B$10)+ (K842*'Scoring System'!$B$11)+ (M842*'Scoring System'!$B$12)+ (L842*'Scoring System'!$B$13)+ (O842*'Scoring System'!$B$14)+ (Q842*'Scoring System'!$B$15)+ (R842*'Scoring System'!$B$16)</f>
        <v>6</v>
      </c>
      <c r="AB842" s="3" t="b">
        <f>IFERROR(match(C842,'Match Day Fees'!$B$2:$B$999,0),0)=0</f>
        <v>0</v>
      </c>
      <c r="AC842" s="3">
        <f t="shared" si="2"/>
        <v>0</v>
      </c>
      <c r="AD842" s="3" t="str">
        <f>VLOOKUP(D842,'Position Lookup'!A:B,1,FALSE)</f>
        <v>ATT</v>
      </c>
    </row>
    <row r="843" ht="17.25" customHeight="1">
      <c r="A843" s="32">
        <v>45213.0</v>
      </c>
      <c r="B843" s="5" t="s">
        <v>309</v>
      </c>
      <c r="C843" s="5" t="s">
        <v>235</v>
      </c>
      <c r="D843" s="5" t="s">
        <v>9</v>
      </c>
      <c r="E843" s="82">
        <v>6.0</v>
      </c>
      <c r="F843" s="5" t="s">
        <v>843</v>
      </c>
      <c r="G843" s="5" t="s">
        <v>230</v>
      </c>
      <c r="I843" s="5">
        <v>1.0</v>
      </c>
      <c r="J843" s="5">
        <v>4.0</v>
      </c>
      <c r="N843" s="5" t="b">
        <v>0</v>
      </c>
      <c r="R843" s="5">
        <v>0.0</v>
      </c>
      <c r="T843" s="5">
        <v>10.0</v>
      </c>
      <c r="U843" s="5">
        <v>6.5</v>
      </c>
      <c r="V843" s="5" t="s">
        <v>857</v>
      </c>
      <c r="W843" s="81" t="s">
        <v>845</v>
      </c>
      <c r="X843" s="78" t="s">
        <v>846</v>
      </c>
      <c r="Y843" s="5">
        <v>2.0</v>
      </c>
      <c r="Z843" s="5">
        <v>4.0</v>
      </c>
      <c r="AA843" s="3">
        <f>2+ (P843*'Scoring System'!$B$3)+ (IF(OR(D843="DEF",D843="GK"),N843*'Scoring System'!$B$4,IF(D843="MID",N843*'Scoring System'!$B$5,0)))+ (IF(OR(D843="DEF",D843="GK"),H843*'Scoring System'!$B$6,IF(D843="MID",H843*'Scoring System'!$B$7,IF(D843="ATT",H843*'Scoring System'!$B$8,0))))+ IF(AND(OR(D843="GK",D843="DEF"),J843&gt;=3),1*'Scoring System'!$B$9,0)+ (I843*'Scoring System'!$B$10)+ (K843*'Scoring System'!$B$11)+ (M843*'Scoring System'!$B$12)+ (L843*'Scoring System'!$B$13)+ (O843*'Scoring System'!$B$14)+ (Q843*'Scoring System'!$B$15)+ (R843*'Scoring System'!$B$16)</f>
        <v>5</v>
      </c>
      <c r="AB843" s="3" t="b">
        <f>IFERROR(match(C843,'Match Day Fees'!$B$2:$B$999,0),0)=0</f>
        <v>0</v>
      </c>
      <c r="AC843" s="3">
        <f t="shared" si="2"/>
        <v>0</v>
      </c>
      <c r="AD843" s="3" t="str">
        <f>VLOOKUP(D843,'Position Lookup'!A:B,1,FALSE)</f>
        <v>ATT</v>
      </c>
    </row>
    <row r="844" ht="17.25" customHeight="1">
      <c r="A844" s="32">
        <v>45213.0</v>
      </c>
      <c r="B844" s="5" t="s">
        <v>309</v>
      </c>
      <c r="C844" s="5" t="s">
        <v>392</v>
      </c>
      <c r="D844" s="5" t="s">
        <v>10</v>
      </c>
      <c r="E844" s="82">
        <v>6.0</v>
      </c>
      <c r="F844" s="5" t="s">
        <v>843</v>
      </c>
      <c r="G844" s="5" t="s">
        <v>230</v>
      </c>
      <c r="J844" s="5">
        <v>4.0</v>
      </c>
      <c r="N844" s="5" t="b">
        <v>0</v>
      </c>
      <c r="R844" s="5">
        <v>0.0</v>
      </c>
      <c r="T844" s="5">
        <v>10.0</v>
      </c>
      <c r="U844" s="5">
        <v>7.0</v>
      </c>
      <c r="V844" s="5" t="s">
        <v>858</v>
      </c>
      <c r="W844" s="81" t="s">
        <v>845</v>
      </c>
      <c r="X844" s="78" t="s">
        <v>846</v>
      </c>
      <c r="Y844" s="5">
        <v>2.0</v>
      </c>
      <c r="Z844" s="5">
        <v>4.0</v>
      </c>
      <c r="AA844" s="3">
        <f>2+ (P844*'Scoring System'!$B$3)+ (IF(OR(D844="DEF",D844="GK"),N844*'Scoring System'!$B$4,IF(D844="MID",N844*'Scoring System'!$B$5,0)))+ (IF(OR(D844="DEF",D844="GK"),H844*'Scoring System'!$B$6,IF(D844="MID",H844*'Scoring System'!$B$7,IF(D844="ATT",H844*'Scoring System'!$B$8,0))))+ IF(AND(OR(D844="GK",D844="DEF"),J844&gt;=3),1*'Scoring System'!$B$9,0)+ (I844*'Scoring System'!$B$10)+ (K844*'Scoring System'!$B$11)+ (M844*'Scoring System'!$B$12)+ (L844*'Scoring System'!$B$13)+ (O844*'Scoring System'!$B$14)+ (Q844*'Scoring System'!$B$15)+ (R844*'Scoring System'!$B$16)</f>
        <v>2</v>
      </c>
      <c r="AB844" s="3" t="b">
        <f>IFERROR(match(C844,'Match Day Fees'!$B$2:$B$999,0),0)=0</f>
        <v>0</v>
      </c>
      <c r="AC844" s="3">
        <f t="shared" si="2"/>
        <v>0</v>
      </c>
      <c r="AD844" s="3" t="str">
        <f>VLOOKUP(D844,'Position Lookup'!A:B,1,FALSE)</f>
        <v>MID</v>
      </c>
    </row>
    <row r="845" ht="17.25" customHeight="1">
      <c r="A845" s="32">
        <v>45213.0</v>
      </c>
      <c r="B845" s="5" t="s">
        <v>309</v>
      </c>
      <c r="C845" s="3" t="s">
        <v>118</v>
      </c>
      <c r="D845" s="3" t="s">
        <v>8</v>
      </c>
      <c r="E845" s="5">
        <v>2.0</v>
      </c>
      <c r="F845" s="3" t="s">
        <v>859</v>
      </c>
      <c r="G845" s="3" t="s">
        <v>230</v>
      </c>
      <c r="J845" s="5">
        <v>3.0</v>
      </c>
      <c r="N845" s="3" t="b">
        <v>0</v>
      </c>
      <c r="R845" s="3">
        <v>0.0</v>
      </c>
      <c r="T845" s="3">
        <v>10.0</v>
      </c>
      <c r="U845" s="3">
        <v>5.0</v>
      </c>
      <c r="V845" s="3" t="s">
        <v>860</v>
      </c>
      <c r="X845" s="77" t="s">
        <v>861</v>
      </c>
      <c r="Y845" s="5">
        <v>0.0</v>
      </c>
      <c r="Z845" s="5">
        <v>3.0</v>
      </c>
      <c r="AA845" s="3">
        <f>2+ (P845*'Scoring System'!$B$3)+ (IF(OR(D845="DEF",D845="GK"),N845*'Scoring System'!$B$4,IF(D845="MID",N845*'Scoring System'!$B$5,0)))+ (IF(OR(D845="DEF",D845="GK"),H845*'Scoring System'!$B$6,IF(D845="MID",H845*'Scoring System'!$B$7,IF(D845="ATT",H845*'Scoring System'!$B$8,0))))+ IF(AND(OR(D845="GK",D845="DEF"),J845&gt;=3),1*'Scoring System'!$B$9,0)+ (I845*'Scoring System'!$B$10)+ (K845*'Scoring System'!$B$11)+ (M845*'Scoring System'!$B$12)+ (L845*'Scoring System'!$B$13)+ (O845*'Scoring System'!$B$14)+ (Q845*'Scoring System'!$B$15)+ (R845*'Scoring System'!$B$16)</f>
        <v>1</v>
      </c>
      <c r="AB845" s="3" t="b">
        <f>IFERROR(match(C845,'Match Day Fees'!$B$2:$B$999,0),0)=0</f>
        <v>0</v>
      </c>
      <c r="AC845" s="3">
        <f t="shared" si="2"/>
        <v>0</v>
      </c>
      <c r="AD845" s="3" t="str">
        <f>VLOOKUP(D845,'Position Lookup'!A:B,1,FALSE)</f>
        <v>GK</v>
      </c>
    </row>
    <row r="846" ht="17.25" customHeight="1">
      <c r="A846" s="32">
        <v>45213.0</v>
      </c>
      <c r="B846" s="5" t="s">
        <v>309</v>
      </c>
      <c r="C846" s="3" t="s">
        <v>56</v>
      </c>
      <c r="D846" s="5" t="s">
        <v>11</v>
      </c>
      <c r="E846" s="5">
        <v>2.0</v>
      </c>
      <c r="F846" s="3" t="s">
        <v>859</v>
      </c>
      <c r="G846" s="3" t="s">
        <v>230</v>
      </c>
      <c r="J846" s="5">
        <v>3.0</v>
      </c>
      <c r="N846" s="3" t="b">
        <v>0</v>
      </c>
      <c r="R846" s="3">
        <v>0.0</v>
      </c>
      <c r="T846" s="3">
        <v>10.0</v>
      </c>
      <c r="U846" s="3">
        <v>6.0</v>
      </c>
      <c r="V846" s="3" t="s">
        <v>862</v>
      </c>
      <c r="X846" s="77" t="s">
        <v>861</v>
      </c>
      <c r="Y846" s="5">
        <v>0.0</v>
      </c>
      <c r="Z846" s="5">
        <v>3.0</v>
      </c>
      <c r="AA846" s="3">
        <f>2+ (P846*'Scoring System'!$B$3)+ (IF(OR(D846="DEF",D846="GK"),N846*'Scoring System'!$B$4,IF(D846="MID",N846*'Scoring System'!$B$5,0)))+ (IF(OR(D846="DEF",D846="GK"),H846*'Scoring System'!$B$6,IF(D846="MID",H846*'Scoring System'!$B$7,IF(D846="ATT",H846*'Scoring System'!$B$8,0))))+ IF(AND(OR(D846="GK",D846="DEF"),J846&gt;=3),1*'Scoring System'!$B$9,0)+ (I846*'Scoring System'!$B$10)+ (K846*'Scoring System'!$B$11)+ (M846*'Scoring System'!$B$12)+ (L846*'Scoring System'!$B$13)+ (O846*'Scoring System'!$B$14)+ (Q846*'Scoring System'!$B$15)+ (R846*'Scoring System'!$B$16)</f>
        <v>1</v>
      </c>
      <c r="AB846" s="3" t="b">
        <f>IFERROR(match(C846,'Match Day Fees'!$B$2:$B$999,0),0)=0</f>
        <v>0</v>
      </c>
      <c r="AC846" s="3">
        <f t="shared" si="2"/>
        <v>0</v>
      </c>
      <c r="AD846" s="3" t="str">
        <f>VLOOKUP(D846,'Position Lookup'!A:B,1,FALSE)</f>
        <v>DEF</v>
      </c>
    </row>
    <row r="847" ht="17.25" customHeight="1">
      <c r="A847" s="32">
        <v>45213.0</v>
      </c>
      <c r="B847" s="5" t="s">
        <v>309</v>
      </c>
      <c r="C847" s="3" t="s">
        <v>333</v>
      </c>
      <c r="D847" s="5" t="s">
        <v>10</v>
      </c>
      <c r="E847" s="5">
        <v>2.0</v>
      </c>
      <c r="F847" s="3" t="s">
        <v>859</v>
      </c>
      <c r="G847" s="3" t="s">
        <v>230</v>
      </c>
      <c r="J847" s="5">
        <v>3.0</v>
      </c>
      <c r="N847" s="3" t="b">
        <v>0</v>
      </c>
      <c r="R847" s="3">
        <v>0.0</v>
      </c>
      <c r="T847" s="3">
        <v>10.0</v>
      </c>
      <c r="U847" s="3">
        <v>5.5</v>
      </c>
      <c r="V847" s="3" t="s">
        <v>863</v>
      </c>
      <c r="X847" s="77" t="s">
        <v>861</v>
      </c>
      <c r="Y847" s="5">
        <v>0.0</v>
      </c>
      <c r="Z847" s="5">
        <v>3.0</v>
      </c>
      <c r="AA847" s="3">
        <f>2+ (P847*'Scoring System'!$B$3)+ (IF(OR(D847="DEF",D847="GK"),N847*'Scoring System'!$B$4,IF(D847="MID",N847*'Scoring System'!$B$5,0)))+ (IF(OR(D847="DEF",D847="GK"),H847*'Scoring System'!$B$6,IF(D847="MID",H847*'Scoring System'!$B$7,IF(D847="ATT",H847*'Scoring System'!$B$8,0))))+ IF(AND(OR(D847="GK",D847="DEF"),J847&gt;=3),1*'Scoring System'!$B$9,0)+ (I847*'Scoring System'!$B$10)+ (K847*'Scoring System'!$B$11)+ (M847*'Scoring System'!$B$12)+ (L847*'Scoring System'!$B$13)+ (O847*'Scoring System'!$B$14)+ (Q847*'Scoring System'!$B$15)+ (R847*'Scoring System'!$B$16)</f>
        <v>2</v>
      </c>
      <c r="AB847" s="3" t="b">
        <f>IFERROR(match(C847,'Match Day Fees'!$B$2:$B$999,0),0)=0</f>
        <v>0</v>
      </c>
      <c r="AC847" s="3">
        <f t="shared" si="2"/>
        <v>0</v>
      </c>
      <c r="AD847" s="3" t="str">
        <f>VLOOKUP(D847,'Position Lookup'!A:B,1,FALSE)</f>
        <v>MID</v>
      </c>
    </row>
    <row r="848" ht="17.25" customHeight="1">
      <c r="A848" s="32">
        <v>45213.0</v>
      </c>
      <c r="B848" s="5" t="s">
        <v>309</v>
      </c>
      <c r="C848" s="3" t="s">
        <v>81</v>
      </c>
      <c r="D848" s="5" t="s">
        <v>11</v>
      </c>
      <c r="E848" s="5">
        <v>2.0</v>
      </c>
      <c r="F848" s="3" t="s">
        <v>859</v>
      </c>
      <c r="G848" s="3" t="s">
        <v>230</v>
      </c>
      <c r="J848" s="5">
        <v>3.0</v>
      </c>
      <c r="N848" s="3" t="b">
        <v>0</v>
      </c>
      <c r="R848" s="3">
        <v>0.0</v>
      </c>
      <c r="S848" s="3" t="b">
        <v>1</v>
      </c>
      <c r="T848" s="3">
        <v>0.0</v>
      </c>
      <c r="U848" s="3">
        <v>5.0</v>
      </c>
      <c r="V848" s="3" t="s">
        <v>864</v>
      </c>
      <c r="X848" s="77" t="s">
        <v>861</v>
      </c>
      <c r="Y848" s="5">
        <v>0.0</v>
      </c>
      <c r="Z848" s="5">
        <v>3.0</v>
      </c>
      <c r="AA848" s="3">
        <f>2+ (P848*'Scoring System'!$B$3)+ (IF(OR(D848="DEF",D848="GK"),N848*'Scoring System'!$B$4,IF(D848="MID",N848*'Scoring System'!$B$5,0)))+ (IF(OR(D848="DEF",D848="GK"),H848*'Scoring System'!$B$6,IF(D848="MID",H848*'Scoring System'!$B$7,IF(D848="ATT",H848*'Scoring System'!$B$8,0))))+ IF(AND(OR(D848="GK",D848="DEF"),J848&gt;=3),1*'Scoring System'!$B$9,0)+ (I848*'Scoring System'!$B$10)+ (K848*'Scoring System'!$B$11)+ (M848*'Scoring System'!$B$12)+ (L848*'Scoring System'!$B$13)+ (O848*'Scoring System'!$B$14)+ (Q848*'Scoring System'!$B$15)+ (R848*'Scoring System'!$B$16)</f>
        <v>1</v>
      </c>
      <c r="AB848" s="3" t="b">
        <f>IFERROR(match(C848,'Match Day Fees'!$B$2:$B$999,0),0)=0</f>
        <v>0</v>
      </c>
      <c r="AC848" s="3">
        <f t="shared" si="2"/>
        <v>0</v>
      </c>
      <c r="AD848" s="3" t="str">
        <f>VLOOKUP(D848,'Position Lookup'!A:B,1,FALSE)</f>
        <v>DEF</v>
      </c>
    </row>
    <row r="849" ht="17.25" customHeight="1">
      <c r="A849" s="32">
        <v>45213.0</v>
      </c>
      <c r="B849" s="5" t="s">
        <v>309</v>
      </c>
      <c r="C849" s="3" t="s">
        <v>111</v>
      </c>
      <c r="D849" s="5" t="s">
        <v>11</v>
      </c>
      <c r="E849" s="5">
        <v>2.0</v>
      </c>
      <c r="F849" s="3" t="s">
        <v>859</v>
      </c>
      <c r="G849" s="3" t="s">
        <v>230</v>
      </c>
      <c r="J849" s="5">
        <v>3.0</v>
      </c>
      <c r="N849" s="3" t="b">
        <v>0</v>
      </c>
      <c r="R849" s="3">
        <v>0.0</v>
      </c>
      <c r="T849" s="3">
        <v>10.0</v>
      </c>
      <c r="U849" s="3">
        <v>6.0</v>
      </c>
      <c r="V849" s="3" t="s">
        <v>865</v>
      </c>
      <c r="X849" s="77" t="s">
        <v>861</v>
      </c>
      <c r="Y849" s="5">
        <v>0.0</v>
      </c>
      <c r="Z849" s="5">
        <v>3.0</v>
      </c>
      <c r="AA849" s="3">
        <f>2+ (P849*'Scoring System'!$B$3)+ (IF(OR(D849="DEF",D849="GK"),N849*'Scoring System'!$B$4,IF(D849="MID",N849*'Scoring System'!$B$5,0)))+ (IF(OR(D849="DEF",D849="GK"),H849*'Scoring System'!$B$6,IF(D849="MID",H849*'Scoring System'!$B$7,IF(D849="ATT",H849*'Scoring System'!$B$8,0))))+ IF(AND(OR(D849="GK",D849="DEF"),J849&gt;=3),1*'Scoring System'!$B$9,0)+ (I849*'Scoring System'!$B$10)+ (K849*'Scoring System'!$B$11)+ (M849*'Scoring System'!$B$12)+ (L849*'Scoring System'!$B$13)+ (O849*'Scoring System'!$B$14)+ (Q849*'Scoring System'!$B$15)+ (R849*'Scoring System'!$B$16)</f>
        <v>1</v>
      </c>
      <c r="AB849" s="3" t="b">
        <f>IFERROR(match(C849,'Match Day Fees'!$B$2:$B$999,0),0)=0</f>
        <v>0</v>
      </c>
      <c r="AC849" s="3">
        <f t="shared" si="2"/>
        <v>0</v>
      </c>
      <c r="AD849" s="3" t="str">
        <f>VLOOKUP(D849,'Position Lookup'!A:B,1,FALSE)</f>
        <v>DEF</v>
      </c>
    </row>
    <row r="850" ht="17.25" customHeight="1">
      <c r="A850" s="32">
        <v>45213.0</v>
      </c>
      <c r="B850" s="5" t="s">
        <v>309</v>
      </c>
      <c r="C850" s="3" t="s">
        <v>104</v>
      </c>
      <c r="D850" s="5" t="s">
        <v>10</v>
      </c>
      <c r="E850" s="5">
        <v>2.0</v>
      </c>
      <c r="F850" s="3" t="s">
        <v>859</v>
      </c>
      <c r="G850" s="3" t="s">
        <v>230</v>
      </c>
      <c r="J850" s="5">
        <v>3.0</v>
      </c>
      <c r="N850" s="3" t="b">
        <v>0</v>
      </c>
      <c r="R850" s="3">
        <v>0.0</v>
      </c>
      <c r="T850" s="3">
        <v>5.0</v>
      </c>
      <c r="U850" s="3">
        <v>6.0</v>
      </c>
      <c r="V850" s="3" t="s">
        <v>866</v>
      </c>
      <c r="X850" s="77" t="s">
        <v>861</v>
      </c>
      <c r="Y850" s="5">
        <v>0.0</v>
      </c>
      <c r="Z850" s="5">
        <v>3.0</v>
      </c>
      <c r="AA850" s="3">
        <f>2+ (P850*'Scoring System'!$B$3)+ (IF(OR(D850="DEF",D850="GK"),N850*'Scoring System'!$B$4,IF(D850="MID",N850*'Scoring System'!$B$5,0)))+ (IF(OR(D850="DEF",D850="GK"),H850*'Scoring System'!$B$6,IF(D850="MID",H850*'Scoring System'!$B$7,IF(D850="ATT",H850*'Scoring System'!$B$8,0))))+ IF(AND(OR(D850="GK",D850="DEF"),J850&gt;=3),1*'Scoring System'!$B$9,0)+ (I850*'Scoring System'!$B$10)+ (K850*'Scoring System'!$B$11)+ (M850*'Scoring System'!$B$12)+ (L850*'Scoring System'!$B$13)+ (O850*'Scoring System'!$B$14)+ (Q850*'Scoring System'!$B$15)+ (R850*'Scoring System'!$B$16)</f>
        <v>2</v>
      </c>
      <c r="AB850" s="3" t="b">
        <f>IFERROR(match(C850,'Match Day Fees'!$B$2:$B$999,0),0)=0</f>
        <v>0</v>
      </c>
      <c r="AC850" s="3">
        <f t="shared" si="2"/>
        <v>0</v>
      </c>
      <c r="AD850" s="3" t="str">
        <f>VLOOKUP(D850,'Position Lookup'!A:B,1,FALSE)</f>
        <v>MID</v>
      </c>
    </row>
    <row r="851" ht="17.25" customHeight="1">
      <c r="A851" s="32">
        <v>45213.0</v>
      </c>
      <c r="B851" s="5" t="s">
        <v>309</v>
      </c>
      <c r="C851" s="3" t="s">
        <v>123</v>
      </c>
      <c r="D851" s="5" t="s">
        <v>9</v>
      </c>
      <c r="E851" s="5">
        <v>2.0</v>
      </c>
      <c r="F851" s="3" t="s">
        <v>859</v>
      </c>
      <c r="G851" s="3" t="s">
        <v>230</v>
      </c>
      <c r="J851" s="5">
        <v>3.0</v>
      </c>
      <c r="N851" s="3" t="b">
        <v>0</v>
      </c>
      <c r="R851" s="3">
        <v>0.0</v>
      </c>
      <c r="T851" s="3">
        <v>10.0</v>
      </c>
      <c r="U851" s="3">
        <v>6.5</v>
      </c>
      <c r="V851" s="3" t="s">
        <v>867</v>
      </c>
      <c r="X851" s="77" t="s">
        <v>861</v>
      </c>
      <c r="Y851" s="5">
        <v>0.0</v>
      </c>
      <c r="Z851" s="5">
        <v>3.0</v>
      </c>
      <c r="AA851" s="3">
        <f>2+ (P851*'Scoring System'!$B$3)+ (IF(OR(D851="DEF",D851="GK"),N851*'Scoring System'!$B$4,IF(D851="MID",N851*'Scoring System'!$B$5,0)))+ (IF(OR(D851="DEF",D851="GK"),H851*'Scoring System'!$B$6,IF(D851="MID",H851*'Scoring System'!$B$7,IF(D851="ATT",H851*'Scoring System'!$B$8,0))))+ IF(AND(OR(D851="GK",D851="DEF"),J851&gt;=3),1*'Scoring System'!$B$9,0)+ (I851*'Scoring System'!$B$10)+ (K851*'Scoring System'!$B$11)+ (M851*'Scoring System'!$B$12)+ (L851*'Scoring System'!$B$13)+ (O851*'Scoring System'!$B$14)+ (Q851*'Scoring System'!$B$15)+ (R851*'Scoring System'!$B$16)</f>
        <v>2</v>
      </c>
      <c r="AB851" s="3" t="b">
        <f>IFERROR(match(C851,'Match Day Fees'!$B$2:$B$999,0),0)=0</f>
        <v>0</v>
      </c>
      <c r="AC851" s="3">
        <f t="shared" si="2"/>
        <v>0</v>
      </c>
      <c r="AD851" s="3" t="str">
        <f>VLOOKUP(D851,'Position Lookup'!A:B,1,FALSE)</f>
        <v>ATT</v>
      </c>
    </row>
    <row r="852" ht="17.25" customHeight="1">
      <c r="A852" s="32">
        <v>45213.0</v>
      </c>
      <c r="B852" s="5" t="s">
        <v>309</v>
      </c>
      <c r="C852" s="3" t="s">
        <v>80</v>
      </c>
      <c r="D852" s="5" t="s">
        <v>9</v>
      </c>
      <c r="E852" s="5">
        <v>2.0</v>
      </c>
      <c r="F852" s="3" t="s">
        <v>859</v>
      </c>
      <c r="G852" s="3" t="s">
        <v>230</v>
      </c>
      <c r="J852" s="5">
        <v>3.0</v>
      </c>
      <c r="N852" s="3" t="b">
        <v>0</v>
      </c>
      <c r="R852" s="3">
        <v>0.0</v>
      </c>
      <c r="T852" s="3">
        <v>10.0</v>
      </c>
      <c r="U852" s="3">
        <v>6.5</v>
      </c>
      <c r="V852" s="3" t="s">
        <v>868</v>
      </c>
      <c r="X852" s="77" t="s">
        <v>861</v>
      </c>
      <c r="Y852" s="5">
        <v>0.0</v>
      </c>
      <c r="Z852" s="5">
        <v>3.0</v>
      </c>
      <c r="AA852" s="3">
        <f>2+ (P852*'Scoring System'!$B$3)+ (IF(OR(D852="DEF",D852="GK"),N852*'Scoring System'!$B$4,IF(D852="MID",N852*'Scoring System'!$B$5,0)))+ (IF(OR(D852="DEF",D852="GK"),H852*'Scoring System'!$B$6,IF(D852="MID",H852*'Scoring System'!$B$7,IF(D852="ATT",H852*'Scoring System'!$B$8,0))))+ IF(AND(OR(D852="GK",D852="DEF"),J852&gt;=3),1*'Scoring System'!$B$9,0)+ (I852*'Scoring System'!$B$10)+ (K852*'Scoring System'!$B$11)+ (M852*'Scoring System'!$B$12)+ (L852*'Scoring System'!$B$13)+ (O852*'Scoring System'!$B$14)+ (Q852*'Scoring System'!$B$15)+ (R852*'Scoring System'!$B$16)</f>
        <v>2</v>
      </c>
      <c r="AB852" s="3" t="b">
        <f>IFERROR(match(C852,'Match Day Fees'!$B$2:$B$999,0),0)=0</f>
        <v>0</v>
      </c>
      <c r="AC852" s="3">
        <f t="shared" si="2"/>
        <v>0</v>
      </c>
      <c r="AD852" s="3" t="str">
        <f>VLOOKUP(D852,'Position Lookup'!A:B,1,FALSE)</f>
        <v>ATT</v>
      </c>
    </row>
    <row r="853" ht="17.25" customHeight="1">
      <c r="A853" s="32">
        <v>45213.0</v>
      </c>
      <c r="B853" s="5" t="s">
        <v>309</v>
      </c>
      <c r="C853" s="3" t="s">
        <v>79</v>
      </c>
      <c r="D853" s="5" t="s">
        <v>9</v>
      </c>
      <c r="E853" s="5">
        <v>2.0</v>
      </c>
      <c r="F853" s="3" t="s">
        <v>859</v>
      </c>
      <c r="G853" s="3" t="s">
        <v>230</v>
      </c>
      <c r="J853" s="5">
        <v>3.0</v>
      </c>
      <c r="N853" s="3" t="b">
        <v>0</v>
      </c>
      <c r="R853" s="3">
        <v>0.0</v>
      </c>
      <c r="T853" s="3">
        <v>10.0</v>
      </c>
      <c r="U853" s="3">
        <v>5.0</v>
      </c>
      <c r="V853" s="3" t="s">
        <v>869</v>
      </c>
      <c r="X853" s="77" t="s">
        <v>861</v>
      </c>
      <c r="Y853" s="5">
        <v>0.0</v>
      </c>
      <c r="Z853" s="5">
        <v>3.0</v>
      </c>
      <c r="AA853" s="3">
        <f>2+ (P853*'Scoring System'!$B$3)+ (IF(OR(D853="DEF",D853="GK"),N853*'Scoring System'!$B$4,IF(D853="MID",N853*'Scoring System'!$B$5,0)))+ (IF(OR(D853="DEF",D853="GK"),H853*'Scoring System'!$B$6,IF(D853="MID",H853*'Scoring System'!$B$7,IF(D853="ATT",H853*'Scoring System'!$B$8,0))))+ IF(AND(OR(D853="GK",D853="DEF"),J853&gt;=3),1*'Scoring System'!$B$9,0)+ (I853*'Scoring System'!$B$10)+ (K853*'Scoring System'!$B$11)+ (M853*'Scoring System'!$B$12)+ (L853*'Scoring System'!$B$13)+ (O853*'Scoring System'!$B$14)+ (Q853*'Scoring System'!$B$15)+ (R853*'Scoring System'!$B$16)</f>
        <v>2</v>
      </c>
      <c r="AB853" s="3" t="b">
        <f>IFERROR(match(C853,'Match Day Fees'!$B$2:$B$999,0),0)=0</f>
        <v>0</v>
      </c>
      <c r="AC853" s="3">
        <f t="shared" si="2"/>
        <v>0</v>
      </c>
      <c r="AD853" s="3" t="str">
        <f>VLOOKUP(D853,'Position Lookup'!A:B,1,FALSE)</f>
        <v>ATT</v>
      </c>
    </row>
    <row r="854" ht="17.25" customHeight="1">
      <c r="A854" s="32">
        <v>45213.0</v>
      </c>
      <c r="B854" s="5" t="s">
        <v>309</v>
      </c>
      <c r="C854" s="3" t="s">
        <v>73</v>
      </c>
      <c r="D854" s="5" t="s">
        <v>9</v>
      </c>
      <c r="E854" s="5">
        <v>2.0</v>
      </c>
      <c r="F854" s="3" t="s">
        <v>859</v>
      </c>
      <c r="G854" s="3" t="s">
        <v>230</v>
      </c>
      <c r="J854" s="5">
        <v>3.0</v>
      </c>
      <c r="N854" s="3" t="b">
        <v>0</v>
      </c>
      <c r="R854" s="3">
        <v>0.0</v>
      </c>
      <c r="T854" s="3">
        <v>10.0</v>
      </c>
      <c r="U854" s="3">
        <v>7.0</v>
      </c>
      <c r="V854" s="3" t="s">
        <v>870</v>
      </c>
      <c r="X854" s="77" t="s">
        <v>861</v>
      </c>
      <c r="Y854" s="5">
        <v>0.0</v>
      </c>
      <c r="Z854" s="5">
        <v>3.0</v>
      </c>
      <c r="AA854" s="3">
        <f>2+ (P854*'Scoring System'!$B$3)+ (IF(OR(D854="DEF",D854="GK"),N854*'Scoring System'!$B$4,IF(D854="MID",N854*'Scoring System'!$B$5,0)))+ (IF(OR(D854="DEF",D854="GK"),H854*'Scoring System'!$B$6,IF(D854="MID",H854*'Scoring System'!$B$7,IF(D854="ATT",H854*'Scoring System'!$B$8,0))))+ IF(AND(OR(D854="GK",D854="DEF"),J854&gt;=3),1*'Scoring System'!$B$9,0)+ (I854*'Scoring System'!$B$10)+ (K854*'Scoring System'!$B$11)+ (M854*'Scoring System'!$B$12)+ (L854*'Scoring System'!$B$13)+ (O854*'Scoring System'!$B$14)+ (Q854*'Scoring System'!$B$15)+ (R854*'Scoring System'!$B$16)</f>
        <v>2</v>
      </c>
      <c r="AB854" s="3" t="b">
        <f>IFERROR(match(C854,'Match Day Fees'!$B$2:$B$999,0),0)=0</f>
        <v>0</v>
      </c>
      <c r="AC854" s="3">
        <f t="shared" si="2"/>
        <v>0</v>
      </c>
      <c r="AD854" s="3" t="str">
        <f>VLOOKUP(D854,'Position Lookup'!A:B,1,FALSE)</f>
        <v>ATT</v>
      </c>
    </row>
    <row r="855" ht="17.25" customHeight="1">
      <c r="A855" s="32">
        <v>45213.0</v>
      </c>
      <c r="B855" s="5" t="s">
        <v>309</v>
      </c>
      <c r="C855" s="3" t="s">
        <v>274</v>
      </c>
      <c r="D855" s="5" t="s">
        <v>10</v>
      </c>
      <c r="E855" s="5">
        <v>2.0</v>
      </c>
      <c r="F855" s="3" t="s">
        <v>859</v>
      </c>
      <c r="G855" s="3" t="s">
        <v>230</v>
      </c>
      <c r="J855" s="5">
        <v>3.0</v>
      </c>
      <c r="N855" s="3" t="b">
        <v>0</v>
      </c>
      <c r="R855" s="3">
        <v>0.0</v>
      </c>
      <c r="T855" s="3">
        <v>10.0</v>
      </c>
      <c r="U855" s="3">
        <v>6.5</v>
      </c>
      <c r="V855" s="3" t="s">
        <v>871</v>
      </c>
      <c r="X855" s="77" t="s">
        <v>861</v>
      </c>
      <c r="Y855" s="5">
        <v>0.0</v>
      </c>
      <c r="Z855" s="5">
        <v>3.0</v>
      </c>
      <c r="AA855" s="3">
        <f>2+ (P855*'Scoring System'!$B$3)+ (IF(OR(D855="DEF",D855="GK"),N855*'Scoring System'!$B$4,IF(D855="MID",N855*'Scoring System'!$B$5,0)))+ (IF(OR(D855="DEF",D855="GK"),H855*'Scoring System'!$B$6,IF(D855="MID",H855*'Scoring System'!$B$7,IF(D855="ATT",H855*'Scoring System'!$B$8,0))))+ IF(AND(OR(D855="GK",D855="DEF"),J855&gt;=3),1*'Scoring System'!$B$9,0)+ (I855*'Scoring System'!$B$10)+ (K855*'Scoring System'!$B$11)+ (M855*'Scoring System'!$B$12)+ (L855*'Scoring System'!$B$13)+ (O855*'Scoring System'!$B$14)+ (Q855*'Scoring System'!$B$15)+ (R855*'Scoring System'!$B$16)</f>
        <v>2</v>
      </c>
      <c r="AB855" s="3" t="b">
        <f>IFERROR(match(C855,'Match Day Fees'!$B$2:$B$999,0),0)=0</f>
        <v>0</v>
      </c>
      <c r="AC855" s="3">
        <f t="shared" si="2"/>
        <v>0</v>
      </c>
      <c r="AD855" s="3" t="str">
        <f>VLOOKUP(D855,'Position Lookup'!A:B,1,FALSE)</f>
        <v>MID</v>
      </c>
    </row>
    <row r="856" ht="17.25" customHeight="1">
      <c r="A856" s="32">
        <v>45213.0</v>
      </c>
      <c r="B856" s="5" t="s">
        <v>309</v>
      </c>
      <c r="C856" s="3" t="s">
        <v>82</v>
      </c>
      <c r="D856" s="5" t="s">
        <v>11</v>
      </c>
      <c r="E856" s="5">
        <v>2.0</v>
      </c>
      <c r="F856" s="3" t="s">
        <v>859</v>
      </c>
      <c r="G856" s="3" t="s">
        <v>230</v>
      </c>
      <c r="J856" s="5">
        <v>3.0</v>
      </c>
      <c r="N856" s="3" t="b">
        <v>0</v>
      </c>
      <c r="R856" s="3">
        <v>1.0</v>
      </c>
      <c r="T856" s="3">
        <v>10.0</v>
      </c>
      <c r="U856" s="3">
        <v>5.5</v>
      </c>
      <c r="V856" s="3" t="s">
        <v>872</v>
      </c>
      <c r="X856" s="77" t="s">
        <v>861</v>
      </c>
      <c r="Y856" s="5">
        <v>0.0</v>
      </c>
      <c r="Z856" s="5">
        <v>3.0</v>
      </c>
      <c r="AA856" s="3">
        <f>2+ (P856*'Scoring System'!$B$3)+ (IF(OR(D856="DEF",D856="GK"),N856*'Scoring System'!$B$4,IF(D856="MID",N856*'Scoring System'!$B$5,0)))+ (IF(OR(D856="DEF",D856="GK"),H856*'Scoring System'!$B$6,IF(D856="MID",H856*'Scoring System'!$B$7,IF(D856="ATT",H856*'Scoring System'!$B$8,0))))+ IF(AND(OR(D856="GK",D856="DEF"),J856&gt;=3),1*'Scoring System'!$B$9,0)+ (I856*'Scoring System'!$B$10)+ (K856*'Scoring System'!$B$11)+ (M856*'Scoring System'!$B$12)+ (L856*'Scoring System'!$B$13)+ (O856*'Scoring System'!$B$14)+ (Q856*'Scoring System'!$B$15)+ (R856*'Scoring System'!$B$16)</f>
        <v>6</v>
      </c>
      <c r="AB856" s="3" t="b">
        <f>IFERROR(match(C856,'Match Day Fees'!$B$2:$B$999,0),0)=0</f>
        <v>0</v>
      </c>
      <c r="AC856" s="3">
        <f t="shared" si="2"/>
        <v>0</v>
      </c>
      <c r="AD856" s="3" t="str">
        <f>VLOOKUP(D856,'Position Lookup'!A:B,1,FALSE)</f>
        <v>DEF</v>
      </c>
    </row>
    <row r="857" ht="17.25" customHeight="1">
      <c r="A857" s="32">
        <v>45213.0</v>
      </c>
      <c r="B857" s="5" t="s">
        <v>309</v>
      </c>
      <c r="C857" s="3" t="s">
        <v>151</v>
      </c>
      <c r="D857" s="5" t="s">
        <v>10</v>
      </c>
      <c r="E857" s="5">
        <v>2.0</v>
      </c>
      <c r="F857" s="3" t="s">
        <v>859</v>
      </c>
      <c r="G857" s="3" t="s">
        <v>230</v>
      </c>
      <c r="J857" s="5">
        <v>3.0</v>
      </c>
      <c r="N857" s="3" t="b">
        <v>0</v>
      </c>
      <c r="R857" s="3">
        <v>0.0</v>
      </c>
      <c r="T857" s="3">
        <v>5.0</v>
      </c>
      <c r="U857" s="3">
        <v>6.5</v>
      </c>
      <c r="V857" s="3" t="s">
        <v>873</v>
      </c>
      <c r="X857" s="77" t="s">
        <v>861</v>
      </c>
      <c r="Y857" s="5">
        <v>0.0</v>
      </c>
      <c r="Z857" s="5">
        <v>3.0</v>
      </c>
      <c r="AA857" s="3">
        <f>2+ (P857*'Scoring System'!$B$3)+ (IF(OR(D857="DEF",D857="GK"),N857*'Scoring System'!$B$4,IF(D857="MID",N857*'Scoring System'!$B$5,0)))+ (IF(OR(D857="DEF",D857="GK"),H857*'Scoring System'!$B$6,IF(D857="MID",H857*'Scoring System'!$B$7,IF(D857="ATT",H857*'Scoring System'!$B$8,0))))+ IF(AND(OR(D857="GK",D857="DEF"),J857&gt;=3),1*'Scoring System'!$B$9,0)+ (I857*'Scoring System'!$B$10)+ (K857*'Scoring System'!$B$11)+ (M857*'Scoring System'!$B$12)+ (L857*'Scoring System'!$B$13)+ (O857*'Scoring System'!$B$14)+ (Q857*'Scoring System'!$B$15)+ (R857*'Scoring System'!$B$16)</f>
        <v>2</v>
      </c>
      <c r="AB857" s="3" t="b">
        <f>IFERROR(match(C857,'Match Day Fees'!$B$2:$B$999,0),0)=0</f>
        <v>0</v>
      </c>
      <c r="AC857" s="3">
        <f t="shared" si="2"/>
        <v>0</v>
      </c>
      <c r="AD857" s="3" t="str">
        <f>VLOOKUP(D857,'Position Lookup'!A:B,1,FALSE)</f>
        <v>MID</v>
      </c>
    </row>
    <row r="858" ht="17.25" customHeight="1">
      <c r="A858" s="32">
        <v>45220.0</v>
      </c>
      <c r="B858" s="5" t="s">
        <v>309</v>
      </c>
      <c r="C858" s="3" t="s">
        <v>53</v>
      </c>
      <c r="D858" s="3" t="s">
        <v>8</v>
      </c>
      <c r="E858" s="5">
        <v>2.0</v>
      </c>
      <c r="F858" s="3" t="s">
        <v>874</v>
      </c>
      <c r="G858" s="3" t="s">
        <v>224</v>
      </c>
      <c r="J858" s="5">
        <v>0.0</v>
      </c>
      <c r="N858" s="3" t="b">
        <v>1</v>
      </c>
      <c r="R858" s="3">
        <v>0.0</v>
      </c>
      <c r="T858" s="3">
        <v>10.0</v>
      </c>
      <c r="U858" s="3">
        <v>8.0</v>
      </c>
      <c r="V858" s="3" t="s">
        <v>875</v>
      </c>
      <c r="W858" s="3" t="s">
        <v>327</v>
      </c>
      <c r="X858" s="77" t="s">
        <v>876</v>
      </c>
      <c r="Y858" s="3">
        <v>2.0</v>
      </c>
      <c r="Z858" s="3">
        <v>0.0</v>
      </c>
      <c r="AA858" s="3">
        <f>2+ (P858*'Scoring System'!$B$3)+ (IF(OR(D858="DEF",D858="GK"),N858*'Scoring System'!$B$4,IF(D858="MID",N858*'Scoring System'!$B$5,0)))+ (IF(OR(D858="DEF",D858="GK"),H858*'Scoring System'!$B$6,IF(D858="MID",H858*'Scoring System'!$B$7,IF(D858="ATT",H858*'Scoring System'!$B$8,0))))+ IF(AND(OR(D858="GK",D858="DEF"),J858&gt;=3),1*'Scoring System'!$B$9,0)+ (I858*'Scoring System'!$B$10)+ (K858*'Scoring System'!$B$11)+ (M858*'Scoring System'!$B$12)+ (L858*'Scoring System'!$B$13)+ (O858*'Scoring System'!$B$14)+ (Q858*'Scoring System'!$B$15)+ (R858*'Scoring System'!$B$16)</f>
        <v>8</v>
      </c>
      <c r="AB858" s="3" t="b">
        <f>IFERROR(match(C858,'Match Day Fees'!$B$2:$B$999,0),0)=0</f>
        <v>0</v>
      </c>
      <c r="AC858" s="3">
        <f t="shared" si="2"/>
        <v>0</v>
      </c>
      <c r="AD858" s="3" t="str">
        <f>VLOOKUP(D858,'Position Lookup'!A:B,1,FALSE)</f>
        <v>GK</v>
      </c>
    </row>
    <row r="859" ht="17.25" customHeight="1">
      <c r="A859" s="32">
        <v>45220.0</v>
      </c>
      <c r="B859" s="5" t="s">
        <v>309</v>
      </c>
      <c r="C859" s="3" t="s">
        <v>56</v>
      </c>
      <c r="D859" s="5" t="s">
        <v>11</v>
      </c>
      <c r="E859" s="5">
        <v>2.0</v>
      </c>
      <c r="F859" s="3" t="s">
        <v>874</v>
      </c>
      <c r="G859" s="3" t="s">
        <v>224</v>
      </c>
      <c r="J859" s="5">
        <v>0.0</v>
      </c>
      <c r="N859" s="3" t="b">
        <v>1</v>
      </c>
      <c r="R859" s="3">
        <v>0.0</v>
      </c>
      <c r="T859" s="3">
        <v>10.0</v>
      </c>
      <c r="U859" s="3">
        <v>7.0</v>
      </c>
      <c r="V859" s="3" t="s">
        <v>877</v>
      </c>
      <c r="W859" s="3" t="s">
        <v>327</v>
      </c>
      <c r="X859" s="77" t="s">
        <v>876</v>
      </c>
      <c r="Y859" s="3">
        <v>2.0</v>
      </c>
      <c r="Z859" s="3">
        <v>0.0</v>
      </c>
      <c r="AA859" s="3">
        <f>2+ (P859*'Scoring System'!$B$3)+ (IF(OR(D859="DEF",D859="GK"),N859*'Scoring System'!$B$4,IF(D859="MID",N859*'Scoring System'!$B$5,0)))+ (IF(OR(D859="DEF",D859="GK"),H859*'Scoring System'!$B$6,IF(D859="MID",H859*'Scoring System'!$B$7,IF(D859="ATT",H859*'Scoring System'!$B$8,0))))+ IF(AND(OR(D859="GK",D859="DEF"),J859&gt;=3),1*'Scoring System'!$B$9,0)+ (I859*'Scoring System'!$B$10)+ (K859*'Scoring System'!$B$11)+ (M859*'Scoring System'!$B$12)+ (L859*'Scoring System'!$B$13)+ (O859*'Scoring System'!$B$14)+ (Q859*'Scoring System'!$B$15)+ (R859*'Scoring System'!$B$16)</f>
        <v>8</v>
      </c>
      <c r="AB859" s="3" t="b">
        <f>IFERROR(match(C859,'Match Day Fees'!$B$2:$B$999,0),0)=0</f>
        <v>0</v>
      </c>
      <c r="AC859" s="3">
        <f t="shared" si="2"/>
        <v>0</v>
      </c>
      <c r="AD859" s="3" t="str">
        <f>VLOOKUP(D859,'Position Lookup'!A:B,1,FALSE)</f>
        <v>DEF</v>
      </c>
    </row>
    <row r="860" ht="17.25" customHeight="1">
      <c r="A860" s="32">
        <v>45220.0</v>
      </c>
      <c r="B860" s="5" t="s">
        <v>309</v>
      </c>
      <c r="C860" s="3" t="s">
        <v>68</v>
      </c>
      <c r="D860" s="5" t="s">
        <v>11</v>
      </c>
      <c r="E860" s="5">
        <v>2.0</v>
      </c>
      <c r="F860" s="3" t="s">
        <v>874</v>
      </c>
      <c r="G860" s="3" t="s">
        <v>224</v>
      </c>
      <c r="J860" s="5">
        <v>0.0</v>
      </c>
      <c r="K860" s="3">
        <v>1.0</v>
      </c>
      <c r="N860" s="3" t="b">
        <v>1</v>
      </c>
      <c r="R860" s="3">
        <v>0.0</v>
      </c>
      <c r="T860" s="3">
        <v>10.0</v>
      </c>
      <c r="U860" s="3">
        <v>8.0</v>
      </c>
      <c r="V860" s="3" t="s">
        <v>878</v>
      </c>
      <c r="W860" s="3" t="s">
        <v>327</v>
      </c>
      <c r="X860" s="77" t="s">
        <v>876</v>
      </c>
      <c r="Y860" s="3">
        <v>2.0</v>
      </c>
      <c r="Z860" s="3">
        <v>0.0</v>
      </c>
      <c r="AA860" s="3">
        <f>2+ (P860*'Scoring System'!$B$3)+ (IF(OR(D860="DEF",D860="GK"),N860*'Scoring System'!$B$4,IF(D860="MID",N860*'Scoring System'!$B$5,0)))+ (IF(OR(D860="DEF",D860="GK"),H860*'Scoring System'!$B$6,IF(D860="MID",H860*'Scoring System'!$B$7,IF(D860="ATT",H860*'Scoring System'!$B$8,0))))+ IF(AND(OR(D860="GK",D860="DEF"),J860&gt;=3),1*'Scoring System'!$B$9,0)+ (I860*'Scoring System'!$B$10)+ (K860*'Scoring System'!$B$11)+ (M860*'Scoring System'!$B$12)+ (L860*'Scoring System'!$B$13)+ (O860*'Scoring System'!$B$14)+ (Q860*'Scoring System'!$B$15)+ (R860*'Scoring System'!$B$16)</f>
        <v>7</v>
      </c>
      <c r="AB860" s="3" t="b">
        <f>IFERROR(match(C860,'Match Day Fees'!$B$2:$B$999,0),0)=0</f>
        <v>0</v>
      </c>
      <c r="AC860" s="3">
        <f t="shared" si="2"/>
        <v>0</v>
      </c>
      <c r="AD860" s="3" t="str">
        <f>VLOOKUP(D860,'Position Lookup'!A:B,1,FALSE)</f>
        <v>DEF</v>
      </c>
    </row>
    <row r="861" ht="17.25" customHeight="1">
      <c r="A861" s="32">
        <v>45220.0</v>
      </c>
      <c r="B861" s="5" t="s">
        <v>309</v>
      </c>
      <c r="C861" s="3" t="s">
        <v>81</v>
      </c>
      <c r="D861" s="5" t="s">
        <v>11</v>
      </c>
      <c r="E861" s="5">
        <v>2.0</v>
      </c>
      <c r="F861" s="3" t="s">
        <v>874</v>
      </c>
      <c r="G861" s="3" t="s">
        <v>224</v>
      </c>
      <c r="J861" s="5">
        <v>0.0</v>
      </c>
      <c r="N861" s="3" t="b">
        <v>1</v>
      </c>
      <c r="R861" s="3">
        <v>0.0</v>
      </c>
      <c r="T861" s="3">
        <v>10.0</v>
      </c>
      <c r="U861" s="3">
        <v>8.5</v>
      </c>
      <c r="V861" s="3" t="s">
        <v>879</v>
      </c>
      <c r="W861" s="3" t="s">
        <v>327</v>
      </c>
      <c r="X861" s="77" t="s">
        <v>876</v>
      </c>
      <c r="Y861" s="3">
        <v>2.0</v>
      </c>
      <c r="Z861" s="3">
        <v>0.0</v>
      </c>
      <c r="AA861" s="3">
        <f>2+ (P861*'Scoring System'!$B$3)+ (IF(OR(D861="DEF",D861="GK"),N861*'Scoring System'!$B$4,IF(D861="MID",N861*'Scoring System'!$B$5,0)))+ (IF(OR(D861="DEF",D861="GK"),H861*'Scoring System'!$B$6,IF(D861="MID",H861*'Scoring System'!$B$7,IF(D861="ATT",H861*'Scoring System'!$B$8,0))))+ IF(AND(OR(D861="GK",D861="DEF"),J861&gt;=3),1*'Scoring System'!$B$9,0)+ (I861*'Scoring System'!$B$10)+ (K861*'Scoring System'!$B$11)+ (M861*'Scoring System'!$B$12)+ (L861*'Scoring System'!$B$13)+ (O861*'Scoring System'!$B$14)+ (Q861*'Scoring System'!$B$15)+ (R861*'Scoring System'!$B$16)</f>
        <v>8</v>
      </c>
      <c r="AB861" s="3" t="b">
        <f>IFERROR(match(C861,'Match Day Fees'!$B$2:$B$999,0),0)=0</f>
        <v>0</v>
      </c>
      <c r="AC861" s="3">
        <f t="shared" si="2"/>
        <v>0</v>
      </c>
      <c r="AD861" s="3" t="str">
        <f>VLOOKUP(D861,'Position Lookup'!A:B,1,FALSE)</f>
        <v>DEF</v>
      </c>
    </row>
    <row r="862" ht="17.25" customHeight="1">
      <c r="A862" s="32">
        <v>45220.0</v>
      </c>
      <c r="B862" s="5" t="s">
        <v>309</v>
      </c>
      <c r="C862" s="3" t="s">
        <v>111</v>
      </c>
      <c r="D862" s="5" t="s">
        <v>11</v>
      </c>
      <c r="E862" s="5">
        <v>2.0</v>
      </c>
      <c r="F862" s="3" t="s">
        <v>874</v>
      </c>
      <c r="G862" s="3" t="s">
        <v>224</v>
      </c>
      <c r="J862" s="5">
        <v>0.0</v>
      </c>
      <c r="N862" s="3" t="b">
        <v>1</v>
      </c>
      <c r="R862" s="3">
        <v>0.0</v>
      </c>
      <c r="T862" s="3">
        <v>10.0</v>
      </c>
      <c r="U862" s="3">
        <v>7.0</v>
      </c>
      <c r="V862" s="3" t="s">
        <v>880</v>
      </c>
      <c r="W862" s="3" t="s">
        <v>327</v>
      </c>
      <c r="X862" s="77" t="s">
        <v>876</v>
      </c>
      <c r="Y862" s="3">
        <v>2.0</v>
      </c>
      <c r="Z862" s="3">
        <v>0.0</v>
      </c>
      <c r="AA862" s="3">
        <f>2+ (P862*'Scoring System'!$B$3)+ (IF(OR(D862="DEF",D862="GK"),N862*'Scoring System'!$B$4,IF(D862="MID",N862*'Scoring System'!$B$5,0)))+ (IF(OR(D862="DEF",D862="GK"),H862*'Scoring System'!$B$6,IF(D862="MID",H862*'Scoring System'!$B$7,IF(D862="ATT",H862*'Scoring System'!$B$8,0))))+ IF(AND(OR(D862="GK",D862="DEF"),J862&gt;=3),1*'Scoring System'!$B$9,0)+ (I862*'Scoring System'!$B$10)+ (K862*'Scoring System'!$B$11)+ (M862*'Scoring System'!$B$12)+ (L862*'Scoring System'!$B$13)+ (O862*'Scoring System'!$B$14)+ (Q862*'Scoring System'!$B$15)+ (R862*'Scoring System'!$B$16)</f>
        <v>8</v>
      </c>
      <c r="AB862" s="3" t="b">
        <f>IFERROR(match(C862,'Match Day Fees'!$B$2:$B$999,0),0)=0</f>
        <v>0</v>
      </c>
      <c r="AC862" s="3">
        <f t="shared" si="2"/>
        <v>0</v>
      </c>
      <c r="AD862" s="3" t="str">
        <f>VLOOKUP(D862,'Position Lookup'!A:B,1,FALSE)</f>
        <v>DEF</v>
      </c>
    </row>
    <row r="863" ht="17.25" customHeight="1">
      <c r="A863" s="32">
        <v>45220.0</v>
      </c>
      <c r="B863" s="5" t="s">
        <v>309</v>
      </c>
      <c r="C863" s="3" t="s">
        <v>92</v>
      </c>
      <c r="D863" s="5" t="s">
        <v>10</v>
      </c>
      <c r="E863" s="5">
        <v>2.0</v>
      </c>
      <c r="F863" s="3" t="s">
        <v>874</v>
      </c>
      <c r="G863" s="3" t="s">
        <v>224</v>
      </c>
      <c r="J863" s="5">
        <v>0.0</v>
      </c>
      <c r="K863" s="3">
        <v>1.0</v>
      </c>
      <c r="N863" s="3" t="b">
        <v>1</v>
      </c>
      <c r="R863" s="3">
        <v>0.0</v>
      </c>
      <c r="S863" s="3" t="b">
        <v>1</v>
      </c>
      <c r="T863" s="3">
        <v>0.0</v>
      </c>
      <c r="U863" s="3">
        <v>7.0</v>
      </c>
      <c r="V863" s="3" t="s">
        <v>881</v>
      </c>
      <c r="W863" s="3" t="s">
        <v>327</v>
      </c>
      <c r="X863" s="77" t="s">
        <v>876</v>
      </c>
      <c r="Y863" s="3">
        <v>2.0</v>
      </c>
      <c r="Z863" s="3">
        <v>0.0</v>
      </c>
      <c r="AA863" s="3">
        <f>2+ (P863*'Scoring System'!$B$3)+ (IF(OR(D863="DEF",D863="GK"),N863*'Scoring System'!$B$4,IF(D863="MID",N863*'Scoring System'!$B$5,0)))+ (IF(OR(D863="DEF",D863="GK"),H863*'Scoring System'!$B$6,IF(D863="MID",H863*'Scoring System'!$B$7,IF(D863="ATT",H863*'Scoring System'!$B$8,0))))+ IF(AND(OR(D863="GK",D863="DEF"),J863&gt;=3),1*'Scoring System'!$B$9,0)+ (I863*'Scoring System'!$B$10)+ (K863*'Scoring System'!$B$11)+ (M863*'Scoring System'!$B$12)+ (L863*'Scoring System'!$B$13)+ (O863*'Scoring System'!$B$14)+ (Q863*'Scoring System'!$B$15)+ (R863*'Scoring System'!$B$16)</f>
        <v>3</v>
      </c>
      <c r="AB863" s="3" t="b">
        <f>IFERROR(match(C863,'Match Day Fees'!$B$2:$B$999,0),0)=0</f>
        <v>0</v>
      </c>
      <c r="AC863" s="3">
        <f t="shared" si="2"/>
        <v>0</v>
      </c>
      <c r="AD863" s="3" t="str">
        <f>VLOOKUP(D863,'Position Lookup'!A:B,1,FALSE)</f>
        <v>MID</v>
      </c>
    </row>
    <row r="864" ht="17.25" customHeight="1">
      <c r="A864" s="32">
        <v>45220.0</v>
      </c>
      <c r="B864" s="5" t="s">
        <v>309</v>
      </c>
      <c r="C864" s="3" t="s">
        <v>104</v>
      </c>
      <c r="D864" s="5" t="s">
        <v>10</v>
      </c>
      <c r="E864" s="5">
        <v>2.0</v>
      </c>
      <c r="F864" s="3" t="s">
        <v>874</v>
      </c>
      <c r="G864" s="3" t="s">
        <v>224</v>
      </c>
      <c r="I864" s="3">
        <v>1.0</v>
      </c>
      <c r="J864" s="5">
        <v>0.0</v>
      </c>
      <c r="N864" s="3" t="b">
        <v>1</v>
      </c>
      <c r="R864" s="3">
        <v>0.0</v>
      </c>
      <c r="T864" s="3">
        <v>5.0</v>
      </c>
      <c r="U864" s="3">
        <v>6.5</v>
      </c>
      <c r="V864" s="3" t="s">
        <v>882</v>
      </c>
      <c r="W864" s="3" t="s">
        <v>327</v>
      </c>
      <c r="X864" s="77" t="s">
        <v>876</v>
      </c>
      <c r="Y864" s="3">
        <v>2.0</v>
      </c>
      <c r="Z864" s="3">
        <v>0.0</v>
      </c>
      <c r="AA864" s="3">
        <f>2+ (P864*'Scoring System'!$B$3)+ (IF(OR(D864="DEF",D864="GK"),N864*'Scoring System'!$B$4,IF(D864="MID",N864*'Scoring System'!$B$5,0)))+ (IF(OR(D864="DEF",D864="GK"),H864*'Scoring System'!$B$6,IF(D864="MID",H864*'Scoring System'!$B$7,IF(D864="ATT",H864*'Scoring System'!$B$8,0))))+ IF(AND(OR(D864="GK",D864="DEF"),J864&gt;=3),1*'Scoring System'!$B$9,0)+ (I864*'Scoring System'!$B$10)+ (K864*'Scoring System'!$B$11)+ (M864*'Scoring System'!$B$12)+ (L864*'Scoring System'!$B$13)+ (O864*'Scoring System'!$B$14)+ (Q864*'Scoring System'!$B$15)+ (R864*'Scoring System'!$B$16)</f>
        <v>7</v>
      </c>
      <c r="AB864" s="3" t="b">
        <f>IFERROR(match(C864,'Match Day Fees'!$B$2:$B$999,0),0)=0</f>
        <v>0</v>
      </c>
      <c r="AC864" s="3">
        <f t="shared" si="2"/>
        <v>0</v>
      </c>
      <c r="AD864" s="3" t="str">
        <f>VLOOKUP(D864,'Position Lookup'!A:B,1,FALSE)</f>
        <v>MID</v>
      </c>
    </row>
    <row r="865" ht="17.25" customHeight="1">
      <c r="A865" s="32">
        <v>45220.0</v>
      </c>
      <c r="B865" s="5" t="s">
        <v>309</v>
      </c>
      <c r="C865" s="3" t="s">
        <v>123</v>
      </c>
      <c r="D865" s="5" t="s">
        <v>9</v>
      </c>
      <c r="E865" s="5">
        <v>2.0</v>
      </c>
      <c r="F865" s="3" t="s">
        <v>874</v>
      </c>
      <c r="G865" s="3" t="s">
        <v>224</v>
      </c>
      <c r="I865" s="3">
        <v>1.0</v>
      </c>
      <c r="J865" s="5">
        <v>0.0</v>
      </c>
      <c r="N865" s="3" t="b">
        <v>1</v>
      </c>
      <c r="R865" s="3">
        <v>0.0</v>
      </c>
      <c r="T865" s="3">
        <v>10.0</v>
      </c>
      <c r="U865" s="3">
        <v>6.5</v>
      </c>
      <c r="V865" s="3" t="s">
        <v>883</v>
      </c>
      <c r="W865" s="3" t="s">
        <v>327</v>
      </c>
      <c r="X865" s="77" t="s">
        <v>876</v>
      </c>
      <c r="Y865" s="3">
        <v>2.0</v>
      </c>
      <c r="Z865" s="3">
        <v>0.0</v>
      </c>
      <c r="AA865" s="3">
        <f>2+ (P865*'Scoring System'!$B$3)+ (IF(OR(D865="DEF",D865="GK"),N865*'Scoring System'!$B$4,IF(D865="MID",N865*'Scoring System'!$B$5,0)))+ (IF(OR(D865="DEF",D865="GK"),H865*'Scoring System'!$B$6,IF(D865="MID",H865*'Scoring System'!$B$7,IF(D865="ATT",H865*'Scoring System'!$B$8,0))))+ IF(AND(OR(D865="GK",D865="DEF"),J865&gt;=3),1*'Scoring System'!$B$9,0)+ (I865*'Scoring System'!$B$10)+ (K865*'Scoring System'!$B$11)+ (M865*'Scoring System'!$B$12)+ (L865*'Scoring System'!$B$13)+ (O865*'Scoring System'!$B$14)+ (Q865*'Scoring System'!$B$15)+ (R865*'Scoring System'!$B$16)</f>
        <v>5</v>
      </c>
      <c r="AB865" s="3" t="b">
        <f>IFERROR(match(C865,'Match Day Fees'!$B$2:$B$999,0),0)=0</f>
        <v>0</v>
      </c>
      <c r="AC865" s="3">
        <f t="shared" si="2"/>
        <v>0</v>
      </c>
      <c r="AD865" s="3" t="str">
        <f>VLOOKUP(D865,'Position Lookup'!A:B,1,FALSE)</f>
        <v>ATT</v>
      </c>
    </row>
    <row r="866" ht="17.25" customHeight="1">
      <c r="A866" s="32">
        <v>45220.0</v>
      </c>
      <c r="B866" s="5" t="s">
        <v>309</v>
      </c>
      <c r="C866" s="3" t="s">
        <v>114</v>
      </c>
      <c r="D866" s="5" t="s">
        <v>9</v>
      </c>
      <c r="E866" s="5">
        <v>2.0</v>
      </c>
      <c r="F866" s="3" t="s">
        <v>874</v>
      </c>
      <c r="G866" s="3" t="s">
        <v>224</v>
      </c>
      <c r="H866" s="3">
        <v>1.0</v>
      </c>
      <c r="J866" s="5">
        <v>0.0</v>
      </c>
      <c r="N866" s="3" t="b">
        <v>1</v>
      </c>
      <c r="R866" s="3">
        <v>1.0</v>
      </c>
      <c r="T866" s="3">
        <v>10.0</v>
      </c>
      <c r="U866" s="3">
        <v>8.0</v>
      </c>
      <c r="V866" s="3" t="s">
        <v>884</v>
      </c>
      <c r="W866" s="3" t="s">
        <v>327</v>
      </c>
      <c r="X866" s="77" t="s">
        <v>876</v>
      </c>
      <c r="Y866" s="3">
        <v>2.0</v>
      </c>
      <c r="Z866" s="3">
        <v>0.0</v>
      </c>
      <c r="AA866" s="3">
        <f>2+ (P866*'Scoring System'!$B$3)+ (IF(OR(D866="DEF",D866="GK"),N866*'Scoring System'!$B$4,IF(D866="MID",N866*'Scoring System'!$B$5,0)))+ (IF(OR(D866="DEF",D866="GK"),H866*'Scoring System'!$B$6,IF(D866="MID",H866*'Scoring System'!$B$7,IF(D866="ATT",H866*'Scoring System'!$B$8,0))))+ IF(AND(OR(D866="GK",D866="DEF"),J866&gt;=3),1*'Scoring System'!$B$9,0)+ (I866*'Scoring System'!$B$10)+ (K866*'Scoring System'!$B$11)+ (M866*'Scoring System'!$B$12)+ (L866*'Scoring System'!$B$13)+ (O866*'Scoring System'!$B$14)+ (Q866*'Scoring System'!$B$15)+ (R866*'Scoring System'!$B$16)</f>
        <v>11</v>
      </c>
      <c r="AB866" s="3" t="b">
        <f>IFERROR(match(C866,'Match Day Fees'!$B$2:$B$999,0),0)=0</f>
        <v>0</v>
      </c>
      <c r="AC866" s="3">
        <f t="shared" si="2"/>
        <v>0</v>
      </c>
      <c r="AD866" s="3" t="str">
        <f>VLOOKUP(D866,'Position Lookup'!A:B,1,FALSE)</f>
        <v>ATT</v>
      </c>
    </row>
    <row r="867" ht="17.25" customHeight="1">
      <c r="A867" s="32">
        <v>45220.0</v>
      </c>
      <c r="B867" s="5" t="s">
        <v>309</v>
      </c>
      <c r="C867" s="3" t="s">
        <v>61</v>
      </c>
      <c r="D867" s="5" t="s">
        <v>9</v>
      </c>
      <c r="E867" s="5">
        <v>2.0</v>
      </c>
      <c r="F867" s="3" t="s">
        <v>874</v>
      </c>
      <c r="G867" s="3" t="s">
        <v>224</v>
      </c>
      <c r="J867" s="5">
        <v>0.0</v>
      </c>
      <c r="N867" s="3" t="b">
        <v>1</v>
      </c>
      <c r="R867" s="3">
        <v>0.0</v>
      </c>
      <c r="T867" s="3">
        <v>10.0</v>
      </c>
      <c r="U867" s="3">
        <v>8.0</v>
      </c>
      <c r="V867" s="3" t="s">
        <v>885</v>
      </c>
      <c r="W867" s="3" t="s">
        <v>327</v>
      </c>
      <c r="X867" s="77" t="s">
        <v>876</v>
      </c>
      <c r="Y867" s="3">
        <v>2.0</v>
      </c>
      <c r="Z867" s="3">
        <v>0.0</v>
      </c>
      <c r="AA867" s="3">
        <f>2+ (P867*'Scoring System'!$B$3)+ (IF(OR(D867="DEF",D867="GK"),N867*'Scoring System'!$B$4,IF(D867="MID",N867*'Scoring System'!$B$5,0)))+ (IF(OR(D867="DEF",D867="GK"),H867*'Scoring System'!$B$6,IF(D867="MID",H867*'Scoring System'!$B$7,IF(D867="ATT",H867*'Scoring System'!$B$8,0))))+ IF(AND(OR(D867="GK",D867="DEF"),J867&gt;=3),1*'Scoring System'!$B$9,0)+ (I867*'Scoring System'!$B$10)+ (K867*'Scoring System'!$B$11)+ (M867*'Scoring System'!$B$12)+ (L867*'Scoring System'!$B$13)+ (O867*'Scoring System'!$B$14)+ (Q867*'Scoring System'!$B$15)+ (R867*'Scoring System'!$B$16)</f>
        <v>2</v>
      </c>
      <c r="AB867" s="3" t="b">
        <f>IFERROR(match(C867,'Match Day Fees'!$B$2:$B$999,0),0)=0</f>
        <v>0</v>
      </c>
      <c r="AC867" s="3">
        <f t="shared" si="2"/>
        <v>0</v>
      </c>
      <c r="AD867" s="3" t="str">
        <f>VLOOKUP(D867,'Position Lookup'!A:B,1,FALSE)</f>
        <v>ATT</v>
      </c>
    </row>
    <row r="868" ht="17.25" customHeight="1">
      <c r="A868" s="32">
        <v>45220.0</v>
      </c>
      <c r="B868" s="5" t="s">
        <v>309</v>
      </c>
      <c r="C868" s="3" t="s">
        <v>80</v>
      </c>
      <c r="D868" s="5" t="s">
        <v>9</v>
      </c>
      <c r="E868" s="5">
        <v>2.0</v>
      </c>
      <c r="F868" s="3" t="s">
        <v>874</v>
      </c>
      <c r="G868" s="3" t="s">
        <v>224</v>
      </c>
      <c r="J868" s="5">
        <v>0.0</v>
      </c>
      <c r="N868" s="3" t="b">
        <v>1</v>
      </c>
      <c r="R868" s="3">
        <v>0.0</v>
      </c>
      <c r="T868" s="3">
        <v>0.0</v>
      </c>
      <c r="U868" s="3">
        <v>7.5</v>
      </c>
      <c r="V868" s="3" t="s">
        <v>886</v>
      </c>
      <c r="W868" s="3" t="s">
        <v>327</v>
      </c>
      <c r="X868" s="77" t="s">
        <v>876</v>
      </c>
      <c r="Y868" s="3">
        <v>2.0</v>
      </c>
      <c r="Z868" s="3">
        <v>0.0</v>
      </c>
      <c r="AA868" s="3">
        <f>2+ (P868*'Scoring System'!$B$3)+ (IF(OR(D868="DEF",D868="GK"),N868*'Scoring System'!$B$4,IF(D868="MID",N868*'Scoring System'!$B$5,0)))+ (IF(OR(D868="DEF",D868="GK"),H868*'Scoring System'!$B$6,IF(D868="MID",H868*'Scoring System'!$B$7,IF(D868="ATT",H868*'Scoring System'!$B$8,0))))+ IF(AND(OR(D868="GK",D868="DEF"),J868&gt;=3),1*'Scoring System'!$B$9,0)+ (I868*'Scoring System'!$B$10)+ (K868*'Scoring System'!$B$11)+ (M868*'Scoring System'!$B$12)+ (L868*'Scoring System'!$B$13)+ (O868*'Scoring System'!$B$14)+ (Q868*'Scoring System'!$B$15)+ (R868*'Scoring System'!$B$16)</f>
        <v>2</v>
      </c>
      <c r="AB868" s="3" t="b">
        <f>IFERROR(match(C868,'Match Day Fees'!$B$2:$B$999,0),0)=0</f>
        <v>0</v>
      </c>
      <c r="AC868" s="3">
        <f t="shared" si="2"/>
        <v>0</v>
      </c>
      <c r="AD868" s="3" t="str">
        <f>VLOOKUP(D868,'Position Lookup'!A:B,1,FALSE)</f>
        <v>ATT</v>
      </c>
    </row>
    <row r="869" ht="17.25" customHeight="1">
      <c r="A869" s="32">
        <v>45220.0</v>
      </c>
      <c r="B869" s="5" t="s">
        <v>309</v>
      </c>
      <c r="C869" s="3" t="s">
        <v>73</v>
      </c>
      <c r="D869" s="5" t="s">
        <v>9</v>
      </c>
      <c r="E869" s="5">
        <v>2.0</v>
      </c>
      <c r="F869" s="3" t="s">
        <v>874</v>
      </c>
      <c r="G869" s="3" t="s">
        <v>224</v>
      </c>
      <c r="H869" s="3">
        <v>1.0</v>
      </c>
      <c r="J869" s="5">
        <v>0.0</v>
      </c>
      <c r="N869" s="3" t="b">
        <v>1</v>
      </c>
      <c r="R869" s="3">
        <v>0.0</v>
      </c>
      <c r="T869" s="3">
        <v>10.0</v>
      </c>
      <c r="U869" s="3">
        <v>7.5</v>
      </c>
      <c r="V869" s="3" t="s">
        <v>887</v>
      </c>
      <c r="W869" s="3" t="s">
        <v>327</v>
      </c>
      <c r="X869" s="77" t="s">
        <v>876</v>
      </c>
      <c r="Y869" s="3">
        <v>2.0</v>
      </c>
      <c r="Z869" s="3">
        <v>0.0</v>
      </c>
      <c r="AA869" s="3">
        <f>2+ (P869*'Scoring System'!$B$3)+ (IF(OR(D869="DEF",D869="GK"),N869*'Scoring System'!$B$4,IF(D869="MID",N869*'Scoring System'!$B$5,0)))+ (IF(OR(D869="DEF",D869="GK"),H869*'Scoring System'!$B$6,IF(D869="MID",H869*'Scoring System'!$B$7,IF(D869="ATT",H869*'Scoring System'!$B$8,0))))+ IF(AND(OR(D869="GK",D869="DEF"),J869&gt;=3),1*'Scoring System'!$B$9,0)+ (I869*'Scoring System'!$B$10)+ (K869*'Scoring System'!$B$11)+ (M869*'Scoring System'!$B$12)+ (L869*'Scoring System'!$B$13)+ (O869*'Scoring System'!$B$14)+ (Q869*'Scoring System'!$B$15)+ (R869*'Scoring System'!$B$16)</f>
        <v>6</v>
      </c>
      <c r="AB869" s="3" t="b">
        <f>IFERROR(match(C869,'Match Day Fees'!$B$2:$B$999,0),0)=0</f>
        <v>0</v>
      </c>
      <c r="AC869" s="3">
        <f t="shared" si="2"/>
        <v>0</v>
      </c>
      <c r="AD869" s="3" t="str">
        <f>VLOOKUP(D869,'Position Lookup'!A:B,1,FALSE)</f>
        <v>ATT</v>
      </c>
    </row>
    <row r="870" ht="17.25" customHeight="1">
      <c r="A870" s="32">
        <v>45220.0</v>
      </c>
      <c r="B870" s="5" t="s">
        <v>309</v>
      </c>
      <c r="C870" s="3" t="s">
        <v>151</v>
      </c>
      <c r="D870" s="5" t="s">
        <v>10</v>
      </c>
      <c r="E870" s="5">
        <v>2.0</v>
      </c>
      <c r="F870" s="3" t="s">
        <v>874</v>
      </c>
      <c r="G870" s="3" t="s">
        <v>224</v>
      </c>
      <c r="J870" s="5">
        <v>0.0</v>
      </c>
      <c r="N870" s="3" t="b">
        <v>1</v>
      </c>
      <c r="R870" s="3">
        <v>0.0</v>
      </c>
      <c r="T870" s="3">
        <v>5.0</v>
      </c>
      <c r="U870" s="3">
        <v>7.5</v>
      </c>
      <c r="V870" s="3" t="s">
        <v>888</v>
      </c>
      <c r="W870" s="3" t="s">
        <v>327</v>
      </c>
      <c r="X870" s="77" t="s">
        <v>876</v>
      </c>
      <c r="Y870" s="3">
        <v>2.0</v>
      </c>
      <c r="Z870" s="3">
        <v>0.0</v>
      </c>
      <c r="AA870" s="3">
        <f>2+ (P870*'Scoring System'!$B$3)+ (IF(OR(D870="DEF",D870="GK"),N870*'Scoring System'!$B$4,IF(D870="MID",N870*'Scoring System'!$B$5,0)))+ (IF(OR(D870="DEF",D870="GK"),H870*'Scoring System'!$B$6,IF(D870="MID",H870*'Scoring System'!$B$7,IF(D870="ATT",H870*'Scoring System'!$B$8,0))))+ IF(AND(OR(D870="GK",D870="DEF"),J870&gt;=3),1*'Scoring System'!$B$9,0)+ (I870*'Scoring System'!$B$10)+ (K870*'Scoring System'!$B$11)+ (M870*'Scoring System'!$B$12)+ (L870*'Scoring System'!$B$13)+ (O870*'Scoring System'!$B$14)+ (Q870*'Scoring System'!$B$15)+ (R870*'Scoring System'!$B$16)</f>
        <v>4</v>
      </c>
      <c r="AB870" s="3" t="b">
        <f>IFERROR(match(C870,'Match Day Fees'!$B$2:$B$999,0),0)=0</f>
        <v>0</v>
      </c>
      <c r="AC870" s="3">
        <f t="shared" si="2"/>
        <v>0</v>
      </c>
      <c r="AD870" s="3" t="str">
        <f>VLOOKUP(D870,'Position Lookup'!A:B,1,FALSE)</f>
        <v>MID</v>
      </c>
    </row>
    <row r="871" ht="17.25" customHeight="1">
      <c r="A871" s="32">
        <v>45220.0</v>
      </c>
      <c r="B871" s="5" t="s">
        <v>309</v>
      </c>
      <c r="C871" s="3" t="s">
        <v>91</v>
      </c>
      <c r="D871" s="5" t="s">
        <v>11</v>
      </c>
      <c r="E871" s="5">
        <v>2.0</v>
      </c>
      <c r="F871" s="3" t="s">
        <v>874</v>
      </c>
      <c r="G871" s="3" t="s">
        <v>224</v>
      </c>
      <c r="J871" s="5">
        <v>0.0</v>
      </c>
      <c r="N871" s="3" t="b">
        <v>1</v>
      </c>
      <c r="R871" s="3">
        <v>0.0</v>
      </c>
      <c r="T871" s="3">
        <v>2.5</v>
      </c>
      <c r="U871" s="3">
        <v>6.5</v>
      </c>
      <c r="V871" s="3" t="s">
        <v>889</v>
      </c>
      <c r="W871" s="3" t="s">
        <v>327</v>
      </c>
      <c r="X871" s="77" t="s">
        <v>876</v>
      </c>
      <c r="Y871" s="3">
        <v>2.0</v>
      </c>
      <c r="Z871" s="3">
        <v>0.0</v>
      </c>
      <c r="AA871" s="3">
        <f>2+ (P871*'Scoring System'!$B$3)+ (IF(OR(D871="DEF",D871="GK"),N871*'Scoring System'!$B$4,IF(D871="MID",N871*'Scoring System'!$B$5,0)))+ (IF(OR(D871="DEF",D871="GK"),H871*'Scoring System'!$B$6,IF(D871="MID",H871*'Scoring System'!$B$7,IF(D871="ATT",H871*'Scoring System'!$B$8,0))))+ IF(AND(OR(D871="GK",D871="DEF"),J871&gt;=3),1*'Scoring System'!$B$9,0)+ (I871*'Scoring System'!$B$10)+ (K871*'Scoring System'!$B$11)+ (M871*'Scoring System'!$B$12)+ (L871*'Scoring System'!$B$13)+ (O871*'Scoring System'!$B$14)+ (Q871*'Scoring System'!$B$15)+ (R871*'Scoring System'!$B$16)</f>
        <v>8</v>
      </c>
      <c r="AB871" s="3" t="b">
        <f>IFERROR(match(C871,'Match Day Fees'!$B$2:$B$999,0),0)=0</f>
        <v>0</v>
      </c>
      <c r="AC871" s="3">
        <f t="shared" si="2"/>
        <v>0</v>
      </c>
      <c r="AD871" s="3" t="str">
        <f>VLOOKUP(D871,'Position Lookup'!A:B,1,FALSE)</f>
        <v>DEF</v>
      </c>
    </row>
    <row r="872" ht="17.25" customHeight="1">
      <c r="A872" s="32">
        <v>45220.0</v>
      </c>
      <c r="B872" s="5" t="s">
        <v>712</v>
      </c>
      <c r="C872" s="3" t="s">
        <v>76</v>
      </c>
      <c r="D872" s="3" t="s">
        <v>8</v>
      </c>
      <c r="E872" s="5">
        <v>3.0</v>
      </c>
      <c r="F872" s="3" t="s">
        <v>890</v>
      </c>
      <c r="G872" s="3" t="s">
        <v>224</v>
      </c>
      <c r="J872" s="5">
        <v>2.0</v>
      </c>
      <c r="N872" s="3" t="b">
        <v>0</v>
      </c>
      <c r="R872" s="3">
        <v>0.0</v>
      </c>
      <c r="S872" s="3" t="b">
        <v>1</v>
      </c>
      <c r="T872" s="3">
        <v>0.0</v>
      </c>
      <c r="U872" s="3">
        <v>7.0</v>
      </c>
      <c r="V872" s="3" t="s">
        <v>891</v>
      </c>
      <c r="W872" s="3" t="s">
        <v>344</v>
      </c>
      <c r="X872" s="77" t="s">
        <v>892</v>
      </c>
      <c r="Y872" s="3">
        <v>5.0</v>
      </c>
      <c r="Z872" s="3">
        <v>2.0</v>
      </c>
      <c r="AA872" s="3">
        <f>2+ (P872*'Scoring System'!$B$3)+ (IF(OR(D872="DEF",D872="GK"),N872*'Scoring System'!$B$4,IF(D872="MID",N872*'Scoring System'!$B$5,0)))+ (IF(OR(D872="DEF",D872="GK"),H872*'Scoring System'!$B$6,IF(D872="MID",H872*'Scoring System'!$B$7,IF(D872="ATT",H872*'Scoring System'!$B$8,0))))+ IF(AND(OR(D872="GK",D872="DEF"),J872&gt;=3),1*'Scoring System'!$B$9,0)+ (I872*'Scoring System'!$B$10)+ (K872*'Scoring System'!$B$11)+ (M872*'Scoring System'!$B$12)+ (L872*'Scoring System'!$B$13)+ (O872*'Scoring System'!$B$14)+ (Q872*'Scoring System'!$B$15)+ (R872*'Scoring System'!$B$16)</f>
        <v>2</v>
      </c>
      <c r="AB872" s="3" t="b">
        <f>IFERROR(match(C872,'Match Day Fees'!$B$2:$B$999,0),0)=0</f>
        <v>0</v>
      </c>
      <c r="AC872" s="3">
        <f t="shared" si="2"/>
        <v>0</v>
      </c>
      <c r="AD872" s="3" t="str">
        <f>VLOOKUP(D872,'Position Lookup'!A:B,1,FALSE)</f>
        <v>GK</v>
      </c>
    </row>
    <row r="873" ht="17.25" customHeight="1">
      <c r="A873" s="32">
        <v>45220.0</v>
      </c>
      <c r="B873" s="5" t="s">
        <v>712</v>
      </c>
      <c r="C873" s="3" t="s">
        <v>893</v>
      </c>
      <c r="D873" s="5" t="s">
        <v>11</v>
      </c>
      <c r="E873" s="5">
        <v>3.0</v>
      </c>
      <c r="F873" s="3" t="s">
        <v>890</v>
      </c>
      <c r="G873" s="3" t="s">
        <v>224</v>
      </c>
      <c r="I873" s="3">
        <v>1.0</v>
      </c>
      <c r="J873" s="5">
        <v>2.0</v>
      </c>
      <c r="N873" s="3" t="b">
        <v>0</v>
      </c>
      <c r="R873" s="3">
        <v>0.0</v>
      </c>
      <c r="T873" s="3">
        <v>10.0</v>
      </c>
      <c r="U873" s="3">
        <v>9.0</v>
      </c>
      <c r="V873" s="3" t="s">
        <v>894</v>
      </c>
      <c r="W873" s="3" t="s">
        <v>344</v>
      </c>
      <c r="X873" s="77" t="s">
        <v>892</v>
      </c>
      <c r="Y873" s="3">
        <v>5.0</v>
      </c>
      <c r="Z873" s="3">
        <v>2.0</v>
      </c>
      <c r="AA873" s="3">
        <f>2+ (P873*'Scoring System'!$B$3)+ (IF(OR(D873="DEF",D873="GK"),N873*'Scoring System'!$B$4,IF(D873="MID",N873*'Scoring System'!$B$5,0)))+ (IF(OR(D873="DEF",D873="GK"),H873*'Scoring System'!$B$6,IF(D873="MID",H873*'Scoring System'!$B$7,IF(D873="ATT",H873*'Scoring System'!$B$8,0))))+ IF(AND(OR(D873="GK",D873="DEF"),J873&gt;=3),1*'Scoring System'!$B$9,0)+ (I873*'Scoring System'!$B$10)+ (K873*'Scoring System'!$B$11)+ (M873*'Scoring System'!$B$12)+ (L873*'Scoring System'!$B$13)+ (O873*'Scoring System'!$B$14)+ (Q873*'Scoring System'!$B$15)+ (R873*'Scoring System'!$B$16)</f>
        <v>5</v>
      </c>
      <c r="AB873" s="3" t="b">
        <f>IFERROR(match(C873,'Match Day Fees'!$B$2:$B$999,0),0)=0</f>
        <v>0</v>
      </c>
      <c r="AC873" s="3">
        <f t="shared" si="2"/>
        <v>0</v>
      </c>
      <c r="AD873" s="3" t="str">
        <f>VLOOKUP(D873,'Position Lookup'!A:B,1,FALSE)</f>
        <v>DEF</v>
      </c>
    </row>
    <row r="874" ht="17.25" customHeight="1">
      <c r="A874" s="32">
        <v>45220.0</v>
      </c>
      <c r="B874" s="5" t="s">
        <v>712</v>
      </c>
      <c r="C874" s="3" t="s">
        <v>254</v>
      </c>
      <c r="D874" s="5" t="s">
        <v>9</v>
      </c>
      <c r="E874" s="5">
        <v>3.0</v>
      </c>
      <c r="F874" s="3" t="s">
        <v>890</v>
      </c>
      <c r="G874" s="3" t="s">
        <v>224</v>
      </c>
      <c r="I874" s="3">
        <v>1.0</v>
      </c>
      <c r="J874" s="5">
        <v>2.0</v>
      </c>
      <c r="N874" s="3" t="b">
        <v>0</v>
      </c>
      <c r="R874" s="3">
        <v>0.0</v>
      </c>
      <c r="T874" s="3">
        <v>0.0</v>
      </c>
      <c r="U874" s="3">
        <v>8.0</v>
      </c>
      <c r="V874" s="3" t="s">
        <v>895</v>
      </c>
      <c r="W874" s="3" t="s">
        <v>344</v>
      </c>
      <c r="X874" s="77" t="s">
        <v>892</v>
      </c>
      <c r="Y874" s="3">
        <v>5.0</v>
      </c>
      <c r="Z874" s="3">
        <v>2.0</v>
      </c>
      <c r="AA874" s="3">
        <f>2+ (P874*'Scoring System'!$B$3)+ (IF(OR(D874="DEF",D874="GK"),N874*'Scoring System'!$B$4,IF(D874="MID",N874*'Scoring System'!$B$5,0)))+ (IF(OR(D874="DEF",D874="GK"),H874*'Scoring System'!$B$6,IF(D874="MID",H874*'Scoring System'!$B$7,IF(D874="ATT",H874*'Scoring System'!$B$8,0))))+ IF(AND(OR(D874="GK",D874="DEF"),J874&gt;=3),1*'Scoring System'!$B$9,0)+ (I874*'Scoring System'!$B$10)+ (K874*'Scoring System'!$B$11)+ (M874*'Scoring System'!$B$12)+ (L874*'Scoring System'!$B$13)+ (O874*'Scoring System'!$B$14)+ (Q874*'Scoring System'!$B$15)+ (R874*'Scoring System'!$B$16)</f>
        <v>5</v>
      </c>
      <c r="AB874" s="3" t="b">
        <f>IFERROR(match(C874,'Match Day Fees'!$B$2:$B$999,0),0)=0</f>
        <v>0</v>
      </c>
      <c r="AC874" s="3">
        <f t="shared" si="2"/>
        <v>0</v>
      </c>
      <c r="AD874" s="3" t="str">
        <f>VLOOKUP(D874,'Position Lookup'!A:B,1,FALSE)</f>
        <v>ATT</v>
      </c>
    </row>
    <row r="875" ht="17.25" customHeight="1">
      <c r="A875" s="32">
        <v>45220.0</v>
      </c>
      <c r="B875" s="5" t="s">
        <v>712</v>
      </c>
      <c r="C875" s="3" t="s">
        <v>108</v>
      </c>
      <c r="D875" s="5" t="s">
        <v>11</v>
      </c>
      <c r="E875" s="5">
        <v>3.0</v>
      </c>
      <c r="F875" s="3" t="s">
        <v>890</v>
      </c>
      <c r="G875" s="3" t="s">
        <v>224</v>
      </c>
      <c r="J875" s="5">
        <v>2.0</v>
      </c>
      <c r="N875" s="3" t="b">
        <v>0</v>
      </c>
      <c r="R875" s="3">
        <v>0.0</v>
      </c>
      <c r="T875" s="3">
        <v>10.0</v>
      </c>
      <c r="U875" s="3">
        <v>7.5</v>
      </c>
      <c r="V875" s="3" t="s">
        <v>896</v>
      </c>
      <c r="W875" s="3" t="s">
        <v>344</v>
      </c>
      <c r="X875" s="77" t="s">
        <v>892</v>
      </c>
      <c r="Y875" s="3">
        <v>5.0</v>
      </c>
      <c r="Z875" s="3">
        <v>2.0</v>
      </c>
      <c r="AA875" s="3">
        <f>2+ (P875*'Scoring System'!$B$3)+ (IF(OR(D875="DEF",D875="GK"),N875*'Scoring System'!$B$4,IF(D875="MID",N875*'Scoring System'!$B$5,0)))+ (IF(OR(D875="DEF",D875="GK"),H875*'Scoring System'!$B$6,IF(D875="MID",H875*'Scoring System'!$B$7,IF(D875="ATT",H875*'Scoring System'!$B$8,0))))+ IF(AND(OR(D875="GK",D875="DEF"),J875&gt;=3),1*'Scoring System'!$B$9,0)+ (I875*'Scoring System'!$B$10)+ (K875*'Scoring System'!$B$11)+ (M875*'Scoring System'!$B$12)+ (L875*'Scoring System'!$B$13)+ (O875*'Scoring System'!$B$14)+ (Q875*'Scoring System'!$B$15)+ (R875*'Scoring System'!$B$16)</f>
        <v>2</v>
      </c>
      <c r="AB875" s="3" t="b">
        <f>IFERROR(match(C875,'Match Day Fees'!$B$2:$B$999,0),0)=0</f>
        <v>0</v>
      </c>
      <c r="AC875" s="3">
        <f t="shared" si="2"/>
        <v>0</v>
      </c>
      <c r="AD875" s="3" t="str">
        <f>VLOOKUP(D875,'Position Lookup'!A:B,1,FALSE)</f>
        <v>DEF</v>
      </c>
    </row>
    <row r="876" ht="17.25" customHeight="1">
      <c r="A876" s="32">
        <v>45220.0</v>
      </c>
      <c r="B876" s="5" t="s">
        <v>712</v>
      </c>
      <c r="C876" s="3" t="s">
        <v>149</v>
      </c>
      <c r="D876" s="5" t="s">
        <v>11</v>
      </c>
      <c r="E876" s="5">
        <v>3.0</v>
      </c>
      <c r="F876" s="3" t="s">
        <v>890</v>
      </c>
      <c r="G876" s="3" t="s">
        <v>224</v>
      </c>
      <c r="J876" s="5">
        <v>2.0</v>
      </c>
      <c r="N876" s="3" t="b">
        <v>0</v>
      </c>
      <c r="R876" s="3">
        <v>0.0</v>
      </c>
      <c r="T876" s="3">
        <v>10.0</v>
      </c>
      <c r="U876" s="3">
        <v>6.0</v>
      </c>
      <c r="V876" s="3" t="s">
        <v>897</v>
      </c>
      <c r="W876" s="3" t="s">
        <v>344</v>
      </c>
      <c r="X876" s="77" t="s">
        <v>892</v>
      </c>
      <c r="Y876" s="3">
        <v>5.0</v>
      </c>
      <c r="Z876" s="3">
        <v>2.0</v>
      </c>
      <c r="AA876" s="3">
        <f>2+ (P876*'Scoring System'!$B$3)+ (IF(OR(D876="DEF",D876="GK"),N876*'Scoring System'!$B$4,IF(D876="MID",N876*'Scoring System'!$B$5,0)))+ (IF(OR(D876="DEF",D876="GK"),H876*'Scoring System'!$B$6,IF(D876="MID",H876*'Scoring System'!$B$7,IF(D876="ATT",H876*'Scoring System'!$B$8,0))))+ IF(AND(OR(D876="GK",D876="DEF"),J876&gt;=3),1*'Scoring System'!$B$9,0)+ (I876*'Scoring System'!$B$10)+ (K876*'Scoring System'!$B$11)+ (M876*'Scoring System'!$B$12)+ (L876*'Scoring System'!$B$13)+ (O876*'Scoring System'!$B$14)+ (Q876*'Scoring System'!$B$15)+ (R876*'Scoring System'!$B$16)</f>
        <v>2</v>
      </c>
      <c r="AB876" s="3" t="b">
        <f>IFERROR(match(C876,'Match Day Fees'!$B$2:$B$999,0),0)=0</f>
        <v>0</v>
      </c>
      <c r="AC876" s="3">
        <f t="shared" si="2"/>
        <v>0</v>
      </c>
      <c r="AD876" s="3" t="str">
        <f>VLOOKUP(D876,'Position Lookup'!A:B,1,FALSE)</f>
        <v>DEF</v>
      </c>
    </row>
    <row r="877" ht="17.25" customHeight="1">
      <c r="A877" s="32">
        <v>45220.0</v>
      </c>
      <c r="B877" s="5" t="s">
        <v>712</v>
      </c>
      <c r="C877" s="3" t="s">
        <v>113</v>
      </c>
      <c r="D877" s="5" t="s">
        <v>10</v>
      </c>
      <c r="E877" s="5">
        <v>3.0</v>
      </c>
      <c r="F877" s="3" t="s">
        <v>890</v>
      </c>
      <c r="G877" s="3" t="s">
        <v>224</v>
      </c>
      <c r="J877" s="5">
        <v>2.0</v>
      </c>
      <c r="N877" s="3" t="b">
        <v>0</v>
      </c>
      <c r="R877" s="3">
        <v>1.0</v>
      </c>
      <c r="T877" s="3">
        <v>10.0</v>
      </c>
      <c r="U877" s="3">
        <v>8.5</v>
      </c>
      <c r="V877" s="3" t="s">
        <v>898</v>
      </c>
      <c r="W877" s="3" t="s">
        <v>344</v>
      </c>
      <c r="X877" s="77" t="s">
        <v>892</v>
      </c>
      <c r="Y877" s="3">
        <v>5.0</v>
      </c>
      <c r="Z877" s="3">
        <v>2.0</v>
      </c>
      <c r="AA877" s="3">
        <f>2+ (P877*'Scoring System'!$B$3)+ (IF(OR(D877="DEF",D877="GK"),N877*'Scoring System'!$B$4,IF(D877="MID",N877*'Scoring System'!$B$5,0)))+ (IF(OR(D877="DEF",D877="GK"),H877*'Scoring System'!$B$6,IF(D877="MID",H877*'Scoring System'!$B$7,IF(D877="ATT",H877*'Scoring System'!$B$8,0))))+ IF(AND(OR(D877="GK",D877="DEF"),J877&gt;=3),1*'Scoring System'!$B$9,0)+ (I877*'Scoring System'!$B$10)+ (K877*'Scoring System'!$B$11)+ (M877*'Scoring System'!$B$12)+ (L877*'Scoring System'!$B$13)+ (O877*'Scoring System'!$B$14)+ (Q877*'Scoring System'!$B$15)+ (R877*'Scoring System'!$B$16)</f>
        <v>7</v>
      </c>
      <c r="AB877" s="3" t="b">
        <f>IFERROR(match(C877,'Match Day Fees'!$B$2:$B$999,0),0)=0</f>
        <v>0</v>
      </c>
      <c r="AC877" s="3">
        <f t="shared" si="2"/>
        <v>0</v>
      </c>
      <c r="AD877" s="3" t="str">
        <f>VLOOKUP(D877,'Position Lookup'!A:B,1,FALSE)</f>
        <v>MID</v>
      </c>
    </row>
    <row r="878" ht="17.25" customHeight="1">
      <c r="A878" s="32">
        <v>45220.0</v>
      </c>
      <c r="B878" s="5" t="s">
        <v>712</v>
      </c>
      <c r="C878" s="3" t="s">
        <v>112</v>
      </c>
      <c r="D878" s="5" t="s">
        <v>10</v>
      </c>
      <c r="E878" s="5">
        <v>3.0</v>
      </c>
      <c r="F878" s="3" t="s">
        <v>890</v>
      </c>
      <c r="G878" s="3" t="s">
        <v>224</v>
      </c>
      <c r="H878" s="3">
        <v>1.0</v>
      </c>
      <c r="I878" s="3">
        <v>1.0</v>
      </c>
      <c r="J878" s="5">
        <v>2.0</v>
      </c>
      <c r="N878" s="3" t="b">
        <v>0</v>
      </c>
      <c r="R878" s="3">
        <v>0.0</v>
      </c>
      <c r="T878" s="3">
        <v>10.0</v>
      </c>
      <c r="U878" s="3">
        <v>8.5</v>
      </c>
      <c r="V878" s="3" t="s">
        <v>899</v>
      </c>
      <c r="W878" s="3" t="s">
        <v>344</v>
      </c>
      <c r="X878" s="77" t="s">
        <v>892</v>
      </c>
      <c r="Y878" s="3">
        <v>5.0</v>
      </c>
      <c r="Z878" s="3">
        <v>2.0</v>
      </c>
      <c r="AA878" s="3">
        <f>2+ (P878*'Scoring System'!$B$3)+ (IF(OR(D878="DEF",D878="GK"),N878*'Scoring System'!$B$4,IF(D878="MID",N878*'Scoring System'!$B$5,0)))+ (IF(OR(D878="DEF",D878="GK"),H878*'Scoring System'!$B$6,IF(D878="MID",H878*'Scoring System'!$B$7,IF(D878="ATT",H878*'Scoring System'!$B$8,0))))+ IF(AND(OR(D878="GK",D878="DEF"),J878&gt;=3),1*'Scoring System'!$B$9,0)+ (I878*'Scoring System'!$B$10)+ (K878*'Scoring System'!$B$11)+ (M878*'Scoring System'!$B$12)+ (L878*'Scoring System'!$B$13)+ (O878*'Scoring System'!$B$14)+ (Q878*'Scoring System'!$B$15)+ (R878*'Scoring System'!$B$16)</f>
        <v>10</v>
      </c>
      <c r="AB878" s="3" t="b">
        <f>IFERROR(match(C878,'Match Day Fees'!$B$2:$B$999,0),0)=0</f>
        <v>0</v>
      </c>
      <c r="AC878" s="3">
        <f t="shared" si="2"/>
        <v>0</v>
      </c>
      <c r="AD878" s="3" t="str">
        <f>VLOOKUP(D878,'Position Lookup'!A:B,1,FALSE)</f>
        <v>MID</v>
      </c>
    </row>
    <row r="879" ht="17.25" customHeight="1">
      <c r="A879" s="32">
        <v>45220.0</v>
      </c>
      <c r="B879" s="5" t="s">
        <v>712</v>
      </c>
      <c r="C879" s="3" t="s">
        <v>308</v>
      </c>
      <c r="D879" s="5" t="s">
        <v>10</v>
      </c>
      <c r="E879" s="5">
        <v>3.0</v>
      </c>
      <c r="F879" s="3" t="s">
        <v>890</v>
      </c>
      <c r="G879" s="3" t="s">
        <v>224</v>
      </c>
      <c r="H879" s="3">
        <v>1.0</v>
      </c>
      <c r="J879" s="5">
        <v>2.0</v>
      </c>
      <c r="N879" s="3" t="b">
        <v>0</v>
      </c>
      <c r="R879" s="3">
        <v>0.0</v>
      </c>
      <c r="T879" s="3">
        <v>10.0</v>
      </c>
      <c r="U879" s="3">
        <v>8.0</v>
      </c>
      <c r="V879" s="3" t="s">
        <v>900</v>
      </c>
      <c r="W879" s="3" t="s">
        <v>344</v>
      </c>
      <c r="X879" s="77" t="s">
        <v>892</v>
      </c>
      <c r="Y879" s="3">
        <v>5.0</v>
      </c>
      <c r="Z879" s="3">
        <v>2.0</v>
      </c>
      <c r="AA879" s="3">
        <f>2+ (P879*'Scoring System'!$B$3)+ (IF(OR(D879="DEF",D879="GK"),N879*'Scoring System'!$B$4,IF(D879="MID",N879*'Scoring System'!$B$5,0)))+ (IF(OR(D879="DEF",D879="GK"),H879*'Scoring System'!$B$6,IF(D879="MID",H879*'Scoring System'!$B$7,IF(D879="ATT",H879*'Scoring System'!$B$8,0))))+ IF(AND(OR(D879="GK",D879="DEF"),J879&gt;=3),1*'Scoring System'!$B$9,0)+ (I879*'Scoring System'!$B$10)+ (K879*'Scoring System'!$B$11)+ (M879*'Scoring System'!$B$12)+ (L879*'Scoring System'!$B$13)+ (O879*'Scoring System'!$B$14)+ (Q879*'Scoring System'!$B$15)+ (R879*'Scoring System'!$B$16)</f>
        <v>7</v>
      </c>
      <c r="AB879" s="3" t="b">
        <f>IFERROR(match(C879,'Match Day Fees'!$B$2:$B$999,0),0)=0</f>
        <v>0</v>
      </c>
      <c r="AC879" s="3">
        <f t="shared" si="2"/>
        <v>0</v>
      </c>
      <c r="AD879" s="3" t="str">
        <f>VLOOKUP(D879,'Position Lookup'!A:B,1,FALSE)</f>
        <v>MID</v>
      </c>
    </row>
    <row r="880" ht="17.25" customHeight="1">
      <c r="A880" s="32">
        <v>45220.0</v>
      </c>
      <c r="B880" s="5" t="s">
        <v>712</v>
      </c>
      <c r="C880" s="5" t="s">
        <v>258</v>
      </c>
      <c r="D880" s="5" t="s">
        <v>9</v>
      </c>
      <c r="E880" s="5">
        <v>3.0</v>
      </c>
      <c r="F880" s="3" t="s">
        <v>890</v>
      </c>
      <c r="G880" s="3" t="s">
        <v>224</v>
      </c>
      <c r="I880" s="3">
        <v>1.0</v>
      </c>
      <c r="J880" s="5">
        <v>2.0</v>
      </c>
      <c r="K880" s="3">
        <v>1.0</v>
      </c>
      <c r="N880" s="3" t="b">
        <v>0</v>
      </c>
      <c r="R880" s="3">
        <v>0.0</v>
      </c>
      <c r="T880" s="3">
        <v>5.0</v>
      </c>
      <c r="U880" s="3">
        <v>6.5</v>
      </c>
      <c r="V880" s="3" t="s">
        <v>901</v>
      </c>
      <c r="W880" s="3" t="s">
        <v>344</v>
      </c>
      <c r="X880" s="77" t="s">
        <v>892</v>
      </c>
      <c r="Y880" s="3">
        <v>5.0</v>
      </c>
      <c r="Z880" s="3">
        <v>2.0</v>
      </c>
      <c r="AA880" s="3">
        <f>2+ (P880*'Scoring System'!$B$3)+ (IF(OR(D880="DEF",D880="GK"),N880*'Scoring System'!$B$4,IF(D880="MID",N880*'Scoring System'!$B$5,0)))+ (IF(OR(D880="DEF",D880="GK"),H880*'Scoring System'!$B$6,IF(D880="MID",H880*'Scoring System'!$B$7,IF(D880="ATT",H880*'Scoring System'!$B$8,0))))+ IF(AND(OR(D880="GK",D880="DEF"),J880&gt;=3),1*'Scoring System'!$B$9,0)+ (I880*'Scoring System'!$B$10)+ (K880*'Scoring System'!$B$11)+ (M880*'Scoring System'!$B$12)+ (L880*'Scoring System'!$B$13)+ (O880*'Scoring System'!$B$14)+ (Q880*'Scoring System'!$B$15)+ (R880*'Scoring System'!$B$16)</f>
        <v>4</v>
      </c>
      <c r="AB880" s="3" t="b">
        <f>IFERROR(match(C880,'Match Day Fees'!$B$2:$B$999,0),0)=0</f>
        <v>0</v>
      </c>
      <c r="AC880" s="3">
        <f t="shared" si="2"/>
        <v>0</v>
      </c>
      <c r="AD880" s="3" t="str">
        <f>VLOOKUP(D880,'Position Lookup'!A:B,1,FALSE)</f>
        <v>ATT</v>
      </c>
    </row>
    <row r="881" ht="17.25" customHeight="1">
      <c r="A881" s="32">
        <v>45220.0</v>
      </c>
      <c r="B881" s="5" t="s">
        <v>712</v>
      </c>
      <c r="C881" s="3" t="s">
        <v>74</v>
      </c>
      <c r="D881" s="5" t="s">
        <v>9</v>
      </c>
      <c r="E881" s="5">
        <v>3.0</v>
      </c>
      <c r="F881" s="3" t="s">
        <v>890</v>
      </c>
      <c r="G881" s="3" t="s">
        <v>224</v>
      </c>
      <c r="H881" s="3">
        <v>2.0</v>
      </c>
      <c r="J881" s="5">
        <v>2.0</v>
      </c>
      <c r="N881" s="3" t="b">
        <v>0</v>
      </c>
      <c r="R881" s="3">
        <v>0.0</v>
      </c>
      <c r="T881" s="3">
        <v>10.0</v>
      </c>
      <c r="U881" s="3">
        <v>8.0</v>
      </c>
      <c r="V881" s="3" t="s">
        <v>902</v>
      </c>
      <c r="W881" s="3" t="s">
        <v>344</v>
      </c>
      <c r="X881" s="77" t="s">
        <v>892</v>
      </c>
      <c r="Y881" s="3">
        <v>5.0</v>
      </c>
      <c r="Z881" s="3">
        <v>2.0</v>
      </c>
      <c r="AA881" s="3">
        <f>2+ (P881*'Scoring System'!$B$3)+ (IF(OR(D881="DEF",D881="GK"),N881*'Scoring System'!$B$4,IF(D881="MID",N881*'Scoring System'!$B$5,0)))+ (IF(OR(D881="DEF",D881="GK"),H881*'Scoring System'!$B$6,IF(D881="MID",H881*'Scoring System'!$B$7,IF(D881="ATT",H881*'Scoring System'!$B$8,0))))+ IF(AND(OR(D881="GK",D881="DEF"),J881&gt;=3),1*'Scoring System'!$B$9,0)+ (I881*'Scoring System'!$B$10)+ (K881*'Scoring System'!$B$11)+ (M881*'Scoring System'!$B$12)+ (L881*'Scoring System'!$B$13)+ (O881*'Scoring System'!$B$14)+ (Q881*'Scoring System'!$B$15)+ (R881*'Scoring System'!$B$16)</f>
        <v>10</v>
      </c>
      <c r="AB881" s="3" t="b">
        <f>IFERROR(match(C881,'Match Day Fees'!$B$2:$B$999,0),0)=0</f>
        <v>0</v>
      </c>
      <c r="AC881" s="3">
        <f t="shared" si="2"/>
        <v>0</v>
      </c>
      <c r="AD881" s="3" t="str">
        <f>VLOOKUP(D881,'Position Lookup'!A:B,1,FALSE)</f>
        <v>ATT</v>
      </c>
    </row>
    <row r="882" ht="17.25" customHeight="1">
      <c r="A882" s="32">
        <v>45220.0</v>
      </c>
      <c r="B882" s="5" t="s">
        <v>712</v>
      </c>
      <c r="C882" s="3" t="s">
        <v>46</v>
      </c>
      <c r="D882" s="5" t="s">
        <v>9</v>
      </c>
      <c r="E882" s="5">
        <v>3.0</v>
      </c>
      <c r="F882" s="3" t="s">
        <v>890</v>
      </c>
      <c r="G882" s="3" t="s">
        <v>224</v>
      </c>
      <c r="H882" s="3">
        <v>1.0</v>
      </c>
      <c r="J882" s="5">
        <v>2.0</v>
      </c>
      <c r="N882" s="3" t="b">
        <v>0</v>
      </c>
      <c r="R882" s="3">
        <v>0.0</v>
      </c>
      <c r="T882" s="3">
        <v>10.0</v>
      </c>
      <c r="U882" s="3">
        <v>7.5</v>
      </c>
      <c r="V882" s="3" t="s">
        <v>903</v>
      </c>
      <c r="W882" s="3" t="s">
        <v>344</v>
      </c>
      <c r="X882" s="77" t="s">
        <v>892</v>
      </c>
      <c r="Y882" s="3">
        <v>5.0</v>
      </c>
      <c r="Z882" s="3">
        <v>2.0</v>
      </c>
      <c r="AA882" s="3">
        <f>2+ (P882*'Scoring System'!$B$3)+ (IF(OR(D882="DEF",D882="GK"),N882*'Scoring System'!$B$4,IF(D882="MID",N882*'Scoring System'!$B$5,0)))+ (IF(OR(D882="DEF",D882="GK"),H882*'Scoring System'!$B$6,IF(D882="MID",H882*'Scoring System'!$B$7,IF(D882="ATT",H882*'Scoring System'!$B$8,0))))+ IF(AND(OR(D882="GK",D882="DEF"),J882&gt;=3),1*'Scoring System'!$B$9,0)+ (I882*'Scoring System'!$B$10)+ (K882*'Scoring System'!$B$11)+ (M882*'Scoring System'!$B$12)+ (L882*'Scoring System'!$B$13)+ (O882*'Scoring System'!$B$14)+ (Q882*'Scoring System'!$B$15)+ (R882*'Scoring System'!$B$16)</f>
        <v>6</v>
      </c>
      <c r="AB882" s="3" t="b">
        <f>IFERROR(match(C882,'Match Day Fees'!$B$2:$B$999,0),0)=0</f>
        <v>0</v>
      </c>
      <c r="AC882" s="3">
        <f t="shared" si="2"/>
        <v>0</v>
      </c>
      <c r="AD882" s="3" t="str">
        <f>VLOOKUP(D882,'Position Lookup'!A:B,1,FALSE)</f>
        <v>ATT</v>
      </c>
    </row>
    <row r="883" ht="17.25" customHeight="1">
      <c r="A883" s="32">
        <v>45220.0</v>
      </c>
      <c r="B883" s="5" t="s">
        <v>712</v>
      </c>
      <c r="C883" s="3" t="s">
        <v>105</v>
      </c>
      <c r="D883" s="5" t="s">
        <v>9</v>
      </c>
      <c r="E883" s="5">
        <v>3.0</v>
      </c>
      <c r="F883" s="3" t="s">
        <v>890</v>
      </c>
      <c r="G883" s="3" t="s">
        <v>224</v>
      </c>
      <c r="J883" s="5">
        <v>2.0</v>
      </c>
      <c r="N883" s="3" t="b">
        <v>0</v>
      </c>
      <c r="R883" s="3">
        <v>0.0</v>
      </c>
      <c r="T883" s="3">
        <v>5.0</v>
      </c>
      <c r="U883" s="3">
        <v>7.5</v>
      </c>
      <c r="V883" s="3" t="s">
        <v>904</v>
      </c>
      <c r="W883" s="3" t="s">
        <v>344</v>
      </c>
      <c r="X883" s="77" t="s">
        <v>892</v>
      </c>
      <c r="Y883" s="3">
        <v>5.0</v>
      </c>
      <c r="Z883" s="3">
        <v>2.0</v>
      </c>
      <c r="AA883" s="3">
        <f>2+ (P883*'Scoring System'!$B$3)+ (IF(OR(D883="DEF",D883="GK"),N883*'Scoring System'!$B$4,IF(D883="MID",N883*'Scoring System'!$B$5,0)))+ (IF(OR(D883="DEF",D883="GK"),H883*'Scoring System'!$B$6,IF(D883="MID",H883*'Scoring System'!$B$7,IF(D883="ATT",H883*'Scoring System'!$B$8,0))))+ IF(AND(OR(D883="GK",D883="DEF"),J883&gt;=3),1*'Scoring System'!$B$9,0)+ (I883*'Scoring System'!$B$10)+ (K883*'Scoring System'!$B$11)+ (M883*'Scoring System'!$B$12)+ (L883*'Scoring System'!$B$13)+ (O883*'Scoring System'!$B$14)+ (Q883*'Scoring System'!$B$15)+ (R883*'Scoring System'!$B$16)</f>
        <v>2</v>
      </c>
      <c r="AB883" s="3" t="b">
        <f>IFERROR(match(C883,'Match Day Fees'!$B$2:$B$999,0),0)=0</f>
        <v>0</v>
      </c>
      <c r="AC883" s="3">
        <f t="shared" si="2"/>
        <v>0</v>
      </c>
      <c r="AD883" s="3" t="str">
        <f>VLOOKUP(D883,'Position Lookup'!A:B,1,FALSE)</f>
        <v>ATT</v>
      </c>
    </row>
    <row r="884" ht="17.25" customHeight="1">
      <c r="A884" s="32">
        <v>45220.0</v>
      </c>
      <c r="B884" s="5" t="s">
        <v>712</v>
      </c>
      <c r="C884" s="3" t="s">
        <v>119</v>
      </c>
      <c r="D884" s="5" t="s">
        <v>11</v>
      </c>
      <c r="E884" s="5">
        <v>3.0</v>
      </c>
      <c r="F884" s="3" t="s">
        <v>890</v>
      </c>
      <c r="G884" s="3" t="s">
        <v>224</v>
      </c>
      <c r="J884" s="5">
        <v>2.0</v>
      </c>
      <c r="N884" s="3" t="b">
        <v>0</v>
      </c>
      <c r="R884" s="3">
        <v>0.0</v>
      </c>
      <c r="T884" s="3">
        <v>10.0</v>
      </c>
      <c r="U884" s="3">
        <v>7.5</v>
      </c>
      <c r="V884" s="3" t="s">
        <v>905</v>
      </c>
      <c r="W884" s="3" t="s">
        <v>344</v>
      </c>
      <c r="X884" s="77" t="s">
        <v>892</v>
      </c>
      <c r="Y884" s="3">
        <v>5.0</v>
      </c>
      <c r="Z884" s="3">
        <v>2.0</v>
      </c>
      <c r="AA884" s="3">
        <f>2+ (P884*'Scoring System'!$B$3)+ (IF(OR(D884="DEF",D884="GK"),N884*'Scoring System'!$B$4,IF(D884="MID",N884*'Scoring System'!$B$5,0)))+ (IF(OR(D884="DEF",D884="GK"),H884*'Scoring System'!$B$6,IF(D884="MID",H884*'Scoring System'!$B$7,IF(D884="ATT",H884*'Scoring System'!$B$8,0))))+ IF(AND(OR(D884="GK",D884="DEF"),J884&gt;=3),1*'Scoring System'!$B$9,0)+ (I884*'Scoring System'!$B$10)+ (K884*'Scoring System'!$B$11)+ (M884*'Scoring System'!$B$12)+ (L884*'Scoring System'!$B$13)+ (O884*'Scoring System'!$B$14)+ (Q884*'Scoring System'!$B$15)+ (R884*'Scoring System'!$B$16)</f>
        <v>2</v>
      </c>
      <c r="AB884" s="3" t="b">
        <f>IFERROR(match(C884,'Match Day Fees'!$B$2:$B$999,0),0)=0</f>
        <v>0</v>
      </c>
      <c r="AC884" s="3">
        <f t="shared" si="2"/>
        <v>0</v>
      </c>
      <c r="AD884" s="3" t="str">
        <f>VLOOKUP(D884,'Position Lookup'!A:B,1,FALSE)</f>
        <v>DEF</v>
      </c>
    </row>
    <row r="885" ht="17.25" customHeight="1">
      <c r="A885" s="32">
        <v>45220.0</v>
      </c>
      <c r="B885" s="5" t="s">
        <v>712</v>
      </c>
      <c r="C885" s="3" t="s">
        <v>474</v>
      </c>
      <c r="D885" s="5" t="s">
        <v>10</v>
      </c>
      <c r="E885" s="5">
        <v>3.0</v>
      </c>
      <c r="F885" s="3" t="s">
        <v>890</v>
      </c>
      <c r="G885" s="3" t="s">
        <v>224</v>
      </c>
      <c r="J885" s="5">
        <v>2.0</v>
      </c>
      <c r="N885" s="3" t="b">
        <v>0</v>
      </c>
      <c r="R885" s="3">
        <v>0.0</v>
      </c>
      <c r="T885" s="3">
        <v>5.0</v>
      </c>
      <c r="U885" s="3">
        <v>8.0</v>
      </c>
      <c r="V885" s="3" t="s">
        <v>906</v>
      </c>
      <c r="W885" s="3" t="s">
        <v>344</v>
      </c>
      <c r="X885" s="77" t="s">
        <v>892</v>
      </c>
      <c r="Y885" s="3">
        <v>5.0</v>
      </c>
      <c r="Z885" s="3">
        <v>2.0</v>
      </c>
      <c r="AA885" s="3">
        <f>2+ (P885*'Scoring System'!$B$3)+ (IF(OR(D885="DEF",D885="GK"),N885*'Scoring System'!$B$4,IF(D885="MID",N885*'Scoring System'!$B$5,0)))+ (IF(OR(D885="DEF",D885="GK"),H885*'Scoring System'!$B$6,IF(D885="MID",H885*'Scoring System'!$B$7,IF(D885="ATT",H885*'Scoring System'!$B$8,0))))+ IF(AND(OR(D885="GK",D885="DEF"),J885&gt;=3),1*'Scoring System'!$B$9,0)+ (I885*'Scoring System'!$B$10)+ (K885*'Scoring System'!$B$11)+ (M885*'Scoring System'!$B$12)+ (L885*'Scoring System'!$B$13)+ (O885*'Scoring System'!$B$14)+ (Q885*'Scoring System'!$B$15)+ (R885*'Scoring System'!$B$16)</f>
        <v>2</v>
      </c>
      <c r="AB885" s="3" t="b">
        <f>IFERROR(match(C885,'Match Day Fees'!$B$2:$B$999,0),0)=0</f>
        <v>0</v>
      </c>
      <c r="AC885" s="3">
        <f t="shared" si="2"/>
        <v>0</v>
      </c>
      <c r="AD885" s="3" t="str">
        <f>VLOOKUP(D885,'Position Lookup'!A:B,1,FALSE)</f>
        <v>MID</v>
      </c>
    </row>
    <row r="886" ht="17.25" customHeight="1">
      <c r="A886" s="32">
        <v>45220.0</v>
      </c>
      <c r="B886" s="5" t="s">
        <v>712</v>
      </c>
      <c r="C886" s="3" t="s">
        <v>39</v>
      </c>
      <c r="D886" s="5" t="s">
        <v>11</v>
      </c>
      <c r="E886" s="5">
        <v>3.0</v>
      </c>
      <c r="F886" s="3" t="s">
        <v>890</v>
      </c>
      <c r="G886" s="3" t="s">
        <v>224</v>
      </c>
      <c r="J886" s="5">
        <v>2.0</v>
      </c>
      <c r="N886" s="3" t="b">
        <v>0</v>
      </c>
      <c r="R886" s="3">
        <v>0.0</v>
      </c>
      <c r="T886" s="3">
        <v>10.0</v>
      </c>
      <c r="U886" s="3">
        <v>9.0</v>
      </c>
      <c r="V886" s="3" t="s">
        <v>907</v>
      </c>
      <c r="W886" s="3" t="s">
        <v>344</v>
      </c>
      <c r="X886" s="77" t="s">
        <v>892</v>
      </c>
      <c r="Y886" s="3">
        <v>5.0</v>
      </c>
      <c r="Z886" s="3">
        <v>2.0</v>
      </c>
      <c r="AA886" s="3">
        <f>2+ (P886*'Scoring System'!$B$3)+ (IF(OR(D886="DEF",D886="GK"),N886*'Scoring System'!$B$4,IF(D886="MID",N886*'Scoring System'!$B$5,0)))+ (IF(OR(D886="DEF",D886="GK"),H886*'Scoring System'!$B$6,IF(D886="MID",H886*'Scoring System'!$B$7,IF(D886="ATT",H886*'Scoring System'!$B$8,0))))+ IF(AND(OR(D886="GK",D886="DEF"),J886&gt;=3),1*'Scoring System'!$B$9,0)+ (I886*'Scoring System'!$B$10)+ (K886*'Scoring System'!$B$11)+ (M886*'Scoring System'!$B$12)+ (L886*'Scoring System'!$B$13)+ (O886*'Scoring System'!$B$14)+ (Q886*'Scoring System'!$B$15)+ (R886*'Scoring System'!$B$16)</f>
        <v>2</v>
      </c>
      <c r="AB886" s="3" t="b">
        <f>IFERROR(match(C886,'Match Day Fees'!$B$2:$B$999,0),0)=0</f>
        <v>0</v>
      </c>
      <c r="AC886" s="3">
        <f t="shared" si="2"/>
        <v>0</v>
      </c>
      <c r="AD886" s="3" t="str">
        <f>VLOOKUP(D886,'Position Lookup'!A:B,1,FALSE)</f>
        <v>DEF</v>
      </c>
    </row>
    <row r="887" ht="17.25" customHeight="1">
      <c r="A887" s="32">
        <v>45220.0</v>
      </c>
      <c r="B887" s="5" t="s">
        <v>712</v>
      </c>
      <c r="C887" s="5" t="s">
        <v>908</v>
      </c>
      <c r="D887" s="3" t="s">
        <v>8</v>
      </c>
      <c r="E887" s="5">
        <v>4.0</v>
      </c>
      <c r="F887" s="3" t="s">
        <v>909</v>
      </c>
      <c r="G887" s="3" t="s">
        <v>230</v>
      </c>
      <c r="J887" s="5">
        <v>5.0</v>
      </c>
      <c r="N887" s="3" t="b">
        <v>0</v>
      </c>
      <c r="R887" s="3">
        <v>0.0</v>
      </c>
      <c r="T887" s="5">
        <v>0.0</v>
      </c>
      <c r="U887" s="3">
        <v>6.5</v>
      </c>
      <c r="V887" s="3" t="s">
        <v>910</v>
      </c>
      <c r="W887" s="3" t="s">
        <v>730</v>
      </c>
      <c r="X887" s="77" t="s">
        <v>911</v>
      </c>
      <c r="Y887" s="3">
        <v>1.0</v>
      </c>
      <c r="Z887" s="3">
        <v>5.0</v>
      </c>
      <c r="AA887" s="3">
        <f>2+ (P887*'Scoring System'!$B$3)+ (IF(OR(D887="DEF",D887="GK"),N887*'Scoring System'!$B$4,IF(D887="MID",N887*'Scoring System'!$B$5,0)))+ (IF(OR(D887="DEF",D887="GK"),H887*'Scoring System'!$B$6,IF(D887="MID",H887*'Scoring System'!$B$7,IF(D887="ATT",H887*'Scoring System'!$B$8,0))))+ IF(AND(OR(D887="GK",D887="DEF"),J887&gt;=3),1*'Scoring System'!$B$9,0)+ (I887*'Scoring System'!$B$10)+ (K887*'Scoring System'!$B$11)+ (M887*'Scoring System'!$B$12)+ (L887*'Scoring System'!$B$13)+ (O887*'Scoring System'!$B$14)+ (Q887*'Scoring System'!$B$15)+ (R887*'Scoring System'!$B$16)</f>
        <v>1</v>
      </c>
      <c r="AB887" s="3" t="b">
        <f>IFERROR(match(C887,'Match Day Fees'!$B$2:$B$999,0),0)=0</f>
        <v>0</v>
      </c>
      <c r="AC887" s="3">
        <f t="shared" si="2"/>
        <v>0</v>
      </c>
      <c r="AD887" s="3" t="str">
        <f>VLOOKUP(D887,'Position Lookup'!A:B,1,FALSE)</f>
        <v>GK</v>
      </c>
    </row>
    <row r="888" ht="17.25" customHeight="1">
      <c r="A888" s="32">
        <v>45220.0</v>
      </c>
      <c r="B888" s="5" t="s">
        <v>712</v>
      </c>
      <c r="C888" s="3" t="s">
        <v>126</v>
      </c>
      <c r="D888" s="5" t="s">
        <v>11</v>
      </c>
      <c r="E888" s="5">
        <v>4.0</v>
      </c>
      <c r="F888" s="3" t="s">
        <v>909</v>
      </c>
      <c r="G888" s="3" t="s">
        <v>230</v>
      </c>
      <c r="J888" s="5">
        <v>5.0</v>
      </c>
      <c r="N888" s="3" t="b">
        <v>0</v>
      </c>
      <c r="R888" s="3">
        <v>1.0</v>
      </c>
      <c r="T888" s="3">
        <v>5.0</v>
      </c>
      <c r="U888" s="3">
        <v>7.5</v>
      </c>
      <c r="V888" s="3" t="s">
        <v>912</v>
      </c>
      <c r="W888" s="3" t="s">
        <v>730</v>
      </c>
      <c r="X888" s="77" t="s">
        <v>911</v>
      </c>
      <c r="Y888" s="3">
        <v>1.0</v>
      </c>
      <c r="Z888" s="3">
        <v>5.0</v>
      </c>
      <c r="AA888" s="3">
        <f>2+ (P888*'Scoring System'!$B$3)+ (IF(OR(D888="DEF",D888="GK"),N888*'Scoring System'!$B$4,IF(D888="MID",N888*'Scoring System'!$B$5,0)))+ (IF(OR(D888="DEF",D888="GK"),H888*'Scoring System'!$B$6,IF(D888="MID",H888*'Scoring System'!$B$7,IF(D888="ATT",H888*'Scoring System'!$B$8,0))))+ IF(AND(OR(D888="GK",D888="DEF"),J888&gt;=3),1*'Scoring System'!$B$9,0)+ (I888*'Scoring System'!$B$10)+ (K888*'Scoring System'!$B$11)+ (M888*'Scoring System'!$B$12)+ (L888*'Scoring System'!$B$13)+ (O888*'Scoring System'!$B$14)+ (Q888*'Scoring System'!$B$15)+ (R888*'Scoring System'!$B$16)</f>
        <v>6</v>
      </c>
      <c r="AB888" s="3" t="b">
        <f>IFERROR(match(C888,'Match Day Fees'!$B$2:$B$999,0),0)=0</f>
        <v>0</v>
      </c>
      <c r="AC888" s="3">
        <f t="shared" si="2"/>
        <v>0</v>
      </c>
      <c r="AD888" s="3" t="str">
        <f>VLOOKUP(D888,'Position Lookup'!A:B,1,FALSE)</f>
        <v>DEF</v>
      </c>
    </row>
    <row r="889" ht="17.25" customHeight="1">
      <c r="A889" s="32">
        <v>45220.0</v>
      </c>
      <c r="B889" s="5" t="s">
        <v>712</v>
      </c>
      <c r="C889" s="3" t="s">
        <v>307</v>
      </c>
      <c r="D889" s="5" t="s">
        <v>11</v>
      </c>
      <c r="E889" s="5">
        <v>4.0</v>
      </c>
      <c r="F889" s="3" t="s">
        <v>909</v>
      </c>
      <c r="G889" s="3" t="s">
        <v>230</v>
      </c>
      <c r="J889" s="5">
        <v>5.0</v>
      </c>
      <c r="N889" s="3" t="b">
        <v>0</v>
      </c>
      <c r="R889" s="3">
        <v>0.0</v>
      </c>
      <c r="T889" s="3">
        <v>10.0</v>
      </c>
      <c r="U889" s="3">
        <v>7.0</v>
      </c>
      <c r="V889" s="3" t="s">
        <v>913</v>
      </c>
      <c r="W889" s="3" t="s">
        <v>730</v>
      </c>
      <c r="X889" s="77" t="s">
        <v>911</v>
      </c>
      <c r="Y889" s="3">
        <v>1.0</v>
      </c>
      <c r="Z889" s="3">
        <v>5.0</v>
      </c>
      <c r="AA889" s="3">
        <f>2+ (P889*'Scoring System'!$B$3)+ (IF(OR(D889="DEF",D889="GK"),N889*'Scoring System'!$B$4,IF(D889="MID",N889*'Scoring System'!$B$5,0)))+ (IF(OR(D889="DEF",D889="GK"),H889*'Scoring System'!$B$6,IF(D889="MID",H889*'Scoring System'!$B$7,IF(D889="ATT",H889*'Scoring System'!$B$8,0))))+ IF(AND(OR(D889="GK",D889="DEF"),J889&gt;=3),1*'Scoring System'!$B$9,0)+ (I889*'Scoring System'!$B$10)+ (K889*'Scoring System'!$B$11)+ (M889*'Scoring System'!$B$12)+ (L889*'Scoring System'!$B$13)+ (O889*'Scoring System'!$B$14)+ (Q889*'Scoring System'!$B$15)+ (R889*'Scoring System'!$B$16)</f>
        <v>1</v>
      </c>
      <c r="AB889" s="3" t="b">
        <f>IFERROR(match(C889,'Match Day Fees'!$B$2:$B$999,0),0)=0</f>
        <v>0</v>
      </c>
      <c r="AC889" s="3">
        <f t="shared" si="2"/>
        <v>0</v>
      </c>
      <c r="AD889" s="3" t="str">
        <f>VLOOKUP(D889,'Position Lookup'!A:B,1,FALSE)</f>
        <v>DEF</v>
      </c>
    </row>
    <row r="890" ht="17.25" customHeight="1">
      <c r="A890" s="32">
        <v>45220.0</v>
      </c>
      <c r="B890" s="5" t="s">
        <v>712</v>
      </c>
      <c r="C890" s="3" t="s">
        <v>248</v>
      </c>
      <c r="D890" s="5" t="s">
        <v>11</v>
      </c>
      <c r="E890" s="5">
        <v>4.0</v>
      </c>
      <c r="F890" s="3" t="s">
        <v>909</v>
      </c>
      <c r="G890" s="3" t="s">
        <v>230</v>
      </c>
      <c r="J890" s="5">
        <v>5.0</v>
      </c>
      <c r="N890" s="3" t="b">
        <v>0</v>
      </c>
      <c r="R890" s="3">
        <v>0.0</v>
      </c>
      <c r="T890" s="3">
        <v>5.0</v>
      </c>
      <c r="U890" s="3">
        <v>6.0</v>
      </c>
      <c r="V890" s="3" t="s">
        <v>914</v>
      </c>
      <c r="W890" s="3" t="s">
        <v>730</v>
      </c>
      <c r="X890" s="77" t="s">
        <v>911</v>
      </c>
      <c r="Y890" s="3">
        <v>1.0</v>
      </c>
      <c r="Z890" s="3">
        <v>5.0</v>
      </c>
      <c r="AA890" s="3">
        <f>2+ (P890*'Scoring System'!$B$3)+ (IF(OR(D890="DEF",D890="GK"),N890*'Scoring System'!$B$4,IF(D890="MID",N890*'Scoring System'!$B$5,0)))+ (IF(OR(D890="DEF",D890="GK"),H890*'Scoring System'!$B$6,IF(D890="MID",H890*'Scoring System'!$B$7,IF(D890="ATT",H890*'Scoring System'!$B$8,0))))+ IF(AND(OR(D890="GK",D890="DEF"),J890&gt;=3),1*'Scoring System'!$B$9,0)+ (I890*'Scoring System'!$B$10)+ (K890*'Scoring System'!$B$11)+ (M890*'Scoring System'!$B$12)+ (L890*'Scoring System'!$B$13)+ (O890*'Scoring System'!$B$14)+ (Q890*'Scoring System'!$B$15)+ (R890*'Scoring System'!$B$16)</f>
        <v>1</v>
      </c>
      <c r="AB890" s="3" t="b">
        <f>IFERROR(match(C890,'Match Day Fees'!$B$2:$B$999,0),0)=0</f>
        <v>0</v>
      </c>
      <c r="AC890" s="3">
        <f t="shared" si="2"/>
        <v>0</v>
      </c>
      <c r="AD890" s="3" t="str">
        <f>VLOOKUP(D890,'Position Lookup'!A:B,1,FALSE)</f>
        <v>DEF</v>
      </c>
    </row>
    <row r="891" ht="17.25" customHeight="1">
      <c r="A891" s="32">
        <v>45220.0</v>
      </c>
      <c r="B891" s="5" t="s">
        <v>712</v>
      </c>
      <c r="C891" s="3" t="s">
        <v>116</v>
      </c>
      <c r="D891" s="5" t="s">
        <v>11</v>
      </c>
      <c r="E891" s="5">
        <v>4.0</v>
      </c>
      <c r="F891" s="3" t="s">
        <v>909</v>
      </c>
      <c r="G891" s="3" t="s">
        <v>230</v>
      </c>
      <c r="J891" s="5">
        <v>5.0</v>
      </c>
      <c r="N891" s="3" t="b">
        <v>0</v>
      </c>
      <c r="R891" s="3">
        <v>0.0</v>
      </c>
      <c r="T891" s="3">
        <v>10.0</v>
      </c>
      <c r="U891" s="3">
        <v>6.5</v>
      </c>
      <c r="V891" s="3" t="s">
        <v>915</v>
      </c>
      <c r="W891" s="3" t="s">
        <v>730</v>
      </c>
      <c r="X891" s="77" t="s">
        <v>911</v>
      </c>
      <c r="Y891" s="3">
        <v>1.0</v>
      </c>
      <c r="Z891" s="3">
        <v>5.0</v>
      </c>
      <c r="AA891" s="3">
        <f>2+ (P891*'Scoring System'!$B$3)+ (IF(OR(D891="DEF",D891="GK"),N891*'Scoring System'!$B$4,IF(D891="MID",N891*'Scoring System'!$B$5,0)))+ (IF(OR(D891="DEF",D891="GK"),H891*'Scoring System'!$B$6,IF(D891="MID",H891*'Scoring System'!$B$7,IF(D891="ATT",H891*'Scoring System'!$B$8,0))))+ IF(AND(OR(D891="GK",D891="DEF"),J891&gt;=3),1*'Scoring System'!$B$9,0)+ (I891*'Scoring System'!$B$10)+ (K891*'Scoring System'!$B$11)+ (M891*'Scoring System'!$B$12)+ (L891*'Scoring System'!$B$13)+ (O891*'Scoring System'!$B$14)+ (Q891*'Scoring System'!$B$15)+ (R891*'Scoring System'!$B$16)</f>
        <v>1</v>
      </c>
      <c r="AB891" s="3" t="b">
        <f>IFERROR(match(C891,'Match Day Fees'!$B$2:$B$999,0),0)=0</f>
        <v>0</v>
      </c>
      <c r="AC891" s="3">
        <f t="shared" si="2"/>
        <v>0</v>
      </c>
      <c r="AD891" s="3" t="str">
        <f>VLOOKUP(D891,'Position Lookup'!A:B,1,FALSE)</f>
        <v>DEF</v>
      </c>
    </row>
    <row r="892" ht="17.25" customHeight="1">
      <c r="A892" s="32">
        <v>45220.0</v>
      </c>
      <c r="B892" s="5" t="s">
        <v>712</v>
      </c>
      <c r="C892" s="3" t="s">
        <v>136</v>
      </c>
      <c r="D892" s="5" t="s">
        <v>10</v>
      </c>
      <c r="E892" s="5">
        <v>4.0</v>
      </c>
      <c r="F892" s="3" t="s">
        <v>909</v>
      </c>
      <c r="G892" s="3" t="s">
        <v>230</v>
      </c>
      <c r="J892" s="5">
        <v>5.0</v>
      </c>
      <c r="N892" s="3" t="b">
        <v>0</v>
      </c>
      <c r="R892" s="3">
        <v>0.0</v>
      </c>
      <c r="S892" s="3" t="b">
        <v>1</v>
      </c>
      <c r="T892" s="3">
        <v>0.0</v>
      </c>
      <c r="U892" s="3">
        <v>7.5</v>
      </c>
      <c r="V892" s="3" t="s">
        <v>916</v>
      </c>
      <c r="W892" s="3" t="s">
        <v>730</v>
      </c>
      <c r="X892" s="77" t="s">
        <v>911</v>
      </c>
      <c r="Y892" s="3">
        <v>1.0</v>
      </c>
      <c r="Z892" s="3">
        <v>5.0</v>
      </c>
      <c r="AA892" s="3">
        <f>2+ (P892*'Scoring System'!$B$3)+ (IF(OR(D892="DEF",D892="GK"),N892*'Scoring System'!$B$4,IF(D892="MID",N892*'Scoring System'!$B$5,0)))+ (IF(OR(D892="DEF",D892="GK"),H892*'Scoring System'!$B$6,IF(D892="MID",H892*'Scoring System'!$B$7,IF(D892="ATT",H892*'Scoring System'!$B$8,0))))+ IF(AND(OR(D892="GK",D892="DEF"),J892&gt;=3),1*'Scoring System'!$B$9,0)+ (I892*'Scoring System'!$B$10)+ (K892*'Scoring System'!$B$11)+ (M892*'Scoring System'!$B$12)+ (L892*'Scoring System'!$B$13)+ (O892*'Scoring System'!$B$14)+ (Q892*'Scoring System'!$B$15)+ (R892*'Scoring System'!$B$16)</f>
        <v>2</v>
      </c>
      <c r="AB892" s="3" t="b">
        <f>IFERROR(match(C892,'Match Day Fees'!$B$2:$B$999,0),0)=0</f>
        <v>0</v>
      </c>
      <c r="AC892" s="3">
        <f t="shared" si="2"/>
        <v>0</v>
      </c>
      <c r="AD892" s="3" t="str">
        <f>VLOOKUP(D892,'Position Lookup'!A:B,1,FALSE)</f>
        <v>MID</v>
      </c>
    </row>
    <row r="893" ht="17.25" customHeight="1">
      <c r="A893" s="32">
        <v>45220.0</v>
      </c>
      <c r="B893" s="5" t="s">
        <v>712</v>
      </c>
      <c r="C893" s="3" t="s">
        <v>103</v>
      </c>
      <c r="D893" s="5" t="s">
        <v>10</v>
      </c>
      <c r="E893" s="5">
        <v>4.0</v>
      </c>
      <c r="F893" s="3" t="s">
        <v>909</v>
      </c>
      <c r="G893" s="3" t="s">
        <v>230</v>
      </c>
      <c r="I893" s="5">
        <v>1.0</v>
      </c>
      <c r="J893" s="5">
        <v>5.0</v>
      </c>
      <c r="K893" s="3">
        <v>1.0</v>
      </c>
      <c r="N893" s="3" t="b">
        <v>0</v>
      </c>
      <c r="R893" s="3">
        <v>0.0</v>
      </c>
      <c r="T893" s="3">
        <v>10.0</v>
      </c>
      <c r="U893" s="3">
        <v>7.0</v>
      </c>
      <c r="V893" s="3" t="s">
        <v>917</v>
      </c>
      <c r="W893" s="3" t="s">
        <v>730</v>
      </c>
      <c r="X893" s="77" t="s">
        <v>911</v>
      </c>
      <c r="Y893" s="3">
        <v>1.0</v>
      </c>
      <c r="Z893" s="3">
        <v>5.0</v>
      </c>
      <c r="AA893" s="3">
        <f>2+ (P893*'Scoring System'!$B$3)+ (IF(OR(D893="DEF",D893="GK"),N893*'Scoring System'!$B$4,IF(D893="MID",N893*'Scoring System'!$B$5,0)))+ (IF(OR(D893="DEF",D893="GK"),H893*'Scoring System'!$B$6,IF(D893="MID",H893*'Scoring System'!$B$7,IF(D893="ATT",H893*'Scoring System'!$B$8,0))))+ IF(AND(OR(D893="GK",D893="DEF"),J893&gt;=3),1*'Scoring System'!$B$9,0)+ (I893*'Scoring System'!$B$10)+ (K893*'Scoring System'!$B$11)+ (M893*'Scoring System'!$B$12)+ (L893*'Scoring System'!$B$13)+ (O893*'Scoring System'!$B$14)+ (Q893*'Scoring System'!$B$15)+ (R893*'Scoring System'!$B$16)</f>
        <v>4</v>
      </c>
      <c r="AB893" s="3" t="b">
        <f>IFERROR(match(C893,'Match Day Fees'!$B$2:$B$999,0),0)=0</f>
        <v>0</v>
      </c>
      <c r="AC893" s="3">
        <f t="shared" si="2"/>
        <v>0</v>
      </c>
      <c r="AD893" s="3" t="str">
        <f>VLOOKUP(D893,'Position Lookup'!A:B,1,FALSE)</f>
        <v>MID</v>
      </c>
    </row>
    <row r="894" ht="17.25" customHeight="1">
      <c r="A894" s="32">
        <v>45220.0</v>
      </c>
      <c r="B894" s="5" t="s">
        <v>712</v>
      </c>
      <c r="C894" s="3" t="s">
        <v>45</v>
      </c>
      <c r="D894" s="5" t="s">
        <v>9</v>
      </c>
      <c r="E894" s="5">
        <v>4.0</v>
      </c>
      <c r="F894" s="3" t="s">
        <v>909</v>
      </c>
      <c r="G894" s="3" t="s">
        <v>230</v>
      </c>
      <c r="J894" s="5">
        <v>5.0</v>
      </c>
      <c r="N894" s="3" t="b">
        <v>0</v>
      </c>
      <c r="R894" s="3">
        <v>0.0</v>
      </c>
      <c r="T894" s="3">
        <v>10.0</v>
      </c>
      <c r="U894" s="3">
        <v>7.0</v>
      </c>
      <c r="V894" s="3" t="s">
        <v>918</v>
      </c>
      <c r="W894" s="3" t="s">
        <v>730</v>
      </c>
      <c r="X894" s="77" t="s">
        <v>911</v>
      </c>
      <c r="Y894" s="3">
        <v>1.0</v>
      </c>
      <c r="Z894" s="3">
        <v>5.0</v>
      </c>
      <c r="AA894" s="3">
        <f>2+ (P894*'Scoring System'!$B$3)+ (IF(OR(D894="DEF",D894="GK"),N894*'Scoring System'!$B$4,IF(D894="MID",N894*'Scoring System'!$B$5,0)))+ (IF(OR(D894="DEF",D894="GK"),H894*'Scoring System'!$B$6,IF(D894="MID",H894*'Scoring System'!$B$7,IF(D894="ATT",H894*'Scoring System'!$B$8,0))))+ IF(AND(OR(D894="GK",D894="DEF"),J894&gt;=3),1*'Scoring System'!$B$9,0)+ (I894*'Scoring System'!$B$10)+ (K894*'Scoring System'!$B$11)+ (M894*'Scoring System'!$B$12)+ (L894*'Scoring System'!$B$13)+ (O894*'Scoring System'!$B$14)+ (Q894*'Scoring System'!$B$15)+ (R894*'Scoring System'!$B$16)</f>
        <v>2</v>
      </c>
      <c r="AB894" s="3" t="b">
        <f>IFERROR(match(C894,'Match Day Fees'!$B$2:$B$999,0),0)=0</f>
        <v>0</v>
      </c>
      <c r="AC894" s="3">
        <f t="shared" si="2"/>
        <v>0</v>
      </c>
      <c r="AD894" s="3" t="str">
        <f>VLOOKUP(D894,'Position Lookup'!A:B,1,FALSE)</f>
        <v>ATT</v>
      </c>
    </row>
    <row r="895" ht="17.25" customHeight="1">
      <c r="A895" s="32">
        <v>45220.0</v>
      </c>
      <c r="B895" s="5" t="s">
        <v>712</v>
      </c>
      <c r="C895" s="3" t="s">
        <v>75</v>
      </c>
      <c r="D895" s="5" t="s">
        <v>9</v>
      </c>
      <c r="E895" s="5">
        <v>4.0</v>
      </c>
      <c r="F895" s="3" t="s">
        <v>909</v>
      </c>
      <c r="G895" s="3" t="s">
        <v>230</v>
      </c>
      <c r="J895" s="5">
        <v>5.0</v>
      </c>
      <c r="N895" s="3" t="b">
        <v>0</v>
      </c>
      <c r="R895" s="3">
        <v>0.0</v>
      </c>
      <c r="T895" s="3">
        <v>10.0</v>
      </c>
      <c r="U895" s="3">
        <v>7.0</v>
      </c>
      <c r="V895" s="3" t="s">
        <v>919</v>
      </c>
      <c r="W895" s="3" t="s">
        <v>730</v>
      </c>
      <c r="X895" s="77" t="s">
        <v>911</v>
      </c>
      <c r="Y895" s="3">
        <v>1.0</v>
      </c>
      <c r="Z895" s="3">
        <v>5.0</v>
      </c>
      <c r="AA895" s="3">
        <f>2+ (P895*'Scoring System'!$B$3)+ (IF(OR(D895="DEF",D895="GK"),N895*'Scoring System'!$B$4,IF(D895="MID",N895*'Scoring System'!$B$5,0)))+ (IF(OR(D895="DEF",D895="GK"),H895*'Scoring System'!$B$6,IF(D895="MID",H895*'Scoring System'!$B$7,IF(D895="ATT",H895*'Scoring System'!$B$8,0))))+ IF(AND(OR(D895="GK",D895="DEF"),J895&gt;=3),1*'Scoring System'!$B$9,0)+ (I895*'Scoring System'!$B$10)+ (K895*'Scoring System'!$B$11)+ (M895*'Scoring System'!$B$12)+ (L895*'Scoring System'!$B$13)+ (O895*'Scoring System'!$B$14)+ (Q895*'Scoring System'!$B$15)+ (R895*'Scoring System'!$B$16)</f>
        <v>2</v>
      </c>
      <c r="AB895" s="3" t="b">
        <f>IFERROR(match(C895,'Match Day Fees'!$B$2:$B$999,0),0)=0</f>
        <v>0</v>
      </c>
      <c r="AC895" s="3">
        <f t="shared" si="2"/>
        <v>0</v>
      </c>
      <c r="AD895" s="3" t="str">
        <f>VLOOKUP(D895,'Position Lookup'!A:B,1,FALSE)</f>
        <v>ATT</v>
      </c>
    </row>
    <row r="896" ht="17.25" customHeight="1">
      <c r="A896" s="32">
        <v>45220.0</v>
      </c>
      <c r="B896" s="5" t="s">
        <v>712</v>
      </c>
      <c r="C896" s="3" t="s">
        <v>87</v>
      </c>
      <c r="D896" s="5" t="s">
        <v>9</v>
      </c>
      <c r="E896" s="5">
        <v>4.0</v>
      </c>
      <c r="F896" s="3" t="s">
        <v>909</v>
      </c>
      <c r="G896" s="3" t="s">
        <v>230</v>
      </c>
      <c r="J896" s="5">
        <v>5.0</v>
      </c>
      <c r="N896" s="3" t="b">
        <v>0</v>
      </c>
      <c r="R896" s="3">
        <v>0.0</v>
      </c>
      <c r="S896" s="3" t="b">
        <v>0</v>
      </c>
      <c r="T896" s="3">
        <v>2.5</v>
      </c>
      <c r="U896" s="3">
        <v>6.0</v>
      </c>
      <c r="V896" s="3" t="s">
        <v>920</v>
      </c>
      <c r="W896" s="3" t="s">
        <v>730</v>
      </c>
      <c r="X896" s="77" t="s">
        <v>911</v>
      </c>
      <c r="Y896" s="3">
        <v>1.0</v>
      </c>
      <c r="Z896" s="3">
        <v>5.0</v>
      </c>
      <c r="AA896" s="3">
        <f>2+ (P896*'Scoring System'!$B$3)+ (IF(OR(D896="DEF",D896="GK"),N896*'Scoring System'!$B$4,IF(D896="MID",N896*'Scoring System'!$B$5,0)))+ (IF(OR(D896="DEF",D896="GK"),H896*'Scoring System'!$B$6,IF(D896="MID",H896*'Scoring System'!$B$7,IF(D896="ATT",H896*'Scoring System'!$B$8,0))))+ IF(AND(OR(D896="GK",D896="DEF"),J896&gt;=3),1*'Scoring System'!$B$9,0)+ (I896*'Scoring System'!$B$10)+ (K896*'Scoring System'!$B$11)+ (M896*'Scoring System'!$B$12)+ (L896*'Scoring System'!$B$13)+ (O896*'Scoring System'!$B$14)+ (Q896*'Scoring System'!$B$15)+ (R896*'Scoring System'!$B$16)</f>
        <v>2</v>
      </c>
      <c r="AB896" s="3" t="b">
        <f>IFERROR(match(C896,'Match Day Fees'!$B$2:$B$999,0),0)=0</f>
        <v>0</v>
      </c>
      <c r="AC896" s="3">
        <f t="shared" si="2"/>
        <v>0</v>
      </c>
      <c r="AD896" s="3" t="str">
        <f>VLOOKUP(D896,'Position Lookup'!A:B,1,FALSE)</f>
        <v>ATT</v>
      </c>
    </row>
    <row r="897" ht="17.25" customHeight="1">
      <c r="A897" s="32">
        <v>45220.0</v>
      </c>
      <c r="B897" s="5" t="s">
        <v>712</v>
      </c>
      <c r="C897" s="3" t="s">
        <v>71</v>
      </c>
      <c r="D897" s="5" t="s">
        <v>10</v>
      </c>
      <c r="E897" s="5">
        <v>4.0</v>
      </c>
      <c r="F897" s="3" t="s">
        <v>909</v>
      </c>
      <c r="G897" s="3" t="s">
        <v>230</v>
      </c>
      <c r="J897" s="5">
        <v>5.0</v>
      </c>
      <c r="N897" s="3" t="b">
        <v>0</v>
      </c>
      <c r="R897" s="3">
        <v>0.0</v>
      </c>
      <c r="T897" s="3">
        <v>5.0</v>
      </c>
      <c r="U897" s="3">
        <v>5.5</v>
      </c>
      <c r="V897" s="3" t="s">
        <v>921</v>
      </c>
      <c r="W897" s="3" t="s">
        <v>730</v>
      </c>
      <c r="X897" s="77" t="s">
        <v>911</v>
      </c>
      <c r="Y897" s="3">
        <v>1.0</v>
      </c>
      <c r="Z897" s="3">
        <v>5.0</v>
      </c>
      <c r="AA897" s="3">
        <f>2+ (P897*'Scoring System'!$B$3)+ (IF(OR(D897="DEF",D897="GK"),N897*'Scoring System'!$B$4,IF(D897="MID",N897*'Scoring System'!$B$5,0)))+ (IF(OR(D897="DEF",D897="GK"),H897*'Scoring System'!$B$6,IF(D897="MID",H897*'Scoring System'!$B$7,IF(D897="ATT",H897*'Scoring System'!$B$8,0))))+ IF(AND(OR(D897="GK",D897="DEF"),J897&gt;=3),1*'Scoring System'!$B$9,0)+ (I897*'Scoring System'!$B$10)+ (K897*'Scoring System'!$B$11)+ (M897*'Scoring System'!$B$12)+ (L897*'Scoring System'!$B$13)+ (O897*'Scoring System'!$B$14)+ (Q897*'Scoring System'!$B$15)+ (R897*'Scoring System'!$B$16)</f>
        <v>2</v>
      </c>
      <c r="AB897" s="3" t="b">
        <f>IFERROR(match(C897,'Match Day Fees'!$B$2:$B$999,0),0)=0</f>
        <v>0</v>
      </c>
      <c r="AC897" s="3">
        <f t="shared" si="2"/>
        <v>0</v>
      </c>
      <c r="AD897" s="3" t="str">
        <f>VLOOKUP(D897,'Position Lookup'!A:B,1,FALSE)</f>
        <v>MID</v>
      </c>
    </row>
    <row r="898" ht="17.25" customHeight="1">
      <c r="A898" s="32">
        <v>45220.0</v>
      </c>
      <c r="B898" s="5" t="s">
        <v>712</v>
      </c>
      <c r="C898" s="3" t="s">
        <v>263</v>
      </c>
      <c r="D898" s="5" t="s">
        <v>9</v>
      </c>
      <c r="E898" s="5">
        <v>4.0</v>
      </c>
      <c r="F898" s="3" t="s">
        <v>909</v>
      </c>
      <c r="G898" s="3" t="s">
        <v>230</v>
      </c>
      <c r="J898" s="5">
        <v>5.0</v>
      </c>
      <c r="N898" s="3" t="b">
        <v>0</v>
      </c>
      <c r="R898" s="3">
        <v>0.0</v>
      </c>
      <c r="T898" s="3">
        <v>10.0</v>
      </c>
      <c r="U898" s="3">
        <v>5.5</v>
      </c>
      <c r="V898" s="3" t="s">
        <v>922</v>
      </c>
      <c r="W898" s="3" t="s">
        <v>730</v>
      </c>
      <c r="X898" s="77" t="s">
        <v>911</v>
      </c>
      <c r="Y898" s="3">
        <v>1.0</v>
      </c>
      <c r="Z898" s="3">
        <v>5.0</v>
      </c>
      <c r="AA898" s="3">
        <f>2+ (P898*'Scoring System'!$B$3)+ (IF(OR(D898="DEF",D898="GK"),N898*'Scoring System'!$B$4,IF(D898="MID",N898*'Scoring System'!$B$5,0)))+ (IF(OR(D898="DEF",D898="GK"),H898*'Scoring System'!$B$6,IF(D898="MID",H898*'Scoring System'!$B$7,IF(D898="ATT",H898*'Scoring System'!$B$8,0))))+ IF(AND(OR(D898="GK",D898="DEF"),J898&gt;=3),1*'Scoring System'!$B$9,0)+ (I898*'Scoring System'!$B$10)+ (K898*'Scoring System'!$B$11)+ (M898*'Scoring System'!$B$12)+ (L898*'Scoring System'!$B$13)+ (O898*'Scoring System'!$B$14)+ (Q898*'Scoring System'!$B$15)+ (R898*'Scoring System'!$B$16)</f>
        <v>2</v>
      </c>
      <c r="AB898" s="3" t="b">
        <f>IFERROR(match(C898,'Match Day Fees'!$B$2:$B$999,0),0)=0</f>
        <v>0</v>
      </c>
      <c r="AC898" s="3">
        <f t="shared" si="2"/>
        <v>0</v>
      </c>
      <c r="AD898" s="3" t="str">
        <f>VLOOKUP(D898,'Position Lookup'!A:B,1,FALSE)</f>
        <v>ATT</v>
      </c>
    </row>
    <row r="899" ht="17.25" customHeight="1">
      <c r="A899" s="32">
        <v>45220.0</v>
      </c>
      <c r="B899" s="5" t="s">
        <v>712</v>
      </c>
      <c r="C899" s="3" t="s">
        <v>139</v>
      </c>
      <c r="D899" s="5" t="s">
        <v>9</v>
      </c>
      <c r="E899" s="5">
        <v>4.0</v>
      </c>
      <c r="F899" s="3" t="s">
        <v>909</v>
      </c>
      <c r="G899" s="3" t="s">
        <v>230</v>
      </c>
      <c r="H899" s="5">
        <v>1.0</v>
      </c>
      <c r="J899" s="5">
        <v>5.0</v>
      </c>
      <c r="N899" s="3" t="b">
        <v>0</v>
      </c>
      <c r="R899" s="3">
        <v>0.0</v>
      </c>
      <c r="T899" s="3">
        <v>5.0</v>
      </c>
      <c r="U899" s="3">
        <v>6.5</v>
      </c>
      <c r="V899" s="3" t="s">
        <v>923</v>
      </c>
      <c r="W899" s="3" t="s">
        <v>730</v>
      </c>
      <c r="X899" s="77" t="s">
        <v>911</v>
      </c>
      <c r="Y899" s="3">
        <v>1.0</v>
      </c>
      <c r="Z899" s="3">
        <v>5.0</v>
      </c>
      <c r="AA899" s="3">
        <f>2+ (P899*'Scoring System'!$B$3)+ (IF(OR(D899="DEF",D899="GK"),N899*'Scoring System'!$B$4,IF(D899="MID",N899*'Scoring System'!$B$5,0)))+ (IF(OR(D899="DEF",D899="GK"),H899*'Scoring System'!$B$6,IF(D899="MID",H899*'Scoring System'!$B$7,IF(D899="ATT",H899*'Scoring System'!$B$8,0))))+ IF(AND(OR(D899="GK",D899="DEF"),J899&gt;=3),1*'Scoring System'!$B$9,0)+ (I899*'Scoring System'!$B$10)+ (K899*'Scoring System'!$B$11)+ (M899*'Scoring System'!$B$12)+ (L899*'Scoring System'!$B$13)+ (O899*'Scoring System'!$B$14)+ (Q899*'Scoring System'!$B$15)+ (R899*'Scoring System'!$B$16)</f>
        <v>6</v>
      </c>
      <c r="AB899" s="3" t="b">
        <f>IFERROR(match(C899,'Match Day Fees'!$B$2:$B$999,0),0)=0</f>
        <v>0</v>
      </c>
      <c r="AC899" s="3">
        <f t="shared" si="2"/>
        <v>0</v>
      </c>
      <c r="AD899" s="3" t="str">
        <f>VLOOKUP(D899,'Position Lookup'!A:B,1,FALSE)</f>
        <v>ATT</v>
      </c>
    </row>
    <row r="900" ht="17.25" customHeight="1">
      <c r="A900" s="32">
        <v>45220.0</v>
      </c>
      <c r="B900" s="5" t="s">
        <v>712</v>
      </c>
      <c r="C900" s="3" t="s">
        <v>44</v>
      </c>
      <c r="D900" s="5" t="s">
        <v>11</v>
      </c>
      <c r="E900" s="5">
        <v>4.0</v>
      </c>
      <c r="F900" s="3" t="s">
        <v>909</v>
      </c>
      <c r="G900" s="3" t="s">
        <v>230</v>
      </c>
      <c r="J900" s="5">
        <v>5.0</v>
      </c>
      <c r="N900" s="3" t="b">
        <v>0</v>
      </c>
      <c r="R900" s="3">
        <v>0.0</v>
      </c>
      <c r="T900" s="3">
        <v>2.5</v>
      </c>
      <c r="U900" s="3">
        <v>7.0</v>
      </c>
      <c r="V900" s="3" t="s">
        <v>924</v>
      </c>
      <c r="W900" s="3" t="s">
        <v>730</v>
      </c>
      <c r="X900" s="77" t="s">
        <v>911</v>
      </c>
      <c r="Y900" s="3">
        <v>1.0</v>
      </c>
      <c r="Z900" s="3">
        <v>5.0</v>
      </c>
      <c r="AA900" s="3">
        <f>2+ (P900*'Scoring System'!$B$3)+ (IF(OR(D900="DEF",D900="GK"),N900*'Scoring System'!$B$4,IF(D900="MID",N900*'Scoring System'!$B$5,0)))+ (IF(OR(D900="DEF",D900="GK"),H900*'Scoring System'!$B$6,IF(D900="MID",H900*'Scoring System'!$B$7,IF(D900="ATT",H900*'Scoring System'!$B$8,0))))+ IF(AND(OR(D900="GK",D900="DEF"),J900&gt;=3),1*'Scoring System'!$B$9,0)+ (I900*'Scoring System'!$B$10)+ (K900*'Scoring System'!$B$11)+ (M900*'Scoring System'!$B$12)+ (L900*'Scoring System'!$B$13)+ (O900*'Scoring System'!$B$14)+ (Q900*'Scoring System'!$B$15)+ (R900*'Scoring System'!$B$16)</f>
        <v>1</v>
      </c>
      <c r="AB900" s="3" t="b">
        <f>IFERROR(match(C900,'Match Day Fees'!$B$2:$B$999,0),0)=0</f>
        <v>0</v>
      </c>
      <c r="AC900" s="3">
        <f t="shared" si="2"/>
        <v>0</v>
      </c>
      <c r="AD900" s="3" t="str">
        <f>VLOOKUP(D900,'Position Lookup'!A:B,1,FALSE)</f>
        <v>DEF</v>
      </c>
    </row>
    <row r="901" ht="17.25" customHeight="1">
      <c r="A901" s="32">
        <v>45220.0</v>
      </c>
      <c r="B901" s="5" t="s">
        <v>309</v>
      </c>
      <c r="C901" s="3" t="s">
        <v>106</v>
      </c>
      <c r="D901" s="3" t="s">
        <v>8</v>
      </c>
      <c r="E901" s="5">
        <v>5.0</v>
      </c>
      <c r="F901" s="3" t="s">
        <v>925</v>
      </c>
      <c r="G901" s="3" t="s">
        <v>230</v>
      </c>
      <c r="J901" s="5">
        <v>3.0</v>
      </c>
      <c r="N901" s="3" t="b">
        <v>0</v>
      </c>
      <c r="R901" s="3">
        <v>0.0</v>
      </c>
      <c r="S901" s="3" t="b">
        <v>1</v>
      </c>
      <c r="T901" s="3">
        <v>0.0</v>
      </c>
      <c r="U901" s="2">
        <v>7.0</v>
      </c>
      <c r="V901" s="2" t="s">
        <v>926</v>
      </c>
      <c r="W901" s="2" t="s">
        <v>344</v>
      </c>
      <c r="X901" s="2" t="s">
        <v>927</v>
      </c>
      <c r="Y901" s="3">
        <v>2.0</v>
      </c>
      <c r="Z901" s="3">
        <v>3.0</v>
      </c>
      <c r="AA901" s="3">
        <f>2+ (P901*'Scoring System'!$B$3)+ (IF(OR(D901="DEF",D901="GK"),N901*'Scoring System'!$B$4,IF(D901="MID",N901*'Scoring System'!$B$5,0)))+ (IF(OR(D901="DEF",D901="GK"),H901*'Scoring System'!$B$6,IF(D901="MID",H901*'Scoring System'!$B$7,IF(D901="ATT",H901*'Scoring System'!$B$8,0))))+ IF(AND(OR(D901="GK",D901="DEF"),J901&gt;=3),1*'Scoring System'!$B$9,0)+ (I901*'Scoring System'!$B$10)+ (K901*'Scoring System'!$B$11)+ (M901*'Scoring System'!$B$12)+ (L901*'Scoring System'!$B$13)+ (O901*'Scoring System'!$B$14)+ (Q901*'Scoring System'!$B$15)+ (R901*'Scoring System'!$B$16)</f>
        <v>1</v>
      </c>
      <c r="AB901" s="3" t="b">
        <f>IFERROR(match(C901,'Match Day Fees'!$B$2:$B$999,0),0)=0</f>
        <v>0</v>
      </c>
      <c r="AC901" s="3">
        <f t="shared" si="2"/>
        <v>0</v>
      </c>
      <c r="AD901" s="3" t="str">
        <f>VLOOKUP(D901,'Position Lookup'!A:B,1,FALSE)</f>
        <v>GK</v>
      </c>
    </row>
    <row r="902" ht="17.25" customHeight="1">
      <c r="A902" s="32">
        <v>45220.0</v>
      </c>
      <c r="B902" s="5" t="s">
        <v>309</v>
      </c>
      <c r="C902" s="3" t="s">
        <v>133</v>
      </c>
      <c r="D902" s="5" t="s">
        <v>11</v>
      </c>
      <c r="E902" s="5">
        <v>5.0</v>
      </c>
      <c r="F902" s="3" t="s">
        <v>925</v>
      </c>
      <c r="G902" s="3" t="s">
        <v>230</v>
      </c>
      <c r="J902" s="5">
        <v>3.0</v>
      </c>
      <c r="K902" s="3">
        <v>1.0</v>
      </c>
      <c r="N902" s="3" t="b">
        <v>0</v>
      </c>
      <c r="R902" s="3">
        <v>0.0</v>
      </c>
      <c r="T902" s="3">
        <v>10.0</v>
      </c>
      <c r="U902" s="2">
        <v>7.0</v>
      </c>
      <c r="V902" s="2" t="s">
        <v>928</v>
      </c>
      <c r="W902" s="2" t="s">
        <v>344</v>
      </c>
      <c r="X902" s="2" t="s">
        <v>927</v>
      </c>
      <c r="Y902" s="3">
        <v>2.0</v>
      </c>
      <c r="Z902" s="3">
        <v>3.0</v>
      </c>
      <c r="AA902" s="3">
        <f>2+ (P902*'Scoring System'!$B$3)+ (IF(OR(D902="DEF",D902="GK"),N902*'Scoring System'!$B$4,IF(D902="MID",N902*'Scoring System'!$B$5,0)))+ (IF(OR(D902="DEF",D902="GK"),H902*'Scoring System'!$B$6,IF(D902="MID",H902*'Scoring System'!$B$7,IF(D902="ATT",H902*'Scoring System'!$B$8,0))))+ IF(AND(OR(D902="GK",D902="DEF"),J902&gt;=3),1*'Scoring System'!$B$9,0)+ (I902*'Scoring System'!$B$10)+ (K902*'Scoring System'!$B$11)+ (M902*'Scoring System'!$B$12)+ (L902*'Scoring System'!$B$13)+ (O902*'Scoring System'!$B$14)+ (Q902*'Scoring System'!$B$15)+ (R902*'Scoring System'!$B$16)</f>
        <v>0</v>
      </c>
      <c r="AB902" s="3" t="b">
        <f>IFERROR(match(C902,'Match Day Fees'!$B$2:$B$999,0),0)=0</f>
        <v>0</v>
      </c>
      <c r="AC902" s="3">
        <f t="shared" si="2"/>
        <v>0</v>
      </c>
      <c r="AD902" s="3" t="str">
        <f>VLOOKUP(D902,'Position Lookup'!A:B,1,FALSE)</f>
        <v>DEF</v>
      </c>
    </row>
    <row r="903" ht="17.25" customHeight="1">
      <c r="A903" s="32">
        <v>45220.0</v>
      </c>
      <c r="B903" s="5" t="s">
        <v>309</v>
      </c>
      <c r="C903" s="3" t="s">
        <v>154</v>
      </c>
      <c r="D903" s="5" t="s">
        <v>11</v>
      </c>
      <c r="E903" s="5">
        <v>5.0</v>
      </c>
      <c r="F903" s="3" t="s">
        <v>925</v>
      </c>
      <c r="G903" s="3" t="s">
        <v>230</v>
      </c>
      <c r="J903" s="5">
        <v>3.0</v>
      </c>
      <c r="N903" s="3" t="b">
        <v>0</v>
      </c>
      <c r="R903" s="3">
        <v>0.0</v>
      </c>
      <c r="T903" s="3">
        <v>10.0</v>
      </c>
      <c r="U903" s="2">
        <v>7.0</v>
      </c>
      <c r="V903" s="2" t="s">
        <v>929</v>
      </c>
      <c r="W903" s="2" t="s">
        <v>344</v>
      </c>
      <c r="X903" s="2" t="s">
        <v>927</v>
      </c>
      <c r="Y903" s="3">
        <v>2.0</v>
      </c>
      <c r="Z903" s="3">
        <v>3.0</v>
      </c>
      <c r="AA903" s="3">
        <f>2+ (P903*'Scoring System'!$B$3)+ (IF(OR(D903="DEF",D903="GK"),N903*'Scoring System'!$B$4,IF(D903="MID",N903*'Scoring System'!$B$5,0)))+ (IF(OR(D903="DEF",D903="GK"),H903*'Scoring System'!$B$6,IF(D903="MID",H903*'Scoring System'!$B$7,IF(D903="ATT",H903*'Scoring System'!$B$8,0))))+ IF(AND(OR(D903="GK",D903="DEF"),J903&gt;=3),1*'Scoring System'!$B$9,0)+ (I903*'Scoring System'!$B$10)+ (K903*'Scoring System'!$B$11)+ (M903*'Scoring System'!$B$12)+ (L903*'Scoring System'!$B$13)+ (O903*'Scoring System'!$B$14)+ (Q903*'Scoring System'!$B$15)+ (R903*'Scoring System'!$B$16)</f>
        <v>1</v>
      </c>
      <c r="AB903" s="3" t="b">
        <f>IFERROR(match(C903,'Match Day Fees'!$B$2:$B$999,0),0)=0</f>
        <v>0</v>
      </c>
      <c r="AC903" s="3">
        <f t="shared" si="2"/>
        <v>0</v>
      </c>
      <c r="AD903" s="3" t="str">
        <f>VLOOKUP(D903,'Position Lookup'!A:B,1,FALSE)</f>
        <v>DEF</v>
      </c>
    </row>
    <row r="904" ht="17.25" customHeight="1">
      <c r="A904" s="32">
        <v>45220.0</v>
      </c>
      <c r="B904" s="5" t="s">
        <v>309</v>
      </c>
      <c r="C904" s="3" t="s">
        <v>122</v>
      </c>
      <c r="D904" s="5" t="s">
        <v>11</v>
      </c>
      <c r="E904" s="5">
        <v>5.0</v>
      </c>
      <c r="F904" s="3" t="s">
        <v>925</v>
      </c>
      <c r="G904" s="3" t="s">
        <v>230</v>
      </c>
      <c r="J904" s="5">
        <v>3.0</v>
      </c>
      <c r="N904" s="3" t="b">
        <v>0</v>
      </c>
      <c r="R904" s="3">
        <v>0.0</v>
      </c>
      <c r="T904" s="3">
        <v>5.0</v>
      </c>
      <c r="U904" s="2">
        <v>7.0</v>
      </c>
      <c r="V904" s="2" t="s">
        <v>930</v>
      </c>
      <c r="W904" s="2" t="s">
        <v>344</v>
      </c>
      <c r="X904" s="2" t="s">
        <v>927</v>
      </c>
      <c r="Y904" s="3">
        <v>2.0</v>
      </c>
      <c r="Z904" s="3">
        <v>3.0</v>
      </c>
      <c r="AA904" s="3">
        <f>2+ (P904*'Scoring System'!$B$3)+ (IF(OR(D904="DEF",D904="GK"),N904*'Scoring System'!$B$4,IF(D904="MID",N904*'Scoring System'!$B$5,0)))+ (IF(OR(D904="DEF",D904="GK"),H904*'Scoring System'!$B$6,IF(D904="MID",H904*'Scoring System'!$B$7,IF(D904="ATT",H904*'Scoring System'!$B$8,0))))+ IF(AND(OR(D904="GK",D904="DEF"),J904&gt;=3),1*'Scoring System'!$B$9,0)+ (I904*'Scoring System'!$B$10)+ (K904*'Scoring System'!$B$11)+ (M904*'Scoring System'!$B$12)+ (L904*'Scoring System'!$B$13)+ (O904*'Scoring System'!$B$14)+ (Q904*'Scoring System'!$B$15)+ (R904*'Scoring System'!$B$16)</f>
        <v>1</v>
      </c>
      <c r="AB904" s="3" t="b">
        <f>IFERROR(match(C904,'Match Day Fees'!$B$2:$B$999,0),0)=0</f>
        <v>0</v>
      </c>
      <c r="AC904" s="3">
        <f t="shared" si="2"/>
        <v>0</v>
      </c>
      <c r="AD904" s="3" t="str">
        <f>VLOOKUP(D904,'Position Lookup'!A:B,1,FALSE)</f>
        <v>DEF</v>
      </c>
    </row>
    <row r="905" ht="17.25" customHeight="1">
      <c r="A905" s="32">
        <v>45220.0</v>
      </c>
      <c r="B905" s="5" t="s">
        <v>309</v>
      </c>
      <c r="C905" s="3" t="s">
        <v>117</v>
      </c>
      <c r="D905" s="5" t="s">
        <v>11</v>
      </c>
      <c r="E905" s="5">
        <v>5.0</v>
      </c>
      <c r="F905" s="3" t="s">
        <v>925</v>
      </c>
      <c r="G905" s="3" t="s">
        <v>230</v>
      </c>
      <c r="J905" s="5">
        <v>3.0</v>
      </c>
      <c r="N905" s="3" t="b">
        <v>0</v>
      </c>
      <c r="R905" s="3">
        <v>0.0</v>
      </c>
      <c r="T905" s="3">
        <v>10.0</v>
      </c>
      <c r="U905" s="2">
        <v>7.5</v>
      </c>
      <c r="V905" s="2" t="s">
        <v>931</v>
      </c>
      <c r="W905" s="2" t="s">
        <v>344</v>
      </c>
      <c r="X905" s="2" t="s">
        <v>927</v>
      </c>
      <c r="Y905" s="3">
        <v>2.0</v>
      </c>
      <c r="Z905" s="3">
        <v>3.0</v>
      </c>
      <c r="AA905" s="3">
        <f>2+ (P905*'Scoring System'!$B$3)+ (IF(OR(D905="DEF",D905="GK"),N905*'Scoring System'!$B$4,IF(D905="MID",N905*'Scoring System'!$B$5,0)))+ (IF(OR(D905="DEF",D905="GK"),H905*'Scoring System'!$B$6,IF(D905="MID",H905*'Scoring System'!$B$7,IF(D905="ATT",H905*'Scoring System'!$B$8,0))))+ IF(AND(OR(D905="GK",D905="DEF"),J905&gt;=3),1*'Scoring System'!$B$9,0)+ (I905*'Scoring System'!$B$10)+ (K905*'Scoring System'!$B$11)+ (M905*'Scoring System'!$B$12)+ (L905*'Scoring System'!$B$13)+ (O905*'Scoring System'!$B$14)+ (Q905*'Scoring System'!$B$15)+ (R905*'Scoring System'!$B$16)</f>
        <v>1</v>
      </c>
      <c r="AB905" s="3" t="b">
        <f>IFERROR(match(C905,'Match Day Fees'!$B$2:$B$999,0),0)=0</f>
        <v>0</v>
      </c>
      <c r="AC905" s="3">
        <f t="shared" si="2"/>
        <v>0</v>
      </c>
      <c r="AD905" s="3" t="str">
        <f>VLOOKUP(D905,'Position Lookup'!A:B,1,FALSE)</f>
        <v>DEF</v>
      </c>
    </row>
    <row r="906" ht="17.25" customHeight="1">
      <c r="A906" s="32">
        <v>45220.0</v>
      </c>
      <c r="B906" s="5" t="s">
        <v>309</v>
      </c>
      <c r="C906" s="3" t="s">
        <v>58</v>
      </c>
      <c r="D906" s="5" t="s">
        <v>10</v>
      </c>
      <c r="E906" s="5">
        <v>5.0</v>
      </c>
      <c r="F906" s="3" t="s">
        <v>925</v>
      </c>
      <c r="G906" s="3" t="s">
        <v>230</v>
      </c>
      <c r="I906" s="3">
        <v>1.0</v>
      </c>
      <c r="J906" s="5">
        <v>3.0</v>
      </c>
      <c r="N906" s="3" t="b">
        <v>0</v>
      </c>
      <c r="R906" s="3">
        <v>1.0</v>
      </c>
      <c r="T906" s="3">
        <v>10.0</v>
      </c>
      <c r="U906" s="2">
        <v>8.0</v>
      </c>
      <c r="V906" s="2" t="s">
        <v>932</v>
      </c>
      <c r="W906" s="2" t="s">
        <v>344</v>
      </c>
      <c r="X906" s="2" t="s">
        <v>927</v>
      </c>
      <c r="Y906" s="3">
        <v>2.0</v>
      </c>
      <c r="Z906" s="3">
        <v>3.0</v>
      </c>
      <c r="AA906" s="3">
        <f>2+ (P906*'Scoring System'!$B$3)+ (IF(OR(D906="DEF",D906="GK"),N906*'Scoring System'!$B$4,IF(D906="MID",N906*'Scoring System'!$B$5,0)))+ (IF(OR(D906="DEF",D906="GK"),H906*'Scoring System'!$B$6,IF(D906="MID",H906*'Scoring System'!$B$7,IF(D906="ATT",H906*'Scoring System'!$B$8,0))))+ IF(AND(OR(D906="GK",D906="DEF"),J906&gt;=3),1*'Scoring System'!$B$9,0)+ (I906*'Scoring System'!$B$10)+ (K906*'Scoring System'!$B$11)+ (M906*'Scoring System'!$B$12)+ (L906*'Scoring System'!$B$13)+ (O906*'Scoring System'!$B$14)+ (Q906*'Scoring System'!$B$15)+ (R906*'Scoring System'!$B$16)</f>
        <v>10</v>
      </c>
      <c r="AB906" s="3" t="b">
        <f>IFERROR(match(C906,'Match Day Fees'!$B$2:$B$999,0),0)=0</f>
        <v>0</v>
      </c>
      <c r="AC906" s="3">
        <f t="shared" si="2"/>
        <v>0</v>
      </c>
      <c r="AD906" s="3" t="str">
        <f>VLOOKUP(D906,'Position Lookup'!A:B,1,FALSE)</f>
        <v>MID</v>
      </c>
    </row>
    <row r="907" ht="17.25" customHeight="1">
      <c r="A907" s="32">
        <v>45220.0</v>
      </c>
      <c r="B907" s="5" t="s">
        <v>309</v>
      </c>
      <c r="C907" s="3" t="s">
        <v>302</v>
      </c>
      <c r="D907" s="5" t="s">
        <v>10</v>
      </c>
      <c r="E907" s="5">
        <v>5.0</v>
      </c>
      <c r="F907" s="3" t="s">
        <v>925</v>
      </c>
      <c r="G907" s="3" t="s">
        <v>230</v>
      </c>
      <c r="J907" s="5">
        <v>3.0</v>
      </c>
      <c r="N907" s="3" t="b">
        <v>0</v>
      </c>
      <c r="R907" s="3">
        <v>0.0</v>
      </c>
      <c r="T907" s="3">
        <v>10.0</v>
      </c>
      <c r="U907" s="2">
        <v>6.5</v>
      </c>
      <c r="V907" s="2" t="s">
        <v>933</v>
      </c>
      <c r="W907" s="2" t="s">
        <v>344</v>
      </c>
      <c r="X907" s="2" t="s">
        <v>927</v>
      </c>
      <c r="Y907" s="3">
        <v>2.0</v>
      </c>
      <c r="Z907" s="3">
        <v>3.0</v>
      </c>
      <c r="AA907" s="3">
        <f>2+ (P907*'Scoring System'!$B$3)+ (IF(OR(D907="DEF",D907="GK"),N907*'Scoring System'!$B$4,IF(D907="MID",N907*'Scoring System'!$B$5,0)))+ (IF(OR(D907="DEF",D907="GK"),H907*'Scoring System'!$B$6,IF(D907="MID",H907*'Scoring System'!$B$7,IF(D907="ATT",H907*'Scoring System'!$B$8,0))))+ IF(AND(OR(D907="GK",D907="DEF"),J907&gt;=3),1*'Scoring System'!$B$9,0)+ (I907*'Scoring System'!$B$10)+ (K907*'Scoring System'!$B$11)+ (M907*'Scoring System'!$B$12)+ (L907*'Scoring System'!$B$13)+ (O907*'Scoring System'!$B$14)+ (Q907*'Scoring System'!$B$15)+ (R907*'Scoring System'!$B$16)</f>
        <v>2</v>
      </c>
      <c r="AB907" s="3" t="b">
        <f>IFERROR(match(C907,'Match Day Fees'!$B$2:$B$999,0),0)=0</f>
        <v>0</v>
      </c>
      <c r="AC907" s="3">
        <f t="shared" si="2"/>
        <v>0</v>
      </c>
      <c r="AD907" s="3" t="str">
        <f>VLOOKUP(D907,'Position Lookup'!A:B,1,FALSE)</f>
        <v>MID</v>
      </c>
    </row>
    <row r="908" ht="17.25" customHeight="1">
      <c r="A908" s="32">
        <v>45220.0</v>
      </c>
      <c r="B908" s="5" t="s">
        <v>309</v>
      </c>
      <c r="C908" s="3" t="s">
        <v>95</v>
      </c>
      <c r="D908" s="5" t="s">
        <v>9</v>
      </c>
      <c r="E908" s="5">
        <v>5.0</v>
      </c>
      <c r="F908" s="3" t="s">
        <v>925</v>
      </c>
      <c r="G908" s="3" t="s">
        <v>230</v>
      </c>
      <c r="H908" s="3">
        <v>1.0</v>
      </c>
      <c r="I908" s="3">
        <v>1.0</v>
      </c>
      <c r="J908" s="5">
        <v>3.0</v>
      </c>
      <c r="N908" s="3" t="b">
        <v>0</v>
      </c>
      <c r="R908" s="3">
        <v>0.0</v>
      </c>
      <c r="T908" s="3">
        <v>10.0</v>
      </c>
      <c r="U908" s="2">
        <v>7.0</v>
      </c>
      <c r="V908" s="2" t="s">
        <v>934</v>
      </c>
      <c r="W908" s="2" t="s">
        <v>344</v>
      </c>
      <c r="X908" s="2" t="s">
        <v>927</v>
      </c>
      <c r="Y908" s="3">
        <v>2.0</v>
      </c>
      <c r="Z908" s="3">
        <v>3.0</v>
      </c>
      <c r="AA908" s="3">
        <f>2+ (P908*'Scoring System'!$B$3)+ (IF(OR(D908="DEF",D908="GK"),N908*'Scoring System'!$B$4,IF(D908="MID",N908*'Scoring System'!$B$5,0)))+ (IF(OR(D908="DEF",D908="GK"),H908*'Scoring System'!$B$6,IF(D908="MID",H908*'Scoring System'!$B$7,IF(D908="ATT",H908*'Scoring System'!$B$8,0))))+ IF(AND(OR(D908="GK",D908="DEF"),J908&gt;=3),1*'Scoring System'!$B$9,0)+ (I908*'Scoring System'!$B$10)+ (K908*'Scoring System'!$B$11)+ (M908*'Scoring System'!$B$12)+ (L908*'Scoring System'!$B$13)+ (O908*'Scoring System'!$B$14)+ (Q908*'Scoring System'!$B$15)+ (R908*'Scoring System'!$B$16)</f>
        <v>9</v>
      </c>
      <c r="AB908" s="3" t="b">
        <f>IFERROR(match(C908,'Match Day Fees'!$B$2:$B$999,0),0)=0</f>
        <v>0</v>
      </c>
      <c r="AC908" s="3">
        <f t="shared" si="2"/>
        <v>0</v>
      </c>
      <c r="AD908" s="3" t="str">
        <f>VLOOKUP(D908,'Position Lookup'!A:B,1,FALSE)</f>
        <v>ATT</v>
      </c>
    </row>
    <row r="909" ht="17.25" customHeight="1">
      <c r="A909" s="32">
        <v>45220.0</v>
      </c>
      <c r="B909" s="5" t="s">
        <v>309</v>
      </c>
      <c r="C909" s="3" t="s">
        <v>591</v>
      </c>
      <c r="D909" s="5" t="s">
        <v>9</v>
      </c>
      <c r="E909" s="5">
        <v>5.0</v>
      </c>
      <c r="F909" s="3" t="s">
        <v>925</v>
      </c>
      <c r="G909" s="3" t="s">
        <v>230</v>
      </c>
      <c r="J909" s="5">
        <v>3.0</v>
      </c>
      <c r="N909" s="3" t="b">
        <v>0</v>
      </c>
      <c r="R909" s="3">
        <v>0.0</v>
      </c>
      <c r="T909" s="3">
        <v>10.0</v>
      </c>
      <c r="U909" s="2">
        <v>6.5</v>
      </c>
      <c r="V909" s="2" t="s">
        <v>935</v>
      </c>
      <c r="W909" s="2" t="s">
        <v>344</v>
      </c>
      <c r="X909" s="2" t="s">
        <v>927</v>
      </c>
      <c r="Y909" s="3">
        <v>2.0</v>
      </c>
      <c r="Z909" s="3">
        <v>3.0</v>
      </c>
      <c r="AA909" s="3">
        <f>2+ (P909*'Scoring System'!$B$3)+ (IF(OR(D909="DEF",D909="GK"),N909*'Scoring System'!$B$4,IF(D909="MID",N909*'Scoring System'!$B$5,0)))+ (IF(OR(D909="DEF",D909="GK"),H909*'Scoring System'!$B$6,IF(D909="MID",H909*'Scoring System'!$B$7,IF(D909="ATT",H909*'Scoring System'!$B$8,0))))+ IF(AND(OR(D909="GK",D909="DEF"),J909&gt;=3),1*'Scoring System'!$B$9,0)+ (I909*'Scoring System'!$B$10)+ (K909*'Scoring System'!$B$11)+ (M909*'Scoring System'!$B$12)+ (L909*'Scoring System'!$B$13)+ (O909*'Scoring System'!$B$14)+ (Q909*'Scoring System'!$B$15)+ (R909*'Scoring System'!$B$16)</f>
        <v>2</v>
      </c>
      <c r="AB909" s="3" t="b">
        <f>IFERROR(match(C909,'Match Day Fees'!$B$2:$B$999,0),0)=0</f>
        <v>0</v>
      </c>
      <c r="AC909" s="3">
        <f t="shared" si="2"/>
        <v>0</v>
      </c>
      <c r="AD909" s="3" t="str">
        <f>VLOOKUP(D909,'Position Lookup'!A:B,1,FALSE)</f>
        <v>ATT</v>
      </c>
    </row>
    <row r="910" ht="17.25" customHeight="1">
      <c r="A910" s="32">
        <v>45220.0</v>
      </c>
      <c r="B910" s="5" t="s">
        <v>309</v>
      </c>
      <c r="C910" s="3" t="s">
        <v>235</v>
      </c>
      <c r="D910" s="5" t="s">
        <v>9</v>
      </c>
      <c r="E910" s="5">
        <v>5.0</v>
      </c>
      <c r="F910" s="3" t="s">
        <v>925</v>
      </c>
      <c r="G910" s="3" t="s">
        <v>230</v>
      </c>
      <c r="J910" s="5">
        <v>3.0</v>
      </c>
      <c r="N910" s="3" t="b">
        <v>0</v>
      </c>
      <c r="R910" s="3">
        <v>0.0</v>
      </c>
      <c r="T910" s="3">
        <v>10.0</v>
      </c>
      <c r="U910" s="2">
        <v>6.5</v>
      </c>
      <c r="V910" s="2" t="s">
        <v>936</v>
      </c>
      <c r="W910" s="2" t="s">
        <v>344</v>
      </c>
      <c r="X910" s="2" t="s">
        <v>927</v>
      </c>
      <c r="Y910" s="3">
        <v>2.0</v>
      </c>
      <c r="Z910" s="3">
        <v>3.0</v>
      </c>
      <c r="AA910" s="3">
        <f>2+ (P910*'Scoring System'!$B$3)+ (IF(OR(D910="DEF",D910="GK"),N910*'Scoring System'!$B$4,IF(D910="MID",N910*'Scoring System'!$B$5,0)))+ (IF(OR(D910="DEF",D910="GK"),H910*'Scoring System'!$B$6,IF(D910="MID",H910*'Scoring System'!$B$7,IF(D910="ATT",H910*'Scoring System'!$B$8,0))))+ IF(AND(OR(D910="GK",D910="DEF"),J910&gt;=3),1*'Scoring System'!$B$9,0)+ (I910*'Scoring System'!$B$10)+ (K910*'Scoring System'!$B$11)+ (M910*'Scoring System'!$B$12)+ (L910*'Scoring System'!$B$13)+ (O910*'Scoring System'!$B$14)+ (Q910*'Scoring System'!$B$15)+ (R910*'Scoring System'!$B$16)</f>
        <v>2</v>
      </c>
      <c r="AB910" s="3" t="b">
        <f>IFERROR(match(C910,'Match Day Fees'!$B$2:$B$999,0),0)=0</f>
        <v>0</v>
      </c>
      <c r="AC910" s="3">
        <f t="shared" si="2"/>
        <v>0</v>
      </c>
      <c r="AD910" s="3" t="str">
        <f>VLOOKUP(D910,'Position Lookup'!A:B,1,FALSE)</f>
        <v>ATT</v>
      </c>
    </row>
    <row r="911" ht="17.25" customHeight="1">
      <c r="A911" s="32">
        <v>45220.0</v>
      </c>
      <c r="B911" s="5" t="s">
        <v>309</v>
      </c>
      <c r="C911" s="3" t="s">
        <v>140</v>
      </c>
      <c r="D911" s="5" t="s">
        <v>9</v>
      </c>
      <c r="E911" s="5">
        <v>5.0</v>
      </c>
      <c r="F911" s="3" t="s">
        <v>925</v>
      </c>
      <c r="G911" s="3" t="s">
        <v>230</v>
      </c>
      <c r="J911" s="5">
        <v>3.0</v>
      </c>
      <c r="N911" s="3" t="b">
        <v>0</v>
      </c>
      <c r="R911" s="3">
        <v>0.0</v>
      </c>
      <c r="T911" s="3">
        <v>10.0</v>
      </c>
      <c r="U911" s="2">
        <v>6.5</v>
      </c>
      <c r="V911" s="2" t="s">
        <v>937</v>
      </c>
      <c r="W911" s="2" t="s">
        <v>344</v>
      </c>
      <c r="X911" s="2" t="s">
        <v>927</v>
      </c>
      <c r="Y911" s="3">
        <v>2.0</v>
      </c>
      <c r="Z911" s="3">
        <v>3.0</v>
      </c>
      <c r="AA911" s="3">
        <f>2+ (P911*'Scoring System'!$B$3)+ (IF(OR(D911="DEF",D911="GK"),N911*'Scoring System'!$B$4,IF(D911="MID",N911*'Scoring System'!$B$5,0)))+ (IF(OR(D911="DEF",D911="GK"),H911*'Scoring System'!$B$6,IF(D911="MID",H911*'Scoring System'!$B$7,IF(D911="ATT",H911*'Scoring System'!$B$8,0))))+ IF(AND(OR(D911="GK",D911="DEF"),J911&gt;=3),1*'Scoring System'!$B$9,0)+ (I911*'Scoring System'!$B$10)+ (K911*'Scoring System'!$B$11)+ (M911*'Scoring System'!$B$12)+ (L911*'Scoring System'!$B$13)+ (O911*'Scoring System'!$B$14)+ (Q911*'Scoring System'!$B$15)+ (R911*'Scoring System'!$B$16)</f>
        <v>2</v>
      </c>
      <c r="AB911" s="3" t="b">
        <f>IFERROR(match(C911,'Match Day Fees'!$B$2:$B$999,0),0)=0</f>
        <v>0</v>
      </c>
      <c r="AC911" s="3">
        <f t="shared" si="2"/>
        <v>0</v>
      </c>
      <c r="AD911" s="3" t="str">
        <f>VLOOKUP(D911,'Position Lookup'!A:B,1,FALSE)</f>
        <v>ATT</v>
      </c>
    </row>
    <row r="912" ht="17.25" customHeight="1">
      <c r="A912" s="32">
        <v>45220.0</v>
      </c>
      <c r="B912" s="5" t="s">
        <v>309</v>
      </c>
      <c r="C912" s="3" t="s">
        <v>142</v>
      </c>
      <c r="D912" s="5" t="s">
        <v>9</v>
      </c>
      <c r="E912" s="5">
        <v>5.0</v>
      </c>
      <c r="F912" s="3" t="s">
        <v>925</v>
      </c>
      <c r="G912" s="3" t="s">
        <v>230</v>
      </c>
      <c r="J912" s="5">
        <v>3.0</v>
      </c>
      <c r="N912" s="3" t="b">
        <v>0</v>
      </c>
      <c r="R912" s="3">
        <v>0.0</v>
      </c>
      <c r="T912" s="3">
        <v>10.0</v>
      </c>
      <c r="U912" s="2">
        <v>6.5</v>
      </c>
      <c r="V912" s="2" t="s">
        <v>938</v>
      </c>
      <c r="W912" s="2" t="s">
        <v>344</v>
      </c>
      <c r="X912" s="2" t="s">
        <v>927</v>
      </c>
      <c r="Y912" s="3">
        <v>2.0</v>
      </c>
      <c r="Z912" s="3">
        <v>3.0</v>
      </c>
      <c r="AA912" s="3">
        <f>2+ (P912*'Scoring System'!$B$3)+ (IF(OR(D912="DEF",D912="GK"),N912*'Scoring System'!$B$4,IF(D912="MID",N912*'Scoring System'!$B$5,0)))+ (IF(OR(D912="DEF",D912="GK"),H912*'Scoring System'!$B$6,IF(D912="MID",H912*'Scoring System'!$B$7,IF(D912="ATT",H912*'Scoring System'!$B$8,0))))+ IF(AND(OR(D912="GK",D912="DEF"),J912&gt;=3),1*'Scoring System'!$B$9,0)+ (I912*'Scoring System'!$B$10)+ (K912*'Scoring System'!$B$11)+ (M912*'Scoring System'!$B$12)+ (L912*'Scoring System'!$B$13)+ (O912*'Scoring System'!$B$14)+ (Q912*'Scoring System'!$B$15)+ (R912*'Scoring System'!$B$16)</f>
        <v>2</v>
      </c>
      <c r="AB912" s="3" t="b">
        <f>IFERROR(match(C912,'Match Day Fees'!$B$2:$B$999,0),0)=0</f>
        <v>0</v>
      </c>
      <c r="AC912" s="3">
        <f t="shared" si="2"/>
        <v>0</v>
      </c>
      <c r="AD912" s="3" t="str">
        <f>VLOOKUP(D912,'Position Lookup'!A:B,1,FALSE)</f>
        <v>ATT</v>
      </c>
    </row>
    <row r="913" ht="17.25" customHeight="1">
      <c r="A913" s="32">
        <v>45220.0</v>
      </c>
      <c r="B913" s="5" t="s">
        <v>309</v>
      </c>
      <c r="C913" s="3" t="s">
        <v>129</v>
      </c>
      <c r="D913" s="5" t="s">
        <v>10</v>
      </c>
      <c r="E913" s="5">
        <v>5.0</v>
      </c>
      <c r="F913" s="3" t="s">
        <v>925</v>
      </c>
      <c r="G913" s="3" t="s">
        <v>230</v>
      </c>
      <c r="H913" s="3">
        <v>1.0</v>
      </c>
      <c r="J913" s="5">
        <v>3.0</v>
      </c>
      <c r="N913" s="3" t="b">
        <v>0</v>
      </c>
      <c r="R913" s="3">
        <v>0.0</v>
      </c>
      <c r="T913" s="3">
        <v>10.0</v>
      </c>
      <c r="U913" s="2">
        <v>6.5</v>
      </c>
      <c r="V913" s="2" t="s">
        <v>939</v>
      </c>
      <c r="W913" s="2" t="s">
        <v>344</v>
      </c>
      <c r="X913" s="2" t="s">
        <v>927</v>
      </c>
      <c r="Y913" s="3">
        <v>2.0</v>
      </c>
      <c r="Z913" s="3">
        <v>3.0</v>
      </c>
      <c r="AA913" s="3">
        <f>2+ (P913*'Scoring System'!$B$3)+ (IF(OR(D913="DEF",D913="GK"),N913*'Scoring System'!$B$4,IF(D913="MID",N913*'Scoring System'!$B$5,0)))+ (IF(OR(D913="DEF",D913="GK"),H913*'Scoring System'!$B$6,IF(D913="MID",H913*'Scoring System'!$B$7,IF(D913="ATT",H913*'Scoring System'!$B$8,0))))+ IF(AND(OR(D913="GK",D913="DEF"),J913&gt;=3),1*'Scoring System'!$B$9,0)+ (I913*'Scoring System'!$B$10)+ (K913*'Scoring System'!$B$11)+ (M913*'Scoring System'!$B$12)+ (L913*'Scoring System'!$B$13)+ (O913*'Scoring System'!$B$14)+ (Q913*'Scoring System'!$B$15)+ (R913*'Scoring System'!$B$16)</f>
        <v>7</v>
      </c>
      <c r="AB913" s="3" t="b">
        <f>IFERROR(match(C913,'Match Day Fees'!$B$2:$B$999,0),0)=0</f>
        <v>0</v>
      </c>
      <c r="AC913" s="3">
        <f t="shared" si="2"/>
        <v>0</v>
      </c>
      <c r="AD913" s="3" t="str">
        <f>VLOOKUP(D913,'Position Lookup'!A:B,1,FALSE)</f>
        <v>MID</v>
      </c>
    </row>
    <row r="914" ht="17.25" customHeight="1">
      <c r="A914" s="32">
        <v>45220.0</v>
      </c>
      <c r="B914" s="5" t="s">
        <v>309</v>
      </c>
      <c r="C914" s="3" t="s">
        <v>588</v>
      </c>
      <c r="D914" s="5" t="s">
        <v>10</v>
      </c>
      <c r="E914" s="5">
        <v>5.0</v>
      </c>
      <c r="F914" s="3" t="s">
        <v>925</v>
      </c>
      <c r="G914" s="3" t="s">
        <v>230</v>
      </c>
      <c r="J914" s="5">
        <v>3.0</v>
      </c>
      <c r="N914" s="3" t="b">
        <v>0</v>
      </c>
      <c r="R914" s="3">
        <v>0.0</v>
      </c>
      <c r="T914" s="3">
        <v>5.0</v>
      </c>
      <c r="U914" s="2">
        <v>6.0</v>
      </c>
      <c r="V914" s="2" t="s">
        <v>940</v>
      </c>
      <c r="W914" s="2" t="s">
        <v>344</v>
      </c>
      <c r="X914" s="2" t="s">
        <v>927</v>
      </c>
      <c r="Y914" s="3">
        <v>2.0</v>
      </c>
      <c r="Z914" s="3">
        <v>3.0</v>
      </c>
      <c r="AA914" s="3">
        <f>2+ (P914*'Scoring System'!$B$3)+ (IF(OR(D914="DEF",D914="GK"),N914*'Scoring System'!$B$4,IF(D914="MID",N914*'Scoring System'!$B$5,0)))+ (IF(OR(D914="DEF",D914="GK"),H914*'Scoring System'!$B$6,IF(D914="MID",H914*'Scoring System'!$B$7,IF(D914="ATT",H914*'Scoring System'!$B$8,0))))+ IF(AND(OR(D914="GK",D914="DEF"),J914&gt;=3),1*'Scoring System'!$B$9,0)+ (I914*'Scoring System'!$B$10)+ (K914*'Scoring System'!$B$11)+ (M914*'Scoring System'!$B$12)+ (L914*'Scoring System'!$B$13)+ (O914*'Scoring System'!$B$14)+ (Q914*'Scoring System'!$B$15)+ (R914*'Scoring System'!$B$16)</f>
        <v>2</v>
      </c>
      <c r="AB914" s="3" t="b">
        <f>IFERROR(match(C914,'Match Day Fees'!$B$2:$B$999,0),0)=0</f>
        <v>0</v>
      </c>
      <c r="AC914" s="3">
        <f t="shared" si="2"/>
        <v>0</v>
      </c>
      <c r="AD914" s="3" t="str">
        <f>VLOOKUP(D914,'Position Lookup'!A:B,1,FALSE)</f>
        <v>MID</v>
      </c>
    </row>
    <row r="915" ht="17.25" customHeight="1">
      <c r="A915" s="32">
        <v>45227.0</v>
      </c>
      <c r="B915" s="5" t="s">
        <v>309</v>
      </c>
      <c r="C915" s="5" t="s">
        <v>53</v>
      </c>
      <c r="D915" s="3" t="s">
        <v>8</v>
      </c>
      <c r="E915" s="5">
        <v>1.0</v>
      </c>
      <c r="F915" s="5" t="s">
        <v>941</v>
      </c>
      <c r="G915" s="3" t="s">
        <v>224</v>
      </c>
      <c r="J915" s="5">
        <v>1.0</v>
      </c>
      <c r="N915" s="3" t="b">
        <v>0</v>
      </c>
      <c r="T915" s="3">
        <v>10.0</v>
      </c>
      <c r="U915" s="3">
        <v>8.0</v>
      </c>
      <c r="V915" s="3" t="s">
        <v>942</v>
      </c>
      <c r="W915" s="3" t="s">
        <v>311</v>
      </c>
      <c r="X915" s="77" t="s">
        <v>943</v>
      </c>
      <c r="Y915" s="3">
        <v>4.0</v>
      </c>
      <c r="Z915" s="3">
        <v>1.0</v>
      </c>
      <c r="AA915" s="3">
        <f>2+ (P915*'Scoring System'!$B$3)+ (IF(OR(D915="DEF",D915="GK"),N915*'Scoring System'!$B$4,IF(D915="MID",N915*'Scoring System'!$B$5,0)))+ (IF(OR(D915="DEF",D915="GK"),H915*'Scoring System'!$B$6,IF(D915="MID",H915*'Scoring System'!$B$7,IF(D915="ATT",H915*'Scoring System'!$B$8,0))))+ IF(AND(OR(D915="GK",D915="DEF"),J915&gt;=3),1*'Scoring System'!$B$9,0)+ (I915*'Scoring System'!$B$10)+ (K915*'Scoring System'!$B$11)+ (M915*'Scoring System'!$B$12)+ (L915*'Scoring System'!$B$13)+ (O915*'Scoring System'!$B$14)+ (Q915*'Scoring System'!$B$15)+ (R915*'Scoring System'!$B$16)</f>
        <v>2</v>
      </c>
      <c r="AB915" s="3" t="b">
        <f>IFERROR(match(C915,'Match Day Fees'!$B$2:$B$999,0),0)=0</f>
        <v>0</v>
      </c>
      <c r="AC915" s="3">
        <f t="shared" si="2"/>
        <v>0</v>
      </c>
      <c r="AD915" s="3" t="str">
        <f>VLOOKUP(D915,'Position Lookup'!A:B,1,FALSE)</f>
        <v>GK</v>
      </c>
    </row>
    <row r="916" ht="17.25" customHeight="1">
      <c r="A916" s="32">
        <v>45227.0</v>
      </c>
      <c r="B916" s="5" t="s">
        <v>309</v>
      </c>
      <c r="C916" s="5" t="s">
        <v>69</v>
      </c>
      <c r="D916" s="5" t="s">
        <v>11</v>
      </c>
      <c r="E916" s="5">
        <v>1.0</v>
      </c>
      <c r="F916" s="5" t="s">
        <v>941</v>
      </c>
      <c r="G916" s="3" t="s">
        <v>224</v>
      </c>
      <c r="J916" s="5">
        <v>1.0</v>
      </c>
      <c r="N916" s="3" t="b">
        <v>0</v>
      </c>
      <c r="T916" s="3">
        <v>10.0</v>
      </c>
      <c r="U916" s="3">
        <v>7.5</v>
      </c>
      <c r="V916" s="3" t="s">
        <v>944</v>
      </c>
      <c r="W916" s="3" t="s">
        <v>311</v>
      </c>
      <c r="X916" s="77" t="s">
        <v>943</v>
      </c>
      <c r="Y916" s="3">
        <v>4.0</v>
      </c>
      <c r="Z916" s="3">
        <v>1.0</v>
      </c>
      <c r="AA916" s="3">
        <f>2+ (P916*'Scoring System'!$B$3)+ (IF(OR(D916="DEF",D916="GK"),N916*'Scoring System'!$B$4,IF(D916="MID",N916*'Scoring System'!$B$5,0)))+ (IF(OR(D916="DEF",D916="GK"),H916*'Scoring System'!$B$6,IF(D916="MID",H916*'Scoring System'!$B$7,IF(D916="ATT",H916*'Scoring System'!$B$8,0))))+ IF(AND(OR(D916="GK",D916="DEF"),J916&gt;=3),1*'Scoring System'!$B$9,0)+ (I916*'Scoring System'!$B$10)+ (K916*'Scoring System'!$B$11)+ (M916*'Scoring System'!$B$12)+ (L916*'Scoring System'!$B$13)+ (O916*'Scoring System'!$B$14)+ (Q916*'Scoring System'!$B$15)+ (R916*'Scoring System'!$B$16)</f>
        <v>2</v>
      </c>
      <c r="AB916" s="3" t="b">
        <f>IFERROR(match(C916,'Match Day Fees'!$B$2:$B$999,0),0)=0</f>
        <v>0</v>
      </c>
      <c r="AC916" s="3">
        <f t="shared" si="2"/>
        <v>0</v>
      </c>
      <c r="AD916" s="3" t="str">
        <f>VLOOKUP(D916,'Position Lookup'!A:B,1,FALSE)</f>
        <v>DEF</v>
      </c>
    </row>
    <row r="917" ht="17.25" customHeight="1">
      <c r="A917" s="32">
        <v>45227.0</v>
      </c>
      <c r="B917" s="5" t="s">
        <v>309</v>
      </c>
      <c r="C917" s="5" t="s">
        <v>68</v>
      </c>
      <c r="D917" s="5" t="s">
        <v>11</v>
      </c>
      <c r="E917" s="5">
        <v>1.0</v>
      </c>
      <c r="F917" s="5" t="s">
        <v>941</v>
      </c>
      <c r="G917" s="3" t="s">
        <v>224</v>
      </c>
      <c r="H917" s="3">
        <v>2.0</v>
      </c>
      <c r="J917" s="5">
        <v>1.0</v>
      </c>
      <c r="N917" s="3" t="b">
        <v>0</v>
      </c>
      <c r="R917" s="5">
        <v>1.0</v>
      </c>
      <c r="T917" s="3">
        <v>10.0</v>
      </c>
      <c r="U917" s="3">
        <v>9.5</v>
      </c>
      <c r="V917" s="3" t="s">
        <v>945</v>
      </c>
      <c r="W917" s="3" t="s">
        <v>311</v>
      </c>
      <c r="X917" s="77" t="s">
        <v>943</v>
      </c>
      <c r="Y917" s="3">
        <v>4.0</v>
      </c>
      <c r="Z917" s="3">
        <v>1.0</v>
      </c>
      <c r="AA917" s="3">
        <f>2+ (P917*'Scoring System'!$B$3)+ (IF(OR(D917="DEF",D917="GK"),N917*'Scoring System'!$B$4,IF(D917="MID",N917*'Scoring System'!$B$5,0)))+ (IF(OR(D917="DEF",D917="GK"),H917*'Scoring System'!$B$6,IF(D917="MID",H917*'Scoring System'!$B$7,IF(D917="ATT",H917*'Scoring System'!$B$8,0))))+ IF(AND(OR(D917="GK",D917="DEF"),J917&gt;=3),1*'Scoring System'!$B$9,0)+ (I917*'Scoring System'!$B$10)+ (K917*'Scoring System'!$B$11)+ (M917*'Scoring System'!$B$12)+ (L917*'Scoring System'!$B$13)+ (O917*'Scoring System'!$B$14)+ (Q917*'Scoring System'!$B$15)+ (R917*'Scoring System'!$B$16)</f>
        <v>19</v>
      </c>
      <c r="AB917" s="3" t="b">
        <f>IFERROR(match(C917,'Match Day Fees'!$B$2:$B$999,0),0)=0</f>
        <v>0</v>
      </c>
      <c r="AC917" s="3">
        <f t="shared" si="2"/>
        <v>0</v>
      </c>
      <c r="AD917" s="3" t="str">
        <f>VLOOKUP(D917,'Position Lookup'!A:B,1,FALSE)</f>
        <v>DEF</v>
      </c>
    </row>
    <row r="918" ht="17.25" customHeight="1">
      <c r="A918" s="32">
        <v>45227.0</v>
      </c>
      <c r="B918" s="5" t="s">
        <v>309</v>
      </c>
      <c r="C918" s="5" t="s">
        <v>76</v>
      </c>
      <c r="D918" s="5" t="s">
        <v>11</v>
      </c>
      <c r="E918" s="5">
        <v>1.0</v>
      </c>
      <c r="F918" s="5" t="s">
        <v>941</v>
      </c>
      <c r="G918" s="3" t="s">
        <v>224</v>
      </c>
      <c r="J918" s="5">
        <v>1.0</v>
      </c>
      <c r="N918" s="3" t="b">
        <v>0</v>
      </c>
      <c r="T918" s="3">
        <v>10.0</v>
      </c>
      <c r="U918" s="3">
        <v>6.5</v>
      </c>
      <c r="V918" s="3" t="s">
        <v>946</v>
      </c>
      <c r="W918" s="3" t="s">
        <v>311</v>
      </c>
      <c r="X918" s="77" t="s">
        <v>943</v>
      </c>
      <c r="Y918" s="3">
        <v>4.0</v>
      </c>
      <c r="Z918" s="3">
        <v>1.0</v>
      </c>
      <c r="AA918" s="3">
        <f>2+ (P918*'Scoring System'!$B$3)+ (IF(OR(D918="DEF",D918="GK"),N918*'Scoring System'!$B$4,IF(D918="MID",N918*'Scoring System'!$B$5,0)))+ (IF(OR(D918="DEF",D918="GK"),H918*'Scoring System'!$B$6,IF(D918="MID",H918*'Scoring System'!$B$7,IF(D918="ATT",H918*'Scoring System'!$B$8,0))))+ IF(AND(OR(D918="GK",D918="DEF"),J918&gt;=3),1*'Scoring System'!$B$9,0)+ (I918*'Scoring System'!$B$10)+ (K918*'Scoring System'!$B$11)+ (M918*'Scoring System'!$B$12)+ (L918*'Scoring System'!$B$13)+ (O918*'Scoring System'!$B$14)+ (Q918*'Scoring System'!$B$15)+ (R918*'Scoring System'!$B$16)</f>
        <v>2</v>
      </c>
      <c r="AB918" s="3" t="b">
        <f>IFERROR(match(C918,'Match Day Fees'!$B$2:$B$999,0),0)=0</f>
        <v>0</v>
      </c>
      <c r="AC918" s="3">
        <f t="shared" si="2"/>
        <v>0</v>
      </c>
      <c r="AD918" s="3" t="str">
        <f>VLOOKUP(D918,'Position Lookup'!A:B,1,FALSE)</f>
        <v>DEF</v>
      </c>
    </row>
    <row r="919" ht="17.25" customHeight="1">
      <c r="A919" s="32">
        <v>45227.0</v>
      </c>
      <c r="B919" s="5" t="s">
        <v>309</v>
      </c>
      <c r="C919" s="5" t="s">
        <v>107</v>
      </c>
      <c r="D919" s="5" t="s">
        <v>11</v>
      </c>
      <c r="E919" s="5">
        <v>1.0</v>
      </c>
      <c r="F919" s="5" t="s">
        <v>941</v>
      </c>
      <c r="G919" s="3" t="s">
        <v>224</v>
      </c>
      <c r="J919" s="5">
        <v>1.0</v>
      </c>
      <c r="N919" s="3" t="b">
        <v>0</v>
      </c>
      <c r="T919" s="3">
        <v>10.0</v>
      </c>
      <c r="U919" s="3">
        <v>7.5</v>
      </c>
      <c r="V919" s="3" t="s">
        <v>947</v>
      </c>
      <c r="W919" s="3" t="s">
        <v>311</v>
      </c>
      <c r="X919" s="77" t="s">
        <v>943</v>
      </c>
      <c r="Y919" s="3">
        <v>4.0</v>
      </c>
      <c r="Z919" s="3">
        <v>1.0</v>
      </c>
      <c r="AA919" s="3">
        <f>2+ (P919*'Scoring System'!$B$3)+ (IF(OR(D919="DEF",D919="GK"),N919*'Scoring System'!$B$4,IF(D919="MID",N919*'Scoring System'!$B$5,0)))+ (IF(OR(D919="DEF",D919="GK"),H919*'Scoring System'!$B$6,IF(D919="MID",H919*'Scoring System'!$B$7,IF(D919="ATT",H919*'Scoring System'!$B$8,0))))+ IF(AND(OR(D919="GK",D919="DEF"),J919&gt;=3),1*'Scoring System'!$B$9,0)+ (I919*'Scoring System'!$B$10)+ (K919*'Scoring System'!$B$11)+ (M919*'Scoring System'!$B$12)+ (L919*'Scoring System'!$B$13)+ (O919*'Scoring System'!$B$14)+ (Q919*'Scoring System'!$B$15)+ (R919*'Scoring System'!$B$16)</f>
        <v>2</v>
      </c>
      <c r="AB919" s="3" t="b">
        <f>IFERROR(match(C919,'Match Day Fees'!$B$2:$B$999,0),0)=0</f>
        <v>0</v>
      </c>
      <c r="AC919" s="3">
        <f t="shared" si="2"/>
        <v>0</v>
      </c>
      <c r="AD919" s="3" t="str">
        <f>VLOOKUP(D919,'Position Lookup'!A:B,1,FALSE)</f>
        <v>DEF</v>
      </c>
    </row>
    <row r="920" ht="17.25" customHeight="1">
      <c r="A920" s="32">
        <v>45227.0</v>
      </c>
      <c r="B920" s="5" t="s">
        <v>309</v>
      </c>
      <c r="C920" s="5" t="s">
        <v>57</v>
      </c>
      <c r="D920" s="5" t="s">
        <v>11</v>
      </c>
      <c r="E920" s="5">
        <v>1.0</v>
      </c>
      <c r="F920" s="5" t="s">
        <v>941</v>
      </c>
      <c r="G920" s="3" t="s">
        <v>224</v>
      </c>
      <c r="J920" s="5">
        <v>1.0</v>
      </c>
      <c r="N920" s="3" t="b">
        <v>0</v>
      </c>
      <c r="T920" s="3">
        <v>2.5</v>
      </c>
      <c r="U920" s="3">
        <v>6.0</v>
      </c>
      <c r="V920" s="3" t="s">
        <v>948</v>
      </c>
      <c r="W920" s="3" t="s">
        <v>311</v>
      </c>
      <c r="X920" s="77" t="s">
        <v>943</v>
      </c>
      <c r="Y920" s="3">
        <v>4.0</v>
      </c>
      <c r="Z920" s="3">
        <v>1.0</v>
      </c>
      <c r="AA920" s="3">
        <f>2+ (P920*'Scoring System'!$B$3)+ (IF(OR(D920="DEF",D920="GK"),N920*'Scoring System'!$B$4,IF(D920="MID",N920*'Scoring System'!$B$5,0)))+ (IF(OR(D920="DEF",D920="GK"),H920*'Scoring System'!$B$6,IF(D920="MID",H920*'Scoring System'!$B$7,IF(D920="ATT",H920*'Scoring System'!$B$8,0))))+ IF(AND(OR(D920="GK",D920="DEF"),J920&gt;=3),1*'Scoring System'!$B$9,0)+ (I920*'Scoring System'!$B$10)+ (K920*'Scoring System'!$B$11)+ (M920*'Scoring System'!$B$12)+ (L920*'Scoring System'!$B$13)+ (O920*'Scoring System'!$B$14)+ (Q920*'Scoring System'!$B$15)+ (R920*'Scoring System'!$B$16)</f>
        <v>2</v>
      </c>
      <c r="AB920" s="3" t="b">
        <f>IFERROR(match(C920,'Match Day Fees'!$B$2:$B$999,0),0)=0</f>
        <v>0</v>
      </c>
      <c r="AC920" s="3">
        <f t="shared" si="2"/>
        <v>0</v>
      </c>
      <c r="AD920" s="3" t="str">
        <f>VLOOKUP(D920,'Position Lookup'!A:B,1,FALSE)</f>
        <v>DEF</v>
      </c>
    </row>
    <row r="921" ht="17.25" customHeight="1">
      <c r="A921" s="32">
        <v>45227.0</v>
      </c>
      <c r="B921" s="5" t="s">
        <v>309</v>
      </c>
      <c r="C921" s="5" t="s">
        <v>67</v>
      </c>
      <c r="D921" s="5" t="s">
        <v>10</v>
      </c>
      <c r="E921" s="5">
        <v>1.0</v>
      </c>
      <c r="F921" s="5" t="s">
        <v>941</v>
      </c>
      <c r="G921" s="3" t="s">
        <v>224</v>
      </c>
      <c r="J921" s="5">
        <v>1.0</v>
      </c>
      <c r="N921" s="3" t="b">
        <v>0</v>
      </c>
      <c r="T921" s="3">
        <v>10.0</v>
      </c>
      <c r="U921" s="3">
        <v>6.0</v>
      </c>
      <c r="V921" s="3" t="s">
        <v>949</v>
      </c>
      <c r="W921" s="3" t="s">
        <v>311</v>
      </c>
      <c r="X921" s="77" t="s">
        <v>943</v>
      </c>
      <c r="Y921" s="3">
        <v>4.0</v>
      </c>
      <c r="Z921" s="3">
        <v>1.0</v>
      </c>
      <c r="AA921" s="3">
        <f>2+ (P921*'Scoring System'!$B$3)+ (IF(OR(D921="DEF",D921="GK"),N921*'Scoring System'!$B$4,IF(D921="MID",N921*'Scoring System'!$B$5,0)))+ (IF(OR(D921="DEF",D921="GK"),H921*'Scoring System'!$B$6,IF(D921="MID",H921*'Scoring System'!$B$7,IF(D921="ATT",H921*'Scoring System'!$B$8,0))))+ IF(AND(OR(D921="GK",D921="DEF"),J921&gt;=3),1*'Scoring System'!$B$9,0)+ (I921*'Scoring System'!$B$10)+ (K921*'Scoring System'!$B$11)+ (M921*'Scoring System'!$B$12)+ (L921*'Scoring System'!$B$13)+ (O921*'Scoring System'!$B$14)+ (Q921*'Scoring System'!$B$15)+ (R921*'Scoring System'!$B$16)</f>
        <v>2</v>
      </c>
      <c r="AB921" s="3" t="b">
        <f>IFERROR(match(C921,'Match Day Fees'!$B$2:$B$999,0),0)=0</f>
        <v>0</v>
      </c>
      <c r="AC921" s="3">
        <f t="shared" si="2"/>
        <v>0</v>
      </c>
      <c r="AD921" s="3" t="str">
        <f>VLOOKUP(D921,'Position Lookup'!A:B,1,FALSE)</f>
        <v>MID</v>
      </c>
    </row>
    <row r="922" ht="17.25" customHeight="1">
      <c r="A922" s="32">
        <v>45227.0</v>
      </c>
      <c r="B922" s="5" t="s">
        <v>309</v>
      </c>
      <c r="C922" s="5" t="s">
        <v>60</v>
      </c>
      <c r="D922" s="5" t="s">
        <v>10</v>
      </c>
      <c r="E922" s="5">
        <v>1.0</v>
      </c>
      <c r="F922" s="5" t="s">
        <v>941</v>
      </c>
      <c r="G922" s="3" t="s">
        <v>224</v>
      </c>
      <c r="H922" s="3">
        <v>1.0</v>
      </c>
      <c r="I922" s="3">
        <v>1.0</v>
      </c>
      <c r="J922" s="5">
        <v>1.0</v>
      </c>
      <c r="N922" s="3" t="b">
        <v>0</v>
      </c>
      <c r="T922" s="3">
        <v>10.0</v>
      </c>
      <c r="U922" s="3">
        <v>9.0</v>
      </c>
      <c r="V922" s="3" t="s">
        <v>950</v>
      </c>
      <c r="W922" s="3" t="s">
        <v>311</v>
      </c>
      <c r="X922" s="77" t="s">
        <v>943</v>
      </c>
      <c r="Y922" s="3">
        <v>4.0</v>
      </c>
      <c r="Z922" s="3">
        <v>1.0</v>
      </c>
      <c r="AA922" s="3">
        <f>2+ (P922*'Scoring System'!$B$3)+ (IF(OR(D922="DEF",D922="GK"),N922*'Scoring System'!$B$4,IF(D922="MID",N922*'Scoring System'!$B$5,0)))+ (IF(OR(D922="DEF",D922="GK"),H922*'Scoring System'!$B$6,IF(D922="MID",H922*'Scoring System'!$B$7,IF(D922="ATT",H922*'Scoring System'!$B$8,0))))+ IF(AND(OR(D922="GK",D922="DEF"),J922&gt;=3),1*'Scoring System'!$B$9,0)+ (I922*'Scoring System'!$B$10)+ (K922*'Scoring System'!$B$11)+ (M922*'Scoring System'!$B$12)+ (L922*'Scoring System'!$B$13)+ (O922*'Scoring System'!$B$14)+ (Q922*'Scoring System'!$B$15)+ (R922*'Scoring System'!$B$16)</f>
        <v>10</v>
      </c>
      <c r="AB922" s="3" t="b">
        <f>IFERROR(match(C922,'Match Day Fees'!$B$2:$B$999,0),0)=0</f>
        <v>0</v>
      </c>
      <c r="AC922" s="3">
        <f t="shared" si="2"/>
        <v>0</v>
      </c>
      <c r="AD922" s="3" t="str">
        <f>VLOOKUP(D922,'Position Lookup'!A:B,1,FALSE)</f>
        <v>MID</v>
      </c>
    </row>
    <row r="923" ht="17.25" customHeight="1">
      <c r="A923" s="32">
        <v>45227.0</v>
      </c>
      <c r="B923" s="5" t="s">
        <v>309</v>
      </c>
      <c r="C923" s="5" t="s">
        <v>93</v>
      </c>
      <c r="D923" s="5" t="s">
        <v>10</v>
      </c>
      <c r="E923" s="5">
        <v>1.0</v>
      </c>
      <c r="F923" s="5" t="s">
        <v>941</v>
      </c>
      <c r="G923" s="3" t="s">
        <v>224</v>
      </c>
      <c r="I923" s="3">
        <v>1.0</v>
      </c>
      <c r="J923" s="5">
        <v>1.0</v>
      </c>
      <c r="N923" s="3" t="b">
        <v>0</v>
      </c>
      <c r="T923" s="3">
        <v>10.0</v>
      </c>
      <c r="U923" s="3">
        <v>7.5</v>
      </c>
      <c r="V923" s="3" t="s">
        <v>951</v>
      </c>
      <c r="W923" s="3" t="s">
        <v>311</v>
      </c>
      <c r="X923" s="77" t="s">
        <v>943</v>
      </c>
      <c r="Y923" s="3">
        <v>4.0</v>
      </c>
      <c r="Z923" s="3">
        <v>1.0</v>
      </c>
      <c r="AA923" s="3">
        <f>2+ (P923*'Scoring System'!$B$3)+ (IF(OR(D923="DEF",D923="GK"),N923*'Scoring System'!$B$4,IF(D923="MID",N923*'Scoring System'!$B$5,0)))+ (IF(OR(D923="DEF",D923="GK"),H923*'Scoring System'!$B$6,IF(D923="MID",H923*'Scoring System'!$B$7,IF(D923="ATT",H923*'Scoring System'!$B$8,0))))+ IF(AND(OR(D923="GK",D923="DEF"),J923&gt;=3),1*'Scoring System'!$B$9,0)+ (I923*'Scoring System'!$B$10)+ (K923*'Scoring System'!$B$11)+ (M923*'Scoring System'!$B$12)+ (L923*'Scoring System'!$B$13)+ (O923*'Scoring System'!$B$14)+ (Q923*'Scoring System'!$B$15)+ (R923*'Scoring System'!$B$16)</f>
        <v>5</v>
      </c>
      <c r="AB923" s="3" t="b">
        <f>IFERROR(match(C923,'Match Day Fees'!$B$2:$B$999,0),0)=0</f>
        <v>0</v>
      </c>
      <c r="AC923" s="3">
        <f t="shared" si="2"/>
        <v>0</v>
      </c>
      <c r="AD923" s="3" t="str">
        <f>VLOOKUP(D923,'Position Lookup'!A:B,1,FALSE)</f>
        <v>MID</v>
      </c>
    </row>
    <row r="924" ht="17.25" customHeight="1">
      <c r="A924" s="32">
        <v>45227.0</v>
      </c>
      <c r="B924" s="5" t="s">
        <v>309</v>
      </c>
      <c r="C924" s="5" t="s">
        <v>47</v>
      </c>
      <c r="D924" s="5" t="s">
        <v>9</v>
      </c>
      <c r="E924" s="5">
        <v>1.0</v>
      </c>
      <c r="F924" s="5" t="s">
        <v>941</v>
      </c>
      <c r="G924" s="3" t="s">
        <v>224</v>
      </c>
      <c r="I924" s="3">
        <v>1.0</v>
      </c>
      <c r="J924" s="5">
        <v>1.0</v>
      </c>
      <c r="N924" s="3" t="b">
        <v>0</v>
      </c>
      <c r="T924" s="3">
        <v>10.0</v>
      </c>
      <c r="U924" s="3">
        <v>7.0</v>
      </c>
      <c r="V924" s="3" t="s">
        <v>952</v>
      </c>
      <c r="W924" s="3" t="s">
        <v>311</v>
      </c>
      <c r="X924" s="77" t="s">
        <v>943</v>
      </c>
      <c r="Y924" s="3">
        <v>4.0</v>
      </c>
      <c r="Z924" s="3">
        <v>1.0</v>
      </c>
      <c r="AA924" s="3">
        <f>2+ (P924*'Scoring System'!$B$3)+ (IF(OR(D924="DEF",D924="GK"),N924*'Scoring System'!$B$4,IF(D924="MID",N924*'Scoring System'!$B$5,0)))+ (IF(OR(D924="DEF",D924="GK"),H924*'Scoring System'!$B$6,IF(D924="MID",H924*'Scoring System'!$B$7,IF(D924="ATT",H924*'Scoring System'!$B$8,0))))+ IF(AND(OR(D924="GK",D924="DEF"),J924&gt;=3),1*'Scoring System'!$B$9,0)+ (I924*'Scoring System'!$B$10)+ (K924*'Scoring System'!$B$11)+ (M924*'Scoring System'!$B$12)+ (L924*'Scoring System'!$B$13)+ (O924*'Scoring System'!$B$14)+ (Q924*'Scoring System'!$B$15)+ (R924*'Scoring System'!$B$16)</f>
        <v>5</v>
      </c>
      <c r="AB924" s="3" t="b">
        <f>IFERROR(match(C924,'Match Day Fees'!$B$2:$B$999,0),0)=0</f>
        <v>0</v>
      </c>
      <c r="AC924" s="3">
        <f t="shared" si="2"/>
        <v>0</v>
      </c>
      <c r="AD924" s="3" t="str">
        <f>VLOOKUP(D924,'Position Lookup'!A:B,1,FALSE)</f>
        <v>ATT</v>
      </c>
    </row>
    <row r="925" ht="17.25" customHeight="1">
      <c r="A925" s="32">
        <v>45227.0</v>
      </c>
      <c r="B925" s="5" t="s">
        <v>309</v>
      </c>
      <c r="C925" s="5" t="s">
        <v>62</v>
      </c>
      <c r="D925" s="5" t="s">
        <v>9</v>
      </c>
      <c r="E925" s="5">
        <v>1.0</v>
      </c>
      <c r="F925" s="5" t="s">
        <v>941</v>
      </c>
      <c r="G925" s="3" t="s">
        <v>224</v>
      </c>
      <c r="H925" s="3">
        <v>1.0</v>
      </c>
      <c r="J925" s="5">
        <v>1.0</v>
      </c>
      <c r="N925" s="3" t="b">
        <v>0</v>
      </c>
      <c r="T925" s="3">
        <v>5.0</v>
      </c>
      <c r="U925" s="3">
        <v>7.0</v>
      </c>
      <c r="V925" s="3" t="s">
        <v>953</v>
      </c>
      <c r="W925" s="3" t="s">
        <v>311</v>
      </c>
      <c r="X925" s="77" t="s">
        <v>943</v>
      </c>
      <c r="Y925" s="3">
        <v>4.0</v>
      </c>
      <c r="Z925" s="3">
        <v>1.0</v>
      </c>
      <c r="AA925" s="3">
        <f>2+ (P925*'Scoring System'!$B$3)+ (IF(OR(D925="DEF",D925="GK"),N925*'Scoring System'!$B$4,IF(D925="MID",N925*'Scoring System'!$B$5,0)))+ (IF(OR(D925="DEF",D925="GK"),H925*'Scoring System'!$B$6,IF(D925="MID",H925*'Scoring System'!$B$7,IF(D925="ATT",H925*'Scoring System'!$B$8,0))))+ IF(AND(OR(D925="GK",D925="DEF"),J925&gt;=3),1*'Scoring System'!$B$9,0)+ (I925*'Scoring System'!$B$10)+ (K925*'Scoring System'!$B$11)+ (M925*'Scoring System'!$B$12)+ (L925*'Scoring System'!$B$13)+ (O925*'Scoring System'!$B$14)+ (Q925*'Scoring System'!$B$15)+ (R925*'Scoring System'!$B$16)</f>
        <v>6</v>
      </c>
      <c r="AB925" s="3" t="b">
        <f>IFERROR(match(C925,'Match Day Fees'!$B$2:$B$999,0),0)=0</f>
        <v>0</v>
      </c>
      <c r="AC925" s="3">
        <f t="shared" si="2"/>
        <v>0</v>
      </c>
      <c r="AD925" s="3" t="str">
        <f>VLOOKUP(D925,'Position Lookup'!A:B,1,FALSE)</f>
        <v>ATT</v>
      </c>
    </row>
    <row r="926" ht="17.25" customHeight="1">
      <c r="A926" s="32">
        <v>45227.0</v>
      </c>
      <c r="B926" s="5" t="s">
        <v>309</v>
      </c>
      <c r="C926" s="5" t="s">
        <v>137</v>
      </c>
      <c r="D926" s="5" t="s">
        <v>10</v>
      </c>
      <c r="E926" s="5">
        <v>1.0</v>
      </c>
      <c r="F926" s="5" t="s">
        <v>941</v>
      </c>
      <c r="G926" s="3" t="s">
        <v>224</v>
      </c>
      <c r="J926" s="5">
        <v>1.0</v>
      </c>
      <c r="N926" s="3" t="b">
        <v>0</v>
      </c>
      <c r="T926" s="3">
        <v>5.0</v>
      </c>
      <c r="U926" s="3">
        <v>8.0</v>
      </c>
      <c r="V926" s="3" t="s">
        <v>954</v>
      </c>
      <c r="W926" s="3" t="s">
        <v>311</v>
      </c>
      <c r="X926" s="77" t="s">
        <v>943</v>
      </c>
      <c r="Y926" s="3">
        <v>4.0</v>
      </c>
      <c r="Z926" s="3">
        <v>1.0</v>
      </c>
      <c r="AA926" s="3">
        <f>2+ (P926*'Scoring System'!$B$3)+ (IF(OR(D926="DEF",D926="GK"),N926*'Scoring System'!$B$4,IF(D926="MID",N926*'Scoring System'!$B$5,0)))+ (IF(OR(D926="DEF",D926="GK"),H926*'Scoring System'!$B$6,IF(D926="MID",H926*'Scoring System'!$B$7,IF(D926="ATT",H926*'Scoring System'!$B$8,0))))+ IF(AND(OR(D926="GK",D926="DEF"),J926&gt;=3),1*'Scoring System'!$B$9,0)+ (I926*'Scoring System'!$B$10)+ (K926*'Scoring System'!$B$11)+ (M926*'Scoring System'!$B$12)+ (L926*'Scoring System'!$B$13)+ (O926*'Scoring System'!$B$14)+ (Q926*'Scoring System'!$B$15)+ (R926*'Scoring System'!$B$16)</f>
        <v>2</v>
      </c>
      <c r="AB926" s="3" t="b">
        <f>IFERROR(match(C926,'Match Day Fees'!$B$2:$B$999,0),0)=0</f>
        <v>0</v>
      </c>
      <c r="AC926" s="3">
        <f t="shared" si="2"/>
        <v>0</v>
      </c>
      <c r="AD926" s="3" t="str">
        <f>VLOOKUP(D926,'Position Lookup'!A:B,1,FALSE)</f>
        <v>MID</v>
      </c>
    </row>
    <row r="927" ht="17.25" customHeight="1">
      <c r="A927" s="32">
        <v>45227.0</v>
      </c>
      <c r="B927" s="5" t="s">
        <v>309</v>
      </c>
      <c r="C927" s="5" t="s">
        <v>96</v>
      </c>
      <c r="D927" s="5" t="s">
        <v>9</v>
      </c>
      <c r="E927" s="5">
        <v>1.0</v>
      </c>
      <c r="F927" s="5" t="s">
        <v>941</v>
      </c>
      <c r="G927" s="3" t="s">
        <v>224</v>
      </c>
      <c r="I927" s="3">
        <v>1.0</v>
      </c>
      <c r="J927" s="5">
        <v>1.0</v>
      </c>
      <c r="N927" s="3" t="b">
        <v>0</v>
      </c>
      <c r="T927" s="3">
        <v>5.0</v>
      </c>
      <c r="U927" s="3">
        <v>8.0</v>
      </c>
      <c r="V927" s="3" t="s">
        <v>955</v>
      </c>
      <c r="W927" s="3" t="s">
        <v>311</v>
      </c>
      <c r="X927" s="77" t="s">
        <v>943</v>
      </c>
      <c r="Y927" s="3">
        <v>4.0</v>
      </c>
      <c r="Z927" s="3">
        <v>1.0</v>
      </c>
      <c r="AA927" s="3">
        <f>2+ (P927*'Scoring System'!$B$3)+ (IF(OR(D927="DEF",D927="GK"),N927*'Scoring System'!$B$4,IF(D927="MID",N927*'Scoring System'!$B$5,0)))+ (IF(OR(D927="DEF",D927="GK"),H927*'Scoring System'!$B$6,IF(D927="MID",H927*'Scoring System'!$B$7,IF(D927="ATT",H927*'Scoring System'!$B$8,0))))+ IF(AND(OR(D927="GK",D927="DEF"),J927&gt;=3),1*'Scoring System'!$B$9,0)+ (I927*'Scoring System'!$B$10)+ (K927*'Scoring System'!$B$11)+ (M927*'Scoring System'!$B$12)+ (L927*'Scoring System'!$B$13)+ (O927*'Scoring System'!$B$14)+ (Q927*'Scoring System'!$B$15)+ (R927*'Scoring System'!$B$16)</f>
        <v>5</v>
      </c>
      <c r="AB927" s="3" t="b">
        <f>IFERROR(match(C927,'Match Day Fees'!$B$2:$B$999,0),0)=0</f>
        <v>0</v>
      </c>
      <c r="AC927" s="3">
        <f t="shared" si="2"/>
        <v>0</v>
      </c>
      <c r="AD927" s="3" t="str">
        <f>VLOOKUP(D927,'Position Lookup'!A:B,1,FALSE)</f>
        <v>ATT</v>
      </c>
    </row>
    <row r="928" ht="17.25" customHeight="1">
      <c r="A928" s="32">
        <v>45227.0</v>
      </c>
      <c r="B928" s="5" t="s">
        <v>309</v>
      </c>
      <c r="C928" s="5" t="s">
        <v>110</v>
      </c>
      <c r="D928" s="5" t="s">
        <v>9</v>
      </c>
      <c r="E928" s="5">
        <v>1.0</v>
      </c>
      <c r="F928" s="5" t="s">
        <v>941</v>
      </c>
      <c r="G928" s="3" t="s">
        <v>224</v>
      </c>
      <c r="J928" s="5">
        <v>1.0</v>
      </c>
      <c r="K928" s="3">
        <v>1.0</v>
      </c>
      <c r="N928" s="3" t="b">
        <v>0</v>
      </c>
      <c r="T928" s="3">
        <v>3.0</v>
      </c>
      <c r="U928" s="3">
        <v>7.0</v>
      </c>
      <c r="V928" s="3" t="s">
        <v>956</v>
      </c>
      <c r="W928" s="3" t="s">
        <v>311</v>
      </c>
      <c r="X928" s="77" t="s">
        <v>943</v>
      </c>
      <c r="Y928" s="3">
        <v>4.0</v>
      </c>
      <c r="Z928" s="3">
        <v>1.0</v>
      </c>
      <c r="AA928" s="3">
        <f>2+ (P928*'Scoring System'!$B$3)+ (IF(OR(D928="DEF",D928="GK"),N928*'Scoring System'!$B$4,IF(D928="MID",N928*'Scoring System'!$B$5,0)))+ (IF(OR(D928="DEF",D928="GK"),H928*'Scoring System'!$B$6,IF(D928="MID",H928*'Scoring System'!$B$7,IF(D928="ATT",H928*'Scoring System'!$B$8,0))))+ IF(AND(OR(D928="GK",D928="DEF"),J928&gt;=3),1*'Scoring System'!$B$9,0)+ (I928*'Scoring System'!$B$10)+ (K928*'Scoring System'!$B$11)+ (M928*'Scoring System'!$B$12)+ (L928*'Scoring System'!$B$13)+ (O928*'Scoring System'!$B$14)+ (Q928*'Scoring System'!$B$15)+ (R928*'Scoring System'!$B$16)</f>
        <v>1</v>
      </c>
      <c r="AB928" s="3" t="b">
        <f>IFERROR(match(C928,'Match Day Fees'!$B$2:$B$999,0),0)=0</f>
        <v>0</v>
      </c>
      <c r="AC928" s="3">
        <f t="shared" si="2"/>
        <v>0</v>
      </c>
      <c r="AD928" s="3" t="str">
        <f>VLOOKUP(D928,'Position Lookup'!A:B,1,FALSE)</f>
        <v>ATT</v>
      </c>
    </row>
    <row r="929" ht="17.25" customHeight="1">
      <c r="A929" s="32">
        <v>45227.0</v>
      </c>
      <c r="B929" s="5" t="s">
        <v>309</v>
      </c>
      <c r="C929" s="5" t="s">
        <v>118</v>
      </c>
      <c r="D929" s="3" t="s">
        <v>8</v>
      </c>
      <c r="E929" s="5">
        <v>2.0</v>
      </c>
      <c r="F929" s="5" t="s">
        <v>957</v>
      </c>
      <c r="G929" s="3" t="s">
        <v>224</v>
      </c>
      <c r="J929" s="5">
        <v>1.0</v>
      </c>
      <c r="N929" s="3" t="b">
        <v>0</v>
      </c>
      <c r="T929" s="3">
        <v>10.0</v>
      </c>
      <c r="X929" s="77"/>
      <c r="Y929" s="3">
        <v>4.0</v>
      </c>
      <c r="Z929" s="3">
        <v>1.0</v>
      </c>
      <c r="AA929" s="3">
        <f>2+ (P929*'Scoring System'!$B$3)+ (IF(OR(D929="DEF",D929="GK"),N929*'Scoring System'!$B$4,IF(D929="MID",N929*'Scoring System'!$B$5,0)))+ (IF(OR(D929="DEF",D929="GK"),H929*'Scoring System'!$B$6,IF(D929="MID",H929*'Scoring System'!$B$7,IF(D929="ATT",H929*'Scoring System'!$B$8,0))))+ IF(AND(OR(D929="GK",D929="DEF"),J929&gt;=3),1*'Scoring System'!$B$9,0)+ (I929*'Scoring System'!$B$10)+ (K929*'Scoring System'!$B$11)+ (M929*'Scoring System'!$B$12)+ (L929*'Scoring System'!$B$13)+ (O929*'Scoring System'!$B$14)+ (Q929*'Scoring System'!$B$15)+ (R929*'Scoring System'!$B$16)</f>
        <v>2</v>
      </c>
      <c r="AB929" s="3" t="b">
        <f>IFERROR(match(C929,'Match Day Fees'!$B$2:$B$999,0),0)=0</f>
        <v>0</v>
      </c>
      <c r="AC929" s="3">
        <f t="shared" si="2"/>
        <v>0</v>
      </c>
      <c r="AD929" s="3" t="str">
        <f>VLOOKUP(D929,'Position Lookup'!A:B,1,FALSE)</f>
        <v>GK</v>
      </c>
    </row>
    <row r="930" ht="17.25" customHeight="1">
      <c r="A930" s="32">
        <v>45227.0</v>
      </c>
      <c r="B930" s="5" t="s">
        <v>309</v>
      </c>
      <c r="C930" s="5" t="s">
        <v>56</v>
      </c>
      <c r="D930" s="5" t="s">
        <v>11</v>
      </c>
      <c r="E930" s="5">
        <v>2.0</v>
      </c>
      <c r="F930" s="5" t="s">
        <v>957</v>
      </c>
      <c r="G930" s="3" t="s">
        <v>224</v>
      </c>
      <c r="J930" s="5">
        <v>1.0</v>
      </c>
      <c r="N930" s="3" t="b">
        <v>0</v>
      </c>
      <c r="T930" s="3">
        <v>10.0</v>
      </c>
      <c r="X930" s="77"/>
      <c r="Y930" s="3">
        <v>4.0</v>
      </c>
      <c r="Z930" s="3">
        <v>1.0</v>
      </c>
      <c r="AA930" s="3">
        <f>2+ (P930*'Scoring System'!$B$3)+ (IF(OR(D930="DEF",D930="GK"),N930*'Scoring System'!$B$4,IF(D930="MID",N930*'Scoring System'!$B$5,0)))+ (IF(OR(D930="DEF",D930="GK"),H930*'Scoring System'!$B$6,IF(D930="MID",H930*'Scoring System'!$B$7,IF(D930="ATT",H930*'Scoring System'!$B$8,0))))+ IF(AND(OR(D930="GK",D930="DEF"),J930&gt;=3),1*'Scoring System'!$B$9,0)+ (I930*'Scoring System'!$B$10)+ (K930*'Scoring System'!$B$11)+ (M930*'Scoring System'!$B$12)+ (L930*'Scoring System'!$B$13)+ (O930*'Scoring System'!$B$14)+ (Q930*'Scoring System'!$B$15)+ (R930*'Scoring System'!$B$16)</f>
        <v>2</v>
      </c>
      <c r="AB930" s="3" t="b">
        <f>IFERROR(match(C930,'Match Day Fees'!$B$2:$B$999,0),0)=0</f>
        <v>0</v>
      </c>
      <c r="AC930" s="3">
        <f t="shared" si="2"/>
        <v>0</v>
      </c>
      <c r="AD930" s="3" t="str">
        <f>VLOOKUP(D930,'Position Lookup'!A:B,1,FALSE)</f>
        <v>DEF</v>
      </c>
    </row>
    <row r="931" ht="17.25" customHeight="1">
      <c r="A931" s="32">
        <v>45227.0</v>
      </c>
      <c r="B931" s="5" t="s">
        <v>309</v>
      </c>
      <c r="C931" s="5" t="s">
        <v>40</v>
      </c>
      <c r="D931" s="5" t="s">
        <v>11</v>
      </c>
      <c r="E931" s="5">
        <v>2.0</v>
      </c>
      <c r="F931" s="5" t="s">
        <v>957</v>
      </c>
      <c r="G931" s="3" t="s">
        <v>224</v>
      </c>
      <c r="J931" s="5">
        <v>1.0</v>
      </c>
      <c r="N931" s="3" t="b">
        <v>0</v>
      </c>
      <c r="T931" s="3">
        <v>10.0</v>
      </c>
      <c r="X931" s="77"/>
      <c r="Y931" s="3">
        <v>4.0</v>
      </c>
      <c r="Z931" s="3">
        <v>1.0</v>
      </c>
      <c r="AA931" s="3">
        <f>2+ (P931*'Scoring System'!$B$3)+ (IF(OR(D931="DEF",D931="GK"),N931*'Scoring System'!$B$4,IF(D931="MID",N931*'Scoring System'!$B$5,0)))+ (IF(OR(D931="DEF",D931="GK"),H931*'Scoring System'!$B$6,IF(D931="MID",H931*'Scoring System'!$B$7,IF(D931="ATT",H931*'Scoring System'!$B$8,0))))+ IF(AND(OR(D931="GK",D931="DEF"),J931&gt;=3),1*'Scoring System'!$B$9,0)+ (I931*'Scoring System'!$B$10)+ (K931*'Scoring System'!$B$11)+ (M931*'Scoring System'!$B$12)+ (L931*'Scoring System'!$B$13)+ (O931*'Scoring System'!$B$14)+ (Q931*'Scoring System'!$B$15)+ (R931*'Scoring System'!$B$16)</f>
        <v>2</v>
      </c>
      <c r="AB931" s="3" t="b">
        <f>IFERROR(match(C931,'Match Day Fees'!$B$2:$B$999,0),0)=0</f>
        <v>0</v>
      </c>
      <c r="AC931" s="3">
        <f t="shared" si="2"/>
        <v>0</v>
      </c>
      <c r="AD931" s="3" t="str">
        <f>VLOOKUP(D931,'Position Lookup'!A:B,1,FALSE)</f>
        <v>DEF</v>
      </c>
    </row>
    <row r="932" ht="17.25" customHeight="1">
      <c r="A932" s="32">
        <v>45227.0</v>
      </c>
      <c r="B932" s="5" t="s">
        <v>309</v>
      </c>
      <c r="C932" s="5" t="s">
        <v>111</v>
      </c>
      <c r="D932" s="5" t="s">
        <v>11</v>
      </c>
      <c r="E932" s="5">
        <v>2.0</v>
      </c>
      <c r="F932" s="5" t="s">
        <v>957</v>
      </c>
      <c r="G932" s="3" t="s">
        <v>224</v>
      </c>
      <c r="I932" s="3">
        <v>1.0</v>
      </c>
      <c r="J932" s="5">
        <v>1.0</v>
      </c>
      <c r="N932" s="3" t="b">
        <v>0</v>
      </c>
      <c r="T932" s="3">
        <v>10.0</v>
      </c>
      <c r="X932" s="77"/>
      <c r="Y932" s="3">
        <v>4.0</v>
      </c>
      <c r="Z932" s="3">
        <v>1.0</v>
      </c>
      <c r="AA932" s="3">
        <f>2+ (P932*'Scoring System'!$B$3)+ (IF(OR(D932="DEF",D932="GK"),N932*'Scoring System'!$B$4,IF(D932="MID",N932*'Scoring System'!$B$5,0)))+ (IF(OR(D932="DEF",D932="GK"),H932*'Scoring System'!$B$6,IF(D932="MID",H932*'Scoring System'!$B$7,IF(D932="ATT",H932*'Scoring System'!$B$8,0))))+ IF(AND(OR(D932="GK",D932="DEF"),J932&gt;=3),1*'Scoring System'!$B$9,0)+ (I932*'Scoring System'!$B$10)+ (K932*'Scoring System'!$B$11)+ (M932*'Scoring System'!$B$12)+ (L932*'Scoring System'!$B$13)+ (O932*'Scoring System'!$B$14)+ (Q932*'Scoring System'!$B$15)+ (R932*'Scoring System'!$B$16)</f>
        <v>5</v>
      </c>
      <c r="AB932" s="3" t="b">
        <f>IFERROR(match(C932,'Match Day Fees'!$B$2:$B$999,0),0)=0</f>
        <v>0</v>
      </c>
      <c r="AC932" s="3">
        <f t="shared" si="2"/>
        <v>0</v>
      </c>
      <c r="AD932" s="3" t="str">
        <f>VLOOKUP(D932,'Position Lookup'!A:B,1,FALSE)</f>
        <v>DEF</v>
      </c>
    </row>
    <row r="933" ht="17.25" customHeight="1">
      <c r="A933" s="32">
        <v>45227.0</v>
      </c>
      <c r="B933" s="5" t="s">
        <v>309</v>
      </c>
      <c r="C933" s="5" t="s">
        <v>104</v>
      </c>
      <c r="D933" s="5" t="s">
        <v>10</v>
      </c>
      <c r="E933" s="5">
        <v>2.0</v>
      </c>
      <c r="F933" s="5" t="s">
        <v>957</v>
      </c>
      <c r="G933" s="3" t="s">
        <v>224</v>
      </c>
      <c r="J933" s="5">
        <v>1.0</v>
      </c>
      <c r="N933" s="3" t="b">
        <v>0</v>
      </c>
      <c r="T933" s="3">
        <v>5.0</v>
      </c>
      <c r="X933" s="77"/>
      <c r="Y933" s="3">
        <v>4.0</v>
      </c>
      <c r="Z933" s="3">
        <v>1.0</v>
      </c>
      <c r="AA933" s="3">
        <f>2+ (P933*'Scoring System'!$B$3)+ (IF(OR(D933="DEF",D933="GK"),N933*'Scoring System'!$B$4,IF(D933="MID",N933*'Scoring System'!$B$5,0)))+ (IF(OR(D933="DEF",D933="GK"),H933*'Scoring System'!$B$6,IF(D933="MID",H933*'Scoring System'!$B$7,IF(D933="ATT",H933*'Scoring System'!$B$8,0))))+ IF(AND(OR(D933="GK",D933="DEF"),J933&gt;=3),1*'Scoring System'!$B$9,0)+ (I933*'Scoring System'!$B$10)+ (K933*'Scoring System'!$B$11)+ (M933*'Scoring System'!$B$12)+ (L933*'Scoring System'!$B$13)+ (O933*'Scoring System'!$B$14)+ (Q933*'Scoring System'!$B$15)+ (R933*'Scoring System'!$B$16)</f>
        <v>2</v>
      </c>
      <c r="AB933" s="3" t="b">
        <f>IFERROR(match(C933,'Match Day Fees'!$B$2:$B$999,0),0)=0</f>
        <v>0</v>
      </c>
      <c r="AC933" s="3">
        <f t="shared" si="2"/>
        <v>0</v>
      </c>
      <c r="AD933" s="3" t="str">
        <f>VLOOKUP(D933,'Position Lookup'!A:B,1,FALSE)</f>
        <v>MID</v>
      </c>
    </row>
    <row r="934" ht="17.25" customHeight="1">
      <c r="A934" s="32">
        <v>45227.0</v>
      </c>
      <c r="B934" s="5" t="s">
        <v>309</v>
      </c>
      <c r="C934" s="5" t="s">
        <v>86</v>
      </c>
      <c r="D934" s="5" t="s">
        <v>10</v>
      </c>
      <c r="E934" s="5">
        <v>2.0</v>
      </c>
      <c r="F934" s="5" t="s">
        <v>957</v>
      </c>
      <c r="G934" s="3" t="s">
        <v>224</v>
      </c>
      <c r="H934" s="3">
        <v>1.0</v>
      </c>
      <c r="J934" s="5">
        <v>1.0</v>
      </c>
      <c r="N934" s="3" t="b">
        <v>0</v>
      </c>
      <c r="T934" s="3">
        <v>10.0</v>
      </c>
      <c r="X934" s="77"/>
      <c r="Y934" s="3">
        <v>4.0</v>
      </c>
      <c r="Z934" s="3">
        <v>1.0</v>
      </c>
      <c r="AA934" s="3">
        <f>2+ (P934*'Scoring System'!$B$3)+ (IF(OR(D934="DEF",D934="GK"),N934*'Scoring System'!$B$4,IF(D934="MID",N934*'Scoring System'!$B$5,0)))+ (IF(OR(D934="DEF",D934="GK"),H934*'Scoring System'!$B$6,IF(D934="MID",H934*'Scoring System'!$B$7,IF(D934="ATT",H934*'Scoring System'!$B$8,0))))+ IF(AND(OR(D934="GK",D934="DEF"),J934&gt;=3),1*'Scoring System'!$B$9,0)+ (I934*'Scoring System'!$B$10)+ (K934*'Scoring System'!$B$11)+ (M934*'Scoring System'!$B$12)+ (L934*'Scoring System'!$B$13)+ (O934*'Scoring System'!$B$14)+ (Q934*'Scoring System'!$B$15)+ (R934*'Scoring System'!$B$16)</f>
        <v>7</v>
      </c>
      <c r="AB934" s="3" t="b">
        <f>IFERROR(match(C934,'Match Day Fees'!$B$2:$B$999,0),0)=0</f>
        <v>0</v>
      </c>
      <c r="AC934" s="3">
        <f t="shared" si="2"/>
        <v>0</v>
      </c>
      <c r="AD934" s="3" t="str">
        <f>VLOOKUP(D934,'Position Lookup'!A:B,1,FALSE)</f>
        <v>MID</v>
      </c>
    </row>
    <row r="935" ht="17.25" customHeight="1">
      <c r="A935" s="32">
        <v>45227.0</v>
      </c>
      <c r="B935" s="5" t="s">
        <v>309</v>
      </c>
      <c r="C935" s="5" t="s">
        <v>274</v>
      </c>
      <c r="D935" s="5" t="s">
        <v>10</v>
      </c>
      <c r="E935" s="5">
        <v>2.0</v>
      </c>
      <c r="F935" s="5" t="s">
        <v>957</v>
      </c>
      <c r="G935" s="3" t="s">
        <v>224</v>
      </c>
      <c r="H935" s="3">
        <v>1.0</v>
      </c>
      <c r="J935" s="5">
        <v>1.0</v>
      </c>
      <c r="N935" s="3" t="b">
        <v>0</v>
      </c>
      <c r="T935" s="3">
        <v>5.0</v>
      </c>
      <c r="X935" s="77"/>
      <c r="Y935" s="3">
        <v>4.0</v>
      </c>
      <c r="Z935" s="3">
        <v>1.0</v>
      </c>
      <c r="AA935" s="3">
        <f>2+ (P935*'Scoring System'!$B$3)+ (IF(OR(D935="DEF",D935="GK"),N935*'Scoring System'!$B$4,IF(D935="MID",N935*'Scoring System'!$B$5,0)))+ (IF(OR(D935="DEF",D935="GK"),H935*'Scoring System'!$B$6,IF(D935="MID",H935*'Scoring System'!$B$7,IF(D935="ATT",H935*'Scoring System'!$B$8,0))))+ IF(AND(OR(D935="GK",D935="DEF"),J935&gt;=3),1*'Scoring System'!$B$9,0)+ (I935*'Scoring System'!$B$10)+ (K935*'Scoring System'!$B$11)+ (M935*'Scoring System'!$B$12)+ (L935*'Scoring System'!$B$13)+ (O935*'Scoring System'!$B$14)+ (Q935*'Scoring System'!$B$15)+ (R935*'Scoring System'!$B$16)</f>
        <v>7</v>
      </c>
      <c r="AB935" s="3" t="b">
        <f>IFERROR(match(C935,'Match Day Fees'!$B$2:$B$999,0),0)=0</f>
        <v>0</v>
      </c>
      <c r="AC935" s="3">
        <f t="shared" si="2"/>
        <v>0</v>
      </c>
      <c r="AD935" s="3" t="str">
        <f>VLOOKUP(D935,'Position Lookup'!A:B,1,FALSE)</f>
        <v>MID</v>
      </c>
    </row>
    <row r="936" ht="17.25" customHeight="1">
      <c r="A936" s="32">
        <v>45227.0</v>
      </c>
      <c r="B936" s="5" t="s">
        <v>309</v>
      </c>
      <c r="C936" s="5" t="s">
        <v>958</v>
      </c>
      <c r="D936" s="5" t="s">
        <v>9</v>
      </c>
      <c r="E936" s="5">
        <v>2.0</v>
      </c>
      <c r="F936" s="5" t="s">
        <v>957</v>
      </c>
      <c r="G936" s="3" t="s">
        <v>224</v>
      </c>
      <c r="J936" s="5">
        <v>1.0</v>
      </c>
      <c r="N936" s="3" t="b">
        <v>0</v>
      </c>
      <c r="T936" s="3">
        <v>5.0</v>
      </c>
      <c r="X936" s="77"/>
      <c r="Y936" s="3">
        <v>4.0</v>
      </c>
      <c r="Z936" s="3">
        <v>1.0</v>
      </c>
      <c r="AA936" s="3">
        <f>2+ (P936*'Scoring System'!$B$3)+ (IF(OR(D936="DEF",D936="GK"),N936*'Scoring System'!$B$4,IF(D936="MID",N936*'Scoring System'!$B$5,0)))+ (IF(OR(D936="DEF",D936="GK"),H936*'Scoring System'!$B$6,IF(D936="MID",H936*'Scoring System'!$B$7,IF(D936="ATT",H936*'Scoring System'!$B$8,0))))+ IF(AND(OR(D936="GK",D936="DEF"),J936&gt;=3),1*'Scoring System'!$B$9,0)+ (I936*'Scoring System'!$B$10)+ (K936*'Scoring System'!$B$11)+ (M936*'Scoring System'!$B$12)+ (L936*'Scoring System'!$B$13)+ (O936*'Scoring System'!$B$14)+ (Q936*'Scoring System'!$B$15)+ (R936*'Scoring System'!$B$16)</f>
        <v>2</v>
      </c>
      <c r="AB936" s="3" t="b">
        <f>IFERROR(match(C936,'Match Day Fees'!$B$2:$B$999,0),0)=0</f>
        <v>0</v>
      </c>
      <c r="AC936" s="3">
        <f t="shared" si="2"/>
        <v>0</v>
      </c>
      <c r="AD936" s="3" t="str">
        <f>VLOOKUP(D936,'Position Lookup'!A:B,1,FALSE)</f>
        <v>ATT</v>
      </c>
    </row>
    <row r="937" ht="17.25" customHeight="1">
      <c r="A937" s="32">
        <v>45227.0</v>
      </c>
      <c r="B937" s="5" t="s">
        <v>309</v>
      </c>
      <c r="C937" s="5" t="s">
        <v>123</v>
      </c>
      <c r="D937" s="5" t="s">
        <v>9</v>
      </c>
      <c r="E937" s="5">
        <v>2.0</v>
      </c>
      <c r="F937" s="5" t="s">
        <v>957</v>
      </c>
      <c r="G937" s="3" t="s">
        <v>224</v>
      </c>
      <c r="J937" s="5">
        <v>1.0</v>
      </c>
      <c r="N937" s="3" t="b">
        <v>0</v>
      </c>
      <c r="T937" s="3">
        <v>10.0</v>
      </c>
      <c r="X937" s="77"/>
      <c r="Y937" s="3">
        <v>4.0</v>
      </c>
      <c r="Z937" s="3">
        <v>1.0</v>
      </c>
      <c r="AA937" s="3">
        <f>2+ (P937*'Scoring System'!$B$3)+ (IF(OR(D937="DEF",D937="GK"),N937*'Scoring System'!$B$4,IF(D937="MID",N937*'Scoring System'!$B$5,0)))+ (IF(OR(D937="DEF",D937="GK"),H937*'Scoring System'!$B$6,IF(D937="MID",H937*'Scoring System'!$B$7,IF(D937="ATT",H937*'Scoring System'!$B$8,0))))+ IF(AND(OR(D937="GK",D937="DEF"),J937&gt;=3),1*'Scoring System'!$B$9,0)+ (I937*'Scoring System'!$B$10)+ (K937*'Scoring System'!$B$11)+ (M937*'Scoring System'!$B$12)+ (L937*'Scoring System'!$B$13)+ (O937*'Scoring System'!$B$14)+ (Q937*'Scoring System'!$B$15)+ (R937*'Scoring System'!$B$16)</f>
        <v>2</v>
      </c>
      <c r="AB937" s="3" t="b">
        <f>IFERROR(match(C937,'Match Day Fees'!$B$2:$B$999,0),0)=0</f>
        <v>0</v>
      </c>
      <c r="AC937" s="3">
        <f t="shared" si="2"/>
        <v>0</v>
      </c>
      <c r="AD937" s="3" t="str">
        <f>VLOOKUP(D937,'Position Lookup'!A:B,1,FALSE)</f>
        <v>ATT</v>
      </c>
    </row>
    <row r="938" ht="17.25" customHeight="1">
      <c r="A938" s="32">
        <v>45227.0</v>
      </c>
      <c r="B938" s="5" t="s">
        <v>309</v>
      </c>
      <c r="C938" s="5" t="s">
        <v>114</v>
      </c>
      <c r="D938" s="5" t="s">
        <v>11</v>
      </c>
      <c r="E938" s="5">
        <v>2.0</v>
      </c>
      <c r="F938" s="5" t="s">
        <v>957</v>
      </c>
      <c r="G938" s="3" t="s">
        <v>224</v>
      </c>
      <c r="I938" s="3">
        <v>1.0</v>
      </c>
      <c r="J938" s="5">
        <v>1.0</v>
      </c>
      <c r="N938" s="3" t="b">
        <v>0</v>
      </c>
      <c r="T938" s="3">
        <v>10.0</v>
      </c>
      <c r="X938" s="77"/>
      <c r="Y938" s="3">
        <v>4.0</v>
      </c>
      <c r="Z938" s="3">
        <v>1.0</v>
      </c>
      <c r="AA938" s="3">
        <f>2+ (P938*'Scoring System'!$B$3)+ (IF(OR(D938="DEF",D938="GK"),N938*'Scoring System'!$B$4,IF(D938="MID",N938*'Scoring System'!$B$5,0)))+ (IF(OR(D938="DEF",D938="GK"),H938*'Scoring System'!$B$6,IF(D938="MID",H938*'Scoring System'!$B$7,IF(D938="ATT",H938*'Scoring System'!$B$8,0))))+ IF(AND(OR(D938="GK",D938="DEF"),J938&gt;=3),1*'Scoring System'!$B$9,0)+ (I938*'Scoring System'!$B$10)+ (K938*'Scoring System'!$B$11)+ (M938*'Scoring System'!$B$12)+ (L938*'Scoring System'!$B$13)+ (O938*'Scoring System'!$B$14)+ (Q938*'Scoring System'!$B$15)+ (R938*'Scoring System'!$B$16)</f>
        <v>5</v>
      </c>
      <c r="AB938" s="3" t="b">
        <f>IFERROR(match(C938,'Match Day Fees'!$B$2:$B$999,0),0)=0</f>
        <v>0</v>
      </c>
      <c r="AC938" s="3">
        <f t="shared" si="2"/>
        <v>0</v>
      </c>
      <c r="AD938" s="3" t="str">
        <f>VLOOKUP(D938,'Position Lookup'!A:B,1,FALSE)</f>
        <v>DEF</v>
      </c>
    </row>
    <row r="939" ht="17.25" customHeight="1">
      <c r="A939" s="32">
        <v>45227.0</v>
      </c>
      <c r="B939" s="5" t="s">
        <v>309</v>
      </c>
      <c r="C939" s="5" t="s">
        <v>73</v>
      </c>
      <c r="D939" s="5" t="s">
        <v>9</v>
      </c>
      <c r="E939" s="5">
        <v>2.0</v>
      </c>
      <c r="F939" s="5" t="s">
        <v>957</v>
      </c>
      <c r="G939" s="3" t="s">
        <v>224</v>
      </c>
      <c r="H939" s="3">
        <v>2.0</v>
      </c>
      <c r="I939" s="3">
        <v>1.0</v>
      </c>
      <c r="J939" s="5">
        <v>1.0</v>
      </c>
      <c r="N939" s="3" t="b">
        <v>0</v>
      </c>
      <c r="R939" s="5">
        <v>1.0</v>
      </c>
      <c r="T939" s="3">
        <v>10.0</v>
      </c>
      <c r="X939" s="77"/>
      <c r="Y939" s="3">
        <v>4.0</v>
      </c>
      <c r="Z939" s="3">
        <v>1.0</v>
      </c>
      <c r="AA939" s="3">
        <f>2+ (P939*'Scoring System'!$B$3)+ (IF(OR(D939="DEF",D939="GK"),N939*'Scoring System'!$B$4,IF(D939="MID",N939*'Scoring System'!$B$5,0)))+ (IF(OR(D939="DEF",D939="GK"),H939*'Scoring System'!$B$6,IF(D939="MID",H939*'Scoring System'!$B$7,IF(D939="ATT",H939*'Scoring System'!$B$8,0))))+ IF(AND(OR(D939="GK",D939="DEF"),J939&gt;=3),1*'Scoring System'!$B$9,0)+ (I939*'Scoring System'!$B$10)+ (K939*'Scoring System'!$B$11)+ (M939*'Scoring System'!$B$12)+ (L939*'Scoring System'!$B$13)+ (O939*'Scoring System'!$B$14)+ (Q939*'Scoring System'!$B$15)+ (R939*'Scoring System'!$B$16)</f>
        <v>18</v>
      </c>
      <c r="AB939" s="3" t="b">
        <f>IFERROR(match(C939,'Match Day Fees'!$B$2:$B$999,0),0)=0</f>
        <v>0</v>
      </c>
      <c r="AC939" s="3">
        <f t="shared" si="2"/>
        <v>0</v>
      </c>
      <c r="AD939" s="3" t="str">
        <f>VLOOKUP(D939,'Position Lookup'!A:B,1,FALSE)</f>
        <v>ATT</v>
      </c>
    </row>
    <row r="940" ht="17.25" customHeight="1">
      <c r="A940" s="32">
        <v>45227.0</v>
      </c>
      <c r="B940" s="5" t="s">
        <v>309</v>
      </c>
      <c r="C940" s="5" t="s">
        <v>146</v>
      </c>
      <c r="D940" s="5" t="s">
        <v>9</v>
      </c>
      <c r="E940" s="5">
        <v>2.0</v>
      </c>
      <c r="F940" s="5" t="s">
        <v>957</v>
      </c>
      <c r="G940" s="3" t="s">
        <v>224</v>
      </c>
      <c r="I940" s="3">
        <v>1.0</v>
      </c>
      <c r="J940" s="5">
        <v>1.0</v>
      </c>
      <c r="N940" s="3" t="b">
        <v>0</v>
      </c>
      <c r="T940" s="3">
        <v>10.0</v>
      </c>
      <c r="X940" s="77"/>
      <c r="Y940" s="3">
        <v>4.0</v>
      </c>
      <c r="Z940" s="3">
        <v>1.0</v>
      </c>
      <c r="AA940" s="3">
        <f>2+ (P940*'Scoring System'!$B$3)+ (IF(OR(D940="DEF",D940="GK"),N940*'Scoring System'!$B$4,IF(D940="MID",N940*'Scoring System'!$B$5,0)))+ (IF(OR(D940="DEF",D940="GK"),H940*'Scoring System'!$B$6,IF(D940="MID",H940*'Scoring System'!$B$7,IF(D940="ATT",H940*'Scoring System'!$B$8,0))))+ IF(AND(OR(D940="GK",D940="DEF"),J940&gt;=3),1*'Scoring System'!$B$9,0)+ (I940*'Scoring System'!$B$10)+ (K940*'Scoring System'!$B$11)+ (M940*'Scoring System'!$B$12)+ (L940*'Scoring System'!$B$13)+ (O940*'Scoring System'!$B$14)+ (Q940*'Scoring System'!$B$15)+ (R940*'Scoring System'!$B$16)</f>
        <v>5</v>
      </c>
      <c r="AB940" s="3" t="b">
        <f>IFERROR(match(C940,'Match Day Fees'!$B$2:$B$999,0),0)=0</f>
        <v>0</v>
      </c>
      <c r="AC940" s="3">
        <f t="shared" si="2"/>
        <v>0</v>
      </c>
      <c r="AD940" s="3" t="str">
        <f>VLOOKUP(D940,'Position Lookup'!A:B,1,FALSE)</f>
        <v>ATT</v>
      </c>
    </row>
    <row r="941" ht="17.25" customHeight="1">
      <c r="A941" s="32">
        <v>45227.0</v>
      </c>
      <c r="B941" s="5" t="s">
        <v>309</v>
      </c>
      <c r="C941" s="5" t="s">
        <v>91</v>
      </c>
      <c r="D941" s="5" t="s">
        <v>11</v>
      </c>
      <c r="E941" s="5">
        <v>2.0</v>
      </c>
      <c r="F941" s="5" t="s">
        <v>957</v>
      </c>
      <c r="G941" s="3" t="s">
        <v>224</v>
      </c>
      <c r="J941" s="5">
        <v>1.0</v>
      </c>
      <c r="N941" s="3" t="b">
        <v>0</v>
      </c>
      <c r="T941" s="3">
        <v>5.0</v>
      </c>
      <c r="X941" s="77"/>
      <c r="Y941" s="3">
        <v>4.0</v>
      </c>
      <c r="Z941" s="3">
        <v>1.0</v>
      </c>
      <c r="AA941" s="3">
        <f>2+ (P941*'Scoring System'!$B$3)+ (IF(OR(D941="DEF",D941="GK"),N941*'Scoring System'!$B$4,IF(D941="MID",N941*'Scoring System'!$B$5,0)))+ (IF(OR(D941="DEF",D941="GK"),H941*'Scoring System'!$B$6,IF(D941="MID",H941*'Scoring System'!$B$7,IF(D941="ATT",H941*'Scoring System'!$B$8,0))))+ IF(AND(OR(D941="GK",D941="DEF"),J941&gt;=3),1*'Scoring System'!$B$9,0)+ (I941*'Scoring System'!$B$10)+ (K941*'Scoring System'!$B$11)+ (M941*'Scoring System'!$B$12)+ (L941*'Scoring System'!$B$13)+ (O941*'Scoring System'!$B$14)+ (Q941*'Scoring System'!$B$15)+ (R941*'Scoring System'!$B$16)</f>
        <v>2</v>
      </c>
      <c r="AB941" s="3" t="b">
        <f>IFERROR(match(C941,'Match Day Fees'!$B$2:$B$999,0),0)=0</f>
        <v>0</v>
      </c>
      <c r="AC941" s="3">
        <f t="shared" si="2"/>
        <v>0</v>
      </c>
      <c r="AD941" s="3" t="str">
        <f>VLOOKUP(D941,'Position Lookup'!A:B,1,FALSE)</f>
        <v>DEF</v>
      </c>
    </row>
    <row r="942" ht="17.25" customHeight="1">
      <c r="A942" s="32">
        <v>45227.0</v>
      </c>
      <c r="B942" s="5" t="s">
        <v>309</v>
      </c>
      <c r="C942" s="5" t="s">
        <v>74</v>
      </c>
      <c r="D942" s="5" t="s">
        <v>9</v>
      </c>
      <c r="E942" s="5">
        <v>2.0</v>
      </c>
      <c r="F942" s="5" t="s">
        <v>957</v>
      </c>
      <c r="G942" s="3" t="s">
        <v>224</v>
      </c>
      <c r="J942" s="5">
        <v>1.0</v>
      </c>
      <c r="N942" s="3" t="b">
        <v>0</v>
      </c>
      <c r="T942" s="3">
        <v>10.0</v>
      </c>
      <c r="X942" s="77"/>
      <c r="Y942" s="3">
        <v>4.0</v>
      </c>
      <c r="Z942" s="3">
        <v>1.0</v>
      </c>
      <c r="AA942" s="3">
        <f>2+ (P942*'Scoring System'!$B$3)+ (IF(OR(D942="DEF",D942="GK"),N942*'Scoring System'!$B$4,IF(D942="MID",N942*'Scoring System'!$B$5,0)))+ (IF(OR(D942="DEF",D942="GK"),H942*'Scoring System'!$B$6,IF(D942="MID",H942*'Scoring System'!$B$7,IF(D942="ATT",H942*'Scoring System'!$B$8,0))))+ IF(AND(OR(D942="GK",D942="DEF"),J942&gt;=3),1*'Scoring System'!$B$9,0)+ (I942*'Scoring System'!$B$10)+ (K942*'Scoring System'!$B$11)+ (M942*'Scoring System'!$B$12)+ (L942*'Scoring System'!$B$13)+ (O942*'Scoring System'!$B$14)+ (Q942*'Scoring System'!$B$15)+ (R942*'Scoring System'!$B$16)</f>
        <v>2</v>
      </c>
      <c r="AB942" s="3" t="b">
        <f>IFERROR(match(C942,'Match Day Fees'!$B$2:$B$999,0),0)=0</f>
        <v>0</v>
      </c>
      <c r="AC942" s="3">
        <f t="shared" si="2"/>
        <v>0</v>
      </c>
      <c r="AD942" s="3" t="str">
        <f>VLOOKUP(D942,'Position Lookup'!A:B,1,FALSE)</f>
        <v>ATT</v>
      </c>
    </row>
    <row r="943" ht="17.25" customHeight="1">
      <c r="A943" s="32">
        <v>45227.0</v>
      </c>
      <c r="B943" s="5" t="s">
        <v>712</v>
      </c>
      <c r="C943" s="5" t="s">
        <v>41</v>
      </c>
      <c r="D943" s="3" t="s">
        <v>8</v>
      </c>
      <c r="E943" s="5">
        <v>3.0</v>
      </c>
      <c r="F943" s="5" t="s">
        <v>959</v>
      </c>
      <c r="G943" s="3" t="s">
        <v>230</v>
      </c>
      <c r="J943" s="5">
        <v>8.0</v>
      </c>
      <c r="N943" s="3" t="b">
        <v>0</v>
      </c>
      <c r="T943" s="3">
        <v>10.0</v>
      </c>
      <c r="U943" s="3">
        <v>6.5</v>
      </c>
      <c r="V943" s="3" t="s">
        <v>960</v>
      </c>
      <c r="W943" s="3" t="s">
        <v>344</v>
      </c>
      <c r="X943" s="77" t="s">
        <v>961</v>
      </c>
      <c r="Y943" s="3">
        <v>4.0</v>
      </c>
      <c r="Z943" s="3">
        <v>8.0</v>
      </c>
      <c r="AA943" s="3">
        <f>2+ (P943*'Scoring System'!$B$3)+ (IF(OR(D943="DEF",D943="GK"),N943*'Scoring System'!$B$4,IF(D943="MID",N943*'Scoring System'!$B$5,0)))+ (IF(OR(D943="DEF",D943="GK"),H943*'Scoring System'!$B$6,IF(D943="MID",H943*'Scoring System'!$B$7,IF(D943="ATT",H943*'Scoring System'!$B$8,0))))+ IF(AND(OR(D943="GK",D943="DEF"),J943&gt;=3),1*'Scoring System'!$B$9,0)+ (I943*'Scoring System'!$B$10)+ (K943*'Scoring System'!$B$11)+ (M943*'Scoring System'!$B$12)+ (L943*'Scoring System'!$B$13)+ (O943*'Scoring System'!$B$14)+ (Q943*'Scoring System'!$B$15)+ (R943*'Scoring System'!$B$16)</f>
        <v>1</v>
      </c>
      <c r="AB943" s="3" t="b">
        <f>IFERROR(match(C943,'Match Day Fees'!$B$2:$B$999,0),0)=0</f>
        <v>0</v>
      </c>
      <c r="AC943" s="3">
        <f t="shared" si="2"/>
        <v>0</v>
      </c>
      <c r="AD943" s="3" t="str">
        <f>VLOOKUP(D943,'Position Lookup'!A:B,1,FALSE)</f>
        <v>GK</v>
      </c>
    </row>
    <row r="944" ht="17.25" customHeight="1">
      <c r="A944" s="32">
        <v>45227.0</v>
      </c>
      <c r="B944" s="5" t="s">
        <v>712</v>
      </c>
      <c r="C944" s="5" t="s">
        <v>333</v>
      </c>
      <c r="D944" s="5" t="s">
        <v>11</v>
      </c>
      <c r="E944" s="5">
        <v>3.0</v>
      </c>
      <c r="F944" s="5" t="s">
        <v>959</v>
      </c>
      <c r="G944" s="3" t="s">
        <v>230</v>
      </c>
      <c r="J944" s="5">
        <v>8.0</v>
      </c>
      <c r="K944" s="3">
        <v>1.0</v>
      </c>
      <c r="N944" s="3" t="b">
        <v>0</v>
      </c>
      <c r="T944" s="3">
        <v>10.0</v>
      </c>
      <c r="U944" s="3">
        <v>7.0</v>
      </c>
      <c r="V944" s="3" t="s">
        <v>962</v>
      </c>
      <c r="W944" s="3" t="s">
        <v>344</v>
      </c>
      <c r="X944" s="77" t="s">
        <v>961</v>
      </c>
      <c r="Y944" s="3">
        <v>4.0</v>
      </c>
      <c r="Z944" s="3">
        <v>8.0</v>
      </c>
      <c r="AA944" s="3">
        <f>2+ (P944*'Scoring System'!$B$3)+ (IF(OR(D944="DEF",D944="GK"),N944*'Scoring System'!$B$4,IF(D944="MID",N944*'Scoring System'!$B$5,0)))+ (IF(OR(D944="DEF",D944="GK"),H944*'Scoring System'!$B$6,IF(D944="MID",H944*'Scoring System'!$B$7,IF(D944="ATT",H944*'Scoring System'!$B$8,0))))+ IF(AND(OR(D944="GK",D944="DEF"),J944&gt;=3),1*'Scoring System'!$B$9,0)+ (I944*'Scoring System'!$B$10)+ (K944*'Scoring System'!$B$11)+ (M944*'Scoring System'!$B$12)+ (L944*'Scoring System'!$B$13)+ (O944*'Scoring System'!$B$14)+ (Q944*'Scoring System'!$B$15)+ (R944*'Scoring System'!$B$16)</f>
        <v>0</v>
      </c>
      <c r="AB944" s="3" t="b">
        <f>IFERROR(match(C944,'Match Day Fees'!$B$2:$B$999,0),0)=0</f>
        <v>0</v>
      </c>
      <c r="AC944" s="3">
        <f t="shared" si="2"/>
        <v>0</v>
      </c>
      <c r="AD944" s="3" t="str">
        <f>VLOOKUP(D944,'Position Lookup'!A:B,1,FALSE)</f>
        <v>DEF</v>
      </c>
    </row>
    <row r="945" ht="17.25" customHeight="1">
      <c r="A945" s="32">
        <v>45227.0</v>
      </c>
      <c r="B945" s="5" t="s">
        <v>712</v>
      </c>
      <c r="C945" s="5" t="s">
        <v>256</v>
      </c>
      <c r="D945" s="5" t="s">
        <v>11</v>
      </c>
      <c r="E945" s="5">
        <v>3.0</v>
      </c>
      <c r="F945" s="5" t="s">
        <v>959</v>
      </c>
      <c r="G945" s="3" t="s">
        <v>230</v>
      </c>
      <c r="J945" s="5">
        <v>8.0</v>
      </c>
      <c r="N945" s="3" t="b">
        <v>0</v>
      </c>
      <c r="T945" s="3">
        <v>5.0</v>
      </c>
      <c r="U945" s="3">
        <v>7.0</v>
      </c>
      <c r="V945" s="3" t="s">
        <v>963</v>
      </c>
      <c r="W945" s="3" t="s">
        <v>344</v>
      </c>
      <c r="X945" s="77" t="s">
        <v>961</v>
      </c>
      <c r="Y945" s="3">
        <v>4.0</v>
      </c>
      <c r="Z945" s="3">
        <v>8.0</v>
      </c>
      <c r="AA945" s="3">
        <f>2+ (P945*'Scoring System'!$B$3)+ (IF(OR(D945="DEF",D945="GK"),N945*'Scoring System'!$B$4,IF(D945="MID",N945*'Scoring System'!$B$5,0)))+ (IF(OR(D945="DEF",D945="GK"),H945*'Scoring System'!$B$6,IF(D945="MID",H945*'Scoring System'!$B$7,IF(D945="ATT",H945*'Scoring System'!$B$8,0))))+ IF(AND(OR(D945="GK",D945="DEF"),J945&gt;=3),1*'Scoring System'!$B$9,0)+ (I945*'Scoring System'!$B$10)+ (K945*'Scoring System'!$B$11)+ (M945*'Scoring System'!$B$12)+ (L945*'Scoring System'!$B$13)+ (O945*'Scoring System'!$B$14)+ (Q945*'Scoring System'!$B$15)+ (R945*'Scoring System'!$B$16)</f>
        <v>1</v>
      </c>
      <c r="AB945" s="3" t="b">
        <f>IFERROR(match(C945,'Match Day Fees'!$B$2:$B$999,0),0)=0</f>
        <v>0</v>
      </c>
      <c r="AC945" s="3">
        <f t="shared" si="2"/>
        <v>0</v>
      </c>
      <c r="AD945" s="3" t="str">
        <f>VLOOKUP(D945,'Position Lookup'!A:B,1,FALSE)</f>
        <v>DEF</v>
      </c>
    </row>
    <row r="946" ht="17.25" customHeight="1">
      <c r="A946" s="32">
        <v>45227.0</v>
      </c>
      <c r="B946" s="5" t="s">
        <v>712</v>
      </c>
      <c r="C946" s="5" t="s">
        <v>108</v>
      </c>
      <c r="D946" s="5" t="s">
        <v>11</v>
      </c>
      <c r="E946" s="5">
        <v>3.0</v>
      </c>
      <c r="F946" s="5" t="s">
        <v>959</v>
      </c>
      <c r="G946" s="3" t="s">
        <v>230</v>
      </c>
      <c r="J946" s="5">
        <v>8.0</v>
      </c>
      <c r="N946" s="3" t="b">
        <v>0</v>
      </c>
      <c r="T946" s="3">
        <v>10.0</v>
      </c>
      <c r="U946" s="3">
        <v>6.5</v>
      </c>
      <c r="V946" s="3" t="s">
        <v>964</v>
      </c>
      <c r="W946" s="3" t="s">
        <v>344</v>
      </c>
      <c r="X946" s="77" t="s">
        <v>961</v>
      </c>
      <c r="Y946" s="3">
        <v>4.0</v>
      </c>
      <c r="Z946" s="3">
        <v>8.0</v>
      </c>
      <c r="AA946" s="3">
        <f>2+ (P946*'Scoring System'!$B$3)+ (IF(OR(D946="DEF",D946="GK"),N946*'Scoring System'!$B$4,IF(D946="MID",N946*'Scoring System'!$B$5,0)))+ (IF(OR(D946="DEF",D946="GK"),H946*'Scoring System'!$B$6,IF(D946="MID",H946*'Scoring System'!$B$7,IF(D946="ATT",H946*'Scoring System'!$B$8,0))))+ IF(AND(OR(D946="GK",D946="DEF"),J946&gt;=3),1*'Scoring System'!$B$9,0)+ (I946*'Scoring System'!$B$10)+ (K946*'Scoring System'!$B$11)+ (M946*'Scoring System'!$B$12)+ (L946*'Scoring System'!$B$13)+ (O946*'Scoring System'!$B$14)+ (Q946*'Scoring System'!$B$15)+ (R946*'Scoring System'!$B$16)</f>
        <v>1</v>
      </c>
      <c r="AB946" s="3" t="b">
        <f>IFERROR(match(C946,'Match Day Fees'!$B$2:$B$999,0),0)=0</f>
        <v>0</v>
      </c>
      <c r="AC946" s="3">
        <f t="shared" si="2"/>
        <v>0</v>
      </c>
      <c r="AD946" s="3" t="str">
        <f>VLOOKUP(D946,'Position Lookup'!A:B,1,FALSE)</f>
        <v>DEF</v>
      </c>
    </row>
    <row r="947" ht="17.25" customHeight="1">
      <c r="A947" s="32">
        <v>45227.0</v>
      </c>
      <c r="B947" s="5" t="s">
        <v>712</v>
      </c>
      <c r="C947" s="5" t="s">
        <v>119</v>
      </c>
      <c r="D947" s="5" t="s">
        <v>11</v>
      </c>
      <c r="E947" s="5">
        <v>3.0</v>
      </c>
      <c r="F947" s="5" t="s">
        <v>959</v>
      </c>
      <c r="G947" s="3" t="s">
        <v>230</v>
      </c>
      <c r="J947" s="5">
        <v>8.0</v>
      </c>
      <c r="N947" s="3" t="b">
        <v>0</v>
      </c>
      <c r="R947" s="5">
        <v>1.0</v>
      </c>
      <c r="T947" s="3">
        <v>10.0</v>
      </c>
      <c r="U947" s="3">
        <v>8.0</v>
      </c>
      <c r="V947" s="3" t="s">
        <v>965</v>
      </c>
      <c r="W947" s="3" t="s">
        <v>344</v>
      </c>
      <c r="X947" s="77" t="s">
        <v>961</v>
      </c>
      <c r="Y947" s="3">
        <v>4.0</v>
      </c>
      <c r="Z947" s="3">
        <v>8.0</v>
      </c>
      <c r="AA947" s="3">
        <f>2+ (P947*'Scoring System'!$B$3)+ (IF(OR(D947="DEF",D947="GK"),N947*'Scoring System'!$B$4,IF(D947="MID",N947*'Scoring System'!$B$5,0)))+ (IF(OR(D947="DEF",D947="GK"),H947*'Scoring System'!$B$6,IF(D947="MID",H947*'Scoring System'!$B$7,IF(D947="ATT",H947*'Scoring System'!$B$8,0))))+ IF(AND(OR(D947="GK",D947="DEF"),J947&gt;=3),1*'Scoring System'!$B$9,0)+ (I947*'Scoring System'!$B$10)+ (K947*'Scoring System'!$B$11)+ (M947*'Scoring System'!$B$12)+ (L947*'Scoring System'!$B$13)+ (O947*'Scoring System'!$B$14)+ (Q947*'Scoring System'!$B$15)+ (R947*'Scoring System'!$B$16)</f>
        <v>6</v>
      </c>
      <c r="AB947" s="3" t="b">
        <f>IFERROR(match(C947,'Match Day Fees'!$B$2:$B$999,0),0)=0</f>
        <v>0</v>
      </c>
      <c r="AC947" s="3">
        <f t="shared" si="2"/>
        <v>0</v>
      </c>
      <c r="AD947" s="3" t="str">
        <f>VLOOKUP(D947,'Position Lookup'!A:B,1,FALSE)</f>
        <v>DEF</v>
      </c>
    </row>
    <row r="948" ht="17.25" customHeight="1">
      <c r="A948" s="32">
        <v>45227.0</v>
      </c>
      <c r="B948" s="5" t="s">
        <v>712</v>
      </c>
      <c r="C948" s="5" t="s">
        <v>59</v>
      </c>
      <c r="D948" s="5" t="s">
        <v>10</v>
      </c>
      <c r="E948" s="5">
        <v>3.0</v>
      </c>
      <c r="F948" s="5" t="s">
        <v>959</v>
      </c>
      <c r="G948" s="3" t="s">
        <v>230</v>
      </c>
      <c r="I948" s="3">
        <v>1.0</v>
      </c>
      <c r="J948" s="5">
        <v>8.0</v>
      </c>
      <c r="N948" s="3" t="b">
        <v>0</v>
      </c>
      <c r="T948" s="3">
        <v>10.0</v>
      </c>
      <c r="U948" s="3">
        <v>8.0</v>
      </c>
      <c r="V948" s="3" t="s">
        <v>966</v>
      </c>
      <c r="W948" s="3" t="s">
        <v>344</v>
      </c>
      <c r="X948" s="77" t="s">
        <v>961</v>
      </c>
      <c r="Y948" s="3">
        <v>4.0</v>
      </c>
      <c r="Z948" s="3">
        <v>8.0</v>
      </c>
      <c r="AA948" s="3">
        <f>2+ (P948*'Scoring System'!$B$3)+ (IF(OR(D948="DEF",D948="GK"),N948*'Scoring System'!$B$4,IF(D948="MID",N948*'Scoring System'!$B$5,0)))+ (IF(OR(D948="DEF",D948="GK"),H948*'Scoring System'!$B$6,IF(D948="MID",H948*'Scoring System'!$B$7,IF(D948="ATT",H948*'Scoring System'!$B$8,0))))+ IF(AND(OR(D948="GK",D948="DEF"),J948&gt;=3),1*'Scoring System'!$B$9,0)+ (I948*'Scoring System'!$B$10)+ (K948*'Scoring System'!$B$11)+ (M948*'Scoring System'!$B$12)+ (L948*'Scoring System'!$B$13)+ (O948*'Scoring System'!$B$14)+ (Q948*'Scoring System'!$B$15)+ (R948*'Scoring System'!$B$16)</f>
        <v>5</v>
      </c>
      <c r="AB948" s="3" t="b">
        <f>IFERROR(match(C948,'Match Day Fees'!$B$2:$B$999,0),0)=0</f>
        <v>0</v>
      </c>
      <c r="AC948" s="3">
        <f t="shared" si="2"/>
        <v>0</v>
      </c>
      <c r="AD948" s="3" t="str">
        <f>VLOOKUP(D948,'Position Lookup'!A:B,1,FALSE)</f>
        <v>MID</v>
      </c>
    </row>
    <row r="949" ht="17.25" customHeight="1">
      <c r="A949" s="32">
        <v>45227.0</v>
      </c>
      <c r="B949" s="5" t="s">
        <v>712</v>
      </c>
      <c r="C949" s="5" t="s">
        <v>474</v>
      </c>
      <c r="D949" s="5" t="s">
        <v>10</v>
      </c>
      <c r="E949" s="5">
        <v>3.0</v>
      </c>
      <c r="F949" s="5" t="s">
        <v>959</v>
      </c>
      <c r="G949" s="3" t="s">
        <v>230</v>
      </c>
      <c r="J949" s="5">
        <v>8.0</v>
      </c>
      <c r="N949" s="3" t="b">
        <v>0</v>
      </c>
      <c r="T949" s="3">
        <v>10.0</v>
      </c>
      <c r="U949" s="3">
        <v>6.0</v>
      </c>
      <c r="V949" s="3" t="s">
        <v>967</v>
      </c>
      <c r="W949" s="3" t="s">
        <v>344</v>
      </c>
      <c r="X949" s="77" t="s">
        <v>961</v>
      </c>
      <c r="Y949" s="3">
        <v>4.0</v>
      </c>
      <c r="Z949" s="3">
        <v>8.0</v>
      </c>
      <c r="AA949" s="3">
        <f>2+ (P949*'Scoring System'!$B$3)+ (IF(OR(D949="DEF",D949="GK"),N949*'Scoring System'!$B$4,IF(D949="MID",N949*'Scoring System'!$B$5,0)))+ (IF(OR(D949="DEF",D949="GK"),H949*'Scoring System'!$B$6,IF(D949="MID",H949*'Scoring System'!$B$7,IF(D949="ATT",H949*'Scoring System'!$B$8,0))))+ IF(AND(OR(D949="GK",D949="DEF"),J949&gt;=3),1*'Scoring System'!$B$9,0)+ (I949*'Scoring System'!$B$10)+ (K949*'Scoring System'!$B$11)+ (M949*'Scoring System'!$B$12)+ (L949*'Scoring System'!$B$13)+ (O949*'Scoring System'!$B$14)+ (Q949*'Scoring System'!$B$15)+ (R949*'Scoring System'!$B$16)</f>
        <v>2</v>
      </c>
      <c r="AB949" s="3" t="b">
        <f>IFERROR(match(C949,'Match Day Fees'!$B$2:$B$999,0),0)=0</f>
        <v>0</v>
      </c>
      <c r="AC949" s="3">
        <f t="shared" si="2"/>
        <v>0</v>
      </c>
      <c r="AD949" s="3" t="str">
        <f>VLOOKUP(D949,'Position Lookup'!A:B,1,FALSE)</f>
        <v>MID</v>
      </c>
    </row>
    <row r="950" ht="17.25" customHeight="1">
      <c r="A950" s="32">
        <v>45227.0</v>
      </c>
      <c r="B950" s="5" t="s">
        <v>712</v>
      </c>
      <c r="C950" s="5" t="s">
        <v>151</v>
      </c>
      <c r="D950" s="5" t="s">
        <v>10</v>
      </c>
      <c r="E950" s="5">
        <v>3.0</v>
      </c>
      <c r="F950" s="5" t="s">
        <v>959</v>
      </c>
      <c r="G950" s="3" t="s">
        <v>230</v>
      </c>
      <c r="J950" s="5">
        <v>8.0</v>
      </c>
      <c r="N950" s="3" t="b">
        <v>0</v>
      </c>
      <c r="T950" s="3">
        <v>5.0</v>
      </c>
      <c r="U950" s="3">
        <v>7.5</v>
      </c>
      <c r="V950" s="3" t="s">
        <v>968</v>
      </c>
      <c r="W950" s="3" t="s">
        <v>344</v>
      </c>
      <c r="X950" s="77" t="s">
        <v>961</v>
      </c>
      <c r="Y950" s="3">
        <v>4.0</v>
      </c>
      <c r="Z950" s="3">
        <v>8.0</v>
      </c>
      <c r="AA950" s="3">
        <f>2+ (P950*'Scoring System'!$B$3)+ (IF(OR(D950="DEF",D950="GK"),N950*'Scoring System'!$B$4,IF(D950="MID",N950*'Scoring System'!$B$5,0)))+ (IF(OR(D950="DEF",D950="GK"),H950*'Scoring System'!$B$6,IF(D950="MID",H950*'Scoring System'!$B$7,IF(D950="ATT",H950*'Scoring System'!$B$8,0))))+ IF(AND(OR(D950="GK",D950="DEF"),J950&gt;=3),1*'Scoring System'!$B$9,0)+ (I950*'Scoring System'!$B$10)+ (K950*'Scoring System'!$B$11)+ (M950*'Scoring System'!$B$12)+ (L950*'Scoring System'!$B$13)+ (O950*'Scoring System'!$B$14)+ (Q950*'Scoring System'!$B$15)+ (R950*'Scoring System'!$B$16)</f>
        <v>2</v>
      </c>
      <c r="AB950" s="3" t="b">
        <f>IFERROR(match(C950,'Match Day Fees'!$B$2:$B$999,0),0)=0</f>
        <v>0</v>
      </c>
      <c r="AC950" s="3">
        <f t="shared" si="2"/>
        <v>0</v>
      </c>
      <c r="AD950" s="3" t="str">
        <f>VLOOKUP(D950,'Position Lookup'!A:B,1,FALSE)</f>
        <v>MID</v>
      </c>
    </row>
    <row r="951" ht="17.25" customHeight="1">
      <c r="A951" s="32">
        <v>45227.0</v>
      </c>
      <c r="B951" s="5" t="s">
        <v>712</v>
      </c>
      <c r="C951" s="5" t="s">
        <v>254</v>
      </c>
      <c r="D951" s="5" t="s">
        <v>9</v>
      </c>
      <c r="E951" s="5">
        <v>3.0</v>
      </c>
      <c r="F951" s="5" t="s">
        <v>959</v>
      </c>
      <c r="G951" s="3" t="s">
        <v>230</v>
      </c>
      <c r="J951" s="5">
        <v>8.0</v>
      </c>
      <c r="N951" s="3" t="b">
        <v>0</v>
      </c>
      <c r="S951" s="3" t="b">
        <v>1</v>
      </c>
      <c r="T951" s="3">
        <v>0.0</v>
      </c>
      <c r="U951" s="3">
        <v>6.0</v>
      </c>
      <c r="V951" s="3" t="s">
        <v>969</v>
      </c>
      <c r="W951" s="3" t="s">
        <v>344</v>
      </c>
      <c r="X951" s="77" t="s">
        <v>961</v>
      </c>
      <c r="Y951" s="3">
        <v>4.0</v>
      </c>
      <c r="Z951" s="3">
        <v>8.0</v>
      </c>
      <c r="AA951" s="3">
        <f>2+ (P951*'Scoring System'!$B$3)+ (IF(OR(D951="DEF",D951="GK"),N951*'Scoring System'!$B$4,IF(D951="MID",N951*'Scoring System'!$B$5,0)))+ (IF(OR(D951="DEF",D951="GK"),H951*'Scoring System'!$B$6,IF(D951="MID",H951*'Scoring System'!$B$7,IF(D951="ATT",H951*'Scoring System'!$B$8,0))))+ IF(AND(OR(D951="GK",D951="DEF"),J951&gt;=3),1*'Scoring System'!$B$9,0)+ (I951*'Scoring System'!$B$10)+ (K951*'Scoring System'!$B$11)+ (M951*'Scoring System'!$B$12)+ (L951*'Scoring System'!$B$13)+ (O951*'Scoring System'!$B$14)+ (Q951*'Scoring System'!$B$15)+ (R951*'Scoring System'!$B$16)</f>
        <v>2</v>
      </c>
      <c r="AB951" s="3" t="b">
        <f>IFERROR(match(C951,'Match Day Fees'!$B$2:$B$999,0),0)=0</f>
        <v>0</v>
      </c>
      <c r="AC951" s="3">
        <f t="shared" si="2"/>
        <v>0</v>
      </c>
      <c r="AD951" s="3" t="str">
        <f>VLOOKUP(D951,'Position Lookup'!A:B,1,FALSE)</f>
        <v>ATT</v>
      </c>
    </row>
    <row r="952" ht="17.25" customHeight="1">
      <c r="A952" s="32">
        <v>45227.0</v>
      </c>
      <c r="B952" s="5" t="s">
        <v>712</v>
      </c>
      <c r="C952" s="5" t="s">
        <v>130</v>
      </c>
      <c r="D952" s="5" t="s">
        <v>10</v>
      </c>
      <c r="E952" s="5">
        <v>3.0</v>
      </c>
      <c r="F952" s="5" t="s">
        <v>959</v>
      </c>
      <c r="G952" s="3" t="s">
        <v>230</v>
      </c>
      <c r="I952" s="3">
        <v>1.0</v>
      </c>
      <c r="J952" s="5">
        <v>8.0</v>
      </c>
      <c r="N952" s="3" t="b">
        <v>0</v>
      </c>
      <c r="T952" s="3">
        <v>10.0</v>
      </c>
      <c r="U952" s="3">
        <v>6.5</v>
      </c>
      <c r="V952" s="3" t="s">
        <v>970</v>
      </c>
      <c r="W952" s="3" t="s">
        <v>344</v>
      </c>
      <c r="X952" s="77" t="s">
        <v>961</v>
      </c>
      <c r="Y952" s="3">
        <v>4.0</v>
      </c>
      <c r="Z952" s="3">
        <v>8.0</v>
      </c>
      <c r="AA952" s="3">
        <f>2+ (P952*'Scoring System'!$B$3)+ (IF(OR(D952="DEF",D952="GK"),N952*'Scoring System'!$B$4,IF(D952="MID",N952*'Scoring System'!$B$5,0)))+ (IF(OR(D952="DEF",D952="GK"),H952*'Scoring System'!$B$6,IF(D952="MID",H952*'Scoring System'!$B$7,IF(D952="ATT",H952*'Scoring System'!$B$8,0))))+ IF(AND(OR(D952="GK",D952="DEF"),J952&gt;=3),1*'Scoring System'!$B$9,0)+ (I952*'Scoring System'!$B$10)+ (K952*'Scoring System'!$B$11)+ (M952*'Scoring System'!$B$12)+ (L952*'Scoring System'!$B$13)+ (O952*'Scoring System'!$B$14)+ (Q952*'Scoring System'!$B$15)+ (R952*'Scoring System'!$B$16)</f>
        <v>5</v>
      </c>
      <c r="AB952" s="3" t="b">
        <f>IFERROR(match(C952,'Match Day Fees'!$B$2:$B$999,0),0)=0</f>
        <v>0</v>
      </c>
      <c r="AC952" s="3">
        <f t="shared" si="2"/>
        <v>0</v>
      </c>
      <c r="AD952" s="3" t="str">
        <f>VLOOKUP(D952,'Position Lookup'!A:B,1,FALSE)</f>
        <v>MID</v>
      </c>
    </row>
    <row r="953" ht="17.25" customHeight="1">
      <c r="A953" s="32">
        <v>45227.0</v>
      </c>
      <c r="B953" s="5" t="s">
        <v>712</v>
      </c>
      <c r="C953" s="5" t="s">
        <v>46</v>
      </c>
      <c r="D953" s="5" t="s">
        <v>9</v>
      </c>
      <c r="E953" s="5">
        <v>3.0</v>
      </c>
      <c r="F953" s="5" t="s">
        <v>959</v>
      </c>
      <c r="G953" s="3" t="s">
        <v>230</v>
      </c>
      <c r="H953" s="3">
        <v>1.0</v>
      </c>
      <c r="I953" s="3">
        <v>1.0</v>
      </c>
      <c r="J953" s="5">
        <v>8.0</v>
      </c>
      <c r="N953" s="3" t="b">
        <v>0</v>
      </c>
      <c r="T953" s="3">
        <v>10.0</v>
      </c>
      <c r="U953" s="3">
        <v>7.5</v>
      </c>
      <c r="V953" s="3" t="s">
        <v>971</v>
      </c>
      <c r="W953" s="3" t="s">
        <v>344</v>
      </c>
      <c r="X953" s="77" t="s">
        <v>961</v>
      </c>
      <c r="Y953" s="3">
        <v>4.0</v>
      </c>
      <c r="Z953" s="3">
        <v>8.0</v>
      </c>
      <c r="AA953" s="3">
        <f>2+ (P953*'Scoring System'!$B$3)+ (IF(OR(D953="DEF",D953="GK"),N953*'Scoring System'!$B$4,IF(D953="MID",N953*'Scoring System'!$B$5,0)))+ (IF(OR(D953="DEF",D953="GK"),H953*'Scoring System'!$B$6,IF(D953="MID",H953*'Scoring System'!$B$7,IF(D953="ATT",H953*'Scoring System'!$B$8,0))))+ IF(AND(OR(D953="GK",D953="DEF"),J953&gt;=3),1*'Scoring System'!$B$9,0)+ (I953*'Scoring System'!$B$10)+ (K953*'Scoring System'!$B$11)+ (M953*'Scoring System'!$B$12)+ (L953*'Scoring System'!$B$13)+ (O953*'Scoring System'!$B$14)+ (Q953*'Scoring System'!$B$15)+ (R953*'Scoring System'!$B$16)</f>
        <v>9</v>
      </c>
      <c r="AB953" s="3" t="b">
        <f>IFERROR(match(C953,'Match Day Fees'!$B$2:$B$999,0),0)=0</f>
        <v>0</v>
      </c>
      <c r="AC953" s="3">
        <f t="shared" si="2"/>
        <v>0</v>
      </c>
      <c r="AD953" s="3" t="str">
        <f>VLOOKUP(D953,'Position Lookup'!A:B,1,FALSE)</f>
        <v>ATT</v>
      </c>
    </row>
    <row r="954" ht="17.25" customHeight="1">
      <c r="A954" s="32">
        <v>45227.0</v>
      </c>
      <c r="B954" s="5" t="s">
        <v>712</v>
      </c>
      <c r="C954" s="5" t="s">
        <v>132</v>
      </c>
      <c r="D954" s="5" t="s">
        <v>9</v>
      </c>
      <c r="E954" s="5">
        <v>3.0</v>
      </c>
      <c r="F954" s="5" t="s">
        <v>959</v>
      </c>
      <c r="G954" s="3" t="s">
        <v>230</v>
      </c>
      <c r="J954" s="5">
        <v>8.0</v>
      </c>
      <c r="N954" s="3" t="b">
        <v>0</v>
      </c>
      <c r="T954" s="5">
        <v>5.0</v>
      </c>
      <c r="U954" s="3">
        <v>5.5</v>
      </c>
      <c r="V954" s="3" t="s">
        <v>972</v>
      </c>
      <c r="W954" s="3" t="s">
        <v>344</v>
      </c>
      <c r="X954" s="77" t="s">
        <v>961</v>
      </c>
      <c r="Y954" s="3">
        <v>4.0</v>
      </c>
      <c r="Z954" s="3">
        <v>8.0</v>
      </c>
      <c r="AA954" s="3">
        <f>2+ (P954*'Scoring System'!$B$3)+ (IF(OR(D954="DEF",D954="GK"),N954*'Scoring System'!$B$4,IF(D954="MID",N954*'Scoring System'!$B$5,0)))+ (IF(OR(D954="DEF",D954="GK"),H954*'Scoring System'!$B$6,IF(D954="MID",H954*'Scoring System'!$B$7,IF(D954="ATT",H954*'Scoring System'!$B$8,0))))+ IF(AND(OR(D954="GK",D954="DEF"),J954&gt;=3),1*'Scoring System'!$B$9,0)+ (I954*'Scoring System'!$B$10)+ (K954*'Scoring System'!$B$11)+ (M954*'Scoring System'!$B$12)+ (L954*'Scoring System'!$B$13)+ (O954*'Scoring System'!$B$14)+ (Q954*'Scoring System'!$B$15)+ (R954*'Scoring System'!$B$16)</f>
        <v>2</v>
      </c>
      <c r="AB954" s="3" t="b">
        <f>IFERROR(match(C954,'Match Day Fees'!$B$2:$B$999,0),0)=0</f>
        <v>0</v>
      </c>
      <c r="AC954" s="3">
        <f t="shared" si="2"/>
        <v>0</v>
      </c>
      <c r="AD954" s="3" t="str">
        <f>VLOOKUP(D954,'Position Lookup'!A:B,1,FALSE)</f>
        <v>ATT</v>
      </c>
    </row>
    <row r="955" ht="17.25" customHeight="1">
      <c r="A955" s="32">
        <v>45227.0</v>
      </c>
      <c r="B955" s="5" t="s">
        <v>712</v>
      </c>
      <c r="C955" s="5" t="s">
        <v>79</v>
      </c>
      <c r="D955" s="5" t="s">
        <v>9</v>
      </c>
      <c r="E955" s="5">
        <v>3.0</v>
      </c>
      <c r="F955" s="5" t="s">
        <v>959</v>
      </c>
      <c r="G955" s="3" t="s">
        <v>230</v>
      </c>
      <c r="H955" s="3">
        <v>3.0</v>
      </c>
      <c r="J955" s="5">
        <v>8.0</v>
      </c>
      <c r="N955" s="3" t="b">
        <v>0</v>
      </c>
      <c r="T955" s="3">
        <v>10.0</v>
      </c>
      <c r="U955" s="3">
        <v>8.0</v>
      </c>
      <c r="V955" s="3" t="s">
        <v>973</v>
      </c>
      <c r="W955" s="3" t="s">
        <v>344</v>
      </c>
      <c r="X955" s="77" t="s">
        <v>961</v>
      </c>
      <c r="Y955" s="3">
        <v>4.0</v>
      </c>
      <c r="Z955" s="3">
        <v>8.0</v>
      </c>
      <c r="AA955" s="3">
        <f>2+ (P955*'Scoring System'!$B$3)+ (IF(OR(D955="DEF",D955="GK"),N955*'Scoring System'!$B$4,IF(D955="MID",N955*'Scoring System'!$B$5,0)))+ (IF(OR(D955="DEF",D955="GK"),H955*'Scoring System'!$B$6,IF(D955="MID",H955*'Scoring System'!$B$7,IF(D955="ATT",H955*'Scoring System'!$B$8,0))))+ IF(AND(OR(D955="GK",D955="DEF"),J955&gt;=3),1*'Scoring System'!$B$9,0)+ (I955*'Scoring System'!$B$10)+ (K955*'Scoring System'!$B$11)+ (M955*'Scoring System'!$B$12)+ (L955*'Scoring System'!$B$13)+ (O955*'Scoring System'!$B$14)+ (Q955*'Scoring System'!$B$15)+ (R955*'Scoring System'!$B$16)</f>
        <v>14</v>
      </c>
      <c r="AB955" s="3" t="b">
        <f>IFERROR(match(C955,'Match Day Fees'!$B$2:$B$999,0),0)=0</f>
        <v>0</v>
      </c>
      <c r="AC955" s="3">
        <f t="shared" si="2"/>
        <v>0</v>
      </c>
      <c r="AD955" s="3" t="str">
        <f>VLOOKUP(D955,'Position Lookup'!A:B,1,FALSE)</f>
        <v>ATT</v>
      </c>
    </row>
    <row r="956" ht="17.25" customHeight="1">
      <c r="A956" s="32">
        <v>45227.0</v>
      </c>
      <c r="B956" s="5" t="s">
        <v>309</v>
      </c>
      <c r="C956" s="5" t="s">
        <v>810</v>
      </c>
      <c r="D956" s="3" t="s">
        <v>8</v>
      </c>
      <c r="E956" s="5">
        <v>4.0</v>
      </c>
      <c r="F956" s="5" t="s">
        <v>974</v>
      </c>
      <c r="G956" s="3" t="s">
        <v>230</v>
      </c>
      <c r="J956" s="5">
        <v>3.0</v>
      </c>
      <c r="N956" s="3" t="b">
        <v>0</v>
      </c>
      <c r="T956" s="3">
        <v>10.0</v>
      </c>
      <c r="U956" s="3">
        <v>7.0</v>
      </c>
      <c r="V956" s="3" t="s">
        <v>975</v>
      </c>
      <c r="W956" s="3" t="s">
        <v>344</v>
      </c>
      <c r="X956" s="77" t="s">
        <v>976</v>
      </c>
      <c r="Y956" s="3">
        <v>2.0</v>
      </c>
      <c r="Z956" s="3">
        <v>3.0</v>
      </c>
      <c r="AA956" s="3">
        <f>2+ (P956*'Scoring System'!$B$3)+ (IF(OR(D956="DEF",D956="GK"),N956*'Scoring System'!$B$4,IF(D956="MID",N956*'Scoring System'!$B$5,0)))+ (IF(OR(D956="DEF",D956="GK"),H956*'Scoring System'!$B$6,IF(D956="MID",H956*'Scoring System'!$B$7,IF(D956="ATT",H956*'Scoring System'!$B$8,0))))+ IF(AND(OR(D956="GK",D956="DEF"),J956&gt;=3),1*'Scoring System'!$B$9,0)+ (I956*'Scoring System'!$B$10)+ (K956*'Scoring System'!$B$11)+ (M956*'Scoring System'!$B$12)+ (L956*'Scoring System'!$B$13)+ (O956*'Scoring System'!$B$14)+ (Q956*'Scoring System'!$B$15)+ (R956*'Scoring System'!$B$16)</f>
        <v>1</v>
      </c>
      <c r="AB956" s="3" t="b">
        <f>IFERROR(match(C956,'Match Day Fees'!$B$2:$B$999,0),0)=0</f>
        <v>0</v>
      </c>
      <c r="AC956" s="3">
        <f t="shared" si="2"/>
        <v>0</v>
      </c>
      <c r="AD956" s="3" t="str">
        <f>VLOOKUP(D956,'Position Lookup'!A:B,1,FALSE)</f>
        <v>GK</v>
      </c>
    </row>
    <row r="957" ht="17.25" customHeight="1">
      <c r="A957" s="32">
        <v>45227.0</v>
      </c>
      <c r="B957" s="5" t="s">
        <v>309</v>
      </c>
      <c r="C957" s="5" t="s">
        <v>126</v>
      </c>
      <c r="D957" s="5" t="s">
        <v>11</v>
      </c>
      <c r="E957" s="5">
        <v>4.0</v>
      </c>
      <c r="F957" s="5" t="s">
        <v>974</v>
      </c>
      <c r="G957" s="3" t="s">
        <v>230</v>
      </c>
      <c r="J957" s="5">
        <v>3.0</v>
      </c>
      <c r="N957" s="3" t="b">
        <v>0</v>
      </c>
      <c r="T957" s="3">
        <v>5.0</v>
      </c>
      <c r="U957" s="3">
        <v>7.0</v>
      </c>
      <c r="V957" s="3" t="s">
        <v>977</v>
      </c>
      <c r="W957" s="3" t="s">
        <v>344</v>
      </c>
      <c r="X957" s="77" t="s">
        <v>976</v>
      </c>
      <c r="Y957" s="3">
        <v>2.0</v>
      </c>
      <c r="Z957" s="3">
        <v>3.0</v>
      </c>
      <c r="AA957" s="3">
        <f>2+ (P957*'Scoring System'!$B$3)+ (IF(OR(D957="DEF",D957="GK"),N957*'Scoring System'!$B$4,IF(D957="MID",N957*'Scoring System'!$B$5,0)))+ (IF(OR(D957="DEF",D957="GK"),H957*'Scoring System'!$B$6,IF(D957="MID",H957*'Scoring System'!$B$7,IF(D957="ATT",H957*'Scoring System'!$B$8,0))))+ IF(AND(OR(D957="GK",D957="DEF"),J957&gt;=3),1*'Scoring System'!$B$9,0)+ (I957*'Scoring System'!$B$10)+ (K957*'Scoring System'!$B$11)+ (M957*'Scoring System'!$B$12)+ (L957*'Scoring System'!$B$13)+ (O957*'Scoring System'!$B$14)+ (Q957*'Scoring System'!$B$15)+ (R957*'Scoring System'!$B$16)</f>
        <v>1</v>
      </c>
      <c r="AB957" s="3" t="b">
        <f>IFERROR(match(C957,'Match Day Fees'!$B$2:$B$999,0),0)=0</f>
        <v>0</v>
      </c>
      <c r="AC957" s="3">
        <f t="shared" si="2"/>
        <v>0</v>
      </c>
      <c r="AD957" s="3" t="str">
        <f>VLOOKUP(D957,'Position Lookup'!A:B,1,FALSE)</f>
        <v>DEF</v>
      </c>
    </row>
    <row r="958" ht="17.25" customHeight="1">
      <c r="A958" s="32">
        <v>45227.0</v>
      </c>
      <c r="B958" s="5" t="s">
        <v>309</v>
      </c>
      <c r="C958" s="5" t="s">
        <v>145</v>
      </c>
      <c r="D958" s="5" t="s">
        <v>11</v>
      </c>
      <c r="E958" s="5">
        <v>4.0</v>
      </c>
      <c r="F958" s="5" t="s">
        <v>974</v>
      </c>
      <c r="G958" s="3" t="s">
        <v>230</v>
      </c>
      <c r="J958" s="5">
        <v>3.0</v>
      </c>
      <c r="N958" s="3" t="b">
        <v>0</v>
      </c>
      <c r="T958" s="3">
        <v>10.0</v>
      </c>
      <c r="U958" s="3">
        <v>7.0</v>
      </c>
      <c r="V958" s="3" t="s">
        <v>978</v>
      </c>
      <c r="W958" s="3" t="s">
        <v>344</v>
      </c>
      <c r="X958" s="77" t="s">
        <v>976</v>
      </c>
      <c r="Y958" s="3">
        <v>2.0</v>
      </c>
      <c r="Z958" s="3">
        <v>3.0</v>
      </c>
      <c r="AA958" s="3">
        <f>2+ (P958*'Scoring System'!$B$3)+ (IF(OR(D958="DEF",D958="GK"),N958*'Scoring System'!$B$4,IF(D958="MID",N958*'Scoring System'!$B$5,0)))+ (IF(OR(D958="DEF",D958="GK"),H958*'Scoring System'!$B$6,IF(D958="MID",H958*'Scoring System'!$B$7,IF(D958="ATT",H958*'Scoring System'!$B$8,0))))+ IF(AND(OR(D958="GK",D958="DEF"),J958&gt;=3),1*'Scoring System'!$B$9,0)+ (I958*'Scoring System'!$B$10)+ (K958*'Scoring System'!$B$11)+ (M958*'Scoring System'!$B$12)+ (L958*'Scoring System'!$B$13)+ (O958*'Scoring System'!$B$14)+ (Q958*'Scoring System'!$B$15)+ (R958*'Scoring System'!$B$16)</f>
        <v>1</v>
      </c>
      <c r="AB958" s="3" t="b">
        <f>IFERROR(match(C958,'Match Day Fees'!$B$2:$B$999,0),0)=0</f>
        <v>0</v>
      </c>
      <c r="AC958" s="3">
        <f t="shared" si="2"/>
        <v>0</v>
      </c>
      <c r="AD958" s="3" t="str">
        <f>VLOOKUP(D958,'Position Lookup'!A:B,1,FALSE)</f>
        <v>DEF</v>
      </c>
    </row>
    <row r="959" ht="17.25" customHeight="1">
      <c r="A959" s="32">
        <v>45227.0</v>
      </c>
      <c r="B959" s="5" t="s">
        <v>309</v>
      </c>
      <c r="C959" s="5" t="s">
        <v>127</v>
      </c>
      <c r="D959" s="5" t="s">
        <v>11</v>
      </c>
      <c r="E959" s="5">
        <v>4.0</v>
      </c>
      <c r="F959" s="5" t="s">
        <v>974</v>
      </c>
      <c r="G959" s="3" t="s">
        <v>230</v>
      </c>
      <c r="J959" s="5">
        <v>3.0</v>
      </c>
      <c r="N959" s="3" t="b">
        <v>0</v>
      </c>
      <c r="T959" s="3">
        <v>10.0</v>
      </c>
      <c r="U959" s="3">
        <v>7.0</v>
      </c>
      <c r="V959" s="3" t="s">
        <v>979</v>
      </c>
      <c r="W959" s="3" t="s">
        <v>344</v>
      </c>
      <c r="X959" s="77" t="s">
        <v>976</v>
      </c>
      <c r="Y959" s="3">
        <v>2.0</v>
      </c>
      <c r="Z959" s="3">
        <v>3.0</v>
      </c>
      <c r="AA959" s="3">
        <f>2+ (P959*'Scoring System'!$B$3)+ (IF(OR(D959="DEF",D959="GK"),N959*'Scoring System'!$B$4,IF(D959="MID",N959*'Scoring System'!$B$5,0)))+ (IF(OR(D959="DEF",D959="GK"),H959*'Scoring System'!$B$6,IF(D959="MID",H959*'Scoring System'!$B$7,IF(D959="ATT",H959*'Scoring System'!$B$8,0))))+ IF(AND(OR(D959="GK",D959="DEF"),J959&gt;=3),1*'Scoring System'!$B$9,0)+ (I959*'Scoring System'!$B$10)+ (K959*'Scoring System'!$B$11)+ (M959*'Scoring System'!$B$12)+ (L959*'Scoring System'!$B$13)+ (O959*'Scoring System'!$B$14)+ (Q959*'Scoring System'!$B$15)+ (R959*'Scoring System'!$B$16)</f>
        <v>1</v>
      </c>
      <c r="AB959" s="3" t="b">
        <f>IFERROR(match(C959,'Match Day Fees'!$B$2:$B$999,0),0)=0</f>
        <v>0</v>
      </c>
      <c r="AC959" s="3">
        <f t="shared" si="2"/>
        <v>0</v>
      </c>
      <c r="AD959" s="3" t="str">
        <f>VLOOKUP(D959,'Position Lookup'!A:B,1,FALSE)</f>
        <v>DEF</v>
      </c>
    </row>
    <row r="960" ht="17.25" customHeight="1">
      <c r="A960" s="32">
        <v>45227.0</v>
      </c>
      <c r="B960" s="5" t="s">
        <v>309</v>
      </c>
      <c r="C960" s="5" t="s">
        <v>248</v>
      </c>
      <c r="D960" s="5" t="s">
        <v>11</v>
      </c>
      <c r="E960" s="5">
        <v>4.0</v>
      </c>
      <c r="F960" s="5" t="s">
        <v>974</v>
      </c>
      <c r="G960" s="3" t="s">
        <v>230</v>
      </c>
      <c r="J960" s="5">
        <v>3.0</v>
      </c>
      <c r="K960" s="3">
        <v>1.0</v>
      </c>
      <c r="N960" s="3" t="b">
        <v>0</v>
      </c>
      <c r="T960" s="3">
        <v>5.0</v>
      </c>
      <c r="U960" s="3">
        <v>6.5</v>
      </c>
      <c r="V960" s="3" t="s">
        <v>980</v>
      </c>
      <c r="W960" s="3" t="s">
        <v>344</v>
      </c>
      <c r="X960" s="77" t="s">
        <v>976</v>
      </c>
      <c r="Y960" s="3">
        <v>2.0</v>
      </c>
      <c r="Z960" s="3">
        <v>3.0</v>
      </c>
      <c r="AA960" s="3">
        <f>2+ (P960*'Scoring System'!$B$3)+ (IF(OR(D960="DEF",D960="GK"),N960*'Scoring System'!$B$4,IF(D960="MID",N960*'Scoring System'!$B$5,0)))+ (IF(OR(D960="DEF",D960="GK"),H960*'Scoring System'!$B$6,IF(D960="MID",H960*'Scoring System'!$B$7,IF(D960="ATT",H960*'Scoring System'!$B$8,0))))+ IF(AND(OR(D960="GK",D960="DEF"),J960&gt;=3),1*'Scoring System'!$B$9,0)+ (I960*'Scoring System'!$B$10)+ (K960*'Scoring System'!$B$11)+ (M960*'Scoring System'!$B$12)+ (L960*'Scoring System'!$B$13)+ (O960*'Scoring System'!$B$14)+ (Q960*'Scoring System'!$B$15)+ (R960*'Scoring System'!$B$16)</f>
        <v>0</v>
      </c>
      <c r="AB960" s="3" t="b">
        <f>IFERROR(match(C960,'Match Day Fees'!$B$2:$B$999,0),0)=0</f>
        <v>0</v>
      </c>
      <c r="AC960" s="3">
        <f t="shared" si="2"/>
        <v>0</v>
      </c>
      <c r="AD960" s="3" t="str">
        <f>VLOOKUP(D960,'Position Lookup'!A:B,1,FALSE)</f>
        <v>DEF</v>
      </c>
    </row>
    <row r="961" ht="17.25" customHeight="1">
      <c r="A961" s="32">
        <v>45227.0</v>
      </c>
      <c r="B961" s="5" t="s">
        <v>309</v>
      </c>
      <c r="C961" s="5" t="s">
        <v>72</v>
      </c>
      <c r="D961" s="5" t="s">
        <v>10</v>
      </c>
      <c r="E961" s="5">
        <v>4.0</v>
      </c>
      <c r="F961" s="5" t="s">
        <v>974</v>
      </c>
      <c r="G961" s="3" t="s">
        <v>230</v>
      </c>
      <c r="J961" s="5">
        <v>3.0</v>
      </c>
      <c r="N961" s="3" t="b">
        <v>0</v>
      </c>
      <c r="T961" s="3">
        <v>10.0</v>
      </c>
      <c r="U961" s="3">
        <v>6.5</v>
      </c>
      <c r="V961" s="3" t="s">
        <v>981</v>
      </c>
      <c r="W961" s="3" t="s">
        <v>344</v>
      </c>
      <c r="X961" s="77" t="s">
        <v>976</v>
      </c>
      <c r="Y961" s="3">
        <v>2.0</v>
      </c>
      <c r="Z961" s="3">
        <v>3.0</v>
      </c>
      <c r="AA961" s="3">
        <f>2+ (P961*'Scoring System'!$B$3)+ (IF(OR(D961="DEF",D961="GK"),N961*'Scoring System'!$B$4,IF(D961="MID",N961*'Scoring System'!$B$5,0)))+ (IF(OR(D961="DEF",D961="GK"),H961*'Scoring System'!$B$6,IF(D961="MID",H961*'Scoring System'!$B$7,IF(D961="ATT",H961*'Scoring System'!$B$8,0))))+ IF(AND(OR(D961="GK",D961="DEF"),J961&gt;=3),1*'Scoring System'!$B$9,0)+ (I961*'Scoring System'!$B$10)+ (K961*'Scoring System'!$B$11)+ (M961*'Scoring System'!$B$12)+ (L961*'Scoring System'!$B$13)+ (O961*'Scoring System'!$B$14)+ (Q961*'Scoring System'!$B$15)+ (R961*'Scoring System'!$B$16)</f>
        <v>2</v>
      </c>
      <c r="AB961" s="3" t="b">
        <f>IFERROR(match(C961,'Match Day Fees'!$B$2:$B$999,0),0)=0</f>
        <v>0</v>
      </c>
      <c r="AC961" s="3">
        <f t="shared" si="2"/>
        <v>0</v>
      </c>
      <c r="AD961" s="3" t="str">
        <f>VLOOKUP(D961,'Position Lookup'!A:B,1,FALSE)</f>
        <v>MID</v>
      </c>
    </row>
    <row r="962" ht="17.25" customHeight="1">
      <c r="A962" s="32">
        <v>45227.0</v>
      </c>
      <c r="B962" s="5" t="s">
        <v>309</v>
      </c>
      <c r="C962" s="5" t="s">
        <v>44</v>
      </c>
      <c r="D962" s="5" t="s">
        <v>10</v>
      </c>
      <c r="E962" s="5">
        <v>4.0</v>
      </c>
      <c r="F962" s="5" t="s">
        <v>974</v>
      </c>
      <c r="G962" s="3" t="s">
        <v>230</v>
      </c>
      <c r="H962" s="3">
        <v>1.0</v>
      </c>
      <c r="J962" s="5">
        <v>3.0</v>
      </c>
      <c r="N962" s="3" t="b">
        <v>0</v>
      </c>
      <c r="R962" s="5">
        <v>1.0</v>
      </c>
      <c r="T962" s="3">
        <v>5.0</v>
      </c>
      <c r="U962" s="3">
        <v>8.0</v>
      </c>
      <c r="V962" s="3" t="s">
        <v>982</v>
      </c>
      <c r="W962" s="3" t="s">
        <v>344</v>
      </c>
      <c r="X962" s="77" t="s">
        <v>976</v>
      </c>
      <c r="Y962" s="3">
        <v>2.0</v>
      </c>
      <c r="Z962" s="3">
        <v>3.0</v>
      </c>
      <c r="AA962" s="3">
        <f>2+ (P962*'Scoring System'!$B$3)+ (IF(OR(D962="DEF",D962="GK"),N962*'Scoring System'!$B$4,IF(D962="MID",N962*'Scoring System'!$B$5,0)))+ (IF(OR(D962="DEF",D962="GK"),H962*'Scoring System'!$B$6,IF(D962="MID",H962*'Scoring System'!$B$7,IF(D962="ATT",H962*'Scoring System'!$B$8,0))))+ IF(AND(OR(D962="GK",D962="DEF"),J962&gt;=3),1*'Scoring System'!$B$9,0)+ (I962*'Scoring System'!$B$10)+ (K962*'Scoring System'!$B$11)+ (M962*'Scoring System'!$B$12)+ (L962*'Scoring System'!$B$13)+ (O962*'Scoring System'!$B$14)+ (Q962*'Scoring System'!$B$15)+ (R962*'Scoring System'!$B$16)</f>
        <v>12</v>
      </c>
      <c r="AB962" s="3" t="b">
        <f>IFERROR(match(C962,'Match Day Fees'!$B$2:$B$999,0),0)=0</f>
        <v>0</v>
      </c>
      <c r="AC962" s="3">
        <f t="shared" si="2"/>
        <v>0</v>
      </c>
      <c r="AD962" s="3" t="str">
        <f>VLOOKUP(D962,'Position Lookup'!A:B,1,FALSE)</f>
        <v>MID</v>
      </c>
    </row>
    <row r="963" ht="17.25" customHeight="1">
      <c r="A963" s="32">
        <v>45227.0</v>
      </c>
      <c r="B963" s="5" t="s">
        <v>309</v>
      </c>
      <c r="C963" s="5" t="s">
        <v>136</v>
      </c>
      <c r="D963" s="5" t="s">
        <v>10</v>
      </c>
      <c r="E963" s="5">
        <v>4.0</v>
      </c>
      <c r="F963" s="5" t="s">
        <v>974</v>
      </c>
      <c r="G963" s="3" t="s">
        <v>230</v>
      </c>
      <c r="J963" s="5">
        <v>3.0</v>
      </c>
      <c r="N963" s="3" t="b">
        <v>0</v>
      </c>
      <c r="S963" s="3" t="b">
        <v>1</v>
      </c>
      <c r="T963" s="3">
        <v>0.0</v>
      </c>
      <c r="U963" s="3">
        <v>6.5</v>
      </c>
      <c r="V963" s="3" t="s">
        <v>983</v>
      </c>
      <c r="W963" s="3" t="s">
        <v>344</v>
      </c>
      <c r="X963" s="77" t="s">
        <v>976</v>
      </c>
      <c r="Y963" s="3">
        <v>2.0</v>
      </c>
      <c r="Z963" s="3">
        <v>3.0</v>
      </c>
      <c r="AA963" s="3">
        <f>2+ (P963*'Scoring System'!$B$3)+ (IF(OR(D963="DEF",D963="GK"),N963*'Scoring System'!$B$4,IF(D963="MID",N963*'Scoring System'!$B$5,0)))+ (IF(OR(D963="DEF",D963="GK"),H963*'Scoring System'!$B$6,IF(D963="MID",H963*'Scoring System'!$B$7,IF(D963="ATT",H963*'Scoring System'!$B$8,0))))+ IF(AND(OR(D963="GK",D963="DEF"),J963&gt;=3),1*'Scoring System'!$B$9,0)+ (I963*'Scoring System'!$B$10)+ (K963*'Scoring System'!$B$11)+ (M963*'Scoring System'!$B$12)+ (L963*'Scoring System'!$B$13)+ (O963*'Scoring System'!$B$14)+ (Q963*'Scoring System'!$B$15)+ (R963*'Scoring System'!$B$16)</f>
        <v>2</v>
      </c>
      <c r="AB963" s="3" t="b">
        <f>IFERROR(match(C963,'Match Day Fees'!$B$2:$B$999,0),0)=0</f>
        <v>0</v>
      </c>
      <c r="AC963" s="3">
        <f t="shared" si="2"/>
        <v>0</v>
      </c>
      <c r="AD963" s="3" t="str">
        <f>VLOOKUP(D963,'Position Lookup'!A:B,1,FALSE)</f>
        <v>MID</v>
      </c>
    </row>
    <row r="964" ht="17.25" customHeight="1">
      <c r="A964" s="32">
        <v>45227.0</v>
      </c>
      <c r="B964" s="5" t="s">
        <v>309</v>
      </c>
      <c r="C964" s="5" t="s">
        <v>139</v>
      </c>
      <c r="D964" s="5" t="s">
        <v>9</v>
      </c>
      <c r="E964" s="5">
        <v>4.0</v>
      </c>
      <c r="F964" s="5" t="s">
        <v>974</v>
      </c>
      <c r="G964" s="3" t="s">
        <v>230</v>
      </c>
      <c r="J964" s="5">
        <v>3.0</v>
      </c>
      <c r="N964" s="3" t="b">
        <v>0</v>
      </c>
      <c r="T964" s="3">
        <v>10.0</v>
      </c>
      <c r="U964" s="3">
        <v>6.5</v>
      </c>
      <c r="V964" s="3" t="s">
        <v>984</v>
      </c>
      <c r="W964" s="3" t="s">
        <v>344</v>
      </c>
      <c r="X964" s="77" t="s">
        <v>976</v>
      </c>
      <c r="Y964" s="3">
        <v>2.0</v>
      </c>
      <c r="Z964" s="3">
        <v>3.0</v>
      </c>
      <c r="AA964" s="3">
        <f>2+ (P964*'Scoring System'!$B$3)+ (IF(OR(D964="DEF",D964="GK"),N964*'Scoring System'!$B$4,IF(D964="MID",N964*'Scoring System'!$B$5,0)))+ (IF(OR(D964="DEF",D964="GK"),H964*'Scoring System'!$B$6,IF(D964="MID",H964*'Scoring System'!$B$7,IF(D964="ATT",H964*'Scoring System'!$B$8,0))))+ IF(AND(OR(D964="GK",D964="DEF"),J964&gt;=3),1*'Scoring System'!$B$9,0)+ (I964*'Scoring System'!$B$10)+ (K964*'Scoring System'!$B$11)+ (M964*'Scoring System'!$B$12)+ (L964*'Scoring System'!$B$13)+ (O964*'Scoring System'!$B$14)+ (Q964*'Scoring System'!$B$15)+ (R964*'Scoring System'!$B$16)</f>
        <v>2</v>
      </c>
      <c r="AB964" s="3" t="b">
        <f>IFERROR(match(C964,'Match Day Fees'!$B$2:$B$999,0),0)=0</f>
        <v>0</v>
      </c>
      <c r="AC964" s="3">
        <f t="shared" si="2"/>
        <v>0</v>
      </c>
      <c r="AD964" s="3" t="str">
        <f>VLOOKUP(D964,'Position Lookup'!A:B,1,FALSE)</f>
        <v>ATT</v>
      </c>
    </row>
    <row r="965" ht="17.25" customHeight="1">
      <c r="A965" s="32">
        <v>45227.0</v>
      </c>
      <c r="B965" s="5" t="s">
        <v>309</v>
      </c>
      <c r="C965" s="5" t="s">
        <v>124</v>
      </c>
      <c r="D965" s="5" t="s">
        <v>9</v>
      </c>
      <c r="E965" s="5">
        <v>4.0</v>
      </c>
      <c r="F965" s="5" t="s">
        <v>974</v>
      </c>
      <c r="G965" s="3" t="s">
        <v>230</v>
      </c>
      <c r="H965" s="3">
        <v>1.0</v>
      </c>
      <c r="J965" s="5">
        <v>3.0</v>
      </c>
      <c r="N965" s="3" t="b">
        <v>0</v>
      </c>
      <c r="T965" s="3">
        <v>10.0</v>
      </c>
      <c r="U965" s="3">
        <v>6.5</v>
      </c>
      <c r="V965" s="3" t="s">
        <v>985</v>
      </c>
      <c r="W965" s="3" t="s">
        <v>344</v>
      </c>
      <c r="X965" s="77" t="s">
        <v>976</v>
      </c>
      <c r="Y965" s="3">
        <v>2.0</v>
      </c>
      <c r="Z965" s="3">
        <v>3.0</v>
      </c>
      <c r="AA965" s="3">
        <f>2+ (P965*'Scoring System'!$B$3)+ (IF(OR(D965="DEF",D965="GK"),N965*'Scoring System'!$B$4,IF(D965="MID",N965*'Scoring System'!$B$5,0)))+ (IF(OR(D965="DEF",D965="GK"),H965*'Scoring System'!$B$6,IF(D965="MID",H965*'Scoring System'!$B$7,IF(D965="ATT",H965*'Scoring System'!$B$8,0))))+ IF(AND(OR(D965="GK",D965="DEF"),J965&gt;=3),1*'Scoring System'!$B$9,0)+ (I965*'Scoring System'!$B$10)+ (K965*'Scoring System'!$B$11)+ (M965*'Scoring System'!$B$12)+ (L965*'Scoring System'!$B$13)+ (O965*'Scoring System'!$B$14)+ (Q965*'Scoring System'!$B$15)+ (R965*'Scoring System'!$B$16)</f>
        <v>6</v>
      </c>
      <c r="AB965" s="3" t="b">
        <f>IFERROR(match(C965,'Match Day Fees'!$B$2:$B$999,0),0)=0</f>
        <v>0</v>
      </c>
      <c r="AC965" s="3">
        <f t="shared" si="2"/>
        <v>0</v>
      </c>
      <c r="AD965" s="3" t="str">
        <f>VLOOKUP(D965,'Position Lookup'!A:B,1,FALSE)</f>
        <v>ATT</v>
      </c>
    </row>
    <row r="966" ht="17.25" customHeight="1">
      <c r="A966" s="32">
        <v>45227.0</v>
      </c>
      <c r="B966" s="5" t="s">
        <v>309</v>
      </c>
      <c r="C966" s="5" t="s">
        <v>45</v>
      </c>
      <c r="D966" s="5" t="s">
        <v>9</v>
      </c>
      <c r="E966" s="5">
        <v>4.0</v>
      </c>
      <c r="F966" s="5" t="s">
        <v>974</v>
      </c>
      <c r="G966" s="3" t="s">
        <v>230</v>
      </c>
      <c r="I966" s="3">
        <v>2.0</v>
      </c>
      <c r="J966" s="5">
        <v>3.0</v>
      </c>
      <c r="N966" s="3" t="b">
        <v>0</v>
      </c>
      <c r="T966" s="3">
        <v>10.0</v>
      </c>
      <c r="U966" s="3">
        <v>7.0</v>
      </c>
      <c r="V966" s="3" t="s">
        <v>986</v>
      </c>
      <c r="W966" s="3" t="s">
        <v>344</v>
      </c>
      <c r="X966" s="77" t="s">
        <v>976</v>
      </c>
      <c r="Y966" s="3">
        <v>2.0</v>
      </c>
      <c r="Z966" s="3">
        <v>3.0</v>
      </c>
      <c r="AA966" s="3">
        <f>2+ (P966*'Scoring System'!$B$3)+ (IF(OR(D966="DEF",D966="GK"),N966*'Scoring System'!$B$4,IF(D966="MID",N966*'Scoring System'!$B$5,0)))+ (IF(OR(D966="DEF",D966="GK"),H966*'Scoring System'!$B$6,IF(D966="MID",H966*'Scoring System'!$B$7,IF(D966="ATT",H966*'Scoring System'!$B$8,0))))+ IF(AND(OR(D966="GK",D966="DEF"),J966&gt;=3),1*'Scoring System'!$B$9,0)+ (I966*'Scoring System'!$B$10)+ (K966*'Scoring System'!$B$11)+ (M966*'Scoring System'!$B$12)+ (L966*'Scoring System'!$B$13)+ (O966*'Scoring System'!$B$14)+ (Q966*'Scoring System'!$B$15)+ (R966*'Scoring System'!$B$16)</f>
        <v>8</v>
      </c>
      <c r="AB966" s="3" t="b">
        <f>IFERROR(match(C966,'Match Day Fees'!$B$2:$B$999,0),0)=0</f>
        <v>0</v>
      </c>
      <c r="AC966" s="3">
        <f t="shared" si="2"/>
        <v>0</v>
      </c>
      <c r="AD966" s="3" t="str">
        <f>VLOOKUP(D966,'Position Lookup'!A:B,1,FALSE)</f>
        <v>ATT</v>
      </c>
    </row>
    <row r="967" ht="17.25" customHeight="1">
      <c r="A967" s="32">
        <v>45227.0</v>
      </c>
      <c r="B967" s="5" t="s">
        <v>309</v>
      </c>
      <c r="C967" s="5" t="s">
        <v>284</v>
      </c>
      <c r="D967" s="5" t="s">
        <v>9</v>
      </c>
      <c r="E967" s="5">
        <v>4.0</v>
      </c>
      <c r="F967" s="5" t="s">
        <v>974</v>
      </c>
      <c r="G967" s="3" t="s">
        <v>230</v>
      </c>
      <c r="J967" s="5">
        <v>3.0</v>
      </c>
      <c r="L967" s="3" t="b">
        <v>1</v>
      </c>
      <c r="N967" s="3" t="b">
        <v>0</v>
      </c>
      <c r="T967" s="3">
        <v>5.0</v>
      </c>
      <c r="U967" s="3">
        <v>6.0</v>
      </c>
      <c r="V967" s="3" t="s">
        <v>987</v>
      </c>
      <c r="W967" s="3" t="s">
        <v>344</v>
      </c>
      <c r="X967" s="77" t="s">
        <v>976</v>
      </c>
      <c r="Y967" s="3">
        <v>2.0</v>
      </c>
      <c r="Z967" s="3">
        <v>3.0</v>
      </c>
      <c r="AA967" s="3">
        <f>2+ (P967*'Scoring System'!$B$3)+ (IF(OR(D967="DEF",D967="GK"),N967*'Scoring System'!$B$4,IF(D967="MID",N967*'Scoring System'!$B$5,0)))+ (IF(OR(D967="DEF",D967="GK"),H967*'Scoring System'!$B$6,IF(D967="MID",H967*'Scoring System'!$B$7,IF(D967="ATT",H967*'Scoring System'!$B$8,0))))+ IF(AND(OR(D967="GK",D967="DEF"),J967&gt;=3),1*'Scoring System'!$B$9,0)+ (I967*'Scoring System'!$B$10)+ (K967*'Scoring System'!$B$11)+ (M967*'Scoring System'!$B$12)+ (L967*'Scoring System'!$B$13)+ (O967*'Scoring System'!$B$14)+ (Q967*'Scoring System'!$B$15)+ (R967*'Scoring System'!$B$16)</f>
        <v>0</v>
      </c>
      <c r="AB967" s="3" t="b">
        <f>IFERROR(match(C967,'Match Day Fees'!$B$2:$B$999,0),0)=0</f>
        <v>0</v>
      </c>
      <c r="AC967" s="3">
        <f t="shared" si="2"/>
        <v>0</v>
      </c>
      <c r="AD967" s="3" t="str">
        <f>VLOOKUP(D967,'Position Lookup'!A:B,1,FALSE)</f>
        <v>ATT</v>
      </c>
    </row>
    <row r="968" ht="17.25" customHeight="1">
      <c r="A968" s="32">
        <v>45227.0</v>
      </c>
      <c r="B968" s="5" t="s">
        <v>309</v>
      </c>
      <c r="C968" s="5" t="s">
        <v>128</v>
      </c>
      <c r="D968" s="5" t="s">
        <v>10</v>
      </c>
      <c r="E968" s="5">
        <v>4.0</v>
      </c>
      <c r="F968" s="5" t="s">
        <v>974</v>
      </c>
      <c r="G968" s="3" t="s">
        <v>230</v>
      </c>
      <c r="J968" s="5">
        <v>3.0</v>
      </c>
      <c r="N968" s="3" t="b">
        <v>0</v>
      </c>
      <c r="T968" s="3">
        <v>5.0</v>
      </c>
      <c r="U968" s="3">
        <v>6.5</v>
      </c>
      <c r="V968" s="3" t="s">
        <v>988</v>
      </c>
      <c r="W968" s="3" t="s">
        <v>344</v>
      </c>
      <c r="X968" s="77" t="s">
        <v>976</v>
      </c>
      <c r="Y968" s="3">
        <v>2.0</v>
      </c>
      <c r="Z968" s="3">
        <v>3.0</v>
      </c>
      <c r="AA968" s="3">
        <f>2+ (P968*'Scoring System'!$B$3)+ (IF(OR(D968="DEF",D968="GK"),N968*'Scoring System'!$B$4,IF(D968="MID",N968*'Scoring System'!$B$5,0)))+ (IF(OR(D968="DEF",D968="GK"),H968*'Scoring System'!$B$6,IF(D968="MID",H968*'Scoring System'!$B$7,IF(D968="ATT",H968*'Scoring System'!$B$8,0))))+ IF(AND(OR(D968="GK",D968="DEF"),J968&gt;=3),1*'Scoring System'!$B$9,0)+ (I968*'Scoring System'!$B$10)+ (K968*'Scoring System'!$B$11)+ (M968*'Scoring System'!$B$12)+ (L968*'Scoring System'!$B$13)+ (O968*'Scoring System'!$B$14)+ (Q968*'Scoring System'!$B$15)+ (R968*'Scoring System'!$B$16)</f>
        <v>2</v>
      </c>
      <c r="AB968" s="3" t="b">
        <f>IFERROR(match(C968,'Match Day Fees'!$B$2:$B$999,0),0)=0</f>
        <v>0</v>
      </c>
      <c r="AC968" s="3">
        <f t="shared" si="2"/>
        <v>0</v>
      </c>
      <c r="AD968" s="3" t="str">
        <f>VLOOKUP(D968,'Position Lookup'!A:B,1,FALSE)</f>
        <v>MID</v>
      </c>
    </row>
    <row r="969" ht="17.25" customHeight="1">
      <c r="A969" s="32">
        <v>45227.0</v>
      </c>
      <c r="B969" s="5" t="s">
        <v>309</v>
      </c>
      <c r="C969" s="5" t="s">
        <v>106</v>
      </c>
      <c r="D969" s="3" t="s">
        <v>8</v>
      </c>
      <c r="E969" s="5">
        <v>5.0</v>
      </c>
      <c r="F969" s="5" t="s">
        <v>989</v>
      </c>
      <c r="G969" s="3" t="s">
        <v>242</v>
      </c>
      <c r="J969" s="5">
        <v>0.0</v>
      </c>
      <c r="N969" s="3" t="b">
        <v>1</v>
      </c>
      <c r="P969" s="3">
        <v>1.0</v>
      </c>
      <c r="S969" s="3" t="b">
        <v>1</v>
      </c>
      <c r="U969" s="3">
        <v>7.0</v>
      </c>
      <c r="V969" s="3" t="s">
        <v>990</v>
      </c>
      <c r="W969" s="3" t="s">
        <v>344</v>
      </c>
      <c r="X969" s="77" t="s">
        <v>991</v>
      </c>
      <c r="Y969" s="3">
        <v>0.0</v>
      </c>
      <c r="Z969" s="3">
        <v>0.0</v>
      </c>
      <c r="AA969" s="3">
        <f>2+ (P969*'Scoring System'!$B$3)+ (IF(OR(D969="DEF",D969="GK"),N969*'Scoring System'!$B$4,IF(D969="MID",N969*'Scoring System'!$B$5,0)))+ (IF(OR(D969="DEF",D969="GK"),H969*'Scoring System'!$B$6,IF(D969="MID",H969*'Scoring System'!$B$7,IF(D969="ATT",H969*'Scoring System'!$B$8,0))))+ IF(AND(OR(D969="GK",D969="DEF"),J969&gt;=3),1*'Scoring System'!$B$9,0)+ (I969*'Scoring System'!$B$10)+ (K969*'Scoring System'!$B$11)+ (M969*'Scoring System'!$B$12)+ (L969*'Scoring System'!$B$13)+ (O969*'Scoring System'!$B$14)+ (Q969*'Scoring System'!$B$15)+ (R969*'Scoring System'!$B$16)</f>
        <v>13</v>
      </c>
      <c r="AB969" s="3" t="b">
        <f>IFERROR(match(C969,'Match Day Fees'!$B$2:$B$999,0),0)=0</f>
        <v>0</v>
      </c>
      <c r="AC969" s="3">
        <f t="shared" si="2"/>
        <v>0</v>
      </c>
      <c r="AD969" s="3" t="str">
        <f>VLOOKUP(D969,'Position Lookup'!A:B,1,FALSE)</f>
        <v>GK</v>
      </c>
    </row>
    <row r="970" ht="17.25" customHeight="1">
      <c r="A970" s="32">
        <v>45227.0</v>
      </c>
      <c r="B970" s="5" t="s">
        <v>309</v>
      </c>
      <c r="C970" s="5" t="s">
        <v>154</v>
      </c>
      <c r="D970" s="5" t="s">
        <v>11</v>
      </c>
      <c r="E970" s="5">
        <v>5.0</v>
      </c>
      <c r="F970" s="5" t="s">
        <v>989</v>
      </c>
      <c r="G970" s="3" t="s">
        <v>242</v>
      </c>
      <c r="J970" s="5">
        <v>0.0</v>
      </c>
      <c r="N970" s="3" t="b">
        <v>1</v>
      </c>
      <c r="T970" s="3">
        <v>10.0</v>
      </c>
      <c r="U970" s="3">
        <v>7.5</v>
      </c>
      <c r="V970" s="3" t="s">
        <v>992</v>
      </c>
      <c r="W970" s="3" t="s">
        <v>344</v>
      </c>
      <c r="X970" s="77" t="s">
        <v>991</v>
      </c>
      <c r="Y970" s="3">
        <v>0.0</v>
      </c>
      <c r="Z970" s="3">
        <v>0.0</v>
      </c>
      <c r="AA970" s="3">
        <f>2+ (P970*'Scoring System'!$B$3)+ (IF(OR(D970="DEF",D970="GK"),N970*'Scoring System'!$B$4,IF(D970="MID",N970*'Scoring System'!$B$5,0)))+ (IF(OR(D970="DEF",D970="GK"),H970*'Scoring System'!$B$6,IF(D970="MID",H970*'Scoring System'!$B$7,IF(D970="ATT",H970*'Scoring System'!$B$8,0))))+ IF(AND(OR(D970="GK",D970="DEF"),J970&gt;=3),1*'Scoring System'!$B$9,0)+ (I970*'Scoring System'!$B$10)+ (K970*'Scoring System'!$B$11)+ (M970*'Scoring System'!$B$12)+ (L970*'Scoring System'!$B$13)+ (O970*'Scoring System'!$B$14)+ (Q970*'Scoring System'!$B$15)+ (R970*'Scoring System'!$B$16)</f>
        <v>8</v>
      </c>
      <c r="AB970" s="3" t="b">
        <f>IFERROR(match(C970,'Match Day Fees'!$B$2:$B$999,0),0)=0</f>
        <v>0</v>
      </c>
      <c r="AC970" s="3">
        <f t="shared" si="2"/>
        <v>0</v>
      </c>
      <c r="AD970" s="3" t="str">
        <f>VLOOKUP(D970,'Position Lookup'!A:B,1,FALSE)</f>
        <v>DEF</v>
      </c>
    </row>
    <row r="971" ht="17.25" customHeight="1">
      <c r="A971" s="32">
        <v>45227.0</v>
      </c>
      <c r="B971" s="5" t="s">
        <v>309</v>
      </c>
      <c r="C971" s="5" t="s">
        <v>116</v>
      </c>
      <c r="D971" s="5" t="s">
        <v>11</v>
      </c>
      <c r="E971" s="5">
        <v>5.0</v>
      </c>
      <c r="F971" s="5" t="s">
        <v>989</v>
      </c>
      <c r="G971" s="3" t="s">
        <v>242</v>
      </c>
      <c r="J971" s="5">
        <v>0.0</v>
      </c>
      <c r="N971" s="3" t="b">
        <v>1</v>
      </c>
      <c r="T971" s="3">
        <v>10.0</v>
      </c>
      <c r="U971" s="3">
        <v>7.5</v>
      </c>
      <c r="V971" s="3" t="s">
        <v>993</v>
      </c>
      <c r="W971" s="3" t="s">
        <v>344</v>
      </c>
      <c r="X971" s="77" t="s">
        <v>991</v>
      </c>
      <c r="Y971" s="3">
        <v>0.0</v>
      </c>
      <c r="Z971" s="3">
        <v>0.0</v>
      </c>
      <c r="AA971" s="3">
        <f>2+ (P971*'Scoring System'!$B$3)+ (IF(OR(D971="DEF",D971="GK"),N971*'Scoring System'!$B$4,IF(D971="MID",N971*'Scoring System'!$B$5,0)))+ (IF(OR(D971="DEF",D971="GK"),H971*'Scoring System'!$B$6,IF(D971="MID",H971*'Scoring System'!$B$7,IF(D971="ATT",H971*'Scoring System'!$B$8,0))))+ IF(AND(OR(D971="GK",D971="DEF"),J971&gt;=3),1*'Scoring System'!$B$9,0)+ (I971*'Scoring System'!$B$10)+ (K971*'Scoring System'!$B$11)+ (M971*'Scoring System'!$B$12)+ (L971*'Scoring System'!$B$13)+ (O971*'Scoring System'!$B$14)+ (Q971*'Scoring System'!$B$15)+ (R971*'Scoring System'!$B$16)</f>
        <v>8</v>
      </c>
      <c r="AB971" s="3" t="b">
        <f>IFERROR(match(C971,'Match Day Fees'!$B$2:$B$999,0),0)=0</f>
        <v>0</v>
      </c>
      <c r="AC971" s="3">
        <f t="shared" si="2"/>
        <v>0</v>
      </c>
      <c r="AD971" s="3" t="str">
        <f>VLOOKUP(D971,'Position Lookup'!A:B,1,FALSE)</f>
        <v>DEF</v>
      </c>
    </row>
    <row r="972" ht="17.25" customHeight="1">
      <c r="A972" s="32">
        <v>45227.0</v>
      </c>
      <c r="B972" s="5" t="s">
        <v>309</v>
      </c>
      <c r="C972" s="5" t="s">
        <v>117</v>
      </c>
      <c r="D972" s="5" t="s">
        <v>11</v>
      </c>
      <c r="E972" s="5">
        <v>5.0</v>
      </c>
      <c r="F972" s="5" t="s">
        <v>989</v>
      </c>
      <c r="G972" s="3" t="s">
        <v>242</v>
      </c>
      <c r="J972" s="5">
        <v>0.0</v>
      </c>
      <c r="N972" s="3" t="b">
        <v>1</v>
      </c>
      <c r="T972" s="3">
        <v>10.0</v>
      </c>
      <c r="U972" s="3">
        <v>7.5</v>
      </c>
      <c r="V972" s="3" t="s">
        <v>994</v>
      </c>
      <c r="W972" s="3" t="s">
        <v>344</v>
      </c>
      <c r="X972" s="77" t="s">
        <v>991</v>
      </c>
      <c r="Y972" s="3">
        <v>0.0</v>
      </c>
      <c r="Z972" s="3">
        <v>0.0</v>
      </c>
      <c r="AA972" s="3">
        <f>2+ (P972*'Scoring System'!$B$3)+ (IF(OR(D972="DEF",D972="GK"),N972*'Scoring System'!$B$4,IF(D972="MID",N972*'Scoring System'!$B$5,0)))+ (IF(OR(D972="DEF",D972="GK"),H972*'Scoring System'!$B$6,IF(D972="MID",H972*'Scoring System'!$B$7,IF(D972="ATT",H972*'Scoring System'!$B$8,0))))+ IF(AND(OR(D972="GK",D972="DEF"),J972&gt;=3),1*'Scoring System'!$B$9,0)+ (I972*'Scoring System'!$B$10)+ (K972*'Scoring System'!$B$11)+ (M972*'Scoring System'!$B$12)+ (L972*'Scoring System'!$B$13)+ (O972*'Scoring System'!$B$14)+ (Q972*'Scoring System'!$B$15)+ (R972*'Scoring System'!$B$16)</f>
        <v>8</v>
      </c>
      <c r="AB972" s="3" t="b">
        <f>IFERROR(match(C972,'Match Day Fees'!$B$2:$B$999,0),0)=0</f>
        <v>0</v>
      </c>
      <c r="AC972" s="3">
        <f t="shared" si="2"/>
        <v>0</v>
      </c>
      <c r="AD972" s="3" t="str">
        <f>VLOOKUP(D972,'Position Lookup'!A:B,1,FALSE)</f>
        <v>DEF</v>
      </c>
    </row>
    <row r="973" ht="17.25" customHeight="1">
      <c r="A973" s="32">
        <v>45227.0</v>
      </c>
      <c r="B973" s="5" t="s">
        <v>309</v>
      </c>
      <c r="C973" s="5" t="s">
        <v>97</v>
      </c>
      <c r="D973" s="5" t="s">
        <v>11</v>
      </c>
      <c r="E973" s="5">
        <v>5.0</v>
      </c>
      <c r="F973" s="5" t="s">
        <v>989</v>
      </c>
      <c r="G973" s="3" t="s">
        <v>242</v>
      </c>
      <c r="J973" s="5">
        <v>0.0</v>
      </c>
      <c r="N973" s="3" t="b">
        <v>1</v>
      </c>
      <c r="T973" s="5">
        <v>2.5</v>
      </c>
      <c r="U973" s="3">
        <v>7.0</v>
      </c>
      <c r="V973" s="3" t="s">
        <v>995</v>
      </c>
      <c r="W973" s="3" t="s">
        <v>344</v>
      </c>
      <c r="X973" s="77" t="s">
        <v>991</v>
      </c>
      <c r="Y973" s="3">
        <v>0.0</v>
      </c>
      <c r="Z973" s="3">
        <v>0.0</v>
      </c>
      <c r="AA973" s="3">
        <f>2+ (P973*'Scoring System'!$B$3)+ (IF(OR(D973="DEF",D973="GK"),N973*'Scoring System'!$B$4,IF(D973="MID",N973*'Scoring System'!$B$5,0)))+ (IF(OR(D973="DEF",D973="GK"),H973*'Scoring System'!$B$6,IF(D973="MID",H973*'Scoring System'!$B$7,IF(D973="ATT",H973*'Scoring System'!$B$8,0))))+ IF(AND(OR(D973="GK",D973="DEF"),J973&gt;=3),1*'Scoring System'!$B$9,0)+ (I973*'Scoring System'!$B$10)+ (K973*'Scoring System'!$B$11)+ (M973*'Scoring System'!$B$12)+ (L973*'Scoring System'!$B$13)+ (O973*'Scoring System'!$B$14)+ (Q973*'Scoring System'!$B$15)+ (R973*'Scoring System'!$B$16)</f>
        <v>8</v>
      </c>
      <c r="AB973" s="3" t="b">
        <f>IFERROR(match(C973,'Match Day Fees'!$B$2:$B$999,0),0)=0</f>
        <v>0</v>
      </c>
      <c r="AC973" s="3">
        <f t="shared" si="2"/>
        <v>0</v>
      </c>
      <c r="AD973" s="3" t="str">
        <f>VLOOKUP(D973,'Position Lookup'!A:B,1,FALSE)</f>
        <v>DEF</v>
      </c>
    </row>
    <row r="974" ht="17.25" customHeight="1">
      <c r="A974" s="32">
        <v>45227.0</v>
      </c>
      <c r="B974" s="5" t="s">
        <v>309</v>
      </c>
      <c r="C974" s="5" t="s">
        <v>58</v>
      </c>
      <c r="D974" s="5" t="s">
        <v>10</v>
      </c>
      <c r="E974" s="5">
        <v>5.0</v>
      </c>
      <c r="F974" s="5" t="s">
        <v>989</v>
      </c>
      <c r="G974" s="3" t="s">
        <v>242</v>
      </c>
      <c r="J974" s="5">
        <v>0.0</v>
      </c>
      <c r="K974" s="3">
        <v>1.0</v>
      </c>
      <c r="N974" s="3" t="b">
        <v>1</v>
      </c>
      <c r="R974" s="5">
        <v>1.0</v>
      </c>
      <c r="T974" s="3">
        <v>10.0</v>
      </c>
      <c r="U974" s="3">
        <v>8.0</v>
      </c>
      <c r="V974" s="3" t="s">
        <v>996</v>
      </c>
      <c r="W974" s="3" t="s">
        <v>344</v>
      </c>
      <c r="X974" s="77" t="s">
        <v>991</v>
      </c>
      <c r="Y974" s="3">
        <v>0.0</v>
      </c>
      <c r="Z974" s="3">
        <v>0.0</v>
      </c>
      <c r="AA974" s="3">
        <f>2+ (P974*'Scoring System'!$B$3)+ (IF(OR(D974="DEF",D974="GK"),N974*'Scoring System'!$B$4,IF(D974="MID",N974*'Scoring System'!$B$5,0)))+ (IF(OR(D974="DEF",D974="GK"),H974*'Scoring System'!$B$6,IF(D974="MID",H974*'Scoring System'!$B$7,IF(D974="ATT",H974*'Scoring System'!$B$8,0))))+ IF(AND(OR(D974="GK",D974="DEF"),J974&gt;=3),1*'Scoring System'!$B$9,0)+ (I974*'Scoring System'!$B$10)+ (K974*'Scoring System'!$B$11)+ (M974*'Scoring System'!$B$12)+ (L974*'Scoring System'!$B$13)+ (O974*'Scoring System'!$B$14)+ (Q974*'Scoring System'!$B$15)+ (R974*'Scoring System'!$B$16)</f>
        <v>8</v>
      </c>
      <c r="AB974" s="3" t="b">
        <f>IFERROR(match(C974,'Match Day Fees'!$B$2:$B$999,0),0)=0</f>
        <v>0</v>
      </c>
      <c r="AC974" s="3">
        <f t="shared" si="2"/>
        <v>0</v>
      </c>
      <c r="AD974" s="3" t="str">
        <f>VLOOKUP(D974,'Position Lookup'!A:B,1,FALSE)</f>
        <v>MID</v>
      </c>
    </row>
    <row r="975" ht="17.25" customHeight="1">
      <c r="A975" s="32">
        <v>45227.0</v>
      </c>
      <c r="B975" s="5" t="s">
        <v>309</v>
      </c>
      <c r="C975" s="5" t="s">
        <v>71</v>
      </c>
      <c r="D975" s="5" t="s">
        <v>10</v>
      </c>
      <c r="E975" s="5">
        <v>5.0</v>
      </c>
      <c r="F975" s="5" t="s">
        <v>989</v>
      </c>
      <c r="G975" s="3" t="s">
        <v>242</v>
      </c>
      <c r="J975" s="5">
        <v>0.0</v>
      </c>
      <c r="N975" s="3" t="b">
        <v>1</v>
      </c>
      <c r="T975" s="3">
        <v>10.0</v>
      </c>
      <c r="U975" s="3">
        <v>7.0</v>
      </c>
      <c r="V975" s="3" t="s">
        <v>997</v>
      </c>
      <c r="W975" s="3" t="s">
        <v>344</v>
      </c>
      <c r="X975" s="77" t="s">
        <v>991</v>
      </c>
      <c r="Y975" s="3">
        <v>0.0</v>
      </c>
      <c r="Z975" s="3">
        <v>0.0</v>
      </c>
      <c r="AA975" s="3">
        <f>2+ (P975*'Scoring System'!$B$3)+ (IF(OR(D975="DEF",D975="GK"),N975*'Scoring System'!$B$4,IF(D975="MID",N975*'Scoring System'!$B$5,0)))+ (IF(OR(D975="DEF",D975="GK"),H975*'Scoring System'!$B$6,IF(D975="MID",H975*'Scoring System'!$B$7,IF(D975="ATT",H975*'Scoring System'!$B$8,0))))+ IF(AND(OR(D975="GK",D975="DEF"),J975&gt;=3),1*'Scoring System'!$B$9,0)+ (I975*'Scoring System'!$B$10)+ (K975*'Scoring System'!$B$11)+ (M975*'Scoring System'!$B$12)+ (L975*'Scoring System'!$B$13)+ (O975*'Scoring System'!$B$14)+ (Q975*'Scoring System'!$B$15)+ (R975*'Scoring System'!$B$16)</f>
        <v>4</v>
      </c>
      <c r="AB975" s="3" t="b">
        <f>IFERROR(match(C975,'Match Day Fees'!$B$2:$B$999,0),0)=0</f>
        <v>0</v>
      </c>
      <c r="AC975" s="3">
        <f t="shared" si="2"/>
        <v>0</v>
      </c>
      <c r="AD975" s="3" t="str">
        <f>VLOOKUP(D975,'Position Lookup'!A:B,1,FALSE)</f>
        <v>MID</v>
      </c>
    </row>
    <row r="976" ht="17.25" customHeight="1">
      <c r="A976" s="32">
        <v>45227.0</v>
      </c>
      <c r="B976" s="5" t="s">
        <v>309</v>
      </c>
      <c r="C976" s="5" t="s">
        <v>237</v>
      </c>
      <c r="D976" s="5" t="s">
        <v>10</v>
      </c>
      <c r="E976" s="5">
        <v>5.0</v>
      </c>
      <c r="F976" s="5" t="s">
        <v>989</v>
      </c>
      <c r="G976" s="3" t="s">
        <v>242</v>
      </c>
      <c r="J976" s="5">
        <v>0.0</v>
      </c>
      <c r="N976" s="3" t="b">
        <v>1</v>
      </c>
      <c r="T976" s="3">
        <v>7.0</v>
      </c>
      <c r="U976" s="3">
        <v>7.0</v>
      </c>
      <c r="V976" s="3" t="s">
        <v>998</v>
      </c>
      <c r="W976" s="3" t="s">
        <v>344</v>
      </c>
      <c r="X976" s="77" t="s">
        <v>991</v>
      </c>
      <c r="Y976" s="3">
        <v>0.0</v>
      </c>
      <c r="Z976" s="3">
        <v>0.0</v>
      </c>
      <c r="AA976" s="3">
        <f>2+ (P976*'Scoring System'!$B$3)+ (IF(OR(D976="DEF",D976="GK"),N976*'Scoring System'!$B$4,IF(D976="MID",N976*'Scoring System'!$B$5,0)))+ (IF(OR(D976="DEF",D976="GK"),H976*'Scoring System'!$B$6,IF(D976="MID",H976*'Scoring System'!$B$7,IF(D976="ATT",H976*'Scoring System'!$B$8,0))))+ IF(AND(OR(D976="GK",D976="DEF"),J976&gt;=3),1*'Scoring System'!$B$9,0)+ (I976*'Scoring System'!$B$10)+ (K976*'Scoring System'!$B$11)+ (M976*'Scoring System'!$B$12)+ (L976*'Scoring System'!$B$13)+ (O976*'Scoring System'!$B$14)+ (Q976*'Scoring System'!$B$15)+ (R976*'Scoring System'!$B$16)</f>
        <v>4</v>
      </c>
      <c r="AB976" s="3" t="b">
        <f>IFERROR(match(C976,'Match Day Fees'!$B$2:$B$999,0),0)=0</f>
        <v>0</v>
      </c>
      <c r="AC976" s="3">
        <f t="shared" si="2"/>
        <v>0</v>
      </c>
      <c r="AD976" s="3" t="str">
        <f>VLOOKUP(D976,'Position Lookup'!A:B,1,FALSE)</f>
        <v>MID</v>
      </c>
    </row>
    <row r="977" ht="17.25" customHeight="1">
      <c r="A977" s="32">
        <v>45227.0</v>
      </c>
      <c r="B977" s="5" t="s">
        <v>309</v>
      </c>
      <c r="C977" s="5" t="s">
        <v>140</v>
      </c>
      <c r="D977" s="5" t="s">
        <v>9</v>
      </c>
      <c r="E977" s="5">
        <v>5.0</v>
      </c>
      <c r="F977" s="5" t="s">
        <v>989</v>
      </c>
      <c r="G977" s="3" t="s">
        <v>242</v>
      </c>
      <c r="J977" s="5">
        <v>0.0</v>
      </c>
      <c r="N977" s="3" t="b">
        <v>1</v>
      </c>
      <c r="T977" s="3">
        <v>10.0</v>
      </c>
      <c r="U977" s="3">
        <v>7.0</v>
      </c>
      <c r="V977" s="3" t="s">
        <v>999</v>
      </c>
      <c r="W977" s="3" t="s">
        <v>344</v>
      </c>
      <c r="X977" s="77" t="s">
        <v>991</v>
      </c>
      <c r="Y977" s="3">
        <v>0.0</v>
      </c>
      <c r="Z977" s="3">
        <v>0.0</v>
      </c>
      <c r="AA977" s="3">
        <f>2+ (P977*'Scoring System'!$B$3)+ (IF(OR(D977="DEF",D977="GK"),N977*'Scoring System'!$B$4,IF(D977="MID",N977*'Scoring System'!$B$5,0)))+ (IF(OR(D977="DEF",D977="GK"),H977*'Scoring System'!$B$6,IF(D977="MID",H977*'Scoring System'!$B$7,IF(D977="ATT",H977*'Scoring System'!$B$8,0))))+ IF(AND(OR(D977="GK",D977="DEF"),J977&gt;=3),1*'Scoring System'!$B$9,0)+ (I977*'Scoring System'!$B$10)+ (K977*'Scoring System'!$B$11)+ (M977*'Scoring System'!$B$12)+ (L977*'Scoring System'!$B$13)+ (O977*'Scoring System'!$B$14)+ (Q977*'Scoring System'!$B$15)+ (R977*'Scoring System'!$B$16)</f>
        <v>2</v>
      </c>
      <c r="AB977" s="3" t="b">
        <f>IFERROR(match(C977,'Match Day Fees'!$B$2:$B$999,0),0)=0</f>
        <v>0</v>
      </c>
      <c r="AC977" s="3">
        <f t="shared" si="2"/>
        <v>0</v>
      </c>
      <c r="AD977" s="3" t="str">
        <f>VLOOKUP(D977,'Position Lookup'!A:B,1,FALSE)</f>
        <v>ATT</v>
      </c>
    </row>
    <row r="978" ht="17.25" customHeight="1">
      <c r="A978" s="32">
        <v>45227.0</v>
      </c>
      <c r="B978" s="5" t="s">
        <v>309</v>
      </c>
      <c r="C978" s="5" t="s">
        <v>94</v>
      </c>
      <c r="D978" s="5" t="s">
        <v>10</v>
      </c>
      <c r="E978" s="5">
        <v>5.0</v>
      </c>
      <c r="F978" s="5" t="s">
        <v>989</v>
      </c>
      <c r="G978" s="3" t="s">
        <v>242</v>
      </c>
      <c r="J978" s="5">
        <v>0.0</v>
      </c>
      <c r="N978" s="3" t="b">
        <v>1</v>
      </c>
      <c r="T978" s="3">
        <v>10.0</v>
      </c>
      <c r="U978" s="3">
        <v>7.5</v>
      </c>
      <c r="V978" s="3" t="s">
        <v>1000</v>
      </c>
      <c r="W978" s="3" t="s">
        <v>344</v>
      </c>
      <c r="X978" s="77" t="s">
        <v>991</v>
      </c>
      <c r="Y978" s="3">
        <v>0.0</v>
      </c>
      <c r="Z978" s="3">
        <v>0.0</v>
      </c>
      <c r="AA978" s="3">
        <f>2+ (P978*'Scoring System'!$B$3)+ (IF(OR(D978="DEF",D978="GK"),N978*'Scoring System'!$B$4,IF(D978="MID",N978*'Scoring System'!$B$5,0)))+ (IF(OR(D978="DEF",D978="GK"),H978*'Scoring System'!$B$6,IF(D978="MID",H978*'Scoring System'!$B$7,IF(D978="ATT",H978*'Scoring System'!$B$8,0))))+ IF(AND(OR(D978="GK",D978="DEF"),J978&gt;=3),1*'Scoring System'!$B$9,0)+ (I978*'Scoring System'!$B$10)+ (K978*'Scoring System'!$B$11)+ (M978*'Scoring System'!$B$12)+ (L978*'Scoring System'!$B$13)+ (O978*'Scoring System'!$B$14)+ (Q978*'Scoring System'!$B$15)+ (R978*'Scoring System'!$B$16)</f>
        <v>4</v>
      </c>
      <c r="AB978" s="3" t="b">
        <f>IFERROR(match(C978,'Match Day Fees'!$B$2:$B$999,0),0)=0</f>
        <v>0</v>
      </c>
      <c r="AC978" s="3">
        <f t="shared" si="2"/>
        <v>0</v>
      </c>
      <c r="AD978" s="3" t="str">
        <f>VLOOKUP(D978,'Position Lookup'!A:B,1,FALSE)</f>
        <v>MID</v>
      </c>
    </row>
    <row r="979" ht="17.25" customHeight="1">
      <c r="A979" s="32">
        <v>45227.0</v>
      </c>
      <c r="B979" s="5" t="s">
        <v>309</v>
      </c>
      <c r="C979" s="5" t="s">
        <v>95</v>
      </c>
      <c r="D979" s="5" t="s">
        <v>9</v>
      </c>
      <c r="E979" s="5">
        <v>5.0</v>
      </c>
      <c r="F979" s="5" t="s">
        <v>989</v>
      </c>
      <c r="G979" s="3" t="s">
        <v>242</v>
      </c>
      <c r="J979" s="5">
        <v>0.0</v>
      </c>
      <c r="N979" s="3" t="b">
        <v>1</v>
      </c>
      <c r="T979" s="3">
        <v>10.0</v>
      </c>
      <c r="U979" s="3">
        <v>7.0</v>
      </c>
      <c r="V979" s="3" t="s">
        <v>1001</v>
      </c>
      <c r="W979" s="3" t="s">
        <v>344</v>
      </c>
      <c r="X979" s="77" t="s">
        <v>991</v>
      </c>
      <c r="Y979" s="3">
        <v>0.0</v>
      </c>
      <c r="Z979" s="3">
        <v>0.0</v>
      </c>
      <c r="AA979" s="3">
        <f>2+ (P979*'Scoring System'!$B$3)+ (IF(OR(D979="DEF",D979="GK"),N979*'Scoring System'!$B$4,IF(D979="MID",N979*'Scoring System'!$B$5,0)))+ (IF(OR(D979="DEF",D979="GK"),H979*'Scoring System'!$B$6,IF(D979="MID",H979*'Scoring System'!$B$7,IF(D979="ATT",H979*'Scoring System'!$B$8,0))))+ IF(AND(OR(D979="GK",D979="DEF"),J979&gt;=3),1*'Scoring System'!$B$9,0)+ (I979*'Scoring System'!$B$10)+ (K979*'Scoring System'!$B$11)+ (M979*'Scoring System'!$B$12)+ (L979*'Scoring System'!$B$13)+ (O979*'Scoring System'!$B$14)+ (Q979*'Scoring System'!$B$15)+ (R979*'Scoring System'!$B$16)</f>
        <v>2</v>
      </c>
      <c r="AB979" s="3" t="b">
        <f>IFERROR(match(C979,'Match Day Fees'!$B$2:$B$999,0),0)=0</f>
        <v>0</v>
      </c>
      <c r="AC979" s="3">
        <f t="shared" si="2"/>
        <v>0</v>
      </c>
      <c r="AD979" s="3" t="str">
        <f>VLOOKUP(D979,'Position Lookup'!A:B,1,FALSE)</f>
        <v>ATT</v>
      </c>
    </row>
    <row r="980" ht="17.25" customHeight="1">
      <c r="A980" s="32">
        <v>45227.0</v>
      </c>
      <c r="B980" s="5" t="s">
        <v>309</v>
      </c>
      <c r="C980" s="5" t="s">
        <v>70</v>
      </c>
      <c r="D980" s="5" t="s">
        <v>9</v>
      </c>
      <c r="E980" s="5">
        <v>5.0</v>
      </c>
      <c r="F980" s="5" t="s">
        <v>989</v>
      </c>
      <c r="G980" s="3" t="s">
        <v>242</v>
      </c>
      <c r="J980" s="5">
        <v>0.0</v>
      </c>
      <c r="N980" s="3" t="b">
        <v>1</v>
      </c>
      <c r="T980" s="3">
        <v>10.0</v>
      </c>
      <c r="U980" s="3">
        <v>7.0</v>
      </c>
      <c r="V980" s="3" t="s">
        <v>1002</v>
      </c>
      <c r="W980" s="3" t="s">
        <v>344</v>
      </c>
      <c r="X980" s="77" t="s">
        <v>991</v>
      </c>
      <c r="Y980" s="3">
        <v>0.0</v>
      </c>
      <c r="Z980" s="3">
        <v>0.0</v>
      </c>
      <c r="AA980" s="3">
        <f>2+ (P980*'Scoring System'!$B$3)+ (IF(OR(D980="DEF",D980="GK"),N980*'Scoring System'!$B$4,IF(D980="MID",N980*'Scoring System'!$B$5,0)))+ (IF(OR(D980="DEF",D980="GK"),H980*'Scoring System'!$B$6,IF(D980="MID",H980*'Scoring System'!$B$7,IF(D980="ATT",H980*'Scoring System'!$B$8,0))))+ IF(AND(OR(D980="GK",D980="DEF"),J980&gt;=3),1*'Scoring System'!$B$9,0)+ (I980*'Scoring System'!$B$10)+ (K980*'Scoring System'!$B$11)+ (M980*'Scoring System'!$B$12)+ (L980*'Scoring System'!$B$13)+ (O980*'Scoring System'!$B$14)+ (Q980*'Scoring System'!$B$15)+ (R980*'Scoring System'!$B$16)</f>
        <v>2</v>
      </c>
      <c r="AB980" s="3" t="b">
        <f>IFERROR(match(C980,'Match Day Fees'!$B$2:$B$999,0),0)=0</f>
        <v>0</v>
      </c>
      <c r="AC980" s="3">
        <f t="shared" si="2"/>
        <v>0</v>
      </c>
      <c r="AD980" s="3" t="str">
        <f>VLOOKUP(D980,'Position Lookup'!A:B,1,FALSE)</f>
        <v>ATT</v>
      </c>
    </row>
    <row r="981" ht="17.25" customHeight="1">
      <c r="A981" s="32">
        <v>45227.0</v>
      </c>
      <c r="B981" s="5" t="s">
        <v>309</v>
      </c>
      <c r="C981" s="5" t="s">
        <v>133</v>
      </c>
      <c r="D981" s="5" t="s">
        <v>11</v>
      </c>
      <c r="E981" s="5">
        <v>5.0</v>
      </c>
      <c r="F981" s="5" t="s">
        <v>989</v>
      </c>
      <c r="G981" s="3" t="s">
        <v>242</v>
      </c>
      <c r="J981" s="5">
        <v>0.0</v>
      </c>
      <c r="N981" s="3" t="b">
        <v>1</v>
      </c>
      <c r="T981" s="3">
        <v>10.0</v>
      </c>
      <c r="U981" s="3">
        <v>7.0</v>
      </c>
      <c r="V981" s="3" t="s">
        <v>1003</v>
      </c>
      <c r="W981" s="3" t="s">
        <v>344</v>
      </c>
      <c r="X981" s="77" t="s">
        <v>991</v>
      </c>
      <c r="Y981" s="3">
        <v>0.0</v>
      </c>
      <c r="Z981" s="3">
        <v>0.0</v>
      </c>
      <c r="AA981" s="3">
        <f>2+ (P981*'Scoring System'!$B$3)+ (IF(OR(D981="DEF",D981="GK"),N981*'Scoring System'!$B$4,IF(D981="MID",N981*'Scoring System'!$B$5,0)))+ (IF(OR(D981="DEF",D981="GK"),H981*'Scoring System'!$B$6,IF(D981="MID",H981*'Scoring System'!$B$7,IF(D981="ATT",H981*'Scoring System'!$B$8,0))))+ IF(AND(OR(D981="GK",D981="DEF"),J981&gt;=3),1*'Scoring System'!$B$9,0)+ (I981*'Scoring System'!$B$10)+ (K981*'Scoring System'!$B$11)+ (M981*'Scoring System'!$B$12)+ (L981*'Scoring System'!$B$13)+ (O981*'Scoring System'!$B$14)+ (Q981*'Scoring System'!$B$15)+ (R981*'Scoring System'!$B$16)</f>
        <v>8</v>
      </c>
      <c r="AB981" s="3" t="b">
        <f>IFERROR(match(C981,'Match Day Fees'!$B$2:$B$999,0),0)=0</f>
        <v>0</v>
      </c>
      <c r="AC981" s="3">
        <f t="shared" si="2"/>
        <v>0</v>
      </c>
      <c r="AD981" s="3" t="str">
        <f>VLOOKUP(D981,'Position Lookup'!A:B,1,FALSE)</f>
        <v>DEF</v>
      </c>
    </row>
    <row r="982" ht="17.25" customHeight="1">
      <c r="A982" s="32">
        <v>45227.0</v>
      </c>
      <c r="B982" s="5" t="s">
        <v>309</v>
      </c>
      <c r="C982" s="5" t="s">
        <v>259</v>
      </c>
      <c r="D982" s="3" t="s">
        <v>8</v>
      </c>
      <c r="E982" s="5">
        <v>6.0</v>
      </c>
      <c r="F982" s="5" t="s">
        <v>1004</v>
      </c>
      <c r="G982" s="3" t="s">
        <v>230</v>
      </c>
      <c r="J982" s="5">
        <v>5.0</v>
      </c>
      <c r="N982" s="3" t="b">
        <v>0</v>
      </c>
      <c r="R982" s="5">
        <v>1.0</v>
      </c>
      <c r="T982" s="3">
        <v>10.0</v>
      </c>
      <c r="U982" s="3">
        <v>8.5</v>
      </c>
      <c r="V982" s="3" t="s">
        <v>1005</v>
      </c>
      <c r="W982" s="3" t="s">
        <v>344</v>
      </c>
      <c r="X982" s="77" t="s">
        <v>1006</v>
      </c>
      <c r="Y982" s="3">
        <v>1.0</v>
      </c>
      <c r="Z982" s="3">
        <v>5.0</v>
      </c>
      <c r="AA982" s="3">
        <f>2+ (P982*'Scoring System'!$B$3)+ (IF(OR(D982="DEF",D982="GK"),N982*'Scoring System'!$B$4,IF(D982="MID",N982*'Scoring System'!$B$5,0)))+ (IF(OR(D982="DEF",D982="GK"),H982*'Scoring System'!$B$6,IF(D982="MID",H982*'Scoring System'!$B$7,IF(D982="ATT",H982*'Scoring System'!$B$8,0))))+ IF(AND(OR(D982="GK",D982="DEF"),J982&gt;=3),1*'Scoring System'!$B$9,0)+ (I982*'Scoring System'!$B$10)+ (K982*'Scoring System'!$B$11)+ (M982*'Scoring System'!$B$12)+ (L982*'Scoring System'!$B$13)+ (O982*'Scoring System'!$B$14)+ (Q982*'Scoring System'!$B$15)+ (R982*'Scoring System'!$B$16)</f>
        <v>6</v>
      </c>
      <c r="AB982" s="3" t="b">
        <f>IFERROR(match(C982,'Match Day Fees'!$B$2:$B$999,0),0)=0</f>
        <v>0</v>
      </c>
      <c r="AC982" s="3">
        <f t="shared" si="2"/>
        <v>0</v>
      </c>
      <c r="AD982" s="3" t="str">
        <f>VLOOKUP(D982,'Position Lookup'!A:B,1,FALSE)</f>
        <v>GK</v>
      </c>
    </row>
    <row r="983" ht="17.25" customHeight="1">
      <c r="A983" s="32">
        <v>45227.0</v>
      </c>
      <c r="B983" s="5" t="s">
        <v>309</v>
      </c>
      <c r="C983" s="5" t="s">
        <v>99</v>
      </c>
      <c r="D983" s="5" t="s">
        <v>11</v>
      </c>
      <c r="E983" s="5">
        <v>6.0</v>
      </c>
      <c r="F983" s="5" t="s">
        <v>1004</v>
      </c>
      <c r="G983" s="3" t="s">
        <v>230</v>
      </c>
      <c r="J983" s="5">
        <v>5.0</v>
      </c>
      <c r="N983" s="3" t="b">
        <v>0</v>
      </c>
      <c r="S983" s="5">
        <v>1.0</v>
      </c>
      <c r="T983" s="5">
        <v>0.0</v>
      </c>
      <c r="U983" s="3">
        <v>6.5</v>
      </c>
      <c r="V983" s="3" t="s">
        <v>1007</v>
      </c>
      <c r="W983" s="3" t="s">
        <v>344</v>
      </c>
      <c r="X983" s="77" t="s">
        <v>1006</v>
      </c>
      <c r="Y983" s="3">
        <v>1.0</v>
      </c>
      <c r="Z983" s="3">
        <v>5.0</v>
      </c>
      <c r="AA983" s="3">
        <f>2+ (P983*'Scoring System'!$B$3)+ (IF(OR(D983="DEF",D983="GK"),N983*'Scoring System'!$B$4,IF(D983="MID",N983*'Scoring System'!$B$5,0)))+ (IF(OR(D983="DEF",D983="GK"),H983*'Scoring System'!$B$6,IF(D983="MID",H983*'Scoring System'!$B$7,IF(D983="ATT",H983*'Scoring System'!$B$8,0))))+ IF(AND(OR(D983="GK",D983="DEF"),J983&gt;=3),1*'Scoring System'!$B$9,0)+ (I983*'Scoring System'!$B$10)+ (K983*'Scoring System'!$B$11)+ (M983*'Scoring System'!$B$12)+ (L983*'Scoring System'!$B$13)+ (O983*'Scoring System'!$B$14)+ (Q983*'Scoring System'!$B$15)+ (R983*'Scoring System'!$B$16)</f>
        <v>1</v>
      </c>
      <c r="AB983" s="3" t="b">
        <f>IFERROR(match(C983,'Match Day Fees'!$B$2:$B$999,0),0)=0</f>
        <v>0</v>
      </c>
      <c r="AC983" s="3">
        <f t="shared" si="2"/>
        <v>0</v>
      </c>
      <c r="AD983" s="3" t="str">
        <f>VLOOKUP(D983,'Position Lookup'!A:B,1,FALSE)</f>
        <v>DEF</v>
      </c>
    </row>
    <row r="984" ht="17.25" customHeight="1">
      <c r="A984" s="32">
        <v>45227.0</v>
      </c>
      <c r="B984" s="5" t="s">
        <v>309</v>
      </c>
      <c r="C984" s="5" t="s">
        <v>147</v>
      </c>
      <c r="D984" s="5" t="s">
        <v>9</v>
      </c>
      <c r="E984" s="5">
        <v>6.0</v>
      </c>
      <c r="F984" s="5" t="s">
        <v>1004</v>
      </c>
      <c r="G984" s="3" t="s">
        <v>230</v>
      </c>
      <c r="J984" s="5">
        <v>5.0</v>
      </c>
      <c r="N984" s="3" t="b">
        <v>0</v>
      </c>
      <c r="T984" s="3">
        <v>10.0</v>
      </c>
      <c r="U984" s="3">
        <v>6.5</v>
      </c>
      <c r="V984" s="3" t="s">
        <v>1008</v>
      </c>
      <c r="W984" s="3" t="s">
        <v>344</v>
      </c>
      <c r="X984" s="77" t="s">
        <v>1006</v>
      </c>
      <c r="Y984" s="3">
        <v>1.0</v>
      </c>
      <c r="Z984" s="3">
        <v>5.0</v>
      </c>
      <c r="AA984" s="3">
        <f>2+ (P984*'Scoring System'!$B$3)+ (IF(OR(D984="DEF",D984="GK"),N984*'Scoring System'!$B$4,IF(D984="MID",N984*'Scoring System'!$B$5,0)))+ (IF(OR(D984="DEF",D984="GK"),H984*'Scoring System'!$B$6,IF(D984="MID",H984*'Scoring System'!$B$7,IF(D984="ATT",H984*'Scoring System'!$B$8,0))))+ IF(AND(OR(D984="GK",D984="DEF"),J984&gt;=3),1*'Scoring System'!$B$9,0)+ (I984*'Scoring System'!$B$10)+ (K984*'Scoring System'!$B$11)+ (M984*'Scoring System'!$B$12)+ (L984*'Scoring System'!$B$13)+ (O984*'Scoring System'!$B$14)+ (Q984*'Scoring System'!$B$15)+ (R984*'Scoring System'!$B$16)</f>
        <v>2</v>
      </c>
      <c r="AB984" s="3" t="b">
        <f>IFERROR(match(C984,'Match Day Fees'!$B$2:$B$999,0),0)=0</f>
        <v>0</v>
      </c>
      <c r="AC984" s="3">
        <f t="shared" si="2"/>
        <v>0</v>
      </c>
      <c r="AD984" s="3" t="str">
        <f>VLOOKUP(D984,'Position Lookup'!A:B,1,FALSE)</f>
        <v>ATT</v>
      </c>
    </row>
    <row r="985" ht="17.25" customHeight="1">
      <c r="A985" s="32">
        <v>45227.0</v>
      </c>
      <c r="B985" s="5" t="s">
        <v>309</v>
      </c>
      <c r="C985" s="5" t="s">
        <v>90</v>
      </c>
      <c r="D985" s="5" t="s">
        <v>11</v>
      </c>
      <c r="E985" s="5">
        <v>6.0</v>
      </c>
      <c r="F985" s="5" t="s">
        <v>1004</v>
      </c>
      <c r="G985" s="3" t="s">
        <v>230</v>
      </c>
      <c r="J985" s="5">
        <v>5.0</v>
      </c>
      <c r="N985" s="3" t="b">
        <v>0</v>
      </c>
      <c r="T985" s="3">
        <v>10.0</v>
      </c>
      <c r="U985" s="3">
        <v>6.5</v>
      </c>
      <c r="V985" s="3" t="s">
        <v>1009</v>
      </c>
      <c r="W985" s="3" t="s">
        <v>344</v>
      </c>
      <c r="X985" s="77" t="s">
        <v>1006</v>
      </c>
      <c r="Y985" s="3">
        <v>1.0</v>
      </c>
      <c r="Z985" s="3">
        <v>5.0</v>
      </c>
      <c r="AA985" s="3">
        <f>2+ (P985*'Scoring System'!$B$3)+ (IF(OR(D985="DEF",D985="GK"),N985*'Scoring System'!$B$4,IF(D985="MID",N985*'Scoring System'!$B$5,0)))+ (IF(OR(D985="DEF",D985="GK"),H985*'Scoring System'!$B$6,IF(D985="MID",H985*'Scoring System'!$B$7,IF(D985="ATT",H985*'Scoring System'!$B$8,0))))+ IF(AND(OR(D985="GK",D985="DEF"),J985&gt;=3),1*'Scoring System'!$B$9,0)+ (I985*'Scoring System'!$B$10)+ (K985*'Scoring System'!$B$11)+ (M985*'Scoring System'!$B$12)+ (L985*'Scoring System'!$B$13)+ (O985*'Scoring System'!$B$14)+ (Q985*'Scoring System'!$B$15)+ (R985*'Scoring System'!$B$16)</f>
        <v>1</v>
      </c>
      <c r="AB985" s="3" t="b">
        <f>IFERROR(match(C985,'Match Day Fees'!$B$2:$B$999,0),0)=0</f>
        <v>0</v>
      </c>
      <c r="AC985" s="3">
        <f t="shared" si="2"/>
        <v>0</v>
      </c>
      <c r="AD985" s="3" t="str">
        <f>VLOOKUP(D985,'Position Lookup'!A:B,1,FALSE)</f>
        <v>DEF</v>
      </c>
    </row>
    <row r="986" ht="17.25" customHeight="1">
      <c r="A986" s="32">
        <v>45227.0</v>
      </c>
      <c r="B986" s="5" t="s">
        <v>309</v>
      </c>
      <c r="C986" s="5" t="s">
        <v>231</v>
      </c>
      <c r="D986" s="5" t="s">
        <v>10</v>
      </c>
      <c r="E986" s="5">
        <v>6.0</v>
      </c>
      <c r="F986" s="5" t="s">
        <v>1004</v>
      </c>
      <c r="G986" s="3" t="s">
        <v>230</v>
      </c>
      <c r="J986" s="5">
        <v>5.0</v>
      </c>
      <c r="N986" s="3" t="b">
        <v>0</v>
      </c>
      <c r="T986" s="3">
        <v>10.0</v>
      </c>
      <c r="U986" s="3">
        <v>7.5</v>
      </c>
      <c r="V986" s="3" t="s">
        <v>1010</v>
      </c>
      <c r="W986" s="3" t="s">
        <v>344</v>
      </c>
      <c r="X986" s="77" t="s">
        <v>1006</v>
      </c>
      <c r="Y986" s="3">
        <v>1.0</v>
      </c>
      <c r="Z986" s="3">
        <v>5.0</v>
      </c>
      <c r="AA986" s="3">
        <f>2+ (P986*'Scoring System'!$B$3)+ (IF(OR(D986="DEF",D986="GK"),N986*'Scoring System'!$B$4,IF(D986="MID",N986*'Scoring System'!$B$5,0)))+ (IF(OR(D986="DEF",D986="GK"),H986*'Scoring System'!$B$6,IF(D986="MID",H986*'Scoring System'!$B$7,IF(D986="ATT",H986*'Scoring System'!$B$8,0))))+ IF(AND(OR(D986="GK",D986="DEF"),J986&gt;=3),1*'Scoring System'!$B$9,0)+ (I986*'Scoring System'!$B$10)+ (K986*'Scoring System'!$B$11)+ (M986*'Scoring System'!$B$12)+ (L986*'Scoring System'!$B$13)+ (O986*'Scoring System'!$B$14)+ (Q986*'Scoring System'!$B$15)+ (R986*'Scoring System'!$B$16)</f>
        <v>2</v>
      </c>
      <c r="AB986" s="3" t="b">
        <f>IFERROR(match(C986,'Match Day Fees'!$B$2:$B$999,0),0)=0</f>
        <v>0</v>
      </c>
      <c r="AC986" s="3">
        <f t="shared" si="2"/>
        <v>0</v>
      </c>
      <c r="AD986" s="3" t="str">
        <f>VLOOKUP(D986,'Position Lookup'!A:B,1,FALSE)</f>
        <v>MID</v>
      </c>
    </row>
    <row r="987" ht="17.25" customHeight="1">
      <c r="A987" s="32">
        <v>45227.0</v>
      </c>
      <c r="B987" s="5" t="s">
        <v>309</v>
      </c>
      <c r="C987" s="5" t="s">
        <v>302</v>
      </c>
      <c r="D987" s="5" t="s">
        <v>10</v>
      </c>
      <c r="E987" s="5">
        <v>6.0</v>
      </c>
      <c r="F987" s="5" t="s">
        <v>1004</v>
      </c>
      <c r="G987" s="3" t="s">
        <v>230</v>
      </c>
      <c r="J987" s="5">
        <v>5.0</v>
      </c>
      <c r="N987" s="3" t="b">
        <v>0</v>
      </c>
      <c r="T987" s="3">
        <v>10.0</v>
      </c>
      <c r="U987" s="3">
        <v>6.0</v>
      </c>
      <c r="V987" s="3" t="s">
        <v>1011</v>
      </c>
      <c r="W987" s="3" t="s">
        <v>344</v>
      </c>
      <c r="X987" s="77" t="s">
        <v>1006</v>
      </c>
      <c r="Y987" s="3">
        <v>1.0</v>
      </c>
      <c r="Z987" s="3">
        <v>5.0</v>
      </c>
      <c r="AA987" s="3">
        <f>2+ (P987*'Scoring System'!$B$3)+ (IF(OR(D987="DEF",D987="GK"),N987*'Scoring System'!$B$4,IF(D987="MID",N987*'Scoring System'!$B$5,0)))+ (IF(OR(D987="DEF",D987="GK"),H987*'Scoring System'!$B$6,IF(D987="MID",H987*'Scoring System'!$B$7,IF(D987="ATT",H987*'Scoring System'!$B$8,0))))+ IF(AND(OR(D987="GK",D987="DEF"),J987&gt;=3),1*'Scoring System'!$B$9,0)+ (I987*'Scoring System'!$B$10)+ (K987*'Scoring System'!$B$11)+ (M987*'Scoring System'!$B$12)+ (L987*'Scoring System'!$B$13)+ (O987*'Scoring System'!$B$14)+ (Q987*'Scoring System'!$B$15)+ (R987*'Scoring System'!$B$16)</f>
        <v>2</v>
      </c>
      <c r="AB987" s="3" t="b">
        <f>IFERROR(match(C987,'Match Day Fees'!$B$2:$B$999,0),0)=0</f>
        <v>0</v>
      </c>
      <c r="AC987" s="3">
        <f t="shared" si="2"/>
        <v>0</v>
      </c>
      <c r="AD987" s="3" t="str">
        <f>VLOOKUP(D987,'Position Lookup'!A:B,1,FALSE)</f>
        <v>MID</v>
      </c>
    </row>
    <row r="988" ht="17.25" customHeight="1">
      <c r="A988" s="32">
        <v>45227.0</v>
      </c>
      <c r="B988" s="5" t="s">
        <v>309</v>
      </c>
      <c r="C988" s="5" t="s">
        <v>588</v>
      </c>
      <c r="D988" s="5" t="s">
        <v>11</v>
      </c>
      <c r="E988" s="5">
        <v>6.0</v>
      </c>
      <c r="F988" s="5" t="s">
        <v>1004</v>
      </c>
      <c r="G988" s="3" t="s">
        <v>230</v>
      </c>
      <c r="J988" s="5">
        <v>5.0</v>
      </c>
      <c r="N988" s="3" t="b">
        <v>0</v>
      </c>
      <c r="T988" s="3">
        <v>10.0</v>
      </c>
      <c r="U988" s="3">
        <v>5.5</v>
      </c>
      <c r="V988" s="3" t="s">
        <v>1012</v>
      </c>
      <c r="W988" s="3" t="s">
        <v>344</v>
      </c>
      <c r="X988" s="77" t="s">
        <v>1006</v>
      </c>
      <c r="Y988" s="3">
        <v>1.0</v>
      </c>
      <c r="Z988" s="3">
        <v>5.0</v>
      </c>
      <c r="AA988" s="3">
        <f>2+ (P988*'Scoring System'!$B$3)+ (IF(OR(D988="DEF",D988="GK"),N988*'Scoring System'!$B$4,IF(D988="MID",N988*'Scoring System'!$B$5,0)))+ (IF(OR(D988="DEF",D988="GK"),H988*'Scoring System'!$B$6,IF(D988="MID",H988*'Scoring System'!$B$7,IF(D988="ATT",H988*'Scoring System'!$B$8,0))))+ IF(AND(OR(D988="GK",D988="DEF"),J988&gt;=3),1*'Scoring System'!$B$9,0)+ (I988*'Scoring System'!$B$10)+ (K988*'Scoring System'!$B$11)+ (M988*'Scoring System'!$B$12)+ (L988*'Scoring System'!$B$13)+ (O988*'Scoring System'!$B$14)+ (Q988*'Scoring System'!$B$15)+ (R988*'Scoring System'!$B$16)</f>
        <v>1</v>
      </c>
      <c r="AB988" s="3" t="b">
        <f>IFERROR(match(C988,'Match Day Fees'!$B$2:$B$999,0),0)=0</f>
        <v>0</v>
      </c>
      <c r="AC988" s="3">
        <f t="shared" si="2"/>
        <v>0</v>
      </c>
      <c r="AD988" s="3" t="str">
        <f>VLOOKUP(D988,'Position Lookup'!A:B,1,FALSE)</f>
        <v>DEF</v>
      </c>
    </row>
    <row r="989" ht="17.25" customHeight="1">
      <c r="A989" s="32">
        <v>45227.0</v>
      </c>
      <c r="B989" s="5" t="s">
        <v>309</v>
      </c>
      <c r="C989" s="5" t="s">
        <v>392</v>
      </c>
      <c r="D989" s="5" t="s">
        <v>9</v>
      </c>
      <c r="E989" s="5">
        <v>6.0</v>
      </c>
      <c r="F989" s="5" t="s">
        <v>1004</v>
      </c>
      <c r="G989" s="3" t="s">
        <v>230</v>
      </c>
      <c r="J989" s="5">
        <v>5.0</v>
      </c>
      <c r="N989" s="3" t="b">
        <v>0</v>
      </c>
      <c r="T989" s="3">
        <v>5.0</v>
      </c>
      <c r="U989" s="3">
        <v>6.5</v>
      </c>
      <c r="V989" s="3" t="s">
        <v>1013</v>
      </c>
      <c r="W989" s="3" t="s">
        <v>344</v>
      </c>
      <c r="X989" s="77" t="s">
        <v>1006</v>
      </c>
      <c r="Y989" s="3">
        <v>1.0</v>
      </c>
      <c r="Z989" s="3">
        <v>5.0</v>
      </c>
      <c r="AA989" s="3">
        <f>2+ (P989*'Scoring System'!$B$3)+ (IF(OR(D989="DEF",D989="GK"),N989*'Scoring System'!$B$4,IF(D989="MID",N989*'Scoring System'!$B$5,0)))+ (IF(OR(D989="DEF",D989="GK"),H989*'Scoring System'!$B$6,IF(D989="MID",H989*'Scoring System'!$B$7,IF(D989="ATT",H989*'Scoring System'!$B$8,0))))+ IF(AND(OR(D989="GK",D989="DEF"),J989&gt;=3),1*'Scoring System'!$B$9,0)+ (I989*'Scoring System'!$B$10)+ (K989*'Scoring System'!$B$11)+ (M989*'Scoring System'!$B$12)+ (L989*'Scoring System'!$B$13)+ (O989*'Scoring System'!$B$14)+ (Q989*'Scoring System'!$B$15)+ (R989*'Scoring System'!$B$16)</f>
        <v>2</v>
      </c>
      <c r="AB989" s="3" t="b">
        <f>IFERROR(match(C989,'Match Day Fees'!$B$2:$B$999,0),0)=0</f>
        <v>0</v>
      </c>
      <c r="AC989" s="3">
        <f t="shared" si="2"/>
        <v>0</v>
      </c>
      <c r="AD989" s="3" t="str">
        <f>VLOOKUP(D989,'Position Lookup'!A:B,1,FALSE)</f>
        <v>ATT</v>
      </c>
    </row>
    <row r="990" ht="17.25" customHeight="1">
      <c r="A990" s="32">
        <v>45227.0</v>
      </c>
      <c r="B990" s="5" t="s">
        <v>309</v>
      </c>
      <c r="C990" s="5" t="s">
        <v>576</v>
      </c>
      <c r="D990" s="5" t="s">
        <v>11</v>
      </c>
      <c r="E990" s="5">
        <v>6.0</v>
      </c>
      <c r="F990" s="5" t="s">
        <v>1004</v>
      </c>
      <c r="G990" s="3" t="s">
        <v>230</v>
      </c>
      <c r="J990" s="5">
        <v>5.0</v>
      </c>
      <c r="N990" s="3" t="b">
        <v>0</v>
      </c>
      <c r="T990" s="3">
        <v>5.0</v>
      </c>
      <c r="U990" s="3">
        <v>5.0</v>
      </c>
      <c r="V990" s="3" t="s">
        <v>1014</v>
      </c>
      <c r="W990" s="3" t="s">
        <v>344</v>
      </c>
      <c r="X990" s="77" t="s">
        <v>1006</v>
      </c>
      <c r="Y990" s="3">
        <v>1.0</v>
      </c>
      <c r="Z990" s="3">
        <v>5.0</v>
      </c>
      <c r="AA990" s="3">
        <f>2+ (P990*'Scoring System'!$B$3)+ (IF(OR(D990="DEF",D990="GK"),N990*'Scoring System'!$B$4,IF(D990="MID",N990*'Scoring System'!$B$5,0)))+ (IF(OR(D990="DEF",D990="GK"),H990*'Scoring System'!$B$6,IF(D990="MID",H990*'Scoring System'!$B$7,IF(D990="ATT",H990*'Scoring System'!$B$8,0))))+ IF(AND(OR(D990="GK",D990="DEF"),J990&gt;=3),1*'Scoring System'!$B$9,0)+ (I990*'Scoring System'!$B$10)+ (K990*'Scoring System'!$B$11)+ (M990*'Scoring System'!$B$12)+ (L990*'Scoring System'!$B$13)+ (O990*'Scoring System'!$B$14)+ (Q990*'Scoring System'!$B$15)+ (R990*'Scoring System'!$B$16)</f>
        <v>1</v>
      </c>
      <c r="AB990" s="3" t="b">
        <f>IFERROR(match(C990,'Match Day Fees'!$B$2:$B$999,0),0)=0</f>
        <v>0</v>
      </c>
      <c r="AC990" s="3">
        <f t="shared" si="2"/>
        <v>0</v>
      </c>
      <c r="AD990" s="3" t="str">
        <f>VLOOKUP(D990,'Position Lookup'!A:B,1,FALSE)</f>
        <v>DEF</v>
      </c>
    </row>
    <row r="991" ht="17.25" customHeight="1">
      <c r="A991" s="32">
        <v>45227.0</v>
      </c>
      <c r="B991" s="5" t="s">
        <v>309</v>
      </c>
      <c r="C991" s="5" t="s">
        <v>131</v>
      </c>
      <c r="D991" s="5" t="s">
        <v>9</v>
      </c>
      <c r="E991" s="5">
        <v>6.0</v>
      </c>
      <c r="F991" s="5" t="s">
        <v>1004</v>
      </c>
      <c r="G991" s="3" t="s">
        <v>230</v>
      </c>
      <c r="J991" s="5">
        <v>5.0</v>
      </c>
      <c r="N991" s="3" t="b">
        <v>0</v>
      </c>
      <c r="T991" s="3">
        <v>10.0</v>
      </c>
      <c r="U991" s="3">
        <v>6.5</v>
      </c>
      <c r="V991" s="3" t="s">
        <v>1015</v>
      </c>
      <c r="W991" s="3" t="s">
        <v>344</v>
      </c>
      <c r="X991" s="77" t="s">
        <v>1006</v>
      </c>
      <c r="Y991" s="3">
        <v>1.0</v>
      </c>
      <c r="Z991" s="3">
        <v>5.0</v>
      </c>
      <c r="AA991" s="3">
        <f>2+ (P991*'Scoring System'!$B$3)+ (IF(OR(D991="DEF",D991="GK"),N991*'Scoring System'!$B$4,IF(D991="MID",N991*'Scoring System'!$B$5,0)))+ (IF(OR(D991="DEF",D991="GK"),H991*'Scoring System'!$B$6,IF(D991="MID",H991*'Scoring System'!$B$7,IF(D991="ATT",H991*'Scoring System'!$B$8,0))))+ IF(AND(OR(D991="GK",D991="DEF"),J991&gt;=3),1*'Scoring System'!$B$9,0)+ (I991*'Scoring System'!$B$10)+ (K991*'Scoring System'!$B$11)+ (M991*'Scoring System'!$B$12)+ (L991*'Scoring System'!$B$13)+ (O991*'Scoring System'!$B$14)+ (Q991*'Scoring System'!$B$15)+ (R991*'Scoring System'!$B$16)</f>
        <v>2</v>
      </c>
      <c r="AB991" s="3" t="b">
        <f>IFERROR(match(C991,'Match Day Fees'!$B$2:$B$999,0),0)=0</f>
        <v>0</v>
      </c>
      <c r="AC991" s="3">
        <f t="shared" si="2"/>
        <v>0</v>
      </c>
      <c r="AD991" s="3" t="str">
        <f>VLOOKUP(D991,'Position Lookup'!A:B,1,FALSE)</f>
        <v>ATT</v>
      </c>
    </row>
    <row r="992" ht="17.25" customHeight="1">
      <c r="A992" s="32">
        <v>45227.0</v>
      </c>
      <c r="B992" s="5" t="s">
        <v>309</v>
      </c>
      <c r="C992" s="5" t="s">
        <v>235</v>
      </c>
      <c r="D992" s="5" t="s">
        <v>9</v>
      </c>
      <c r="E992" s="5">
        <v>6.0</v>
      </c>
      <c r="F992" s="5" t="s">
        <v>1004</v>
      </c>
      <c r="G992" s="3" t="s">
        <v>230</v>
      </c>
      <c r="J992" s="5">
        <v>5.0</v>
      </c>
      <c r="N992" s="3" t="b">
        <v>0</v>
      </c>
      <c r="T992" s="3">
        <v>10.0</v>
      </c>
      <c r="U992" s="3">
        <v>6.0</v>
      </c>
      <c r="V992" s="3" t="s">
        <v>1016</v>
      </c>
      <c r="W992" s="3" t="s">
        <v>344</v>
      </c>
      <c r="X992" s="77" t="s">
        <v>1006</v>
      </c>
      <c r="Y992" s="3">
        <v>1.0</v>
      </c>
      <c r="Z992" s="3">
        <v>5.0</v>
      </c>
      <c r="AA992" s="3">
        <f>2+ (P992*'Scoring System'!$B$3)+ (IF(OR(D992="DEF",D992="GK"),N992*'Scoring System'!$B$4,IF(D992="MID",N992*'Scoring System'!$B$5,0)))+ (IF(OR(D992="DEF",D992="GK"),H992*'Scoring System'!$B$6,IF(D992="MID",H992*'Scoring System'!$B$7,IF(D992="ATT",H992*'Scoring System'!$B$8,0))))+ IF(AND(OR(D992="GK",D992="DEF"),J992&gt;=3),1*'Scoring System'!$B$9,0)+ (I992*'Scoring System'!$B$10)+ (K992*'Scoring System'!$B$11)+ (M992*'Scoring System'!$B$12)+ (L992*'Scoring System'!$B$13)+ (O992*'Scoring System'!$B$14)+ (Q992*'Scoring System'!$B$15)+ (R992*'Scoring System'!$B$16)</f>
        <v>2</v>
      </c>
      <c r="AB992" s="3" t="b">
        <f>IFERROR(match(C992,'Match Day Fees'!$B$2:$B$999,0),0)=0</f>
        <v>0</v>
      </c>
      <c r="AC992" s="3">
        <f t="shared" si="2"/>
        <v>0</v>
      </c>
      <c r="AD992" s="3" t="str">
        <f>VLOOKUP(D992,'Position Lookup'!A:B,1,FALSE)</f>
        <v>ATT</v>
      </c>
    </row>
    <row r="993" ht="17.25" customHeight="1">
      <c r="A993" s="32">
        <v>45227.0</v>
      </c>
      <c r="B993" s="5" t="s">
        <v>309</v>
      </c>
      <c r="C993" s="5" t="s">
        <v>143</v>
      </c>
      <c r="D993" s="5" t="s">
        <v>9</v>
      </c>
      <c r="E993" s="5">
        <v>6.0</v>
      </c>
      <c r="F993" s="5" t="s">
        <v>1004</v>
      </c>
      <c r="G993" s="3" t="s">
        <v>230</v>
      </c>
      <c r="H993" s="3">
        <v>1.0</v>
      </c>
      <c r="J993" s="5">
        <v>5.0</v>
      </c>
      <c r="K993" s="3">
        <v>1.0</v>
      </c>
      <c r="N993" s="3" t="b">
        <v>0</v>
      </c>
      <c r="T993" s="3">
        <v>10.0</v>
      </c>
      <c r="U993" s="3">
        <v>7.0</v>
      </c>
      <c r="V993" s="3" t="s">
        <v>1017</v>
      </c>
      <c r="W993" s="3" t="s">
        <v>344</v>
      </c>
      <c r="X993" s="77" t="s">
        <v>1006</v>
      </c>
      <c r="Y993" s="3">
        <v>1.0</v>
      </c>
      <c r="Z993" s="3">
        <v>5.0</v>
      </c>
      <c r="AA993" s="3">
        <f>2+ (P993*'Scoring System'!$B$3)+ (IF(OR(D993="DEF",D993="GK"),N993*'Scoring System'!$B$4,IF(D993="MID",N993*'Scoring System'!$B$5,0)))+ (IF(OR(D993="DEF",D993="GK"),H993*'Scoring System'!$B$6,IF(D993="MID",H993*'Scoring System'!$B$7,IF(D993="ATT",H993*'Scoring System'!$B$8,0))))+ IF(AND(OR(D993="GK",D993="DEF"),J993&gt;=3),1*'Scoring System'!$B$9,0)+ (I993*'Scoring System'!$B$10)+ (K993*'Scoring System'!$B$11)+ (M993*'Scoring System'!$B$12)+ (L993*'Scoring System'!$B$13)+ (O993*'Scoring System'!$B$14)+ (Q993*'Scoring System'!$B$15)+ (R993*'Scoring System'!$B$16)</f>
        <v>5</v>
      </c>
      <c r="AB993" s="3" t="b">
        <f>IFERROR(match(C993,'Match Day Fees'!$B$2:$B$999,0),0)=0</f>
        <v>0</v>
      </c>
      <c r="AC993" s="3">
        <f t="shared" si="2"/>
        <v>0</v>
      </c>
      <c r="AD993" s="3" t="str">
        <f>VLOOKUP(D993,'Position Lookup'!A:B,1,FALSE)</f>
        <v>ATT</v>
      </c>
    </row>
    <row r="994" ht="17.25" customHeight="1">
      <c r="A994" s="32">
        <v>45227.0</v>
      </c>
      <c r="B994" s="5" t="s">
        <v>309</v>
      </c>
      <c r="C994" s="5" t="s">
        <v>141</v>
      </c>
      <c r="D994" s="5" t="s">
        <v>11</v>
      </c>
      <c r="E994" s="5">
        <v>6.0</v>
      </c>
      <c r="F994" s="5" t="s">
        <v>1004</v>
      </c>
      <c r="G994" s="3" t="s">
        <v>230</v>
      </c>
      <c r="I994" s="3">
        <v>1.0</v>
      </c>
      <c r="J994" s="5">
        <v>5.0</v>
      </c>
      <c r="N994" s="3" t="b">
        <v>0</v>
      </c>
      <c r="T994" s="3">
        <v>10.0</v>
      </c>
      <c r="U994" s="3">
        <v>8.0</v>
      </c>
      <c r="V994" s="3" t="s">
        <v>1018</v>
      </c>
      <c r="W994" s="3" t="s">
        <v>344</v>
      </c>
      <c r="X994" s="77" t="s">
        <v>1006</v>
      </c>
      <c r="Y994" s="3">
        <v>1.0</v>
      </c>
      <c r="Z994" s="3">
        <v>5.0</v>
      </c>
      <c r="AA994" s="3">
        <f>2+ (P994*'Scoring System'!$B$3)+ (IF(OR(D994="DEF",D994="GK"),N994*'Scoring System'!$B$4,IF(D994="MID",N994*'Scoring System'!$B$5,0)))+ (IF(OR(D994="DEF",D994="GK"),H994*'Scoring System'!$B$6,IF(D994="MID",H994*'Scoring System'!$B$7,IF(D994="ATT",H994*'Scoring System'!$B$8,0))))+ IF(AND(OR(D994="GK",D994="DEF"),J994&gt;=3),1*'Scoring System'!$B$9,0)+ (I994*'Scoring System'!$B$10)+ (K994*'Scoring System'!$B$11)+ (M994*'Scoring System'!$B$12)+ (L994*'Scoring System'!$B$13)+ (O994*'Scoring System'!$B$14)+ (Q994*'Scoring System'!$B$15)+ (R994*'Scoring System'!$B$16)</f>
        <v>4</v>
      </c>
      <c r="AB994" s="3" t="b">
        <f>IFERROR(match(C994,'Match Day Fees'!$B$2:$B$999,0),0)=0</f>
        <v>0</v>
      </c>
      <c r="AC994" s="3">
        <f t="shared" si="2"/>
        <v>0</v>
      </c>
      <c r="AD994" s="3" t="str">
        <f>VLOOKUP(D994,'Position Lookup'!A:B,1,FALSE)</f>
        <v>DEF</v>
      </c>
    </row>
    <row r="995" ht="17.25" customHeight="1">
      <c r="A995" s="10">
        <v>45241.0</v>
      </c>
      <c r="B995" s="5" t="s">
        <v>309</v>
      </c>
      <c r="C995" s="3" t="s">
        <v>53</v>
      </c>
      <c r="D995" s="3" t="s">
        <v>8</v>
      </c>
      <c r="E995" s="5">
        <v>1.0</v>
      </c>
      <c r="F995" s="3" t="s">
        <v>596</v>
      </c>
      <c r="G995" s="3" t="s">
        <v>224</v>
      </c>
      <c r="J995" s="5">
        <v>3.0</v>
      </c>
      <c r="N995" s="3" t="b">
        <v>0</v>
      </c>
      <c r="R995" s="3">
        <v>1.0</v>
      </c>
      <c r="T995" s="3">
        <v>10.0</v>
      </c>
      <c r="U995" s="3">
        <v>8.5</v>
      </c>
      <c r="V995" s="3" t="s">
        <v>1019</v>
      </c>
      <c r="W995" s="3" t="s">
        <v>311</v>
      </c>
      <c r="X995" s="77" t="s">
        <v>1020</v>
      </c>
      <c r="Y995" s="3">
        <v>4.0</v>
      </c>
      <c r="Z995" s="3">
        <v>3.0</v>
      </c>
      <c r="AA995" s="3">
        <f>2+ (P995*'Scoring System'!$B$3)+ (IF(OR(D995="DEF",D995="GK"),N995*'Scoring System'!$B$4,IF(D995="MID",N995*'Scoring System'!$B$5,0)))+ (IF(OR(D995="DEF",D995="GK"),H995*'Scoring System'!$B$6,IF(D995="MID",H995*'Scoring System'!$B$7,IF(D995="ATT",H995*'Scoring System'!$B$8,0))))+ IF(AND(OR(D995="GK",D995="DEF"),J995&gt;=3),1*'Scoring System'!$B$9,0)+ (I995*'Scoring System'!$B$10)+ (K995*'Scoring System'!$B$11)+ (M995*'Scoring System'!$B$12)+ (L995*'Scoring System'!$B$13)+ (O995*'Scoring System'!$B$14)+ (Q995*'Scoring System'!$B$15)+ (R995*'Scoring System'!$B$16)</f>
        <v>6</v>
      </c>
      <c r="AB995" s="3" t="b">
        <f>IFERROR(match(C995,'Match Day Fees'!$B$2:$B$999,0),0)=0</f>
        <v>0</v>
      </c>
      <c r="AC995" s="3">
        <f t="shared" si="2"/>
        <v>0</v>
      </c>
      <c r="AD995" s="3" t="str">
        <f>VLOOKUP(D995,'Position Lookup'!A:B,1,FALSE)</f>
        <v>GK</v>
      </c>
    </row>
    <row r="996" ht="17.25" customHeight="1">
      <c r="A996" s="10">
        <v>45241.0</v>
      </c>
      <c r="B996" s="5" t="s">
        <v>309</v>
      </c>
      <c r="C996" s="3" t="s">
        <v>338</v>
      </c>
      <c r="D996" s="5" t="s">
        <v>11</v>
      </c>
      <c r="E996" s="5">
        <v>1.0</v>
      </c>
      <c r="F996" s="3" t="s">
        <v>596</v>
      </c>
      <c r="G996" s="3" t="s">
        <v>224</v>
      </c>
      <c r="J996" s="5">
        <v>3.0</v>
      </c>
      <c r="N996" s="3" t="b">
        <v>0</v>
      </c>
      <c r="R996" s="3">
        <v>0.0</v>
      </c>
      <c r="T996" s="3">
        <v>5.0</v>
      </c>
      <c r="U996" s="3">
        <v>5.5</v>
      </c>
      <c r="V996" s="3" t="s">
        <v>1021</v>
      </c>
      <c r="W996" s="3" t="s">
        <v>311</v>
      </c>
      <c r="X996" s="77" t="s">
        <v>1020</v>
      </c>
      <c r="Y996" s="3">
        <v>4.0</v>
      </c>
      <c r="Z996" s="3">
        <v>3.0</v>
      </c>
      <c r="AA996" s="3">
        <f>2+ (P996*'Scoring System'!$B$3)+ (IF(OR(D996="DEF",D996="GK"),N996*'Scoring System'!$B$4,IF(D996="MID",N996*'Scoring System'!$B$5,0)))+ (IF(OR(D996="DEF",D996="GK"),H996*'Scoring System'!$B$6,IF(D996="MID",H996*'Scoring System'!$B$7,IF(D996="ATT",H996*'Scoring System'!$B$8,0))))+ IF(AND(OR(D996="GK",D996="DEF"),J996&gt;=3),1*'Scoring System'!$B$9,0)+ (I996*'Scoring System'!$B$10)+ (K996*'Scoring System'!$B$11)+ (M996*'Scoring System'!$B$12)+ (L996*'Scoring System'!$B$13)+ (O996*'Scoring System'!$B$14)+ (Q996*'Scoring System'!$B$15)+ (R996*'Scoring System'!$B$16)</f>
        <v>1</v>
      </c>
      <c r="AB996" s="3" t="b">
        <f>IFERROR(match(C996,'Match Day Fees'!$B$2:$B$999,0),0)=0</f>
        <v>0</v>
      </c>
      <c r="AC996" s="3">
        <f t="shared" si="2"/>
        <v>0</v>
      </c>
      <c r="AD996" s="3" t="str">
        <f>VLOOKUP(D996,'Position Lookup'!A:B,1,FALSE)</f>
        <v>DEF</v>
      </c>
    </row>
    <row r="997" ht="17.25" customHeight="1">
      <c r="A997" s="10">
        <v>45241.0</v>
      </c>
      <c r="B997" s="5" t="s">
        <v>309</v>
      </c>
      <c r="C997" s="3" t="s">
        <v>68</v>
      </c>
      <c r="D997" s="5" t="s">
        <v>11</v>
      </c>
      <c r="E997" s="5">
        <v>1.0</v>
      </c>
      <c r="F997" s="3" t="s">
        <v>596</v>
      </c>
      <c r="G997" s="3" t="s">
        <v>224</v>
      </c>
      <c r="J997" s="5">
        <v>3.0</v>
      </c>
      <c r="N997" s="3" t="b">
        <v>0</v>
      </c>
      <c r="R997" s="3">
        <v>0.0</v>
      </c>
      <c r="T997" s="3">
        <v>10.0</v>
      </c>
      <c r="U997" s="3">
        <v>7.0</v>
      </c>
      <c r="V997" s="3" t="s">
        <v>1022</v>
      </c>
      <c r="W997" s="3" t="s">
        <v>311</v>
      </c>
      <c r="X997" s="77" t="s">
        <v>1020</v>
      </c>
      <c r="Y997" s="3">
        <v>4.0</v>
      </c>
      <c r="Z997" s="3">
        <v>3.0</v>
      </c>
      <c r="AA997" s="3">
        <f>2+ (P997*'Scoring System'!$B$3)+ (IF(OR(D997="DEF",D997="GK"),N997*'Scoring System'!$B$4,IF(D997="MID",N997*'Scoring System'!$B$5,0)))+ (IF(OR(D997="DEF",D997="GK"),H997*'Scoring System'!$B$6,IF(D997="MID",H997*'Scoring System'!$B$7,IF(D997="ATT",H997*'Scoring System'!$B$8,0))))+ IF(AND(OR(D997="GK",D997="DEF"),J997&gt;=3),1*'Scoring System'!$B$9,0)+ (I997*'Scoring System'!$B$10)+ (K997*'Scoring System'!$B$11)+ (M997*'Scoring System'!$B$12)+ (L997*'Scoring System'!$B$13)+ (O997*'Scoring System'!$B$14)+ (Q997*'Scoring System'!$B$15)+ (R997*'Scoring System'!$B$16)</f>
        <v>1</v>
      </c>
      <c r="AB997" s="3" t="b">
        <f>IFERROR(match(C997,'Match Day Fees'!$B$2:$B$999,0),0)=0</f>
        <v>0</v>
      </c>
      <c r="AC997" s="3">
        <f t="shared" si="2"/>
        <v>0</v>
      </c>
      <c r="AD997" s="3" t="str">
        <f>VLOOKUP(D997,'Position Lookup'!A:B,1,FALSE)</f>
        <v>DEF</v>
      </c>
    </row>
    <row r="998" ht="17.25" customHeight="1">
      <c r="A998" s="10">
        <v>45241.0</v>
      </c>
      <c r="B998" s="5" t="s">
        <v>309</v>
      </c>
      <c r="C998" s="3" t="s">
        <v>76</v>
      </c>
      <c r="D998" s="5" t="s">
        <v>11</v>
      </c>
      <c r="E998" s="5">
        <v>1.0</v>
      </c>
      <c r="F998" s="3" t="s">
        <v>596</v>
      </c>
      <c r="G998" s="3" t="s">
        <v>224</v>
      </c>
      <c r="J998" s="5">
        <v>3.0</v>
      </c>
      <c r="N998" s="3" t="b">
        <v>0</v>
      </c>
      <c r="R998" s="3">
        <v>0.0</v>
      </c>
      <c r="T998" s="3">
        <v>10.0</v>
      </c>
      <c r="U998" s="3">
        <v>8.0</v>
      </c>
      <c r="V998" s="3" t="s">
        <v>1023</v>
      </c>
      <c r="W998" s="3" t="s">
        <v>311</v>
      </c>
      <c r="X998" s="77" t="s">
        <v>1020</v>
      </c>
      <c r="Y998" s="3">
        <v>4.0</v>
      </c>
      <c r="Z998" s="3">
        <v>3.0</v>
      </c>
      <c r="AA998" s="3">
        <f>2+ (P998*'Scoring System'!$B$3)+ (IF(OR(D998="DEF",D998="GK"),N998*'Scoring System'!$B$4,IF(D998="MID",N998*'Scoring System'!$B$5,0)))+ (IF(OR(D998="DEF",D998="GK"),H998*'Scoring System'!$B$6,IF(D998="MID",H998*'Scoring System'!$B$7,IF(D998="ATT",H998*'Scoring System'!$B$8,0))))+ IF(AND(OR(D998="GK",D998="DEF"),J998&gt;=3),1*'Scoring System'!$B$9,0)+ (I998*'Scoring System'!$B$10)+ (K998*'Scoring System'!$B$11)+ (M998*'Scoring System'!$B$12)+ (L998*'Scoring System'!$B$13)+ (O998*'Scoring System'!$B$14)+ (Q998*'Scoring System'!$B$15)+ (R998*'Scoring System'!$B$16)</f>
        <v>1</v>
      </c>
      <c r="AB998" s="3" t="b">
        <f>IFERROR(match(C998,'Match Day Fees'!$B$2:$B$999,0),0)=0</f>
        <v>0</v>
      </c>
      <c r="AC998" s="3">
        <f t="shared" si="2"/>
        <v>0</v>
      </c>
      <c r="AD998" s="3" t="str">
        <f>VLOOKUP(D998,'Position Lookup'!A:B,1,FALSE)</f>
        <v>DEF</v>
      </c>
    </row>
    <row r="999" ht="17.25" customHeight="1">
      <c r="A999" s="10">
        <v>45241.0</v>
      </c>
      <c r="B999" s="5" t="s">
        <v>309</v>
      </c>
      <c r="C999" s="3" t="s">
        <v>77</v>
      </c>
      <c r="D999" s="5" t="s">
        <v>11</v>
      </c>
      <c r="E999" s="5">
        <v>1.0</v>
      </c>
      <c r="F999" s="3" t="s">
        <v>596</v>
      </c>
      <c r="G999" s="3" t="s">
        <v>224</v>
      </c>
      <c r="J999" s="5">
        <v>3.0</v>
      </c>
      <c r="N999" s="3" t="b">
        <v>0</v>
      </c>
      <c r="R999" s="3">
        <v>0.0</v>
      </c>
      <c r="T999" s="3">
        <v>10.0</v>
      </c>
      <c r="U999" s="3">
        <v>8.0</v>
      </c>
      <c r="V999" s="3" t="s">
        <v>1024</v>
      </c>
      <c r="W999" s="3" t="s">
        <v>311</v>
      </c>
      <c r="X999" s="77" t="s">
        <v>1020</v>
      </c>
      <c r="Y999" s="3">
        <v>4.0</v>
      </c>
      <c r="Z999" s="3">
        <v>3.0</v>
      </c>
      <c r="AA999" s="3">
        <f>2+ (P999*'Scoring System'!$B$3)+ (IF(OR(D999="DEF",D999="GK"),N999*'Scoring System'!$B$4,IF(D999="MID",N999*'Scoring System'!$B$5,0)))+ (IF(OR(D999="DEF",D999="GK"),H999*'Scoring System'!$B$6,IF(D999="MID",H999*'Scoring System'!$B$7,IF(D999="ATT",H999*'Scoring System'!$B$8,0))))+ IF(AND(OR(D999="GK",D999="DEF"),J999&gt;=3),1*'Scoring System'!$B$9,0)+ (I999*'Scoring System'!$B$10)+ (K999*'Scoring System'!$B$11)+ (M999*'Scoring System'!$B$12)+ (L999*'Scoring System'!$B$13)+ (O999*'Scoring System'!$B$14)+ (Q999*'Scoring System'!$B$15)+ (R999*'Scoring System'!$B$16)</f>
        <v>1</v>
      </c>
      <c r="AB999" s="3" t="b">
        <f>IFERROR(match(C999,'Match Day Fees'!$B$2:$B$999,0),0)=0</f>
        <v>0</v>
      </c>
      <c r="AC999" s="3">
        <f t="shared" si="2"/>
        <v>0</v>
      </c>
      <c r="AD999" s="3" t="str">
        <f>VLOOKUP(D999,'Position Lookup'!A:B,1,FALSE)</f>
        <v>DEF</v>
      </c>
    </row>
    <row r="1000" ht="17.25" customHeight="1">
      <c r="A1000" s="10">
        <v>45241.0</v>
      </c>
      <c r="B1000" s="5" t="s">
        <v>309</v>
      </c>
      <c r="C1000" s="3" t="s">
        <v>107</v>
      </c>
      <c r="D1000" s="5" t="s">
        <v>11</v>
      </c>
      <c r="E1000" s="5">
        <v>1.0</v>
      </c>
      <c r="F1000" s="3" t="s">
        <v>596</v>
      </c>
      <c r="G1000" s="3" t="s">
        <v>224</v>
      </c>
      <c r="J1000" s="5">
        <v>3.0</v>
      </c>
      <c r="N1000" s="3" t="b">
        <v>0</v>
      </c>
      <c r="R1000" s="3">
        <v>0.0</v>
      </c>
      <c r="T1000" s="3">
        <v>10.0</v>
      </c>
      <c r="U1000" s="3">
        <v>8.0</v>
      </c>
      <c r="V1000" s="3" t="s">
        <v>1025</v>
      </c>
      <c r="W1000" s="3" t="s">
        <v>311</v>
      </c>
      <c r="X1000" s="77" t="s">
        <v>1020</v>
      </c>
      <c r="Y1000" s="3">
        <v>4.0</v>
      </c>
      <c r="Z1000" s="3">
        <v>3.0</v>
      </c>
      <c r="AA1000" s="3">
        <f>2+ (P1000*'Scoring System'!$B$3)+ (IF(OR(D1000="DEF",D1000="GK"),N1000*'Scoring System'!$B$4,IF(D1000="MID",N1000*'Scoring System'!$B$5,0)))+ (IF(OR(D1000="DEF",D1000="GK"),H1000*'Scoring System'!$B$6,IF(D1000="MID",H1000*'Scoring System'!$B$7,IF(D1000="ATT",H1000*'Scoring System'!$B$8,0))))+ IF(AND(OR(D1000="GK",D1000="DEF"),J1000&gt;=3),1*'Scoring System'!$B$9,0)+ (I1000*'Scoring System'!$B$10)+ (K1000*'Scoring System'!$B$11)+ (M1000*'Scoring System'!$B$12)+ (L1000*'Scoring System'!$B$13)+ (O1000*'Scoring System'!$B$14)+ (Q1000*'Scoring System'!$B$15)+ (R1000*'Scoring System'!$B$16)</f>
        <v>1</v>
      </c>
      <c r="AB1000" s="3" t="b">
        <f>IFERROR(match(C1000,'Match Day Fees'!$B$2:$B$999,0),0)=0</f>
        <v>0</v>
      </c>
      <c r="AC1000" s="3">
        <f t="shared" si="2"/>
        <v>0</v>
      </c>
      <c r="AD1000" s="3" t="str">
        <f>VLOOKUP(D1000,'Position Lookup'!A:B,1,FALSE)</f>
        <v>DEF</v>
      </c>
    </row>
    <row r="1001" ht="17.25" customHeight="1">
      <c r="A1001" s="10">
        <v>45241.0</v>
      </c>
      <c r="B1001" s="5" t="s">
        <v>309</v>
      </c>
      <c r="C1001" s="3" t="s">
        <v>93</v>
      </c>
      <c r="D1001" s="5" t="s">
        <v>10</v>
      </c>
      <c r="E1001" s="5">
        <v>1.0</v>
      </c>
      <c r="F1001" s="3" t="s">
        <v>596</v>
      </c>
      <c r="G1001" s="3" t="s">
        <v>224</v>
      </c>
      <c r="J1001" s="5">
        <v>3.0</v>
      </c>
      <c r="N1001" s="3" t="b">
        <v>0</v>
      </c>
      <c r="R1001" s="3">
        <v>0.0</v>
      </c>
      <c r="T1001" s="3">
        <v>5.0</v>
      </c>
      <c r="U1001" s="3">
        <v>6.0</v>
      </c>
      <c r="V1001" s="3" t="s">
        <v>1026</v>
      </c>
      <c r="W1001" s="3" t="s">
        <v>311</v>
      </c>
      <c r="X1001" s="77" t="s">
        <v>1020</v>
      </c>
      <c r="Y1001" s="3">
        <v>4.0</v>
      </c>
      <c r="Z1001" s="3">
        <v>3.0</v>
      </c>
      <c r="AA1001" s="3">
        <f>2+ (P1001*'Scoring System'!$B$3)+ (IF(OR(D1001="DEF",D1001="GK"),N1001*'Scoring System'!$B$4,IF(D1001="MID",N1001*'Scoring System'!$B$5,0)))+ (IF(OR(D1001="DEF",D1001="GK"),H1001*'Scoring System'!$B$6,IF(D1001="MID",H1001*'Scoring System'!$B$7,IF(D1001="ATT",H1001*'Scoring System'!$B$8,0))))+ IF(AND(OR(D1001="GK",D1001="DEF"),J1001&gt;=3),1*'Scoring System'!$B$9,0)+ (I1001*'Scoring System'!$B$10)+ (K1001*'Scoring System'!$B$11)+ (M1001*'Scoring System'!$B$12)+ (L1001*'Scoring System'!$B$13)+ (O1001*'Scoring System'!$B$14)+ (Q1001*'Scoring System'!$B$15)+ (R1001*'Scoring System'!$B$16)</f>
        <v>2</v>
      </c>
      <c r="AB1001" s="3" t="b">
        <f>IFERROR(match(C1001,'Match Day Fees'!$B$2:$B$999,0),0)=0</f>
        <v>0</v>
      </c>
      <c r="AC1001" s="3">
        <f t="shared" si="2"/>
        <v>0</v>
      </c>
      <c r="AD1001" s="3" t="str">
        <f>VLOOKUP(D1001,'Position Lookup'!A:B,1,FALSE)</f>
        <v>MID</v>
      </c>
    </row>
    <row r="1002" ht="17.25" customHeight="1">
      <c r="A1002" s="10">
        <v>45241.0</v>
      </c>
      <c r="B1002" s="5" t="s">
        <v>309</v>
      </c>
      <c r="C1002" s="3" t="s">
        <v>67</v>
      </c>
      <c r="D1002" s="5" t="s">
        <v>10</v>
      </c>
      <c r="E1002" s="5">
        <v>1.0</v>
      </c>
      <c r="F1002" s="3" t="s">
        <v>596</v>
      </c>
      <c r="G1002" s="3" t="s">
        <v>224</v>
      </c>
      <c r="J1002" s="5">
        <v>3.0</v>
      </c>
      <c r="N1002" s="3" t="b">
        <v>0</v>
      </c>
      <c r="R1002" s="3">
        <v>0.0</v>
      </c>
      <c r="T1002" s="3">
        <v>10.0</v>
      </c>
      <c r="U1002" s="3">
        <v>8.0</v>
      </c>
      <c r="V1002" s="3" t="s">
        <v>1027</v>
      </c>
      <c r="W1002" s="3" t="s">
        <v>311</v>
      </c>
      <c r="X1002" s="77" t="s">
        <v>1020</v>
      </c>
      <c r="Y1002" s="3">
        <v>4.0</v>
      </c>
      <c r="Z1002" s="3">
        <v>3.0</v>
      </c>
      <c r="AA1002" s="3">
        <f>2+ (P1002*'Scoring System'!$B$3)+ (IF(OR(D1002="DEF",D1002="GK"),N1002*'Scoring System'!$B$4,IF(D1002="MID",N1002*'Scoring System'!$B$5,0)))+ (IF(OR(D1002="DEF",D1002="GK"),H1002*'Scoring System'!$B$6,IF(D1002="MID",H1002*'Scoring System'!$B$7,IF(D1002="ATT",H1002*'Scoring System'!$B$8,0))))+ IF(AND(OR(D1002="GK",D1002="DEF"),J1002&gt;=3),1*'Scoring System'!$B$9,0)+ (I1002*'Scoring System'!$B$10)+ (K1002*'Scoring System'!$B$11)+ (M1002*'Scoring System'!$B$12)+ (L1002*'Scoring System'!$B$13)+ (O1002*'Scoring System'!$B$14)+ (Q1002*'Scoring System'!$B$15)+ (R1002*'Scoring System'!$B$16)</f>
        <v>2</v>
      </c>
      <c r="AB1002" s="3" t="b">
        <f>IFERROR(match(C1002,'Match Day Fees'!$B$2:$B$999,0),0)=0</f>
        <v>0</v>
      </c>
      <c r="AC1002" s="3">
        <f t="shared" si="2"/>
        <v>0</v>
      </c>
      <c r="AD1002" s="3" t="str">
        <f>VLOOKUP(D1002,'Position Lookup'!A:B,1,FALSE)</f>
        <v>MID</v>
      </c>
    </row>
    <row r="1003" ht="17.25" customHeight="1">
      <c r="A1003" s="10">
        <v>45241.0</v>
      </c>
      <c r="B1003" s="5" t="s">
        <v>309</v>
      </c>
      <c r="C1003" s="3" t="s">
        <v>60</v>
      </c>
      <c r="D1003" s="5" t="s">
        <v>10</v>
      </c>
      <c r="E1003" s="5">
        <v>1.0</v>
      </c>
      <c r="F1003" s="3" t="s">
        <v>596</v>
      </c>
      <c r="G1003" s="3" t="s">
        <v>224</v>
      </c>
      <c r="H1003" s="3">
        <v>1.0</v>
      </c>
      <c r="I1003" s="3">
        <v>1.0</v>
      </c>
      <c r="J1003" s="5">
        <v>3.0</v>
      </c>
      <c r="K1003" s="3">
        <v>1.0</v>
      </c>
      <c r="N1003" s="3" t="b">
        <v>0</v>
      </c>
      <c r="R1003" s="3">
        <v>0.0</v>
      </c>
      <c r="T1003" s="3">
        <v>10.0</v>
      </c>
      <c r="U1003" s="3">
        <v>8.0</v>
      </c>
      <c r="V1003" s="3" t="s">
        <v>1028</v>
      </c>
      <c r="W1003" s="3" t="s">
        <v>311</v>
      </c>
      <c r="X1003" s="77" t="s">
        <v>1020</v>
      </c>
      <c r="Y1003" s="3">
        <v>4.0</v>
      </c>
      <c r="Z1003" s="3">
        <v>3.0</v>
      </c>
      <c r="AA1003" s="3">
        <f>2+ (P1003*'Scoring System'!$B$3)+ (IF(OR(D1003="DEF",D1003="GK"),N1003*'Scoring System'!$B$4,IF(D1003="MID",N1003*'Scoring System'!$B$5,0)))+ (IF(OR(D1003="DEF",D1003="GK"),H1003*'Scoring System'!$B$6,IF(D1003="MID",H1003*'Scoring System'!$B$7,IF(D1003="ATT",H1003*'Scoring System'!$B$8,0))))+ IF(AND(OR(D1003="GK",D1003="DEF"),J1003&gt;=3),1*'Scoring System'!$B$9,0)+ (I1003*'Scoring System'!$B$10)+ (K1003*'Scoring System'!$B$11)+ (M1003*'Scoring System'!$B$12)+ (L1003*'Scoring System'!$B$13)+ (O1003*'Scoring System'!$B$14)+ (Q1003*'Scoring System'!$B$15)+ (R1003*'Scoring System'!$B$16)</f>
        <v>9</v>
      </c>
      <c r="AB1003" s="3" t="b">
        <f>IFERROR(match(C1003,'Match Day Fees'!$B$2:$B$999,0),0)=0</f>
        <v>0</v>
      </c>
      <c r="AC1003" s="3">
        <f t="shared" si="2"/>
        <v>0</v>
      </c>
      <c r="AD1003" s="3" t="str">
        <f>VLOOKUP(D1003,'Position Lookup'!A:B,1,FALSE)</f>
        <v>MID</v>
      </c>
    </row>
    <row r="1004" ht="17.25" customHeight="1">
      <c r="A1004" s="10">
        <v>45241.0</v>
      </c>
      <c r="B1004" s="5" t="s">
        <v>309</v>
      </c>
      <c r="C1004" s="3" t="s">
        <v>47</v>
      </c>
      <c r="D1004" s="5" t="s">
        <v>9</v>
      </c>
      <c r="E1004" s="5">
        <v>1.0</v>
      </c>
      <c r="F1004" s="3" t="s">
        <v>596</v>
      </c>
      <c r="G1004" s="3" t="s">
        <v>224</v>
      </c>
      <c r="H1004" s="3">
        <v>2.0</v>
      </c>
      <c r="I1004" s="3">
        <v>2.0</v>
      </c>
      <c r="J1004" s="5">
        <v>3.0</v>
      </c>
      <c r="N1004" s="3" t="b">
        <v>0</v>
      </c>
      <c r="R1004" s="3">
        <v>0.0</v>
      </c>
      <c r="T1004" s="3">
        <v>10.0</v>
      </c>
      <c r="U1004" s="3">
        <v>9.0</v>
      </c>
      <c r="V1004" s="3" t="s">
        <v>1029</v>
      </c>
      <c r="W1004" s="3" t="s">
        <v>311</v>
      </c>
      <c r="X1004" s="77" t="s">
        <v>1020</v>
      </c>
      <c r="Y1004" s="3">
        <v>4.0</v>
      </c>
      <c r="Z1004" s="3">
        <v>3.0</v>
      </c>
      <c r="AA1004" s="3">
        <f>2+ (P1004*'Scoring System'!$B$3)+ (IF(OR(D1004="DEF",D1004="GK"),N1004*'Scoring System'!$B$4,IF(D1004="MID",N1004*'Scoring System'!$B$5,0)))+ (IF(OR(D1004="DEF",D1004="GK"),H1004*'Scoring System'!$B$6,IF(D1004="MID",H1004*'Scoring System'!$B$7,IF(D1004="ATT",H1004*'Scoring System'!$B$8,0))))+ IF(AND(OR(D1004="GK",D1004="DEF"),J1004&gt;=3),1*'Scoring System'!$B$9,0)+ (I1004*'Scoring System'!$B$10)+ (K1004*'Scoring System'!$B$11)+ (M1004*'Scoring System'!$B$12)+ (L1004*'Scoring System'!$B$13)+ (O1004*'Scoring System'!$B$14)+ (Q1004*'Scoring System'!$B$15)+ (R1004*'Scoring System'!$B$16)</f>
        <v>16</v>
      </c>
      <c r="AB1004" s="3" t="b">
        <f>IFERROR(match(C1004,'Match Day Fees'!$B$2:$B$999,0),0)=0</f>
        <v>0</v>
      </c>
      <c r="AC1004" s="3">
        <f t="shared" si="2"/>
        <v>0</v>
      </c>
      <c r="AD1004" s="3" t="str">
        <f>VLOOKUP(D1004,'Position Lookup'!A:B,1,FALSE)</f>
        <v>ATT</v>
      </c>
    </row>
    <row r="1005" ht="17.25" customHeight="1">
      <c r="A1005" s="10">
        <v>45241.0</v>
      </c>
      <c r="B1005" s="5" t="s">
        <v>309</v>
      </c>
      <c r="C1005" s="3" t="s">
        <v>62</v>
      </c>
      <c r="D1005" s="5" t="s">
        <v>9</v>
      </c>
      <c r="E1005" s="5">
        <v>1.0</v>
      </c>
      <c r="F1005" s="3" t="s">
        <v>596</v>
      </c>
      <c r="G1005" s="3" t="s">
        <v>224</v>
      </c>
      <c r="H1005" s="3">
        <v>1.0</v>
      </c>
      <c r="I1005" s="3">
        <v>1.0</v>
      </c>
      <c r="J1005" s="5">
        <v>3.0</v>
      </c>
      <c r="N1005" s="3" t="b">
        <v>0</v>
      </c>
      <c r="R1005" s="3">
        <v>0.0</v>
      </c>
      <c r="T1005" s="5">
        <v>5.0</v>
      </c>
      <c r="U1005" s="3">
        <v>8.0</v>
      </c>
      <c r="V1005" s="3" t="s">
        <v>1030</v>
      </c>
      <c r="W1005" s="3" t="s">
        <v>311</v>
      </c>
      <c r="X1005" s="77" t="s">
        <v>1020</v>
      </c>
      <c r="Y1005" s="3">
        <v>4.0</v>
      </c>
      <c r="Z1005" s="3">
        <v>3.0</v>
      </c>
      <c r="AA1005" s="3">
        <f>2+ (P1005*'Scoring System'!$B$3)+ (IF(OR(D1005="DEF",D1005="GK"),N1005*'Scoring System'!$B$4,IF(D1005="MID",N1005*'Scoring System'!$B$5,0)))+ (IF(OR(D1005="DEF",D1005="GK"),H1005*'Scoring System'!$B$6,IF(D1005="MID",H1005*'Scoring System'!$B$7,IF(D1005="ATT",H1005*'Scoring System'!$B$8,0))))+ IF(AND(OR(D1005="GK",D1005="DEF"),J1005&gt;=3),1*'Scoring System'!$B$9,0)+ (I1005*'Scoring System'!$B$10)+ (K1005*'Scoring System'!$B$11)+ (M1005*'Scoring System'!$B$12)+ (L1005*'Scoring System'!$B$13)+ (O1005*'Scoring System'!$B$14)+ (Q1005*'Scoring System'!$B$15)+ (R1005*'Scoring System'!$B$16)</f>
        <v>9</v>
      </c>
      <c r="AB1005" s="3" t="b">
        <f>IFERROR(match(C1005,'Match Day Fees'!$B$2:$B$999,0),0)=0</f>
        <v>0</v>
      </c>
      <c r="AC1005" s="3">
        <f t="shared" si="2"/>
        <v>0</v>
      </c>
      <c r="AD1005" s="3" t="str">
        <f>VLOOKUP(D1005,'Position Lookup'!A:B,1,FALSE)</f>
        <v>ATT</v>
      </c>
    </row>
    <row r="1006" ht="17.25" customHeight="1">
      <c r="A1006" s="10">
        <v>45241.0</v>
      </c>
      <c r="B1006" s="5" t="s">
        <v>309</v>
      </c>
      <c r="C1006" s="3" t="s">
        <v>96</v>
      </c>
      <c r="D1006" s="5" t="s">
        <v>9</v>
      </c>
      <c r="E1006" s="5">
        <v>1.0</v>
      </c>
      <c r="F1006" s="3" t="s">
        <v>596</v>
      </c>
      <c r="G1006" s="3" t="s">
        <v>224</v>
      </c>
      <c r="J1006" s="5">
        <v>3.0</v>
      </c>
      <c r="N1006" s="3" t="b">
        <v>0</v>
      </c>
      <c r="R1006" s="3">
        <v>0.0</v>
      </c>
      <c r="T1006" s="3">
        <v>5.0</v>
      </c>
      <c r="U1006" s="3">
        <v>8.0</v>
      </c>
      <c r="V1006" s="3" t="s">
        <v>1031</v>
      </c>
      <c r="W1006" s="3" t="s">
        <v>311</v>
      </c>
      <c r="X1006" s="77" t="s">
        <v>1020</v>
      </c>
      <c r="Y1006" s="3">
        <v>4.0</v>
      </c>
      <c r="Z1006" s="3">
        <v>3.0</v>
      </c>
      <c r="AA1006" s="3">
        <f>2+ (P1006*'Scoring System'!$B$3)+ (IF(OR(D1006="DEF",D1006="GK"),N1006*'Scoring System'!$B$4,IF(D1006="MID",N1006*'Scoring System'!$B$5,0)))+ (IF(OR(D1006="DEF",D1006="GK"),H1006*'Scoring System'!$B$6,IF(D1006="MID",H1006*'Scoring System'!$B$7,IF(D1006="ATT",H1006*'Scoring System'!$B$8,0))))+ IF(AND(OR(D1006="GK",D1006="DEF"),J1006&gt;=3),1*'Scoring System'!$B$9,0)+ (I1006*'Scoring System'!$B$10)+ (K1006*'Scoring System'!$B$11)+ (M1006*'Scoring System'!$B$12)+ (L1006*'Scoring System'!$B$13)+ (O1006*'Scoring System'!$B$14)+ (Q1006*'Scoring System'!$B$15)+ (R1006*'Scoring System'!$B$16)</f>
        <v>2</v>
      </c>
      <c r="AB1006" s="3" t="b">
        <f>IFERROR(match(C1006,'Match Day Fees'!$B$2:$B$999,0),0)=0</f>
        <v>0</v>
      </c>
      <c r="AC1006" s="3">
        <f t="shared" si="2"/>
        <v>0</v>
      </c>
      <c r="AD1006" s="3" t="str">
        <f>VLOOKUP(D1006,'Position Lookup'!A:B,1,FALSE)</f>
        <v>ATT</v>
      </c>
    </row>
    <row r="1007" ht="17.25" customHeight="1">
      <c r="A1007" s="10">
        <v>45241.0</v>
      </c>
      <c r="B1007" s="5" t="s">
        <v>309</v>
      </c>
      <c r="C1007" s="3" t="s">
        <v>85</v>
      </c>
      <c r="D1007" s="5" t="s">
        <v>10</v>
      </c>
      <c r="E1007" s="5">
        <v>1.0</v>
      </c>
      <c r="F1007" s="3" t="s">
        <v>596</v>
      </c>
      <c r="G1007" s="3" t="s">
        <v>224</v>
      </c>
      <c r="J1007" s="5">
        <v>3.0</v>
      </c>
      <c r="N1007" s="3" t="b">
        <v>0</v>
      </c>
      <c r="R1007" s="3">
        <v>0.0</v>
      </c>
      <c r="T1007" s="3">
        <v>5.0</v>
      </c>
      <c r="U1007" s="3">
        <v>8.5</v>
      </c>
      <c r="V1007" s="3" t="s">
        <v>1032</v>
      </c>
      <c r="W1007" s="3" t="s">
        <v>311</v>
      </c>
      <c r="X1007" s="77" t="s">
        <v>1020</v>
      </c>
      <c r="Y1007" s="3">
        <v>4.0</v>
      </c>
      <c r="Z1007" s="3">
        <v>3.0</v>
      </c>
      <c r="AA1007" s="3">
        <f>2+ (P1007*'Scoring System'!$B$3)+ (IF(OR(D1007="DEF",D1007="GK"),N1007*'Scoring System'!$B$4,IF(D1007="MID",N1007*'Scoring System'!$B$5,0)))+ (IF(OR(D1007="DEF",D1007="GK"),H1007*'Scoring System'!$B$6,IF(D1007="MID",H1007*'Scoring System'!$B$7,IF(D1007="ATT",H1007*'Scoring System'!$B$8,0))))+ IF(AND(OR(D1007="GK",D1007="DEF"),J1007&gt;=3),1*'Scoring System'!$B$9,0)+ (I1007*'Scoring System'!$B$10)+ (K1007*'Scoring System'!$B$11)+ (M1007*'Scoring System'!$B$12)+ (L1007*'Scoring System'!$B$13)+ (O1007*'Scoring System'!$B$14)+ (Q1007*'Scoring System'!$B$15)+ (R1007*'Scoring System'!$B$16)</f>
        <v>2</v>
      </c>
      <c r="AB1007" s="3" t="b">
        <f>IFERROR(match(C1007,'Match Day Fees'!$B$2:$B$999,0),0)=0</f>
        <v>0</v>
      </c>
      <c r="AC1007" s="3">
        <f t="shared" si="2"/>
        <v>0</v>
      </c>
      <c r="AD1007" s="3" t="str">
        <f>VLOOKUP(D1007,'Position Lookup'!A:B,1,FALSE)</f>
        <v>MID</v>
      </c>
    </row>
    <row r="1008" ht="17.25" customHeight="1">
      <c r="A1008" s="10">
        <v>45241.0</v>
      </c>
      <c r="B1008" s="5" t="s">
        <v>309</v>
      </c>
      <c r="C1008" s="3" t="s">
        <v>57</v>
      </c>
      <c r="D1008" s="5" t="s">
        <v>11</v>
      </c>
      <c r="E1008" s="5">
        <v>1.0</v>
      </c>
      <c r="F1008" s="3" t="s">
        <v>596</v>
      </c>
      <c r="G1008" s="3" t="s">
        <v>224</v>
      </c>
      <c r="J1008" s="5">
        <v>3.0</v>
      </c>
      <c r="N1008" s="3" t="b">
        <v>0</v>
      </c>
      <c r="R1008" s="3">
        <v>0.0</v>
      </c>
      <c r="T1008" s="3">
        <v>2.5</v>
      </c>
      <c r="U1008" s="3">
        <v>7.0</v>
      </c>
      <c r="V1008" s="3" t="s">
        <v>1033</v>
      </c>
      <c r="W1008" s="3" t="s">
        <v>311</v>
      </c>
      <c r="X1008" s="77" t="s">
        <v>1020</v>
      </c>
      <c r="Y1008" s="3">
        <v>4.0</v>
      </c>
      <c r="Z1008" s="3">
        <v>3.0</v>
      </c>
      <c r="AA1008" s="3">
        <f>2+ (P1008*'Scoring System'!$B$3)+ (IF(OR(D1008="DEF",D1008="GK"),N1008*'Scoring System'!$B$4,IF(D1008="MID",N1008*'Scoring System'!$B$5,0)))+ (IF(OR(D1008="DEF",D1008="GK"),H1008*'Scoring System'!$B$6,IF(D1008="MID",H1008*'Scoring System'!$B$7,IF(D1008="ATT",H1008*'Scoring System'!$B$8,0))))+ IF(AND(OR(D1008="GK",D1008="DEF"),J1008&gt;=3),1*'Scoring System'!$B$9,0)+ (I1008*'Scoring System'!$B$10)+ (K1008*'Scoring System'!$B$11)+ (M1008*'Scoring System'!$B$12)+ (L1008*'Scoring System'!$B$13)+ (O1008*'Scoring System'!$B$14)+ (Q1008*'Scoring System'!$B$15)+ (R1008*'Scoring System'!$B$16)</f>
        <v>1</v>
      </c>
      <c r="AB1008" s="3" t="b">
        <f>IFERROR(match(C1008,'Match Day Fees'!$B$2:$B$999,0),0)=0</f>
        <v>0</v>
      </c>
      <c r="AC1008" s="3">
        <f t="shared" si="2"/>
        <v>0</v>
      </c>
      <c r="AD1008" s="3" t="str">
        <f>VLOOKUP(D1008,'Position Lookup'!A:B,1,FALSE)</f>
        <v>DEF</v>
      </c>
    </row>
    <row r="1009" ht="17.25" customHeight="1">
      <c r="A1009" s="10">
        <v>45241.0</v>
      </c>
      <c r="B1009" s="5" t="s">
        <v>309</v>
      </c>
      <c r="C1009" s="3" t="s">
        <v>118</v>
      </c>
      <c r="D1009" s="3" t="s">
        <v>8</v>
      </c>
      <c r="E1009" s="5">
        <v>2.0</v>
      </c>
      <c r="F1009" s="3" t="s">
        <v>1034</v>
      </c>
      <c r="G1009" s="3" t="s">
        <v>242</v>
      </c>
      <c r="J1009" s="5">
        <v>1.0</v>
      </c>
      <c r="N1009" s="3" t="b">
        <v>0</v>
      </c>
      <c r="P1009" s="3">
        <v>1.0</v>
      </c>
      <c r="R1009" s="3">
        <v>1.0</v>
      </c>
      <c r="T1009" s="3">
        <v>10.0</v>
      </c>
      <c r="U1009" s="3">
        <v>9.0</v>
      </c>
      <c r="V1009" s="5" t="s">
        <v>1035</v>
      </c>
      <c r="W1009" s="3" t="s">
        <v>327</v>
      </c>
      <c r="X1009" s="78" t="s">
        <v>1036</v>
      </c>
      <c r="Y1009" s="3">
        <v>1.0</v>
      </c>
      <c r="Z1009" s="3">
        <v>1.0</v>
      </c>
      <c r="AA1009" s="3">
        <f>2+ (P1009*'Scoring System'!$B$3)+ (IF(OR(D1009="DEF",D1009="GK"),N1009*'Scoring System'!$B$4,IF(D1009="MID",N1009*'Scoring System'!$B$5,0)))+ (IF(OR(D1009="DEF",D1009="GK"),H1009*'Scoring System'!$B$6,IF(D1009="MID",H1009*'Scoring System'!$B$7,IF(D1009="ATT",H1009*'Scoring System'!$B$8,0))))+ IF(AND(OR(D1009="GK",D1009="DEF"),J1009&gt;=3),1*'Scoring System'!$B$9,0)+ (I1009*'Scoring System'!$B$10)+ (K1009*'Scoring System'!$B$11)+ (M1009*'Scoring System'!$B$12)+ (L1009*'Scoring System'!$B$13)+ (O1009*'Scoring System'!$B$14)+ (Q1009*'Scoring System'!$B$15)+ (R1009*'Scoring System'!$B$16)</f>
        <v>12</v>
      </c>
      <c r="AB1009" s="3" t="b">
        <f>IFERROR(match(C1009,'Match Day Fees'!$B$2:$B$999,0),0)=0</f>
        <v>0</v>
      </c>
      <c r="AC1009" s="3">
        <f t="shared" si="2"/>
        <v>0</v>
      </c>
      <c r="AD1009" s="3" t="str">
        <f>VLOOKUP(D1009,'Position Lookup'!A:B,1,FALSE)</f>
        <v>GK</v>
      </c>
    </row>
    <row r="1010" ht="17.25" customHeight="1">
      <c r="A1010" s="10">
        <v>45241.0</v>
      </c>
      <c r="B1010" s="5" t="s">
        <v>309</v>
      </c>
      <c r="C1010" s="3" t="s">
        <v>56</v>
      </c>
      <c r="D1010" s="5" t="s">
        <v>11</v>
      </c>
      <c r="E1010" s="5">
        <v>2.0</v>
      </c>
      <c r="F1010" s="3" t="s">
        <v>1034</v>
      </c>
      <c r="G1010" s="3" t="s">
        <v>242</v>
      </c>
      <c r="J1010" s="5">
        <v>1.0</v>
      </c>
      <c r="N1010" s="3" t="b">
        <v>0</v>
      </c>
      <c r="R1010" s="3">
        <v>0.0</v>
      </c>
      <c r="T1010" s="3">
        <v>10.0</v>
      </c>
      <c r="U1010" s="3">
        <v>8.0</v>
      </c>
      <c r="V1010" s="5" t="s">
        <v>1037</v>
      </c>
      <c r="W1010" s="3" t="s">
        <v>327</v>
      </c>
      <c r="X1010" s="78" t="s">
        <v>1036</v>
      </c>
      <c r="Y1010" s="3">
        <v>1.0</v>
      </c>
      <c r="Z1010" s="3">
        <v>1.0</v>
      </c>
      <c r="AA1010" s="3">
        <f>2+ (P1010*'Scoring System'!$B$3)+ (IF(OR(D1010="DEF",D1010="GK"),N1010*'Scoring System'!$B$4,IF(D1010="MID",N1010*'Scoring System'!$B$5,0)))+ (IF(OR(D1010="DEF",D1010="GK"),H1010*'Scoring System'!$B$6,IF(D1010="MID",H1010*'Scoring System'!$B$7,IF(D1010="ATT",H1010*'Scoring System'!$B$8,0))))+ IF(AND(OR(D1010="GK",D1010="DEF"),J1010&gt;=3),1*'Scoring System'!$B$9,0)+ (I1010*'Scoring System'!$B$10)+ (K1010*'Scoring System'!$B$11)+ (M1010*'Scoring System'!$B$12)+ (L1010*'Scoring System'!$B$13)+ (O1010*'Scoring System'!$B$14)+ (Q1010*'Scoring System'!$B$15)+ (R1010*'Scoring System'!$B$16)</f>
        <v>2</v>
      </c>
      <c r="AB1010" s="3" t="b">
        <f>IFERROR(match(C1010,'Match Day Fees'!$B$2:$B$999,0),0)=0</f>
        <v>0</v>
      </c>
      <c r="AC1010" s="3">
        <f t="shared" si="2"/>
        <v>0</v>
      </c>
      <c r="AD1010" s="3" t="str">
        <f>VLOOKUP(D1010,'Position Lookup'!A:B,1,FALSE)</f>
        <v>DEF</v>
      </c>
    </row>
    <row r="1011" ht="17.25" customHeight="1">
      <c r="A1011" s="10">
        <v>45241.0</v>
      </c>
      <c r="B1011" s="5" t="s">
        <v>309</v>
      </c>
      <c r="C1011" s="3" t="s">
        <v>81</v>
      </c>
      <c r="D1011" s="5" t="s">
        <v>11</v>
      </c>
      <c r="E1011" s="5">
        <v>2.0</v>
      </c>
      <c r="F1011" s="3" t="s">
        <v>1034</v>
      </c>
      <c r="G1011" s="3" t="s">
        <v>242</v>
      </c>
      <c r="J1011" s="5">
        <v>1.0</v>
      </c>
      <c r="N1011" s="3" t="b">
        <v>0</v>
      </c>
      <c r="R1011" s="3">
        <v>0.0</v>
      </c>
      <c r="T1011" s="3">
        <v>10.0</v>
      </c>
      <c r="U1011" s="3">
        <v>8.0</v>
      </c>
      <c r="V1011" s="5" t="s">
        <v>1038</v>
      </c>
      <c r="W1011" s="3" t="s">
        <v>327</v>
      </c>
      <c r="X1011" s="78" t="s">
        <v>1036</v>
      </c>
      <c r="Y1011" s="3">
        <v>1.0</v>
      </c>
      <c r="Z1011" s="3">
        <v>1.0</v>
      </c>
      <c r="AA1011" s="3">
        <f>2+ (P1011*'Scoring System'!$B$3)+ (IF(OR(D1011="DEF",D1011="GK"),N1011*'Scoring System'!$B$4,IF(D1011="MID",N1011*'Scoring System'!$B$5,0)))+ (IF(OR(D1011="DEF",D1011="GK"),H1011*'Scoring System'!$B$6,IF(D1011="MID",H1011*'Scoring System'!$B$7,IF(D1011="ATT",H1011*'Scoring System'!$B$8,0))))+ IF(AND(OR(D1011="GK",D1011="DEF"),J1011&gt;=3),1*'Scoring System'!$B$9,0)+ (I1011*'Scoring System'!$B$10)+ (K1011*'Scoring System'!$B$11)+ (M1011*'Scoring System'!$B$12)+ (L1011*'Scoring System'!$B$13)+ (O1011*'Scoring System'!$B$14)+ (Q1011*'Scoring System'!$B$15)+ (R1011*'Scoring System'!$B$16)</f>
        <v>2</v>
      </c>
      <c r="AB1011" s="3" t="b">
        <f>IFERROR(match(C1011,'Match Day Fees'!$B$2:$B$999,0),0)=0</f>
        <v>0</v>
      </c>
      <c r="AC1011" s="3">
        <f t="shared" si="2"/>
        <v>0</v>
      </c>
      <c r="AD1011" s="3" t="str">
        <f>VLOOKUP(D1011,'Position Lookup'!A:B,1,FALSE)</f>
        <v>DEF</v>
      </c>
    </row>
    <row r="1012" ht="17.25" customHeight="1">
      <c r="A1012" s="10">
        <v>45241.0</v>
      </c>
      <c r="B1012" s="5" t="s">
        <v>309</v>
      </c>
      <c r="C1012" s="3" t="s">
        <v>43</v>
      </c>
      <c r="D1012" s="5" t="s">
        <v>11</v>
      </c>
      <c r="E1012" s="5">
        <v>2.0</v>
      </c>
      <c r="F1012" s="3" t="s">
        <v>1034</v>
      </c>
      <c r="G1012" s="3" t="s">
        <v>242</v>
      </c>
      <c r="J1012" s="5">
        <v>1.0</v>
      </c>
      <c r="N1012" s="3" t="b">
        <v>0</v>
      </c>
      <c r="R1012" s="3">
        <v>0.0</v>
      </c>
      <c r="T1012" s="3">
        <v>10.0</v>
      </c>
      <c r="U1012" s="3">
        <v>7.5</v>
      </c>
      <c r="V1012" s="5" t="s">
        <v>1039</v>
      </c>
      <c r="W1012" s="3" t="s">
        <v>327</v>
      </c>
      <c r="X1012" s="78" t="s">
        <v>1036</v>
      </c>
      <c r="Y1012" s="3">
        <v>1.0</v>
      </c>
      <c r="Z1012" s="3">
        <v>1.0</v>
      </c>
      <c r="AA1012" s="3">
        <f>2+ (P1012*'Scoring System'!$B$3)+ (IF(OR(D1012="DEF",D1012="GK"),N1012*'Scoring System'!$B$4,IF(D1012="MID",N1012*'Scoring System'!$B$5,0)))+ (IF(OR(D1012="DEF",D1012="GK"),H1012*'Scoring System'!$B$6,IF(D1012="MID",H1012*'Scoring System'!$B$7,IF(D1012="ATT",H1012*'Scoring System'!$B$8,0))))+ IF(AND(OR(D1012="GK",D1012="DEF"),J1012&gt;=3),1*'Scoring System'!$B$9,0)+ (I1012*'Scoring System'!$B$10)+ (K1012*'Scoring System'!$B$11)+ (M1012*'Scoring System'!$B$12)+ (L1012*'Scoring System'!$B$13)+ (O1012*'Scoring System'!$B$14)+ (Q1012*'Scoring System'!$B$15)+ (R1012*'Scoring System'!$B$16)</f>
        <v>2</v>
      </c>
      <c r="AB1012" s="3" t="b">
        <f>IFERROR(match(C1012,'Match Day Fees'!$B$2:$B$999,0),0)=0</f>
        <v>0</v>
      </c>
      <c r="AC1012" s="3">
        <f t="shared" si="2"/>
        <v>0</v>
      </c>
      <c r="AD1012" s="3" t="str">
        <f>VLOOKUP(D1012,'Position Lookup'!A:B,1,FALSE)</f>
        <v>DEF</v>
      </c>
    </row>
    <row r="1013" ht="17.25" customHeight="1">
      <c r="A1013" s="10">
        <v>45241.0</v>
      </c>
      <c r="B1013" s="5" t="s">
        <v>309</v>
      </c>
      <c r="C1013" s="3" t="s">
        <v>104</v>
      </c>
      <c r="D1013" s="5" t="s">
        <v>10</v>
      </c>
      <c r="E1013" s="5">
        <v>2.0</v>
      </c>
      <c r="F1013" s="3" t="s">
        <v>1034</v>
      </c>
      <c r="G1013" s="3" t="s">
        <v>242</v>
      </c>
      <c r="I1013" s="3">
        <v>1.0</v>
      </c>
      <c r="J1013" s="5">
        <v>1.0</v>
      </c>
      <c r="N1013" s="3" t="b">
        <v>0</v>
      </c>
      <c r="R1013" s="3">
        <v>0.0</v>
      </c>
      <c r="T1013" s="3">
        <v>5.0</v>
      </c>
      <c r="U1013" s="3">
        <v>7.5</v>
      </c>
      <c r="V1013" s="5" t="s">
        <v>1040</v>
      </c>
      <c r="W1013" s="3" t="s">
        <v>327</v>
      </c>
      <c r="X1013" s="78" t="s">
        <v>1036</v>
      </c>
      <c r="Y1013" s="3">
        <v>1.0</v>
      </c>
      <c r="Z1013" s="3">
        <v>1.0</v>
      </c>
      <c r="AA1013" s="3">
        <f>2+ (P1013*'Scoring System'!$B$3)+ (IF(OR(D1013="DEF",D1013="GK"),N1013*'Scoring System'!$B$4,IF(D1013="MID",N1013*'Scoring System'!$B$5,0)))+ (IF(OR(D1013="DEF",D1013="GK"),H1013*'Scoring System'!$B$6,IF(D1013="MID",H1013*'Scoring System'!$B$7,IF(D1013="ATT",H1013*'Scoring System'!$B$8,0))))+ IF(AND(OR(D1013="GK",D1013="DEF"),J1013&gt;=3),1*'Scoring System'!$B$9,0)+ (I1013*'Scoring System'!$B$10)+ (K1013*'Scoring System'!$B$11)+ (M1013*'Scoring System'!$B$12)+ (L1013*'Scoring System'!$B$13)+ (O1013*'Scoring System'!$B$14)+ (Q1013*'Scoring System'!$B$15)+ (R1013*'Scoring System'!$B$16)</f>
        <v>5</v>
      </c>
      <c r="AB1013" s="3" t="b">
        <f>IFERROR(match(C1013,'Match Day Fees'!$B$2:$B$999,0),0)=0</f>
        <v>0</v>
      </c>
      <c r="AC1013" s="3">
        <f t="shared" si="2"/>
        <v>0</v>
      </c>
      <c r="AD1013" s="3" t="str">
        <f>VLOOKUP(D1013,'Position Lookup'!A:B,1,FALSE)</f>
        <v>MID</v>
      </c>
    </row>
    <row r="1014" ht="17.25" customHeight="1">
      <c r="A1014" s="10">
        <v>45241.0</v>
      </c>
      <c r="B1014" s="5" t="s">
        <v>309</v>
      </c>
      <c r="C1014" s="3" t="s">
        <v>73</v>
      </c>
      <c r="D1014" s="5" t="s">
        <v>9</v>
      </c>
      <c r="E1014" s="5">
        <v>2.0</v>
      </c>
      <c r="F1014" s="3" t="s">
        <v>1034</v>
      </c>
      <c r="G1014" s="3" t="s">
        <v>242</v>
      </c>
      <c r="J1014" s="5">
        <v>1.0</v>
      </c>
      <c r="N1014" s="3" t="b">
        <v>0</v>
      </c>
      <c r="R1014" s="3">
        <v>0.0</v>
      </c>
      <c r="T1014" s="3">
        <v>10.0</v>
      </c>
      <c r="U1014" s="3">
        <v>8.0</v>
      </c>
      <c r="V1014" s="5" t="s">
        <v>1041</v>
      </c>
      <c r="W1014" s="3" t="s">
        <v>327</v>
      </c>
      <c r="X1014" s="78" t="s">
        <v>1036</v>
      </c>
      <c r="Y1014" s="3">
        <v>1.0</v>
      </c>
      <c r="Z1014" s="3">
        <v>1.0</v>
      </c>
      <c r="AA1014" s="3">
        <f>2+ (P1014*'Scoring System'!$B$3)+ (IF(OR(D1014="DEF",D1014="GK"),N1014*'Scoring System'!$B$4,IF(D1014="MID",N1014*'Scoring System'!$B$5,0)))+ (IF(OR(D1014="DEF",D1014="GK"),H1014*'Scoring System'!$B$6,IF(D1014="MID",H1014*'Scoring System'!$B$7,IF(D1014="ATT",H1014*'Scoring System'!$B$8,0))))+ IF(AND(OR(D1014="GK",D1014="DEF"),J1014&gt;=3),1*'Scoring System'!$B$9,0)+ (I1014*'Scoring System'!$B$10)+ (K1014*'Scoring System'!$B$11)+ (M1014*'Scoring System'!$B$12)+ (L1014*'Scoring System'!$B$13)+ (O1014*'Scoring System'!$B$14)+ (Q1014*'Scoring System'!$B$15)+ (R1014*'Scoring System'!$B$16)</f>
        <v>2</v>
      </c>
      <c r="AB1014" s="3" t="b">
        <f>IFERROR(match(C1014,'Match Day Fees'!$B$2:$B$999,0),0)=0</f>
        <v>0</v>
      </c>
      <c r="AC1014" s="3">
        <f t="shared" si="2"/>
        <v>0</v>
      </c>
      <c r="AD1014" s="3" t="str">
        <f>VLOOKUP(D1014,'Position Lookup'!A:B,1,FALSE)</f>
        <v>ATT</v>
      </c>
    </row>
    <row r="1015" ht="17.25" customHeight="1">
      <c r="A1015" s="10">
        <v>45241.0</v>
      </c>
      <c r="B1015" s="5" t="s">
        <v>309</v>
      </c>
      <c r="C1015" s="3" t="s">
        <v>40</v>
      </c>
      <c r="D1015" s="5" t="s">
        <v>11</v>
      </c>
      <c r="E1015" s="5">
        <v>2.0</v>
      </c>
      <c r="F1015" s="3" t="s">
        <v>1034</v>
      </c>
      <c r="G1015" s="3" t="s">
        <v>242</v>
      </c>
      <c r="J1015" s="5">
        <v>1.0</v>
      </c>
      <c r="N1015" s="3" t="b">
        <v>0</v>
      </c>
      <c r="R1015" s="3">
        <v>0.0</v>
      </c>
      <c r="T1015" s="3">
        <v>10.0</v>
      </c>
      <c r="U1015" s="3">
        <v>8.0</v>
      </c>
      <c r="V1015" s="5" t="s">
        <v>1042</v>
      </c>
      <c r="W1015" s="3" t="s">
        <v>327</v>
      </c>
      <c r="X1015" s="78" t="s">
        <v>1036</v>
      </c>
      <c r="Y1015" s="3">
        <v>1.0</v>
      </c>
      <c r="Z1015" s="3">
        <v>1.0</v>
      </c>
      <c r="AA1015" s="3">
        <f>2+ (P1015*'Scoring System'!$B$3)+ (IF(OR(D1015="DEF",D1015="GK"),N1015*'Scoring System'!$B$4,IF(D1015="MID",N1015*'Scoring System'!$B$5,0)))+ (IF(OR(D1015="DEF",D1015="GK"),H1015*'Scoring System'!$B$6,IF(D1015="MID",H1015*'Scoring System'!$B$7,IF(D1015="ATT",H1015*'Scoring System'!$B$8,0))))+ IF(AND(OR(D1015="GK",D1015="DEF"),J1015&gt;=3),1*'Scoring System'!$B$9,0)+ (I1015*'Scoring System'!$B$10)+ (K1015*'Scoring System'!$B$11)+ (M1015*'Scoring System'!$B$12)+ (L1015*'Scoring System'!$B$13)+ (O1015*'Scoring System'!$B$14)+ (Q1015*'Scoring System'!$B$15)+ (R1015*'Scoring System'!$B$16)</f>
        <v>2</v>
      </c>
      <c r="AB1015" s="3" t="b">
        <f>IFERROR(match(C1015,'Match Day Fees'!$B$2:$B$999,0),0)=0</f>
        <v>0</v>
      </c>
      <c r="AC1015" s="3">
        <f t="shared" si="2"/>
        <v>0</v>
      </c>
      <c r="AD1015" s="3" t="str">
        <f>VLOOKUP(D1015,'Position Lookup'!A:B,1,FALSE)</f>
        <v>DEF</v>
      </c>
    </row>
    <row r="1016" ht="17.25" customHeight="1">
      <c r="A1016" s="10">
        <v>45241.0</v>
      </c>
      <c r="B1016" s="5" t="s">
        <v>309</v>
      </c>
      <c r="C1016" s="3" t="s">
        <v>75</v>
      </c>
      <c r="D1016" s="5" t="s">
        <v>9</v>
      </c>
      <c r="E1016" s="5">
        <v>2.0</v>
      </c>
      <c r="F1016" s="3" t="s">
        <v>1034</v>
      </c>
      <c r="G1016" s="3" t="s">
        <v>242</v>
      </c>
      <c r="J1016" s="5">
        <v>1.0</v>
      </c>
      <c r="N1016" s="3" t="b">
        <v>0</v>
      </c>
      <c r="R1016" s="3">
        <v>0.0</v>
      </c>
      <c r="T1016" s="3">
        <v>10.0</v>
      </c>
      <c r="U1016" s="3">
        <v>7.0</v>
      </c>
      <c r="V1016" s="5" t="s">
        <v>1043</v>
      </c>
      <c r="W1016" s="3" t="s">
        <v>327</v>
      </c>
      <c r="X1016" s="78" t="s">
        <v>1036</v>
      </c>
      <c r="Y1016" s="3">
        <v>1.0</v>
      </c>
      <c r="Z1016" s="3">
        <v>1.0</v>
      </c>
      <c r="AA1016" s="3">
        <f>2+ (P1016*'Scoring System'!$B$3)+ (IF(OR(D1016="DEF",D1016="GK"),N1016*'Scoring System'!$B$4,IF(D1016="MID",N1016*'Scoring System'!$B$5,0)))+ (IF(OR(D1016="DEF",D1016="GK"),H1016*'Scoring System'!$B$6,IF(D1016="MID",H1016*'Scoring System'!$B$7,IF(D1016="ATT",H1016*'Scoring System'!$B$8,0))))+ IF(AND(OR(D1016="GK",D1016="DEF"),J1016&gt;=3),1*'Scoring System'!$B$9,0)+ (I1016*'Scoring System'!$B$10)+ (K1016*'Scoring System'!$B$11)+ (M1016*'Scoring System'!$B$12)+ (L1016*'Scoring System'!$B$13)+ (O1016*'Scoring System'!$B$14)+ (Q1016*'Scoring System'!$B$15)+ (R1016*'Scoring System'!$B$16)</f>
        <v>2</v>
      </c>
      <c r="AB1016" s="3" t="b">
        <f>IFERROR(match(C1016,'Match Day Fees'!$B$2:$B$999,0),0)=0</f>
        <v>0</v>
      </c>
      <c r="AC1016" s="3">
        <f t="shared" si="2"/>
        <v>0</v>
      </c>
      <c r="AD1016" s="3" t="str">
        <f>VLOOKUP(D1016,'Position Lookup'!A:B,1,FALSE)</f>
        <v>ATT</v>
      </c>
    </row>
    <row r="1017" ht="17.25" customHeight="1">
      <c r="A1017" s="10">
        <v>45241.0</v>
      </c>
      <c r="B1017" s="5" t="s">
        <v>309</v>
      </c>
      <c r="C1017" s="3" t="s">
        <v>110</v>
      </c>
      <c r="D1017" s="5" t="s">
        <v>9</v>
      </c>
      <c r="E1017" s="5">
        <v>2.0</v>
      </c>
      <c r="F1017" s="3" t="s">
        <v>1034</v>
      </c>
      <c r="G1017" s="3" t="s">
        <v>242</v>
      </c>
      <c r="J1017" s="5">
        <v>1.0</v>
      </c>
      <c r="L1017" s="3" t="b">
        <v>1</v>
      </c>
      <c r="N1017" s="3" t="b">
        <v>0</v>
      </c>
      <c r="R1017" s="3">
        <v>0.0</v>
      </c>
      <c r="T1017" s="3">
        <v>10.0</v>
      </c>
      <c r="U1017" s="3">
        <v>7.0</v>
      </c>
      <c r="V1017" s="5" t="s">
        <v>1044</v>
      </c>
      <c r="W1017" s="3" t="s">
        <v>327</v>
      </c>
      <c r="X1017" s="78" t="s">
        <v>1036</v>
      </c>
      <c r="Y1017" s="3">
        <v>1.0</v>
      </c>
      <c r="Z1017" s="3">
        <v>1.0</v>
      </c>
      <c r="AA1017" s="3">
        <f>2+ (P1017*'Scoring System'!$B$3)+ (IF(OR(D1017="DEF",D1017="GK"),N1017*'Scoring System'!$B$4,IF(D1017="MID",N1017*'Scoring System'!$B$5,0)))+ (IF(OR(D1017="DEF",D1017="GK"),H1017*'Scoring System'!$B$6,IF(D1017="MID",H1017*'Scoring System'!$B$7,IF(D1017="ATT",H1017*'Scoring System'!$B$8,0))))+ IF(AND(OR(D1017="GK",D1017="DEF"),J1017&gt;=3),1*'Scoring System'!$B$9,0)+ (I1017*'Scoring System'!$B$10)+ (K1017*'Scoring System'!$B$11)+ (M1017*'Scoring System'!$B$12)+ (L1017*'Scoring System'!$B$13)+ (O1017*'Scoring System'!$B$14)+ (Q1017*'Scoring System'!$B$15)+ (R1017*'Scoring System'!$B$16)</f>
        <v>0</v>
      </c>
      <c r="AB1017" s="3" t="b">
        <f>IFERROR(match(C1017,'Match Day Fees'!$B$2:$B$999,0),0)=0</f>
        <v>0</v>
      </c>
      <c r="AC1017" s="3">
        <f t="shared" si="2"/>
        <v>0</v>
      </c>
      <c r="AD1017" s="3" t="str">
        <f>VLOOKUP(D1017,'Position Lookup'!A:B,1,FALSE)</f>
        <v>ATT</v>
      </c>
    </row>
    <row r="1018" ht="17.25" customHeight="1">
      <c r="A1018" s="10">
        <v>45241.0</v>
      </c>
      <c r="B1018" s="5" t="s">
        <v>309</v>
      </c>
      <c r="C1018" s="3" t="s">
        <v>272</v>
      </c>
      <c r="D1018" s="5" t="s">
        <v>10</v>
      </c>
      <c r="E1018" s="5">
        <v>2.0</v>
      </c>
      <c r="F1018" s="3" t="s">
        <v>1034</v>
      </c>
      <c r="G1018" s="3" t="s">
        <v>242</v>
      </c>
      <c r="J1018" s="5">
        <v>1.0</v>
      </c>
      <c r="N1018" s="3" t="b">
        <v>0</v>
      </c>
      <c r="R1018" s="3">
        <v>0.0</v>
      </c>
      <c r="T1018" s="3">
        <v>10.0</v>
      </c>
      <c r="U1018" s="3">
        <v>7.0</v>
      </c>
      <c r="V1018" s="5" t="s">
        <v>1045</v>
      </c>
      <c r="W1018" s="3" t="s">
        <v>327</v>
      </c>
      <c r="X1018" s="78" t="s">
        <v>1036</v>
      </c>
      <c r="Y1018" s="3">
        <v>1.0</v>
      </c>
      <c r="Z1018" s="3">
        <v>1.0</v>
      </c>
      <c r="AA1018" s="3">
        <f>2+ (P1018*'Scoring System'!$B$3)+ (IF(OR(D1018="DEF",D1018="GK"),N1018*'Scoring System'!$B$4,IF(D1018="MID",N1018*'Scoring System'!$B$5,0)))+ (IF(OR(D1018="DEF",D1018="GK"),H1018*'Scoring System'!$B$6,IF(D1018="MID",H1018*'Scoring System'!$B$7,IF(D1018="ATT",H1018*'Scoring System'!$B$8,0))))+ IF(AND(OR(D1018="GK",D1018="DEF"),J1018&gt;=3),1*'Scoring System'!$B$9,0)+ (I1018*'Scoring System'!$B$10)+ (K1018*'Scoring System'!$B$11)+ (M1018*'Scoring System'!$B$12)+ (L1018*'Scoring System'!$B$13)+ (O1018*'Scoring System'!$B$14)+ (Q1018*'Scoring System'!$B$15)+ (R1018*'Scoring System'!$B$16)</f>
        <v>2</v>
      </c>
      <c r="AB1018" s="3" t="b">
        <f>IFERROR(match(C1018,'Match Day Fees'!$B$2:$B$999,0),0)=0</f>
        <v>0</v>
      </c>
      <c r="AC1018" s="3">
        <f t="shared" si="2"/>
        <v>0</v>
      </c>
      <c r="AD1018" s="3" t="str">
        <f>VLOOKUP(D1018,'Position Lookup'!A:B,1,FALSE)</f>
        <v>MID</v>
      </c>
    </row>
    <row r="1019" ht="17.25" customHeight="1">
      <c r="A1019" s="10">
        <v>45241.0</v>
      </c>
      <c r="B1019" s="5" t="s">
        <v>309</v>
      </c>
      <c r="C1019" s="3" t="s">
        <v>114</v>
      </c>
      <c r="D1019" s="5" t="s">
        <v>9</v>
      </c>
      <c r="E1019" s="5">
        <v>2.0</v>
      </c>
      <c r="F1019" s="3" t="s">
        <v>1034</v>
      </c>
      <c r="G1019" s="3" t="s">
        <v>242</v>
      </c>
      <c r="J1019" s="5">
        <v>1.0</v>
      </c>
      <c r="N1019" s="3" t="b">
        <v>0</v>
      </c>
      <c r="R1019" s="3">
        <v>0.0</v>
      </c>
      <c r="T1019" s="3">
        <v>10.0</v>
      </c>
      <c r="U1019" s="3">
        <v>7.5</v>
      </c>
      <c r="V1019" s="5" t="s">
        <v>1046</v>
      </c>
      <c r="W1019" s="3" t="s">
        <v>327</v>
      </c>
      <c r="X1019" s="78" t="s">
        <v>1036</v>
      </c>
      <c r="Y1019" s="3">
        <v>1.0</v>
      </c>
      <c r="Z1019" s="3">
        <v>1.0</v>
      </c>
      <c r="AA1019" s="3">
        <f>2+ (P1019*'Scoring System'!$B$3)+ (IF(OR(D1019="DEF",D1019="GK"),N1019*'Scoring System'!$B$4,IF(D1019="MID",N1019*'Scoring System'!$B$5,0)))+ (IF(OR(D1019="DEF",D1019="GK"),H1019*'Scoring System'!$B$6,IF(D1019="MID",H1019*'Scoring System'!$B$7,IF(D1019="ATT",H1019*'Scoring System'!$B$8,0))))+ IF(AND(OR(D1019="GK",D1019="DEF"),J1019&gt;=3),1*'Scoring System'!$B$9,0)+ (I1019*'Scoring System'!$B$10)+ (K1019*'Scoring System'!$B$11)+ (M1019*'Scoring System'!$B$12)+ (L1019*'Scoring System'!$B$13)+ (O1019*'Scoring System'!$B$14)+ (Q1019*'Scoring System'!$B$15)+ (R1019*'Scoring System'!$B$16)</f>
        <v>2</v>
      </c>
      <c r="AB1019" s="3" t="b">
        <f>IFERROR(match(C1019,'Match Day Fees'!$B$2:$B$999,0),0)=0</f>
        <v>0</v>
      </c>
      <c r="AC1019" s="3">
        <f t="shared" si="2"/>
        <v>0</v>
      </c>
      <c r="AD1019" s="3" t="str">
        <f>VLOOKUP(D1019,'Position Lookup'!A:B,1,FALSE)</f>
        <v>ATT</v>
      </c>
    </row>
    <row r="1020" ht="17.25" customHeight="1">
      <c r="A1020" s="10">
        <v>45241.0</v>
      </c>
      <c r="B1020" s="5" t="s">
        <v>309</v>
      </c>
      <c r="C1020" s="3" t="s">
        <v>78</v>
      </c>
      <c r="D1020" s="5" t="s">
        <v>9</v>
      </c>
      <c r="E1020" s="5">
        <v>2.0</v>
      </c>
      <c r="F1020" s="3" t="s">
        <v>1034</v>
      </c>
      <c r="G1020" s="3" t="s">
        <v>242</v>
      </c>
      <c r="J1020" s="5">
        <v>1.0</v>
      </c>
      <c r="N1020" s="3" t="b">
        <v>0</v>
      </c>
      <c r="R1020" s="3">
        <v>0.0</v>
      </c>
      <c r="T1020" s="3">
        <v>5.0</v>
      </c>
      <c r="U1020" s="3">
        <v>7.5</v>
      </c>
      <c r="V1020" s="5" t="s">
        <v>1047</v>
      </c>
      <c r="W1020" s="3" t="s">
        <v>327</v>
      </c>
      <c r="X1020" s="78" t="s">
        <v>1036</v>
      </c>
      <c r="Y1020" s="3">
        <v>1.0</v>
      </c>
      <c r="Z1020" s="3">
        <v>1.0</v>
      </c>
      <c r="AA1020" s="3">
        <f>2+ (P1020*'Scoring System'!$B$3)+ (IF(OR(D1020="DEF",D1020="GK"),N1020*'Scoring System'!$B$4,IF(D1020="MID",N1020*'Scoring System'!$B$5,0)))+ (IF(OR(D1020="DEF",D1020="GK"),H1020*'Scoring System'!$B$6,IF(D1020="MID",H1020*'Scoring System'!$B$7,IF(D1020="ATT",H1020*'Scoring System'!$B$8,0))))+ IF(AND(OR(D1020="GK",D1020="DEF"),J1020&gt;=3),1*'Scoring System'!$B$9,0)+ (I1020*'Scoring System'!$B$10)+ (K1020*'Scoring System'!$B$11)+ (M1020*'Scoring System'!$B$12)+ (L1020*'Scoring System'!$B$13)+ (O1020*'Scoring System'!$B$14)+ (Q1020*'Scoring System'!$B$15)+ (R1020*'Scoring System'!$B$16)</f>
        <v>2</v>
      </c>
      <c r="AB1020" s="3" t="b">
        <f>IFERROR(match(C1020,'Match Day Fees'!$B$2:$B$999,0),0)=0</f>
        <v>0</v>
      </c>
      <c r="AC1020" s="3">
        <f t="shared" si="2"/>
        <v>0</v>
      </c>
      <c r="AD1020" s="3" t="str">
        <f>VLOOKUP(D1020,'Position Lookup'!A:B,1,FALSE)</f>
        <v>ATT</v>
      </c>
    </row>
    <row r="1021" ht="17.25" customHeight="1">
      <c r="A1021" s="10">
        <v>45241.0</v>
      </c>
      <c r="B1021" s="5" t="s">
        <v>309</v>
      </c>
      <c r="C1021" s="3" t="s">
        <v>239</v>
      </c>
      <c r="D1021" s="5" t="s">
        <v>9</v>
      </c>
      <c r="E1021" s="5">
        <v>2.0</v>
      </c>
      <c r="F1021" s="3" t="s">
        <v>1034</v>
      </c>
      <c r="G1021" s="3" t="s">
        <v>242</v>
      </c>
      <c r="H1021" s="3">
        <v>1.0</v>
      </c>
      <c r="J1021" s="5">
        <v>1.0</v>
      </c>
      <c r="N1021" s="3" t="b">
        <v>0</v>
      </c>
      <c r="R1021" s="3">
        <v>0.0</v>
      </c>
      <c r="T1021" s="3">
        <v>2.5</v>
      </c>
      <c r="U1021" s="3">
        <v>7.5</v>
      </c>
      <c r="V1021" s="5" t="s">
        <v>1048</v>
      </c>
      <c r="W1021" s="3" t="s">
        <v>327</v>
      </c>
      <c r="X1021" s="78" t="s">
        <v>1036</v>
      </c>
      <c r="Y1021" s="3">
        <v>1.0</v>
      </c>
      <c r="Z1021" s="3">
        <v>1.0</v>
      </c>
      <c r="AA1021" s="3">
        <f>2+ (P1021*'Scoring System'!$B$3)+ (IF(OR(D1021="DEF",D1021="GK"),N1021*'Scoring System'!$B$4,IF(D1021="MID",N1021*'Scoring System'!$B$5,0)))+ (IF(OR(D1021="DEF",D1021="GK"),H1021*'Scoring System'!$B$6,IF(D1021="MID",H1021*'Scoring System'!$B$7,IF(D1021="ATT",H1021*'Scoring System'!$B$8,0))))+ IF(AND(OR(D1021="GK",D1021="DEF"),J1021&gt;=3),1*'Scoring System'!$B$9,0)+ (I1021*'Scoring System'!$B$10)+ (K1021*'Scoring System'!$B$11)+ (M1021*'Scoring System'!$B$12)+ (L1021*'Scoring System'!$B$13)+ (O1021*'Scoring System'!$B$14)+ (Q1021*'Scoring System'!$B$15)+ (R1021*'Scoring System'!$B$16)</f>
        <v>6</v>
      </c>
      <c r="AB1021" s="3" t="b">
        <f>IFERROR(match(C1021,'Match Day Fees'!$B$2:$B$999,0),0)=0</f>
        <v>0</v>
      </c>
      <c r="AC1021" s="3">
        <f t="shared" si="2"/>
        <v>0</v>
      </c>
      <c r="AD1021" s="3" t="str">
        <f>VLOOKUP(D1021,'Position Lookup'!A:B,1,FALSE)</f>
        <v>ATT</v>
      </c>
    </row>
    <row r="1022" ht="17.25" customHeight="1">
      <c r="A1022" s="10">
        <v>45241.0</v>
      </c>
      <c r="B1022" s="5" t="s">
        <v>309</v>
      </c>
      <c r="C1022" s="3" t="s">
        <v>254</v>
      </c>
      <c r="D1022" s="5" t="s">
        <v>9</v>
      </c>
      <c r="E1022" s="5">
        <v>3.0</v>
      </c>
      <c r="F1022" s="3" t="s">
        <v>1049</v>
      </c>
      <c r="G1022" s="3" t="s">
        <v>224</v>
      </c>
      <c r="I1022" s="3">
        <v>1.0</v>
      </c>
      <c r="J1022" s="5">
        <v>0.0</v>
      </c>
      <c r="N1022" s="3" t="b">
        <v>1</v>
      </c>
      <c r="R1022" s="3">
        <v>0.0</v>
      </c>
      <c r="T1022" s="3">
        <v>4.0</v>
      </c>
      <c r="U1022" s="3">
        <v>5.5</v>
      </c>
      <c r="V1022" s="3" t="s">
        <v>1050</v>
      </c>
      <c r="W1022" s="3" t="s">
        <v>344</v>
      </c>
      <c r="X1022" s="77" t="s">
        <v>1051</v>
      </c>
      <c r="Y1022" s="3">
        <v>6.0</v>
      </c>
      <c r="Z1022" s="3">
        <v>0.0</v>
      </c>
      <c r="AA1022" s="3">
        <f>2+ (P1022*'Scoring System'!$B$3)+ (IF(OR(D1022="DEF",D1022="GK"),N1022*'Scoring System'!$B$4,IF(D1022="MID",N1022*'Scoring System'!$B$5,0)))+ (IF(OR(D1022="DEF",D1022="GK"),H1022*'Scoring System'!$B$6,IF(D1022="MID",H1022*'Scoring System'!$B$7,IF(D1022="ATT",H1022*'Scoring System'!$B$8,0))))+ IF(AND(OR(D1022="GK",D1022="DEF"),J1022&gt;=3),1*'Scoring System'!$B$9,0)+ (I1022*'Scoring System'!$B$10)+ (K1022*'Scoring System'!$B$11)+ (M1022*'Scoring System'!$B$12)+ (L1022*'Scoring System'!$B$13)+ (O1022*'Scoring System'!$B$14)+ (Q1022*'Scoring System'!$B$15)+ (R1022*'Scoring System'!$B$16)</f>
        <v>5</v>
      </c>
      <c r="AB1022" s="3" t="b">
        <f>IFERROR(match(C1022,'Match Day Fees'!$B$2:$B$999,0),0)=0</f>
        <v>0</v>
      </c>
      <c r="AC1022" s="3">
        <f t="shared" si="2"/>
        <v>0</v>
      </c>
      <c r="AD1022" s="3" t="str">
        <f>VLOOKUP(D1022,'Position Lookup'!A:B,1,FALSE)</f>
        <v>ATT</v>
      </c>
    </row>
    <row r="1023" ht="17.25" customHeight="1">
      <c r="A1023" s="10">
        <v>45241.0</v>
      </c>
      <c r="B1023" s="5" t="s">
        <v>309</v>
      </c>
      <c r="C1023" s="3" t="s">
        <v>893</v>
      </c>
      <c r="D1023" s="5" t="s">
        <v>11</v>
      </c>
      <c r="E1023" s="5">
        <v>3.0</v>
      </c>
      <c r="F1023" s="3" t="s">
        <v>1049</v>
      </c>
      <c r="G1023" s="3" t="s">
        <v>224</v>
      </c>
      <c r="J1023" s="5">
        <v>0.0</v>
      </c>
      <c r="N1023" s="3" t="b">
        <v>1</v>
      </c>
      <c r="R1023" s="3">
        <v>0.0</v>
      </c>
      <c r="T1023" s="3">
        <v>10.0</v>
      </c>
      <c r="U1023" s="3">
        <v>7.5</v>
      </c>
      <c r="V1023" s="3" t="s">
        <v>1052</v>
      </c>
      <c r="W1023" s="3" t="s">
        <v>344</v>
      </c>
      <c r="X1023" s="77" t="s">
        <v>1051</v>
      </c>
      <c r="Y1023" s="3">
        <v>6.0</v>
      </c>
      <c r="Z1023" s="3">
        <v>0.0</v>
      </c>
      <c r="AA1023" s="3">
        <f>2+ (P1023*'Scoring System'!$B$3)+ (IF(OR(D1023="DEF",D1023="GK"),N1023*'Scoring System'!$B$4,IF(D1023="MID",N1023*'Scoring System'!$B$5,0)))+ (IF(OR(D1023="DEF",D1023="GK"),H1023*'Scoring System'!$B$6,IF(D1023="MID",H1023*'Scoring System'!$B$7,IF(D1023="ATT",H1023*'Scoring System'!$B$8,0))))+ IF(AND(OR(D1023="GK",D1023="DEF"),J1023&gt;=3),1*'Scoring System'!$B$9,0)+ (I1023*'Scoring System'!$B$10)+ (K1023*'Scoring System'!$B$11)+ (M1023*'Scoring System'!$B$12)+ (L1023*'Scoring System'!$B$13)+ (O1023*'Scoring System'!$B$14)+ (Q1023*'Scoring System'!$B$15)+ (R1023*'Scoring System'!$B$16)</f>
        <v>8</v>
      </c>
      <c r="AB1023" s="3" t="b">
        <f>IFERROR(match(C1023,'Match Day Fees'!$B$2:$B$999,0),0)=0</f>
        <v>0</v>
      </c>
      <c r="AC1023" s="3">
        <f t="shared" si="2"/>
        <v>0</v>
      </c>
      <c r="AD1023" s="3" t="str">
        <f>VLOOKUP(D1023,'Position Lookup'!A:B,1,FALSE)</f>
        <v>DEF</v>
      </c>
    </row>
    <row r="1024" ht="17.25" customHeight="1">
      <c r="A1024" s="10">
        <v>45241.0</v>
      </c>
      <c r="B1024" s="5" t="s">
        <v>309</v>
      </c>
      <c r="C1024" s="3" t="s">
        <v>39</v>
      </c>
      <c r="D1024" s="5" t="s">
        <v>11</v>
      </c>
      <c r="E1024" s="5">
        <v>3.0</v>
      </c>
      <c r="F1024" s="3" t="s">
        <v>1049</v>
      </c>
      <c r="G1024" s="3" t="s">
        <v>224</v>
      </c>
      <c r="J1024" s="5">
        <v>0.0</v>
      </c>
      <c r="N1024" s="3" t="b">
        <v>1</v>
      </c>
      <c r="R1024" s="3">
        <v>0.0</v>
      </c>
      <c r="T1024" s="3">
        <v>10.0</v>
      </c>
      <c r="U1024" s="3">
        <v>8.0</v>
      </c>
      <c r="V1024" s="3" t="s">
        <v>1053</v>
      </c>
      <c r="W1024" s="3" t="s">
        <v>344</v>
      </c>
      <c r="X1024" s="77" t="s">
        <v>1051</v>
      </c>
      <c r="Y1024" s="3">
        <v>6.0</v>
      </c>
      <c r="Z1024" s="3">
        <v>0.0</v>
      </c>
      <c r="AA1024" s="3">
        <f>2+ (P1024*'Scoring System'!$B$3)+ (IF(OR(D1024="DEF",D1024="GK"),N1024*'Scoring System'!$B$4,IF(D1024="MID",N1024*'Scoring System'!$B$5,0)))+ (IF(OR(D1024="DEF",D1024="GK"),H1024*'Scoring System'!$B$6,IF(D1024="MID",H1024*'Scoring System'!$B$7,IF(D1024="ATT",H1024*'Scoring System'!$B$8,0))))+ IF(AND(OR(D1024="GK",D1024="DEF"),J1024&gt;=3),1*'Scoring System'!$B$9,0)+ (I1024*'Scoring System'!$B$10)+ (K1024*'Scoring System'!$B$11)+ (M1024*'Scoring System'!$B$12)+ (L1024*'Scoring System'!$B$13)+ (O1024*'Scoring System'!$B$14)+ (Q1024*'Scoring System'!$B$15)+ (R1024*'Scoring System'!$B$16)</f>
        <v>8</v>
      </c>
      <c r="AB1024" s="3" t="b">
        <f>IFERROR(match(C1024,'Match Day Fees'!$B$2:$B$999,0),0)=0</f>
        <v>0</v>
      </c>
      <c r="AC1024" s="3">
        <f t="shared" si="2"/>
        <v>0</v>
      </c>
      <c r="AD1024" s="3" t="str">
        <f>VLOOKUP(D1024,'Position Lookup'!A:B,1,FALSE)</f>
        <v>DEF</v>
      </c>
    </row>
    <row r="1025" ht="17.25" customHeight="1">
      <c r="A1025" s="10">
        <v>45241.0</v>
      </c>
      <c r="B1025" s="5" t="s">
        <v>309</v>
      </c>
      <c r="C1025" s="3" t="s">
        <v>120</v>
      </c>
      <c r="D1025" s="5" t="s">
        <v>11</v>
      </c>
      <c r="E1025" s="5">
        <v>3.0</v>
      </c>
      <c r="F1025" s="3" t="s">
        <v>1049</v>
      </c>
      <c r="G1025" s="3" t="s">
        <v>224</v>
      </c>
      <c r="I1025" s="3">
        <v>1.0</v>
      </c>
      <c r="J1025" s="5">
        <v>0.0</v>
      </c>
      <c r="N1025" s="3" t="b">
        <v>1</v>
      </c>
      <c r="R1025" s="3">
        <v>0.0</v>
      </c>
      <c r="T1025" s="3">
        <v>10.0</v>
      </c>
      <c r="U1025" s="3">
        <v>6.5</v>
      </c>
      <c r="V1025" s="3" t="s">
        <v>1054</v>
      </c>
      <c r="W1025" s="3" t="s">
        <v>344</v>
      </c>
      <c r="X1025" s="77" t="s">
        <v>1051</v>
      </c>
      <c r="Y1025" s="3">
        <v>6.0</v>
      </c>
      <c r="Z1025" s="3">
        <v>0.0</v>
      </c>
      <c r="AA1025" s="3">
        <f>2+ (P1025*'Scoring System'!$B$3)+ (IF(OR(D1025="DEF",D1025="GK"),N1025*'Scoring System'!$B$4,IF(D1025="MID",N1025*'Scoring System'!$B$5,0)))+ (IF(OR(D1025="DEF",D1025="GK"),H1025*'Scoring System'!$B$6,IF(D1025="MID",H1025*'Scoring System'!$B$7,IF(D1025="ATT",H1025*'Scoring System'!$B$8,0))))+ IF(AND(OR(D1025="GK",D1025="DEF"),J1025&gt;=3),1*'Scoring System'!$B$9,0)+ (I1025*'Scoring System'!$B$10)+ (K1025*'Scoring System'!$B$11)+ (M1025*'Scoring System'!$B$12)+ (L1025*'Scoring System'!$B$13)+ (O1025*'Scoring System'!$B$14)+ (Q1025*'Scoring System'!$B$15)+ (R1025*'Scoring System'!$B$16)</f>
        <v>11</v>
      </c>
      <c r="AB1025" s="3" t="b">
        <f>IFERROR(match(C1025,'Match Day Fees'!$B$2:$B$999,0),0)=0</f>
        <v>0</v>
      </c>
      <c r="AC1025" s="3">
        <f t="shared" si="2"/>
        <v>0</v>
      </c>
      <c r="AD1025" s="3" t="str">
        <f>VLOOKUP(D1025,'Position Lookup'!A:B,1,FALSE)</f>
        <v>DEF</v>
      </c>
    </row>
    <row r="1026" ht="17.25" customHeight="1">
      <c r="A1026" s="10">
        <v>45241.0</v>
      </c>
      <c r="B1026" s="5" t="s">
        <v>309</v>
      </c>
      <c r="C1026" s="3" t="s">
        <v>119</v>
      </c>
      <c r="D1026" s="5" t="s">
        <v>11</v>
      </c>
      <c r="E1026" s="5">
        <v>3.0</v>
      </c>
      <c r="F1026" s="3" t="s">
        <v>1049</v>
      </c>
      <c r="G1026" s="3" t="s">
        <v>224</v>
      </c>
      <c r="H1026" s="3">
        <v>1.0</v>
      </c>
      <c r="J1026" s="5">
        <v>0.0</v>
      </c>
      <c r="N1026" s="3" t="b">
        <v>1</v>
      </c>
      <c r="R1026" s="3">
        <v>0.0</v>
      </c>
      <c r="T1026" s="3">
        <v>10.0</v>
      </c>
      <c r="U1026" s="3">
        <v>7.0</v>
      </c>
      <c r="V1026" s="3" t="s">
        <v>1055</v>
      </c>
      <c r="W1026" s="3" t="s">
        <v>344</v>
      </c>
      <c r="X1026" s="77" t="s">
        <v>1051</v>
      </c>
      <c r="Y1026" s="3">
        <v>6.0</v>
      </c>
      <c r="Z1026" s="3">
        <v>0.0</v>
      </c>
      <c r="AA1026" s="3">
        <f>2+ (P1026*'Scoring System'!$B$3)+ (IF(OR(D1026="DEF",D1026="GK"),N1026*'Scoring System'!$B$4,IF(D1026="MID",N1026*'Scoring System'!$B$5,0)))+ (IF(OR(D1026="DEF",D1026="GK"),H1026*'Scoring System'!$B$6,IF(D1026="MID",H1026*'Scoring System'!$B$7,IF(D1026="ATT",H1026*'Scoring System'!$B$8,0))))+ IF(AND(OR(D1026="GK",D1026="DEF"),J1026&gt;=3),1*'Scoring System'!$B$9,0)+ (I1026*'Scoring System'!$B$10)+ (K1026*'Scoring System'!$B$11)+ (M1026*'Scoring System'!$B$12)+ (L1026*'Scoring System'!$B$13)+ (O1026*'Scoring System'!$B$14)+ (Q1026*'Scoring System'!$B$15)+ (R1026*'Scoring System'!$B$16)</f>
        <v>14</v>
      </c>
      <c r="AB1026" s="3" t="b">
        <f>IFERROR(match(C1026,'Match Day Fees'!$B$2:$B$999,0),0)=0</f>
        <v>0</v>
      </c>
      <c r="AC1026" s="3">
        <f t="shared" si="2"/>
        <v>0</v>
      </c>
      <c r="AD1026" s="3" t="str">
        <f>VLOOKUP(D1026,'Position Lookup'!A:B,1,FALSE)</f>
        <v>DEF</v>
      </c>
    </row>
    <row r="1027" ht="17.25" customHeight="1">
      <c r="A1027" s="10">
        <v>45241.0</v>
      </c>
      <c r="B1027" s="5" t="s">
        <v>309</v>
      </c>
      <c r="C1027" s="3" t="s">
        <v>86</v>
      </c>
      <c r="D1027" s="5" t="s">
        <v>10</v>
      </c>
      <c r="E1027" s="5">
        <v>3.0</v>
      </c>
      <c r="F1027" s="3" t="s">
        <v>1049</v>
      </c>
      <c r="G1027" s="3" t="s">
        <v>224</v>
      </c>
      <c r="J1027" s="5">
        <v>0.0</v>
      </c>
      <c r="N1027" s="3" t="b">
        <v>1</v>
      </c>
      <c r="R1027" s="3">
        <v>0.0</v>
      </c>
      <c r="T1027" s="3">
        <v>10.0</v>
      </c>
      <c r="U1027" s="3">
        <v>7.0</v>
      </c>
      <c r="V1027" s="3" t="s">
        <v>1056</v>
      </c>
      <c r="W1027" s="3" t="s">
        <v>344</v>
      </c>
      <c r="X1027" s="77" t="s">
        <v>1051</v>
      </c>
      <c r="Y1027" s="3">
        <v>6.0</v>
      </c>
      <c r="Z1027" s="3">
        <v>0.0</v>
      </c>
      <c r="AA1027" s="3">
        <f>2+ (P1027*'Scoring System'!$B$3)+ (IF(OR(D1027="DEF",D1027="GK"),N1027*'Scoring System'!$B$4,IF(D1027="MID",N1027*'Scoring System'!$B$5,0)))+ (IF(OR(D1027="DEF",D1027="GK"),H1027*'Scoring System'!$B$6,IF(D1027="MID",H1027*'Scoring System'!$B$7,IF(D1027="ATT",H1027*'Scoring System'!$B$8,0))))+ IF(AND(OR(D1027="GK",D1027="DEF"),J1027&gt;=3),1*'Scoring System'!$B$9,0)+ (I1027*'Scoring System'!$B$10)+ (K1027*'Scoring System'!$B$11)+ (M1027*'Scoring System'!$B$12)+ (L1027*'Scoring System'!$B$13)+ (O1027*'Scoring System'!$B$14)+ (Q1027*'Scoring System'!$B$15)+ (R1027*'Scoring System'!$B$16)</f>
        <v>4</v>
      </c>
      <c r="AB1027" s="3" t="b">
        <f>IFERROR(match(C1027,'Match Day Fees'!$B$2:$B$999,0),0)=0</f>
        <v>0</v>
      </c>
      <c r="AC1027" s="3">
        <f t="shared" si="2"/>
        <v>0</v>
      </c>
      <c r="AD1027" s="3" t="str">
        <f>VLOOKUP(D1027,'Position Lookup'!A:B,1,FALSE)</f>
        <v>MID</v>
      </c>
    </row>
    <row r="1028" ht="17.25" customHeight="1">
      <c r="A1028" s="10">
        <v>45241.0</v>
      </c>
      <c r="B1028" s="5" t="s">
        <v>309</v>
      </c>
      <c r="C1028" s="3" t="s">
        <v>112</v>
      </c>
      <c r="D1028" s="5" t="s">
        <v>10</v>
      </c>
      <c r="E1028" s="5">
        <v>3.0</v>
      </c>
      <c r="F1028" s="3" t="s">
        <v>1049</v>
      </c>
      <c r="G1028" s="3" t="s">
        <v>224</v>
      </c>
      <c r="H1028" s="3">
        <v>2.0</v>
      </c>
      <c r="J1028" s="5">
        <v>0.0</v>
      </c>
      <c r="N1028" s="3" t="b">
        <v>1</v>
      </c>
      <c r="R1028" s="3">
        <v>1.0</v>
      </c>
      <c r="T1028" s="3">
        <v>10.0</v>
      </c>
      <c r="U1028" s="3">
        <v>9.0</v>
      </c>
      <c r="V1028" s="3" t="s">
        <v>1057</v>
      </c>
      <c r="W1028" s="3" t="s">
        <v>344</v>
      </c>
      <c r="X1028" s="77" t="s">
        <v>1051</v>
      </c>
      <c r="Y1028" s="3">
        <v>6.0</v>
      </c>
      <c r="Z1028" s="3">
        <v>0.0</v>
      </c>
      <c r="AA1028" s="3">
        <f>2+ (P1028*'Scoring System'!$B$3)+ (IF(OR(D1028="DEF",D1028="GK"),N1028*'Scoring System'!$B$4,IF(D1028="MID",N1028*'Scoring System'!$B$5,0)))+ (IF(OR(D1028="DEF",D1028="GK"),H1028*'Scoring System'!$B$6,IF(D1028="MID",H1028*'Scoring System'!$B$7,IF(D1028="ATT",H1028*'Scoring System'!$B$8,0))))+ IF(AND(OR(D1028="GK",D1028="DEF"),J1028&gt;=3),1*'Scoring System'!$B$9,0)+ (I1028*'Scoring System'!$B$10)+ (K1028*'Scoring System'!$B$11)+ (M1028*'Scoring System'!$B$12)+ (L1028*'Scoring System'!$B$13)+ (O1028*'Scoring System'!$B$14)+ (Q1028*'Scoring System'!$B$15)+ (R1028*'Scoring System'!$B$16)</f>
        <v>19</v>
      </c>
      <c r="AB1028" s="3" t="b">
        <f>IFERROR(match(C1028,'Match Day Fees'!$B$2:$B$999,0),0)=0</f>
        <v>0</v>
      </c>
      <c r="AC1028" s="3">
        <f t="shared" si="2"/>
        <v>0</v>
      </c>
      <c r="AD1028" s="3" t="str">
        <f>VLOOKUP(D1028,'Position Lookup'!A:B,1,FALSE)</f>
        <v>MID</v>
      </c>
    </row>
    <row r="1029" ht="17.25" customHeight="1">
      <c r="A1029" s="10">
        <v>45241.0</v>
      </c>
      <c r="B1029" s="5" t="s">
        <v>309</v>
      </c>
      <c r="C1029" s="3" t="s">
        <v>137</v>
      </c>
      <c r="D1029" s="5" t="s">
        <v>10</v>
      </c>
      <c r="E1029" s="5">
        <v>3.0</v>
      </c>
      <c r="F1029" s="3" t="s">
        <v>1049</v>
      </c>
      <c r="G1029" s="3" t="s">
        <v>224</v>
      </c>
      <c r="J1029" s="5">
        <v>0.0</v>
      </c>
      <c r="N1029" s="3" t="b">
        <v>1</v>
      </c>
      <c r="R1029" s="3">
        <v>0.0</v>
      </c>
      <c r="T1029" s="3">
        <v>10.0</v>
      </c>
      <c r="U1029" s="3">
        <v>8.5</v>
      </c>
      <c r="V1029" s="3" t="s">
        <v>1058</v>
      </c>
      <c r="W1029" s="3" t="s">
        <v>344</v>
      </c>
      <c r="X1029" s="77" t="s">
        <v>1051</v>
      </c>
      <c r="Y1029" s="3">
        <v>6.0</v>
      </c>
      <c r="Z1029" s="3">
        <v>0.0</v>
      </c>
      <c r="AA1029" s="3">
        <f>2+ (P1029*'Scoring System'!$B$3)+ (IF(OR(D1029="DEF",D1029="GK"),N1029*'Scoring System'!$B$4,IF(D1029="MID",N1029*'Scoring System'!$B$5,0)))+ (IF(OR(D1029="DEF",D1029="GK"),H1029*'Scoring System'!$B$6,IF(D1029="MID",H1029*'Scoring System'!$B$7,IF(D1029="ATT",H1029*'Scoring System'!$B$8,0))))+ IF(AND(OR(D1029="GK",D1029="DEF"),J1029&gt;=3),1*'Scoring System'!$B$9,0)+ (I1029*'Scoring System'!$B$10)+ (K1029*'Scoring System'!$B$11)+ (M1029*'Scoring System'!$B$12)+ (L1029*'Scoring System'!$B$13)+ (O1029*'Scoring System'!$B$14)+ (Q1029*'Scoring System'!$B$15)+ (R1029*'Scoring System'!$B$16)</f>
        <v>4</v>
      </c>
      <c r="AB1029" s="3" t="b">
        <f>IFERROR(match(C1029,'Match Day Fees'!$B$2:$B$999,0),0)=0</f>
        <v>0</v>
      </c>
      <c r="AC1029" s="3">
        <f t="shared" si="2"/>
        <v>0</v>
      </c>
      <c r="AD1029" s="3" t="str">
        <f>VLOOKUP(D1029,'Position Lookup'!A:B,1,FALSE)</f>
        <v>MID</v>
      </c>
    </row>
    <row r="1030" ht="17.25" customHeight="1">
      <c r="A1030" s="10">
        <v>45241.0</v>
      </c>
      <c r="B1030" s="5" t="s">
        <v>309</v>
      </c>
      <c r="C1030" s="5" t="s">
        <v>258</v>
      </c>
      <c r="D1030" s="5" t="s">
        <v>9</v>
      </c>
      <c r="E1030" s="5">
        <v>3.0</v>
      </c>
      <c r="F1030" s="3" t="s">
        <v>1049</v>
      </c>
      <c r="G1030" s="3" t="s">
        <v>224</v>
      </c>
      <c r="I1030" s="3">
        <v>1.0</v>
      </c>
      <c r="J1030" s="5">
        <v>0.0</v>
      </c>
      <c r="N1030" s="3" t="b">
        <v>1</v>
      </c>
      <c r="R1030" s="3">
        <v>0.0</v>
      </c>
      <c r="S1030" s="3" t="b">
        <v>1</v>
      </c>
      <c r="T1030" s="3">
        <v>0.0</v>
      </c>
      <c r="U1030" s="3">
        <v>7.0</v>
      </c>
      <c r="V1030" s="3" t="s">
        <v>1059</v>
      </c>
      <c r="W1030" s="3" t="s">
        <v>344</v>
      </c>
      <c r="X1030" s="77" t="s">
        <v>1051</v>
      </c>
      <c r="Y1030" s="3">
        <v>6.0</v>
      </c>
      <c r="Z1030" s="3">
        <v>0.0</v>
      </c>
      <c r="AA1030" s="3">
        <f>2+ (P1030*'Scoring System'!$B$3)+ (IF(OR(D1030="DEF",D1030="GK"),N1030*'Scoring System'!$B$4,IF(D1030="MID",N1030*'Scoring System'!$B$5,0)))+ (IF(OR(D1030="DEF",D1030="GK"),H1030*'Scoring System'!$B$6,IF(D1030="MID",H1030*'Scoring System'!$B$7,IF(D1030="ATT",H1030*'Scoring System'!$B$8,0))))+ IF(AND(OR(D1030="GK",D1030="DEF"),J1030&gt;=3),1*'Scoring System'!$B$9,0)+ (I1030*'Scoring System'!$B$10)+ (K1030*'Scoring System'!$B$11)+ (M1030*'Scoring System'!$B$12)+ (L1030*'Scoring System'!$B$13)+ (O1030*'Scoring System'!$B$14)+ (Q1030*'Scoring System'!$B$15)+ (R1030*'Scoring System'!$B$16)</f>
        <v>5</v>
      </c>
      <c r="AB1030" s="3" t="b">
        <f>IFERROR(match(C1030,'Match Day Fees'!$B$2:$B$999,0),0)=0</f>
        <v>0</v>
      </c>
      <c r="AC1030" s="3">
        <f t="shared" si="2"/>
        <v>0</v>
      </c>
      <c r="AD1030" s="3" t="str">
        <f>VLOOKUP(D1030,'Position Lookup'!A:B,1,FALSE)</f>
        <v>ATT</v>
      </c>
    </row>
    <row r="1031" ht="17.25" customHeight="1">
      <c r="A1031" s="10">
        <v>45241.0</v>
      </c>
      <c r="B1031" s="5" t="s">
        <v>309</v>
      </c>
      <c r="C1031" s="3" t="s">
        <v>130</v>
      </c>
      <c r="D1031" s="5" t="s">
        <v>9</v>
      </c>
      <c r="E1031" s="5">
        <v>3.0</v>
      </c>
      <c r="F1031" s="3" t="s">
        <v>1049</v>
      </c>
      <c r="G1031" s="3" t="s">
        <v>224</v>
      </c>
      <c r="I1031" s="3">
        <v>1.0</v>
      </c>
      <c r="J1031" s="5">
        <v>0.0</v>
      </c>
      <c r="N1031" s="3" t="b">
        <v>1</v>
      </c>
      <c r="R1031" s="3">
        <v>0.0</v>
      </c>
      <c r="T1031" s="3">
        <v>10.0</v>
      </c>
      <c r="U1031" s="3">
        <v>8.0</v>
      </c>
      <c r="V1031" s="3" t="s">
        <v>1060</v>
      </c>
      <c r="W1031" s="3" t="s">
        <v>344</v>
      </c>
      <c r="X1031" s="77" t="s">
        <v>1051</v>
      </c>
      <c r="Y1031" s="3">
        <v>6.0</v>
      </c>
      <c r="Z1031" s="3">
        <v>0.0</v>
      </c>
      <c r="AA1031" s="3">
        <f>2+ (P1031*'Scoring System'!$B$3)+ (IF(OR(D1031="DEF",D1031="GK"),N1031*'Scoring System'!$B$4,IF(D1031="MID",N1031*'Scoring System'!$B$5,0)))+ (IF(OR(D1031="DEF",D1031="GK"),H1031*'Scoring System'!$B$6,IF(D1031="MID",H1031*'Scoring System'!$B$7,IF(D1031="ATT",H1031*'Scoring System'!$B$8,0))))+ IF(AND(OR(D1031="GK",D1031="DEF"),J1031&gt;=3),1*'Scoring System'!$B$9,0)+ (I1031*'Scoring System'!$B$10)+ (K1031*'Scoring System'!$B$11)+ (M1031*'Scoring System'!$B$12)+ (L1031*'Scoring System'!$B$13)+ (O1031*'Scoring System'!$B$14)+ (Q1031*'Scoring System'!$B$15)+ (R1031*'Scoring System'!$B$16)</f>
        <v>5</v>
      </c>
      <c r="AB1031" s="3" t="b">
        <f>IFERROR(match(C1031,'Match Day Fees'!$B$2:$B$999,0),0)=0</f>
        <v>0</v>
      </c>
      <c r="AC1031" s="3">
        <f t="shared" si="2"/>
        <v>0</v>
      </c>
      <c r="AD1031" s="3" t="str">
        <f>VLOOKUP(D1031,'Position Lookup'!A:B,1,FALSE)</f>
        <v>ATT</v>
      </c>
    </row>
    <row r="1032" ht="17.25" customHeight="1">
      <c r="A1032" s="10">
        <v>45241.0</v>
      </c>
      <c r="B1032" s="5" t="s">
        <v>309</v>
      </c>
      <c r="C1032" s="3" t="s">
        <v>46</v>
      </c>
      <c r="D1032" s="5" t="s">
        <v>9</v>
      </c>
      <c r="E1032" s="5">
        <v>3.0</v>
      </c>
      <c r="F1032" s="3" t="s">
        <v>1049</v>
      </c>
      <c r="G1032" s="3" t="s">
        <v>224</v>
      </c>
      <c r="H1032" s="3">
        <v>1.0</v>
      </c>
      <c r="I1032" s="3">
        <v>2.0</v>
      </c>
      <c r="J1032" s="5">
        <v>0.0</v>
      </c>
      <c r="N1032" s="3" t="b">
        <v>1</v>
      </c>
      <c r="R1032" s="3">
        <v>0.0</v>
      </c>
      <c r="T1032" s="3">
        <v>10.0</v>
      </c>
      <c r="U1032" s="3">
        <v>7.5</v>
      </c>
      <c r="V1032" s="3" t="s">
        <v>1061</v>
      </c>
      <c r="W1032" s="3" t="s">
        <v>344</v>
      </c>
      <c r="X1032" s="77" t="s">
        <v>1051</v>
      </c>
      <c r="Y1032" s="3">
        <v>6.0</v>
      </c>
      <c r="Z1032" s="3">
        <v>0.0</v>
      </c>
      <c r="AA1032" s="3">
        <f>2+ (P1032*'Scoring System'!$B$3)+ (IF(OR(D1032="DEF",D1032="GK"),N1032*'Scoring System'!$B$4,IF(D1032="MID",N1032*'Scoring System'!$B$5,0)))+ (IF(OR(D1032="DEF",D1032="GK"),H1032*'Scoring System'!$B$6,IF(D1032="MID",H1032*'Scoring System'!$B$7,IF(D1032="ATT",H1032*'Scoring System'!$B$8,0))))+ IF(AND(OR(D1032="GK",D1032="DEF"),J1032&gt;=3),1*'Scoring System'!$B$9,0)+ (I1032*'Scoring System'!$B$10)+ (K1032*'Scoring System'!$B$11)+ (M1032*'Scoring System'!$B$12)+ (L1032*'Scoring System'!$B$13)+ (O1032*'Scoring System'!$B$14)+ (Q1032*'Scoring System'!$B$15)+ (R1032*'Scoring System'!$B$16)</f>
        <v>12</v>
      </c>
      <c r="AB1032" s="3" t="b">
        <f>IFERROR(match(C1032,'Match Day Fees'!$B$2:$B$999,0),0)=0</f>
        <v>0</v>
      </c>
      <c r="AC1032" s="3">
        <f t="shared" si="2"/>
        <v>0</v>
      </c>
      <c r="AD1032" s="3" t="str">
        <f>VLOOKUP(D1032,'Position Lookup'!A:B,1,FALSE)</f>
        <v>ATT</v>
      </c>
    </row>
    <row r="1033" ht="17.25" customHeight="1">
      <c r="A1033" s="10">
        <v>45241.0</v>
      </c>
      <c r="B1033" s="5" t="s">
        <v>309</v>
      </c>
      <c r="C1033" s="3" t="s">
        <v>55</v>
      </c>
      <c r="D1033" s="3" t="s">
        <v>8</v>
      </c>
      <c r="E1033" s="5">
        <v>3.0</v>
      </c>
      <c r="F1033" s="3" t="s">
        <v>1049</v>
      </c>
      <c r="G1033" s="3" t="s">
        <v>224</v>
      </c>
      <c r="J1033" s="5">
        <v>0.0</v>
      </c>
      <c r="N1033" s="3" t="b">
        <v>1</v>
      </c>
      <c r="R1033" s="3">
        <v>0.0</v>
      </c>
      <c r="T1033" s="3">
        <v>0.0</v>
      </c>
      <c r="U1033" s="3">
        <v>7.5</v>
      </c>
      <c r="V1033" s="3" t="s">
        <v>1062</v>
      </c>
      <c r="W1033" s="3" t="s">
        <v>344</v>
      </c>
      <c r="X1033" s="77" t="s">
        <v>1051</v>
      </c>
      <c r="Y1033" s="3">
        <v>6.0</v>
      </c>
      <c r="Z1033" s="3">
        <v>0.0</v>
      </c>
      <c r="AA1033" s="3">
        <f>2+ (P1033*'Scoring System'!$B$3)+ (IF(OR(D1033="DEF",D1033="GK"),N1033*'Scoring System'!$B$4,IF(D1033="MID",N1033*'Scoring System'!$B$5,0)))+ (IF(OR(D1033="DEF",D1033="GK"),H1033*'Scoring System'!$B$6,IF(D1033="MID",H1033*'Scoring System'!$B$7,IF(D1033="ATT",H1033*'Scoring System'!$B$8,0))))+ IF(AND(OR(D1033="GK",D1033="DEF"),J1033&gt;=3),1*'Scoring System'!$B$9,0)+ (I1033*'Scoring System'!$B$10)+ (K1033*'Scoring System'!$B$11)+ (M1033*'Scoring System'!$B$12)+ (L1033*'Scoring System'!$B$13)+ (O1033*'Scoring System'!$B$14)+ (Q1033*'Scoring System'!$B$15)+ (R1033*'Scoring System'!$B$16)</f>
        <v>8</v>
      </c>
      <c r="AB1033" s="3" t="b">
        <f>IFERROR(match(C1033,'Match Day Fees'!$B$2:$B$999,0),0)=0</f>
        <v>0</v>
      </c>
      <c r="AC1033" s="3">
        <f t="shared" si="2"/>
        <v>0</v>
      </c>
      <c r="AD1033" s="3" t="str">
        <f>VLOOKUP(D1033,'Position Lookup'!A:B,1,FALSE)</f>
        <v>GK</v>
      </c>
    </row>
    <row r="1034" ht="17.25" customHeight="1">
      <c r="A1034" s="10">
        <v>45241.0</v>
      </c>
      <c r="B1034" s="5" t="s">
        <v>309</v>
      </c>
      <c r="C1034" s="3" t="s">
        <v>123</v>
      </c>
      <c r="D1034" s="5" t="s">
        <v>9</v>
      </c>
      <c r="E1034" s="5">
        <v>3.0</v>
      </c>
      <c r="F1034" s="3" t="s">
        <v>1049</v>
      </c>
      <c r="G1034" s="3" t="s">
        <v>224</v>
      </c>
      <c r="H1034" s="3">
        <v>2.0</v>
      </c>
      <c r="J1034" s="5">
        <v>0.0</v>
      </c>
      <c r="N1034" s="3" t="b">
        <v>1</v>
      </c>
      <c r="R1034" s="3">
        <v>0.0</v>
      </c>
      <c r="T1034" s="3">
        <v>10.0</v>
      </c>
      <c r="U1034" s="3">
        <v>7.5</v>
      </c>
      <c r="V1034" s="3" t="s">
        <v>1063</v>
      </c>
      <c r="W1034" s="3" t="s">
        <v>344</v>
      </c>
      <c r="X1034" s="77" t="s">
        <v>1051</v>
      </c>
      <c r="Y1034" s="3">
        <v>6.0</v>
      </c>
      <c r="Z1034" s="3">
        <v>0.0</v>
      </c>
      <c r="AA1034" s="3">
        <f>2+ (P1034*'Scoring System'!$B$3)+ (IF(OR(D1034="DEF",D1034="GK"),N1034*'Scoring System'!$B$4,IF(D1034="MID",N1034*'Scoring System'!$B$5,0)))+ (IF(OR(D1034="DEF",D1034="GK"),H1034*'Scoring System'!$B$6,IF(D1034="MID",H1034*'Scoring System'!$B$7,IF(D1034="ATT",H1034*'Scoring System'!$B$8,0))))+ IF(AND(OR(D1034="GK",D1034="DEF"),J1034&gt;=3),1*'Scoring System'!$B$9,0)+ (I1034*'Scoring System'!$B$10)+ (K1034*'Scoring System'!$B$11)+ (M1034*'Scoring System'!$B$12)+ (L1034*'Scoring System'!$B$13)+ (O1034*'Scoring System'!$B$14)+ (Q1034*'Scoring System'!$B$15)+ (R1034*'Scoring System'!$B$16)</f>
        <v>10</v>
      </c>
      <c r="AB1034" s="3" t="b">
        <f>IFERROR(match(C1034,'Match Day Fees'!$B$2:$B$999,0),0)=0</f>
        <v>0</v>
      </c>
      <c r="AC1034" s="3">
        <f t="shared" si="2"/>
        <v>0</v>
      </c>
      <c r="AD1034" s="3" t="str">
        <f>VLOOKUP(D1034,'Position Lookup'!A:B,1,FALSE)</f>
        <v>ATT</v>
      </c>
    </row>
    <row r="1035" ht="17.25" customHeight="1">
      <c r="A1035" s="10">
        <v>45241.0</v>
      </c>
      <c r="B1035" s="5" t="s">
        <v>309</v>
      </c>
      <c r="C1035" s="3" t="s">
        <v>333</v>
      </c>
      <c r="D1035" s="5" t="s">
        <v>11</v>
      </c>
      <c r="E1035" s="5">
        <v>3.0</v>
      </c>
      <c r="F1035" s="3" t="s">
        <v>1049</v>
      </c>
      <c r="G1035" s="3" t="s">
        <v>224</v>
      </c>
      <c r="J1035" s="5">
        <v>0.0</v>
      </c>
      <c r="N1035" s="3" t="b">
        <v>1</v>
      </c>
      <c r="R1035" s="3">
        <v>0.0</v>
      </c>
      <c r="T1035" s="3">
        <v>10.0</v>
      </c>
      <c r="U1035" s="3">
        <v>6.5</v>
      </c>
      <c r="V1035" s="3" t="s">
        <v>1064</v>
      </c>
      <c r="W1035" s="3" t="s">
        <v>344</v>
      </c>
      <c r="X1035" s="77" t="s">
        <v>1051</v>
      </c>
      <c r="Y1035" s="3">
        <v>6.0</v>
      </c>
      <c r="Z1035" s="3">
        <v>0.0</v>
      </c>
      <c r="AA1035" s="3">
        <f>2+ (P1035*'Scoring System'!$B$3)+ (IF(OR(D1035="DEF",D1035="GK"),N1035*'Scoring System'!$B$4,IF(D1035="MID",N1035*'Scoring System'!$B$5,0)))+ (IF(OR(D1035="DEF",D1035="GK"),H1035*'Scoring System'!$B$6,IF(D1035="MID",H1035*'Scoring System'!$B$7,IF(D1035="ATT",H1035*'Scoring System'!$B$8,0))))+ IF(AND(OR(D1035="GK",D1035="DEF"),J1035&gt;=3),1*'Scoring System'!$B$9,0)+ (I1035*'Scoring System'!$B$10)+ (K1035*'Scoring System'!$B$11)+ (M1035*'Scoring System'!$B$12)+ (L1035*'Scoring System'!$B$13)+ (O1035*'Scoring System'!$B$14)+ (Q1035*'Scoring System'!$B$15)+ (R1035*'Scoring System'!$B$16)</f>
        <v>8</v>
      </c>
      <c r="AB1035" s="3" t="b">
        <f>IFERROR(match(C1035,'Match Day Fees'!$B$2:$B$999,0),0)=0</f>
        <v>0</v>
      </c>
      <c r="AC1035" s="3">
        <f t="shared" si="2"/>
        <v>0</v>
      </c>
      <c r="AD1035" s="3" t="str">
        <f>VLOOKUP(D1035,'Position Lookup'!A:B,1,FALSE)</f>
        <v>DEF</v>
      </c>
    </row>
    <row r="1036" ht="17.25" customHeight="1">
      <c r="A1036" s="10">
        <v>45241.0</v>
      </c>
      <c r="B1036" s="5" t="s">
        <v>309</v>
      </c>
      <c r="C1036" s="3" t="s">
        <v>124</v>
      </c>
      <c r="D1036" s="3" t="s">
        <v>8</v>
      </c>
      <c r="E1036" s="5">
        <v>4.0</v>
      </c>
      <c r="F1036" s="3" t="s">
        <v>1065</v>
      </c>
      <c r="G1036" s="3" t="s">
        <v>242</v>
      </c>
      <c r="J1036" s="5">
        <v>2.0</v>
      </c>
      <c r="N1036" s="3" t="b">
        <v>0</v>
      </c>
      <c r="R1036" s="3">
        <v>0.0</v>
      </c>
      <c r="T1036" s="5">
        <v>0.0</v>
      </c>
      <c r="U1036" s="3">
        <v>7.5</v>
      </c>
      <c r="V1036" s="3" t="s">
        <v>1066</v>
      </c>
      <c r="W1036" s="3" t="s">
        <v>1067</v>
      </c>
      <c r="X1036" s="77" t="s">
        <v>1068</v>
      </c>
      <c r="Y1036" s="3">
        <v>2.0</v>
      </c>
      <c r="Z1036" s="3">
        <v>2.0</v>
      </c>
      <c r="AA1036" s="3">
        <f>2+ (P1036*'Scoring System'!$B$3)+ (IF(OR(D1036="DEF",D1036="GK"),N1036*'Scoring System'!$B$4,IF(D1036="MID",N1036*'Scoring System'!$B$5,0)))+ (IF(OR(D1036="DEF",D1036="GK"),H1036*'Scoring System'!$B$6,IF(D1036="MID",H1036*'Scoring System'!$B$7,IF(D1036="ATT",H1036*'Scoring System'!$B$8,0))))+ IF(AND(OR(D1036="GK",D1036="DEF"),J1036&gt;=3),1*'Scoring System'!$B$9,0)+ (I1036*'Scoring System'!$B$10)+ (K1036*'Scoring System'!$B$11)+ (M1036*'Scoring System'!$B$12)+ (L1036*'Scoring System'!$B$13)+ (O1036*'Scoring System'!$B$14)+ (Q1036*'Scoring System'!$B$15)+ (R1036*'Scoring System'!$B$16)</f>
        <v>2</v>
      </c>
      <c r="AB1036" s="3" t="b">
        <f>IFERROR(match(C1036,'Match Day Fees'!$B$2:$B$999,0),0)=0</f>
        <v>0</v>
      </c>
      <c r="AC1036" s="3">
        <f t="shared" si="2"/>
        <v>0</v>
      </c>
      <c r="AD1036" s="3" t="str">
        <f>VLOOKUP(D1036,'Position Lookup'!A:B,1,FALSE)</f>
        <v>GK</v>
      </c>
    </row>
    <row r="1037" ht="17.25" customHeight="1">
      <c r="A1037" s="10">
        <v>45241.0</v>
      </c>
      <c r="B1037" s="5" t="s">
        <v>309</v>
      </c>
      <c r="C1037" s="3" t="s">
        <v>126</v>
      </c>
      <c r="D1037" s="5" t="s">
        <v>11</v>
      </c>
      <c r="E1037" s="5">
        <v>4.0</v>
      </c>
      <c r="F1037" s="3" t="s">
        <v>1065</v>
      </c>
      <c r="G1037" s="3" t="s">
        <v>242</v>
      </c>
      <c r="J1037" s="5">
        <v>2.0</v>
      </c>
      <c r="N1037" s="3" t="b">
        <v>0</v>
      </c>
      <c r="R1037" s="3">
        <v>1.0</v>
      </c>
      <c r="T1037" s="3">
        <v>5.0</v>
      </c>
      <c r="U1037" s="3">
        <v>8.0</v>
      </c>
      <c r="V1037" s="3" t="s">
        <v>1069</v>
      </c>
      <c r="W1037" s="3" t="s">
        <v>1067</v>
      </c>
      <c r="X1037" s="77" t="s">
        <v>1068</v>
      </c>
      <c r="Y1037" s="3">
        <v>2.0</v>
      </c>
      <c r="Z1037" s="3">
        <v>2.0</v>
      </c>
      <c r="AA1037" s="3">
        <f>2+ (P1037*'Scoring System'!$B$3)+ (IF(OR(D1037="DEF",D1037="GK"),N1037*'Scoring System'!$B$4,IF(D1037="MID",N1037*'Scoring System'!$B$5,0)))+ (IF(OR(D1037="DEF",D1037="GK"),H1037*'Scoring System'!$B$6,IF(D1037="MID",H1037*'Scoring System'!$B$7,IF(D1037="ATT",H1037*'Scoring System'!$B$8,0))))+ IF(AND(OR(D1037="GK",D1037="DEF"),J1037&gt;=3),1*'Scoring System'!$B$9,0)+ (I1037*'Scoring System'!$B$10)+ (K1037*'Scoring System'!$B$11)+ (M1037*'Scoring System'!$B$12)+ (L1037*'Scoring System'!$B$13)+ (O1037*'Scoring System'!$B$14)+ (Q1037*'Scoring System'!$B$15)+ (R1037*'Scoring System'!$B$16)</f>
        <v>7</v>
      </c>
      <c r="AB1037" s="3" t="b">
        <f>IFERROR(match(C1037,'Match Day Fees'!$B$2:$B$999,0),0)=0</f>
        <v>0</v>
      </c>
      <c r="AC1037" s="3">
        <f t="shared" si="2"/>
        <v>0</v>
      </c>
      <c r="AD1037" s="3" t="str">
        <f>VLOOKUP(D1037,'Position Lookup'!A:B,1,FALSE)</f>
        <v>DEF</v>
      </c>
    </row>
    <row r="1038" ht="17.25" customHeight="1">
      <c r="A1038" s="10">
        <v>45241.0</v>
      </c>
      <c r="B1038" s="5" t="s">
        <v>309</v>
      </c>
      <c r="C1038" s="3" t="s">
        <v>145</v>
      </c>
      <c r="D1038" s="5" t="s">
        <v>11</v>
      </c>
      <c r="E1038" s="5">
        <v>4.0</v>
      </c>
      <c r="F1038" s="3" t="s">
        <v>1065</v>
      </c>
      <c r="G1038" s="3" t="s">
        <v>242</v>
      </c>
      <c r="J1038" s="5">
        <v>2.0</v>
      </c>
      <c r="N1038" s="3" t="b">
        <v>0</v>
      </c>
      <c r="R1038" s="3">
        <v>0.0</v>
      </c>
      <c r="T1038" s="3">
        <v>10.0</v>
      </c>
      <c r="U1038" s="3">
        <v>7.5</v>
      </c>
      <c r="V1038" s="3" t="s">
        <v>1070</v>
      </c>
      <c r="W1038" s="3" t="s">
        <v>1067</v>
      </c>
      <c r="X1038" s="77" t="s">
        <v>1068</v>
      </c>
      <c r="Y1038" s="3">
        <v>2.0</v>
      </c>
      <c r="Z1038" s="3">
        <v>2.0</v>
      </c>
      <c r="AA1038" s="3">
        <f>2+ (P1038*'Scoring System'!$B$3)+ (IF(OR(D1038="DEF",D1038="GK"),N1038*'Scoring System'!$B$4,IF(D1038="MID",N1038*'Scoring System'!$B$5,0)))+ (IF(OR(D1038="DEF",D1038="GK"),H1038*'Scoring System'!$B$6,IF(D1038="MID",H1038*'Scoring System'!$B$7,IF(D1038="ATT",H1038*'Scoring System'!$B$8,0))))+ IF(AND(OR(D1038="GK",D1038="DEF"),J1038&gt;=3),1*'Scoring System'!$B$9,0)+ (I1038*'Scoring System'!$B$10)+ (K1038*'Scoring System'!$B$11)+ (M1038*'Scoring System'!$B$12)+ (L1038*'Scoring System'!$B$13)+ (O1038*'Scoring System'!$B$14)+ (Q1038*'Scoring System'!$B$15)+ (R1038*'Scoring System'!$B$16)</f>
        <v>2</v>
      </c>
      <c r="AB1038" s="3" t="b">
        <f>IFERROR(match(C1038,'Match Day Fees'!$B$2:$B$999,0),0)=0</f>
        <v>0</v>
      </c>
      <c r="AC1038" s="3">
        <f t="shared" si="2"/>
        <v>0</v>
      </c>
      <c r="AD1038" s="3" t="str">
        <f>VLOOKUP(D1038,'Position Lookup'!A:B,1,FALSE)</f>
        <v>DEF</v>
      </c>
    </row>
    <row r="1039" ht="17.25" customHeight="1">
      <c r="A1039" s="10">
        <v>45241.0</v>
      </c>
      <c r="B1039" s="5" t="s">
        <v>309</v>
      </c>
      <c r="C1039" s="3" t="s">
        <v>108</v>
      </c>
      <c r="D1039" s="5" t="s">
        <v>11</v>
      </c>
      <c r="E1039" s="5">
        <v>4.0</v>
      </c>
      <c r="F1039" s="3" t="s">
        <v>1065</v>
      </c>
      <c r="G1039" s="3" t="s">
        <v>242</v>
      </c>
      <c r="J1039" s="5">
        <v>2.0</v>
      </c>
      <c r="N1039" s="3" t="b">
        <v>0</v>
      </c>
      <c r="R1039" s="3">
        <v>0.0</v>
      </c>
      <c r="T1039" s="5">
        <v>5.0</v>
      </c>
      <c r="U1039" s="3">
        <v>7.0</v>
      </c>
      <c r="V1039" s="3" t="s">
        <v>1071</v>
      </c>
      <c r="W1039" s="3" t="s">
        <v>1067</v>
      </c>
      <c r="X1039" s="77" t="s">
        <v>1068</v>
      </c>
      <c r="Y1039" s="3">
        <v>2.0</v>
      </c>
      <c r="Z1039" s="3">
        <v>2.0</v>
      </c>
      <c r="AA1039" s="3">
        <f>2+ (P1039*'Scoring System'!$B$3)+ (IF(OR(D1039="DEF",D1039="GK"),N1039*'Scoring System'!$B$4,IF(D1039="MID",N1039*'Scoring System'!$B$5,0)))+ (IF(OR(D1039="DEF",D1039="GK"),H1039*'Scoring System'!$B$6,IF(D1039="MID",H1039*'Scoring System'!$B$7,IF(D1039="ATT",H1039*'Scoring System'!$B$8,0))))+ IF(AND(OR(D1039="GK",D1039="DEF"),J1039&gt;=3),1*'Scoring System'!$B$9,0)+ (I1039*'Scoring System'!$B$10)+ (K1039*'Scoring System'!$B$11)+ (M1039*'Scoring System'!$B$12)+ (L1039*'Scoring System'!$B$13)+ (O1039*'Scoring System'!$B$14)+ (Q1039*'Scoring System'!$B$15)+ (R1039*'Scoring System'!$B$16)</f>
        <v>2</v>
      </c>
      <c r="AB1039" s="3" t="b">
        <f>IFERROR(match(C1039,'Match Day Fees'!$B$2:$B$999,0),0)=0</f>
        <v>0</v>
      </c>
      <c r="AC1039" s="3">
        <f t="shared" si="2"/>
        <v>0</v>
      </c>
      <c r="AD1039" s="3" t="str">
        <f>VLOOKUP(D1039,'Position Lookup'!A:B,1,FALSE)</f>
        <v>DEF</v>
      </c>
    </row>
    <row r="1040" ht="17.25" customHeight="1">
      <c r="A1040" s="10">
        <v>45241.0</v>
      </c>
      <c r="B1040" s="5" t="s">
        <v>309</v>
      </c>
      <c r="C1040" s="3" t="s">
        <v>1072</v>
      </c>
      <c r="D1040" s="5" t="s">
        <v>11</v>
      </c>
      <c r="E1040" s="5">
        <v>4.0</v>
      </c>
      <c r="F1040" s="3" t="s">
        <v>1065</v>
      </c>
      <c r="G1040" s="3" t="s">
        <v>242</v>
      </c>
      <c r="J1040" s="5">
        <v>2.0</v>
      </c>
      <c r="N1040" s="3" t="b">
        <v>0</v>
      </c>
      <c r="R1040" s="3">
        <v>0.0</v>
      </c>
      <c r="T1040" s="3">
        <v>10.0</v>
      </c>
      <c r="U1040" s="3">
        <v>7.5</v>
      </c>
      <c r="V1040" s="3" t="s">
        <v>1073</v>
      </c>
      <c r="W1040" s="3" t="s">
        <v>1067</v>
      </c>
      <c r="X1040" s="77" t="s">
        <v>1068</v>
      </c>
      <c r="Y1040" s="3">
        <v>2.0</v>
      </c>
      <c r="Z1040" s="3">
        <v>2.0</v>
      </c>
      <c r="AA1040" s="3">
        <f>2+ (P1040*'Scoring System'!$B$3)+ (IF(OR(D1040="DEF",D1040="GK"),N1040*'Scoring System'!$B$4,IF(D1040="MID",N1040*'Scoring System'!$B$5,0)))+ (IF(OR(D1040="DEF",D1040="GK"),H1040*'Scoring System'!$B$6,IF(D1040="MID",H1040*'Scoring System'!$B$7,IF(D1040="ATT",H1040*'Scoring System'!$B$8,0))))+ IF(AND(OR(D1040="GK",D1040="DEF"),J1040&gt;=3),1*'Scoring System'!$B$9,0)+ (I1040*'Scoring System'!$B$10)+ (K1040*'Scoring System'!$B$11)+ (M1040*'Scoring System'!$B$12)+ (L1040*'Scoring System'!$B$13)+ (O1040*'Scoring System'!$B$14)+ (Q1040*'Scoring System'!$B$15)+ (R1040*'Scoring System'!$B$16)</f>
        <v>2</v>
      </c>
      <c r="AB1040" s="3" t="b">
        <f>IFERROR(match(C1040,'Match Day Fees'!$B$2:$B$999,0),0)=0</f>
        <v>0</v>
      </c>
      <c r="AC1040" s="3">
        <f t="shared" si="2"/>
        <v>0</v>
      </c>
      <c r="AD1040" s="3" t="str">
        <f>VLOOKUP(D1040,'Position Lookup'!A:B,1,FALSE)</f>
        <v>DEF</v>
      </c>
    </row>
    <row r="1041" ht="17.25" customHeight="1">
      <c r="A1041" s="10">
        <v>45241.0</v>
      </c>
      <c r="B1041" s="5" t="s">
        <v>309</v>
      </c>
      <c r="C1041" s="3" t="s">
        <v>44</v>
      </c>
      <c r="D1041" s="5" t="s">
        <v>10</v>
      </c>
      <c r="E1041" s="5">
        <v>4.0</v>
      </c>
      <c r="F1041" s="3" t="s">
        <v>1065</v>
      </c>
      <c r="G1041" s="3" t="s">
        <v>242</v>
      </c>
      <c r="J1041" s="5">
        <v>2.0</v>
      </c>
      <c r="N1041" s="3" t="b">
        <v>0</v>
      </c>
      <c r="R1041" s="3">
        <v>0.0</v>
      </c>
      <c r="T1041" s="3">
        <v>5.0</v>
      </c>
      <c r="U1041" s="3">
        <v>7.0</v>
      </c>
      <c r="V1041" s="3" t="s">
        <v>1074</v>
      </c>
      <c r="W1041" s="3" t="s">
        <v>1067</v>
      </c>
      <c r="X1041" s="77" t="s">
        <v>1068</v>
      </c>
      <c r="Y1041" s="3">
        <v>2.0</v>
      </c>
      <c r="Z1041" s="3">
        <v>2.0</v>
      </c>
      <c r="AA1041" s="3">
        <f>2+ (P1041*'Scoring System'!$B$3)+ (IF(OR(D1041="DEF",D1041="GK"),N1041*'Scoring System'!$B$4,IF(D1041="MID",N1041*'Scoring System'!$B$5,0)))+ (IF(OR(D1041="DEF",D1041="GK"),H1041*'Scoring System'!$B$6,IF(D1041="MID",H1041*'Scoring System'!$B$7,IF(D1041="ATT",H1041*'Scoring System'!$B$8,0))))+ IF(AND(OR(D1041="GK",D1041="DEF"),J1041&gt;=3),1*'Scoring System'!$B$9,0)+ (I1041*'Scoring System'!$B$10)+ (K1041*'Scoring System'!$B$11)+ (M1041*'Scoring System'!$B$12)+ (L1041*'Scoring System'!$B$13)+ (O1041*'Scoring System'!$B$14)+ (Q1041*'Scoring System'!$B$15)+ (R1041*'Scoring System'!$B$16)</f>
        <v>2</v>
      </c>
      <c r="AB1041" s="3" t="b">
        <f>IFERROR(match(C1041,'Match Day Fees'!$B$2:$B$999,0),0)=0</f>
        <v>0</v>
      </c>
      <c r="AC1041" s="3">
        <f t="shared" si="2"/>
        <v>0</v>
      </c>
      <c r="AD1041" s="3" t="str">
        <f>VLOOKUP(D1041,'Position Lookup'!A:B,1,FALSE)</f>
        <v>MID</v>
      </c>
    </row>
    <row r="1042" ht="17.25" customHeight="1">
      <c r="A1042" s="10">
        <v>45241.0</v>
      </c>
      <c r="B1042" s="5" t="s">
        <v>309</v>
      </c>
      <c r="C1042" s="3" t="s">
        <v>308</v>
      </c>
      <c r="D1042" s="5" t="s">
        <v>10</v>
      </c>
      <c r="E1042" s="5">
        <v>4.0</v>
      </c>
      <c r="F1042" s="3" t="s">
        <v>1065</v>
      </c>
      <c r="G1042" s="3" t="s">
        <v>242</v>
      </c>
      <c r="J1042" s="5">
        <v>2.0</v>
      </c>
      <c r="N1042" s="3" t="b">
        <v>0</v>
      </c>
      <c r="R1042" s="3">
        <v>0.0</v>
      </c>
      <c r="T1042" s="3">
        <v>10.0</v>
      </c>
      <c r="U1042" s="3">
        <v>6.5</v>
      </c>
      <c r="V1042" s="3" t="s">
        <v>1075</v>
      </c>
      <c r="W1042" s="3" t="s">
        <v>1067</v>
      </c>
      <c r="X1042" s="77" t="s">
        <v>1068</v>
      </c>
      <c r="Y1042" s="3">
        <v>2.0</v>
      </c>
      <c r="Z1042" s="3">
        <v>2.0</v>
      </c>
      <c r="AA1042" s="3">
        <f>2+ (P1042*'Scoring System'!$B$3)+ (IF(OR(D1042="DEF",D1042="GK"),N1042*'Scoring System'!$B$4,IF(D1042="MID",N1042*'Scoring System'!$B$5,0)))+ (IF(OR(D1042="DEF",D1042="GK"),H1042*'Scoring System'!$B$6,IF(D1042="MID",H1042*'Scoring System'!$B$7,IF(D1042="ATT",H1042*'Scoring System'!$B$8,0))))+ IF(AND(OR(D1042="GK",D1042="DEF"),J1042&gt;=3),1*'Scoring System'!$B$9,0)+ (I1042*'Scoring System'!$B$10)+ (K1042*'Scoring System'!$B$11)+ (M1042*'Scoring System'!$B$12)+ (L1042*'Scoring System'!$B$13)+ (O1042*'Scoring System'!$B$14)+ (Q1042*'Scoring System'!$B$15)+ (R1042*'Scoring System'!$B$16)</f>
        <v>2</v>
      </c>
      <c r="AB1042" s="3" t="b">
        <f>IFERROR(match(C1042,'Match Day Fees'!$B$2:$B$999,0),0)=0</f>
        <v>0</v>
      </c>
      <c r="AC1042" s="3">
        <f t="shared" si="2"/>
        <v>0</v>
      </c>
      <c r="AD1042" s="3" t="str">
        <f>VLOOKUP(D1042,'Position Lookup'!A:B,1,FALSE)</f>
        <v>MID</v>
      </c>
    </row>
    <row r="1043" ht="17.25" customHeight="1">
      <c r="A1043" s="10">
        <v>45241.0</v>
      </c>
      <c r="B1043" s="5" t="s">
        <v>309</v>
      </c>
      <c r="C1043" s="3" t="s">
        <v>136</v>
      </c>
      <c r="D1043" s="5" t="s">
        <v>10</v>
      </c>
      <c r="E1043" s="5">
        <v>4.0</v>
      </c>
      <c r="F1043" s="3" t="s">
        <v>1065</v>
      </c>
      <c r="G1043" s="3" t="s">
        <v>242</v>
      </c>
      <c r="H1043" s="3">
        <v>1.0</v>
      </c>
      <c r="J1043" s="5">
        <v>2.0</v>
      </c>
      <c r="N1043" s="3" t="b">
        <v>0</v>
      </c>
      <c r="R1043" s="3">
        <v>0.0</v>
      </c>
      <c r="S1043" s="3" t="b">
        <v>1</v>
      </c>
      <c r="T1043" s="3">
        <v>0.0</v>
      </c>
      <c r="U1043" s="3">
        <v>7.5</v>
      </c>
      <c r="V1043" s="3" t="s">
        <v>1076</v>
      </c>
      <c r="W1043" s="3" t="s">
        <v>1067</v>
      </c>
      <c r="X1043" s="77" t="s">
        <v>1068</v>
      </c>
      <c r="Y1043" s="3">
        <v>2.0</v>
      </c>
      <c r="Z1043" s="3">
        <v>2.0</v>
      </c>
      <c r="AA1043" s="3">
        <f>2+ (P1043*'Scoring System'!$B$3)+ (IF(OR(D1043="DEF",D1043="GK"),N1043*'Scoring System'!$B$4,IF(D1043="MID",N1043*'Scoring System'!$B$5,0)))+ (IF(OR(D1043="DEF",D1043="GK"),H1043*'Scoring System'!$B$6,IF(D1043="MID",H1043*'Scoring System'!$B$7,IF(D1043="ATT",H1043*'Scoring System'!$B$8,0))))+ IF(AND(OR(D1043="GK",D1043="DEF"),J1043&gt;=3),1*'Scoring System'!$B$9,0)+ (I1043*'Scoring System'!$B$10)+ (K1043*'Scoring System'!$B$11)+ (M1043*'Scoring System'!$B$12)+ (L1043*'Scoring System'!$B$13)+ (O1043*'Scoring System'!$B$14)+ (Q1043*'Scoring System'!$B$15)+ (R1043*'Scoring System'!$B$16)</f>
        <v>7</v>
      </c>
      <c r="AB1043" s="3" t="b">
        <f>IFERROR(match(C1043,'Match Day Fees'!$B$2:$B$999,0),0)=0</f>
        <v>0</v>
      </c>
      <c r="AC1043" s="3">
        <f t="shared" si="2"/>
        <v>0</v>
      </c>
      <c r="AD1043" s="3" t="str">
        <f>VLOOKUP(D1043,'Position Lookup'!A:B,1,FALSE)</f>
        <v>MID</v>
      </c>
    </row>
    <row r="1044" ht="17.25" customHeight="1">
      <c r="A1044" s="10">
        <v>45241.0</v>
      </c>
      <c r="B1044" s="5" t="s">
        <v>309</v>
      </c>
      <c r="C1044" s="3" t="s">
        <v>45</v>
      </c>
      <c r="D1044" s="5" t="s">
        <v>9</v>
      </c>
      <c r="E1044" s="5">
        <v>4.0</v>
      </c>
      <c r="F1044" s="3" t="s">
        <v>1065</v>
      </c>
      <c r="G1044" s="3" t="s">
        <v>242</v>
      </c>
      <c r="I1044" s="3">
        <v>1.0</v>
      </c>
      <c r="J1044" s="5">
        <v>2.0</v>
      </c>
      <c r="N1044" s="3" t="b">
        <v>0</v>
      </c>
      <c r="R1044" s="3">
        <v>0.0</v>
      </c>
      <c r="T1044" s="3">
        <v>10.0</v>
      </c>
      <c r="U1044" s="3">
        <v>6.5</v>
      </c>
      <c r="V1044" s="3" t="s">
        <v>1077</v>
      </c>
      <c r="W1044" s="3" t="s">
        <v>1067</v>
      </c>
      <c r="X1044" s="77" t="s">
        <v>1068</v>
      </c>
      <c r="Y1044" s="3">
        <v>2.0</v>
      </c>
      <c r="Z1044" s="3">
        <v>2.0</v>
      </c>
      <c r="AA1044" s="3">
        <f>2+ (P1044*'Scoring System'!$B$3)+ (IF(OR(D1044="DEF",D1044="GK"),N1044*'Scoring System'!$B$4,IF(D1044="MID",N1044*'Scoring System'!$B$5,0)))+ (IF(OR(D1044="DEF",D1044="GK"),H1044*'Scoring System'!$B$6,IF(D1044="MID",H1044*'Scoring System'!$B$7,IF(D1044="ATT",H1044*'Scoring System'!$B$8,0))))+ IF(AND(OR(D1044="GK",D1044="DEF"),J1044&gt;=3),1*'Scoring System'!$B$9,0)+ (I1044*'Scoring System'!$B$10)+ (K1044*'Scoring System'!$B$11)+ (M1044*'Scoring System'!$B$12)+ (L1044*'Scoring System'!$B$13)+ (O1044*'Scoring System'!$B$14)+ (Q1044*'Scoring System'!$B$15)+ (R1044*'Scoring System'!$B$16)</f>
        <v>5</v>
      </c>
      <c r="AB1044" s="3" t="b">
        <f>IFERROR(match(C1044,'Match Day Fees'!$B$2:$B$999,0),0)=0</f>
        <v>0</v>
      </c>
      <c r="AC1044" s="3">
        <f t="shared" si="2"/>
        <v>0</v>
      </c>
      <c r="AD1044" s="3" t="str">
        <f>VLOOKUP(D1044,'Position Lookup'!A:B,1,FALSE)</f>
        <v>ATT</v>
      </c>
    </row>
    <row r="1045" ht="17.25" customHeight="1">
      <c r="A1045" s="10">
        <v>45241.0</v>
      </c>
      <c r="B1045" s="5" t="s">
        <v>309</v>
      </c>
      <c r="C1045" s="3" t="s">
        <v>132</v>
      </c>
      <c r="D1045" s="5" t="s">
        <v>9</v>
      </c>
      <c r="E1045" s="5">
        <v>4.0</v>
      </c>
      <c r="F1045" s="3" t="s">
        <v>1065</v>
      </c>
      <c r="G1045" s="3" t="s">
        <v>242</v>
      </c>
      <c r="J1045" s="5">
        <v>2.0</v>
      </c>
      <c r="N1045" s="3" t="b">
        <v>0</v>
      </c>
      <c r="R1045" s="3">
        <v>0.0</v>
      </c>
      <c r="T1045" s="3">
        <v>10.0</v>
      </c>
      <c r="U1045" s="3">
        <v>6.5</v>
      </c>
      <c r="V1045" s="3" t="s">
        <v>1078</v>
      </c>
      <c r="W1045" s="3" t="s">
        <v>1067</v>
      </c>
      <c r="X1045" s="77" t="s">
        <v>1068</v>
      </c>
      <c r="Y1045" s="3">
        <v>2.0</v>
      </c>
      <c r="Z1045" s="3">
        <v>2.0</v>
      </c>
      <c r="AA1045" s="3">
        <f>2+ (P1045*'Scoring System'!$B$3)+ (IF(OR(D1045="DEF",D1045="GK"),N1045*'Scoring System'!$B$4,IF(D1045="MID",N1045*'Scoring System'!$B$5,0)))+ (IF(OR(D1045="DEF",D1045="GK"),H1045*'Scoring System'!$B$6,IF(D1045="MID",H1045*'Scoring System'!$B$7,IF(D1045="ATT",H1045*'Scoring System'!$B$8,0))))+ IF(AND(OR(D1045="GK",D1045="DEF"),J1045&gt;=3),1*'Scoring System'!$B$9,0)+ (I1045*'Scoring System'!$B$10)+ (K1045*'Scoring System'!$B$11)+ (M1045*'Scoring System'!$B$12)+ (L1045*'Scoring System'!$B$13)+ (O1045*'Scoring System'!$B$14)+ (Q1045*'Scoring System'!$B$15)+ (R1045*'Scoring System'!$B$16)</f>
        <v>2</v>
      </c>
      <c r="AB1045" s="3" t="b">
        <f>IFERROR(match(C1045,'Match Day Fees'!$B$2:$B$999,0),0)=0</f>
        <v>0</v>
      </c>
      <c r="AC1045" s="3">
        <f t="shared" si="2"/>
        <v>0</v>
      </c>
      <c r="AD1045" s="3" t="str">
        <f>VLOOKUP(D1045,'Position Lookup'!A:B,1,FALSE)</f>
        <v>ATT</v>
      </c>
    </row>
    <row r="1046" ht="17.25" customHeight="1">
      <c r="A1046" s="10">
        <v>45241.0</v>
      </c>
      <c r="B1046" s="5" t="s">
        <v>309</v>
      </c>
      <c r="C1046" s="3" t="s">
        <v>109</v>
      </c>
      <c r="D1046" s="5" t="s">
        <v>9</v>
      </c>
      <c r="E1046" s="5">
        <v>4.0</v>
      </c>
      <c r="F1046" s="3" t="s">
        <v>1065</v>
      </c>
      <c r="G1046" s="3" t="s">
        <v>242</v>
      </c>
      <c r="H1046" s="3">
        <v>1.0</v>
      </c>
      <c r="I1046" s="3">
        <v>1.0</v>
      </c>
      <c r="J1046" s="5">
        <v>2.0</v>
      </c>
      <c r="N1046" s="3" t="b">
        <v>0</v>
      </c>
      <c r="R1046" s="3">
        <v>0.0</v>
      </c>
      <c r="T1046" s="3">
        <v>5.0</v>
      </c>
      <c r="U1046" s="3">
        <v>7.0</v>
      </c>
      <c r="V1046" s="3" t="s">
        <v>1079</v>
      </c>
      <c r="W1046" s="3" t="s">
        <v>1067</v>
      </c>
      <c r="X1046" s="77" t="s">
        <v>1068</v>
      </c>
      <c r="Y1046" s="3">
        <v>2.0</v>
      </c>
      <c r="Z1046" s="3">
        <v>2.0</v>
      </c>
      <c r="AA1046" s="3">
        <f>2+ (P1046*'Scoring System'!$B$3)+ (IF(OR(D1046="DEF",D1046="GK"),N1046*'Scoring System'!$B$4,IF(D1046="MID",N1046*'Scoring System'!$B$5,0)))+ (IF(OR(D1046="DEF",D1046="GK"),H1046*'Scoring System'!$B$6,IF(D1046="MID",H1046*'Scoring System'!$B$7,IF(D1046="ATT",H1046*'Scoring System'!$B$8,0))))+ IF(AND(OR(D1046="GK",D1046="DEF"),J1046&gt;=3),1*'Scoring System'!$B$9,0)+ (I1046*'Scoring System'!$B$10)+ (K1046*'Scoring System'!$B$11)+ (M1046*'Scoring System'!$B$12)+ (L1046*'Scoring System'!$B$13)+ (O1046*'Scoring System'!$B$14)+ (Q1046*'Scoring System'!$B$15)+ (R1046*'Scoring System'!$B$16)</f>
        <v>9</v>
      </c>
      <c r="AB1046" s="3" t="b">
        <f>IFERROR(match(C1046,'Match Day Fees'!$B$2:$B$999,0),0)=0</f>
        <v>0</v>
      </c>
      <c r="AC1046" s="3">
        <f t="shared" si="2"/>
        <v>0</v>
      </c>
      <c r="AD1046" s="3" t="str">
        <f>VLOOKUP(D1046,'Position Lookup'!A:B,1,FALSE)</f>
        <v>ATT</v>
      </c>
    </row>
    <row r="1047" ht="17.25" customHeight="1">
      <c r="A1047" s="10">
        <v>45241.0</v>
      </c>
      <c r="B1047" s="5" t="s">
        <v>309</v>
      </c>
      <c r="C1047" s="3" t="s">
        <v>48</v>
      </c>
      <c r="D1047" s="5" t="s">
        <v>9</v>
      </c>
      <c r="E1047" s="5">
        <v>4.0</v>
      </c>
      <c r="F1047" s="3" t="s">
        <v>1065</v>
      </c>
      <c r="G1047" s="3" t="s">
        <v>242</v>
      </c>
      <c r="J1047" s="5">
        <v>2.0</v>
      </c>
      <c r="N1047" s="3" t="b">
        <v>0</v>
      </c>
      <c r="R1047" s="3">
        <v>0.0</v>
      </c>
      <c r="T1047" s="3">
        <v>10.0</v>
      </c>
      <c r="U1047" s="3">
        <v>7.0</v>
      </c>
      <c r="V1047" s="3" t="s">
        <v>1080</v>
      </c>
      <c r="W1047" s="3" t="s">
        <v>1067</v>
      </c>
      <c r="X1047" s="77" t="s">
        <v>1068</v>
      </c>
      <c r="Y1047" s="3">
        <v>2.0</v>
      </c>
      <c r="Z1047" s="3">
        <v>2.0</v>
      </c>
      <c r="AA1047" s="3">
        <f>2+ (P1047*'Scoring System'!$B$3)+ (IF(OR(D1047="DEF",D1047="GK"),N1047*'Scoring System'!$B$4,IF(D1047="MID",N1047*'Scoring System'!$B$5,0)))+ (IF(OR(D1047="DEF",D1047="GK"),H1047*'Scoring System'!$B$6,IF(D1047="MID",H1047*'Scoring System'!$B$7,IF(D1047="ATT",H1047*'Scoring System'!$B$8,0))))+ IF(AND(OR(D1047="GK",D1047="DEF"),J1047&gt;=3),1*'Scoring System'!$B$9,0)+ (I1047*'Scoring System'!$B$10)+ (K1047*'Scoring System'!$B$11)+ (M1047*'Scoring System'!$B$12)+ (L1047*'Scoring System'!$B$13)+ (O1047*'Scoring System'!$B$14)+ (Q1047*'Scoring System'!$B$15)+ (R1047*'Scoring System'!$B$16)</f>
        <v>2</v>
      </c>
      <c r="AB1047" s="3" t="b">
        <f>IFERROR(match(C1047,'Match Day Fees'!$B$2:$B$999,0),0)=0</f>
        <v>0</v>
      </c>
      <c r="AC1047" s="3">
        <f t="shared" si="2"/>
        <v>0</v>
      </c>
      <c r="AD1047" s="3" t="str">
        <f>VLOOKUP(D1047,'Position Lookup'!A:B,1,FALSE)</f>
        <v>ATT</v>
      </c>
    </row>
    <row r="1048" ht="17.25" customHeight="1">
      <c r="A1048" s="10">
        <v>45241.0</v>
      </c>
      <c r="B1048" s="5" t="s">
        <v>309</v>
      </c>
      <c r="C1048" s="3" t="s">
        <v>149</v>
      </c>
      <c r="D1048" s="5" t="s">
        <v>11</v>
      </c>
      <c r="E1048" s="5">
        <v>4.0</v>
      </c>
      <c r="F1048" s="3" t="s">
        <v>1065</v>
      </c>
      <c r="G1048" s="3" t="s">
        <v>242</v>
      </c>
      <c r="J1048" s="5">
        <v>2.0</v>
      </c>
      <c r="N1048" s="3" t="b">
        <v>0</v>
      </c>
      <c r="R1048" s="3">
        <v>0.0</v>
      </c>
      <c r="T1048" s="3">
        <v>5.0</v>
      </c>
      <c r="U1048" s="3">
        <v>5.5</v>
      </c>
      <c r="V1048" s="3" t="s">
        <v>1081</v>
      </c>
      <c r="W1048" s="3" t="s">
        <v>1067</v>
      </c>
      <c r="X1048" s="77" t="s">
        <v>1068</v>
      </c>
      <c r="Y1048" s="3">
        <v>2.0</v>
      </c>
      <c r="Z1048" s="3">
        <v>2.0</v>
      </c>
      <c r="AA1048" s="3">
        <f>2+ (P1048*'Scoring System'!$B$3)+ (IF(OR(D1048="DEF",D1048="GK"),N1048*'Scoring System'!$B$4,IF(D1048="MID",N1048*'Scoring System'!$B$5,0)))+ (IF(OR(D1048="DEF",D1048="GK"),H1048*'Scoring System'!$B$6,IF(D1048="MID",H1048*'Scoring System'!$B$7,IF(D1048="ATT",H1048*'Scoring System'!$B$8,0))))+ IF(AND(OR(D1048="GK",D1048="DEF"),J1048&gt;=3),1*'Scoring System'!$B$9,0)+ (I1048*'Scoring System'!$B$10)+ (K1048*'Scoring System'!$B$11)+ (M1048*'Scoring System'!$B$12)+ (L1048*'Scoring System'!$B$13)+ (O1048*'Scoring System'!$B$14)+ (Q1048*'Scoring System'!$B$15)+ (R1048*'Scoring System'!$B$16)</f>
        <v>2</v>
      </c>
      <c r="AB1048" s="3" t="b">
        <f>IFERROR(match(C1048,'Match Day Fees'!$B$2:$B$999,0),0)=0</f>
        <v>0</v>
      </c>
      <c r="AC1048" s="3">
        <f t="shared" si="2"/>
        <v>0</v>
      </c>
      <c r="AD1048" s="3" t="str">
        <f>VLOOKUP(D1048,'Position Lookup'!A:B,1,FALSE)</f>
        <v>DEF</v>
      </c>
    </row>
    <row r="1049" ht="17.25" customHeight="1">
      <c r="A1049" s="10">
        <v>45241.0</v>
      </c>
      <c r="B1049" s="5" t="s">
        <v>309</v>
      </c>
      <c r="C1049" s="3" t="s">
        <v>125</v>
      </c>
      <c r="D1049" s="5" t="s">
        <v>10</v>
      </c>
      <c r="E1049" s="5">
        <v>4.0</v>
      </c>
      <c r="F1049" s="3" t="s">
        <v>1065</v>
      </c>
      <c r="G1049" s="3" t="s">
        <v>242</v>
      </c>
      <c r="J1049" s="5">
        <v>2.0</v>
      </c>
      <c r="N1049" s="3" t="b">
        <v>0</v>
      </c>
      <c r="R1049" s="3">
        <v>0.0</v>
      </c>
      <c r="T1049" s="3">
        <v>5.0</v>
      </c>
      <c r="U1049" s="3">
        <v>6.0</v>
      </c>
      <c r="V1049" s="3" t="s">
        <v>1082</v>
      </c>
      <c r="W1049" s="3" t="s">
        <v>1067</v>
      </c>
      <c r="X1049" s="77" t="s">
        <v>1068</v>
      </c>
      <c r="Y1049" s="3">
        <v>2.0</v>
      </c>
      <c r="Z1049" s="3">
        <v>2.0</v>
      </c>
      <c r="AA1049" s="3">
        <f>2+ (P1049*'Scoring System'!$B$3)+ (IF(OR(D1049="DEF",D1049="GK"),N1049*'Scoring System'!$B$4,IF(D1049="MID",N1049*'Scoring System'!$B$5,0)))+ (IF(OR(D1049="DEF",D1049="GK"),H1049*'Scoring System'!$B$6,IF(D1049="MID",H1049*'Scoring System'!$B$7,IF(D1049="ATT",H1049*'Scoring System'!$B$8,0))))+ IF(AND(OR(D1049="GK",D1049="DEF"),J1049&gt;=3),1*'Scoring System'!$B$9,0)+ (I1049*'Scoring System'!$B$10)+ (K1049*'Scoring System'!$B$11)+ (M1049*'Scoring System'!$B$12)+ (L1049*'Scoring System'!$B$13)+ (O1049*'Scoring System'!$B$14)+ (Q1049*'Scoring System'!$B$15)+ (R1049*'Scoring System'!$B$16)</f>
        <v>2</v>
      </c>
      <c r="AB1049" s="3" t="b">
        <f>IFERROR(match(C1049,'Match Day Fees'!$B$2:$B$999,0),0)=0</f>
        <v>0</v>
      </c>
      <c r="AC1049" s="3">
        <f t="shared" si="2"/>
        <v>0</v>
      </c>
      <c r="AD1049" s="3" t="str">
        <f>VLOOKUP(D1049,'Position Lookup'!A:B,1,FALSE)</f>
        <v>MID</v>
      </c>
    </row>
    <row r="1050" ht="17.25" customHeight="1">
      <c r="A1050" s="10">
        <v>45241.0</v>
      </c>
      <c r="B1050" s="5" t="s">
        <v>712</v>
      </c>
      <c r="C1050" s="3" t="s">
        <v>106</v>
      </c>
      <c r="D1050" s="3" t="s">
        <v>8</v>
      </c>
      <c r="E1050" s="5">
        <v>5.0</v>
      </c>
      <c r="F1050" s="3" t="s">
        <v>1083</v>
      </c>
      <c r="G1050" s="3" t="s">
        <v>230</v>
      </c>
      <c r="J1050" s="5">
        <v>4.0</v>
      </c>
      <c r="N1050" s="3" t="b">
        <v>0</v>
      </c>
      <c r="R1050" s="3">
        <v>0.0</v>
      </c>
      <c r="S1050" s="3" t="b">
        <v>1</v>
      </c>
      <c r="T1050" s="3">
        <v>0.0</v>
      </c>
      <c r="U1050" s="3">
        <v>7.0</v>
      </c>
      <c r="V1050" s="3" t="s">
        <v>1084</v>
      </c>
      <c r="W1050" s="3" t="s">
        <v>344</v>
      </c>
      <c r="X1050" s="77" t="s">
        <v>1085</v>
      </c>
      <c r="Y1050" s="3">
        <v>1.0</v>
      </c>
      <c r="Z1050" s="3">
        <v>4.0</v>
      </c>
      <c r="AA1050" s="3">
        <f>2+ (P1050*'Scoring System'!$B$3)+ (IF(OR(D1050="DEF",D1050="GK"),N1050*'Scoring System'!$B$4,IF(D1050="MID",N1050*'Scoring System'!$B$5,0)))+ (IF(OR(D1050="DEF",D1050="GK"),H1050*'Scoring System'!$B$6,IF(D1050="MID",H1050*'Scoring System'!$B$7,IF(D1050="ATT",H1050*'Scoring System'!$B$8,0))))+ IF(AND(OR(D1050="GK",D1050="DEF"),J1050&gt;=3),1*'Scoring System'!$B$9,0)+ (I1050*'Scoring System'!$B$10)+ (K1050*'Scoring System'!$B$11)+ (M1050*'Scoring System'!$B$12)+ (L1050*'Scoring System'!$B$13)+ (O1050*'Scoring System'!$B$14)+ (Q1050*'Scoring System'!$B$15)+ (R1050*'Scoring System'!$B$16)</f>
        <v>1</v>
      </c>
      <c r="AB1050" s="3" t="b">
        <f>IFERROR(match(C1050,'Match Day Fees'!$B$2:$B$999,0),0)=0</f>
        <v>0</v>
      </c>
      <c r="AC1050" s="3">
        <f t="shared" si="2"/>
        <v>0</v>
      </c>
      <c r="AD1050" s="3" t="str">
        <f>VLOOKUP(D1050,'Position Lookup'!A:B,1,FALSE)</f>
        <v>GK</v>
      </c>
    </row>
    <row r="1051" ht="17.25" customHeight="1">
      <c r="A1051" s="10">
        <v>45241.0</v>
      </c>
      <c r="B1051" s="5" t="s">
        <v>712</v>
      </c>
      <c r="C1051" s="3" t="s">
        <v>133</v>
      </c>
      <c r="D1051" s="5" t="s">
        <v>11</v>
      </c>
      <c r="E1051" s="5">
        <v>5.0</v>
      </c>
      <c r="F1051" s="3" t="s">
        <v>1083</v>
      </c>
      <c r="G1051" s="3" t="s">
        <v>230</v>
      </c>
      <c r="J1051" s="5">
        <v>4.0</v>
      </c>
      <c r="N1051" s="3" t="b">
        <v>0</v>
      </c>
      <c r="R1051" s="3">
        <v>0.0</v>
      </c>
      <c r="T1051" s="3">
        <v>10.0</v>
      </c>
      <c r="U1051" s="3">
        <v>6.0</v>
      </c>
      <c r="V1051" s="3" t="s">
        <v>1086</v>
      </c>
      <c r="W1051" s="3" t="s">
        <v>344</v>
      </c>
      <c r="X1051" s="77" t="s">
        <v>1085</v>
      </c>
      <c r="Y1051" s="3">
        <v>1.0</v>
      </c>
      <c r="Z1051" s="3">
        <v>4.0</v>
      </c>
      <c r="AA1051" s="3">
        <f>2+ (P1051*'Scoring System'!$B$3)+ (IF(OR(D1051="DEF",D1051="GK"),N1051*'Scoring System'!$B$4,IF(D1051="MID",N1051*'Scoring System'!$B$5,0)))+ (IF(OR(D1051="DEF",D1051="GK"),H1051*'Scoring System'!$B$6,IF(D1051="MID",H1051*'Scoring System'!$B$7,IF(D1051="ATT",H1051*'Scoring System'!$B$8,0))))+ IF(AND(OR(D1051="GK",D1051="DEF"),J1051&gt;=3),1*'Scoring System'!$B$9,0)+ (I1051*'Scoring System'!$B$10)+ (K1051*'Scoring System'!$B$11)+ (M1051*'Scoring System'!$B$12)+ (L1051*'Scoring System'!$B$13)+ (O1051*'Scoring System'!$B$14)+ (Q1051*'Scoring System'!$B$15)+ (R1051*'Scoring System'!$B$16)</f>
        <v>1</v>
      </c>
      <c r="AB1051" s="3" t="b">
        <f>IFERROR(match(C1051,'Match Day Fees'!$B$2:$B$999,0),0)=0</f>
        <v>0</v>
      </c>
      <c r="AC1051" s="3">
        <f t="shared" si="2"/>
        <v>0</v>
      </c>
      <c r="AD1051" s="3" t="str">
        <f>VLOOKUP(D1051,'Position Lookup'!A:B,1,FALSE)</f>
        <v>DEF</v>
      </c>
    </row>
    <row r="1052" ht="17.25" customHeight="1">
      <c r="A1052" s="10">
        <v>45241.0</v>
      </c>
      <c r="B1052" s="5" t="s">
        <v>712</v>
      </c>
      <c r="C1052" s="3" t="s">
        <v>116</v>
      </c>
      <c r="D1052" s="5" t="s">
        <v>11</v>
      </c>
      <c r="E1052" s="5">
        <v>5.0</v>
      </c>
      <c r="F1052" s="3" t="s">
        <v>1083</v>
      </c>
      <c r="G1052" s="3" t="s">
        <v>230</v>
      </c>
      <c r="J1052" s="5">
        <v>4.0</v>
      </c>
      <c r="N1052" s="3" t="b">
        <v>0</v>
      </c>
      <c r="R1052" s="3">
        <v>0.0</v>
      </c>
      <c r="T1052" s="3">
        <v>10.0</v>
      </c>
      <c r="U1052" s="3">
        <v>6.5</v>
      </c>
      <c r="V1052" s="3" t="s">
        <v>1087</v>
      </c>
      <c r="W1052" s="3" t="s">
        <v>344</v>
      </c>
      <c r="X1052" s="77" t="s">
        <v>1085</v>
      </c>
      <c r="Y1052" s="3">
        <v>1.0</v>
      </c>
      <c r="Z1052" s="3">
        <v>4.0</v>
      </c>
      <c r="AA1052" s="3">
        <f>2+ (P1052*'Scoring System'!$B$3)+ (IF(OR(D1052="DEF",D1052="GK"),N1052*'Scoring System'!$B$4,IF(D1052="MID",N1052*'Scoring System'!$B$5,0)))+ (IF(OR(D1052="DEF",D1052="GK"),H1052*'Scoring System'!$B$6,IF(D1052="MID",H1052*'Scoring System'!$B$7,IF(D1052="ATT",H1052*'Scoring System'!$B$8,0))))+ IF(AND(OR(D1052="GK",D1052="DEF"),J1052&gt;=3),1*'Scoring System'!$B$9,0)+ (I1052*'Scoring System'!$B$10)+ (K1052*'Scoring System'!$B$11)+ (M1052*'Scoring System'!$B$12)+ (L1052*'Scoring System'!$B$13)+ (O1052*'Scoring System'!$B$14)+ (Q1052*'Scoring System'!$B$15)+ (R1052*'Scoring System'!$B$16)</f>
        <v>1</v>
      </c>
      <c r="AB1052" s="3" t="b">
        <f>IFERROR(match(C1052,'Match Day Fees'!$B$2:$B$999,0),0)=0</f>
        <v>0</v>
      </c>
      <c r="AC1052" s="3">
        <f t="shared" si="2"/>
        <v>0</v>
      </c>
      <c r="AD1052" s="3" t="str">
        <f>VLOOKUP(D1052,'Position Lookup'!A:B,1,FALSE)</f>
        <v>DEF</v>
      </c>
    </row>
    <row r="1053" ht="17.25" customHeight="1">
      <c r="A1053" s="10">
        <v>45241.0</v>
      </c>
      <c r="B1053" s="5" t="s">
        <v>712</v>
      </c>
      <c r="C1053" s="3" t="s">
        <v>154</v>
      </c>
      <c r="D1053" s="5" t="s">
        <v>11</v>
      </c>
      <c r="E1053" s="5">
        <v>5.0</v>
      </c>
      <c r="F1053" s="3" t="s">
        <v>1083</v>
      </c>
      <c r="G1053" s="3" t="s">
        <v>230</v>
      </c>
      <c r="J1053" s="5">
        <v>4.0</v>
      </c>
      <c r="N1053" s="3" t="b">
        <v>0</v>
      </c>
      <c r="R1053" s="3">
        <v>0.0</v>
      </c>
      <c r="T1053" s="3">
        <v>10.0</v>
      </c>
      <c r="U1053" s="3">
        <v>7.0</v>
      </c>
      <c r="V1053" s="3" t="s">
        <v>1088</v>
      </c>
      <c r="W1053" s="3" t="s">
        <v>344</v>
      </c>
      <c r="X1053" s="77" t="s">
        <v>1085</v>
      </c>
      <c r="Y1053" s="3">
        <v>1.0</v>
      </c>
      <c r="Z1053" s="3">
        <v>4.0</v>
      </c>
      <c r="AA1053" s="3">
        <f>2+ (P1053*'Scoring System'!$B$3)+ (IF(OR(D1053="DEF",D1053="GK"),N1053*'Scoring System'!$B$4,IF(D1053="MID",N1053*'Scoring System'!$B$5,0)))+ (IF(OR(D1053="DEF",D1053="GK"),H1053*'Scoring System'!$B$6,IF(D1053="MID",H1053*'Scoring System'!$B$7,IF(D1053="ATT",H1053*'Scoring System'!$B$8,0))))+ IF(AND(OR(D1053="GK",D1053="DEF"),J1053&gt;=3),1*'Scoring System'!$B$9,0)+ (I1053*'Scoring System'!$B$10)+ (K1053*'Scoring System'!$B$11)+ (M1053*'Scoring System'!$B$12)+ (L1053*'Scoring System'!$B$13)+ (O1053*'Scoring System'!$B$14)+ (Q1053*'Scoring System'!$B$15)+ (R1053*'Scoring System'!$B$16)</f>
        <v>1</v>
      </c>
      <c r="AB1053" s="3" t="b">
        <f>IFERROR(match(C1053,'Match Day Fees'!$B$2:$B$999,0),0)=0</f>
        <v>0</v>
      </c>
      <c r="AC1053" s="3">
        <f t="shared" si="2"/>
        <v>0</v>
      </c>
      <c r="AD1053" s="3" t="str">
        <f>VLOOKUP(D1053,'Position Lookup'!A:B,1,FALSE)</f>
        <v>DEF</v>
      </c>
    </row>
    <row r="1054" ht="17.25" customHeight="1">
      <c r="A1054" s="10">
        <v>45241.0</v>
      </c>
      <c r="B1054" s="5" t="s">
        <v>712</v>
      </c>
      <c r="C1054" s="3" t="s">
        <v>248</v>
      </c>
      <c r="D1054" s="5" t="s">
        <v>11</v>
      </c>
      <c r="E1054" s="5">
        <v>5.0</v>
      </c>
      <c r="F1054" s="3" t="s">
        <v>1083</v>
      </c>
      <c r="G1054" s="3" t="s">
        <v>230</v>
      </c>
      <c r="J1054" s="5">
        <v>4.0</v>
      </c>
      <c r="N1054" s="3" t="b">
        <v>0</v>
      </c>
      <c r="R1054" s="3">
        <v>0.0</v>
      </c>
      <c r="T1054" s="3">
        <v>5.0</v>
      </c>
      <c r="U1054" s="3">
        <v>6.5</v>
      </c>
      <c r="V1054" s="3" t="s">
        <v>1089</v>
      </c>
      <c r="W1054" s="3" t="s">
        <v>344</v>
      </c>
      <c r="X1054" s="77" t="s">
        <v>1085</v>
      </c>
      <c r="Y1054" s="3">
        <v>1.0</v>
      </c>
      <c r="Z1054" s="3">
        <v>4.0</v>
      </c>
      <c r="AA1054" s="3">
        <f>2+ (P1054*'Scoring System'!$B$3)+ (IF(OR(D1054="DEF",D1054="GK"),N1054*'Scoring System'!$B$4,IF(D1054="MID",N1054*'Scoring System'!$B$5,0)))+ (IF(OR(D1054="DEF",D1054="GK"),H1054*'Scoring System'!$B$6,IF(D1054="MID",H1054*'Scoring System'!$B$7,IF(D1054="ATT",H1054*'Scoring System'!$B$8,0))))+ IF(AND(OR(D1054="GK",D1054="DEF"),J1054&gt;=3),1*'Scoring System'!$B$9,0)+ (I1054*'Scoring System'!$B$10)+ (K1054*'Scoring System'!$B$11)+ (M1054*'Scoring System'!$B$12)+ (L1054*'Scoring System'!$B$13)+ (O1054*'Scoring System'!$B$14)+ (Q1054*'Scoring System'!$B$15)+ (R1054*'Scoring System'!$B$16)</f>
        <v>1</v>
      </c>
      <c r="AB1054" s="3" t="b">
        <f>IFERROR(match(C1054,'Match Day Fees'!$B$2:$B$999,0),0)=0</f>
        <v>0</v>
      </c>
      <c r="AC1054" s="3">
        <f t="shared" si="2"/>
        <v>0</v>
      </c>
      <c r="AD1054" s="3" t="str">
        <f>VLOOKUP(D1054,'Position Lookup'!A:B,1,FALSE)</f>
        <v>DEF</v>
      </c>
    </row>
    <row r="1055" ht="17.25" customHeight="1">
      <c r="A1055" s="10">
        <v>45241.0</v>
      </c>
      <c r="B1055" s="5" t="s">
        <v>712</v>
      </c>
      <c r="C1055" s="3" t="s">
        <v>58</v>
      </c>
      <c r="D1055" s="5" t="s">
        <v>10</v>
      </c>
      <c r="E1055" s="5">
        <v>5.0</v>
      </c>
      <c r="F1055" s="3" t="s">
        <v>1083</v>
      </c>
      <c r="G1055" s="3" t="s">
        <v>230</v>
      </c>
      <c r="J1055" s="5">
        <v>4.0</v>
      </c>
      <c r="N1055" s="3" t="b">
        <v>0</v>
      </c>
      <c r="R1055" s="3">
        <v>0.0</v>
      </c>
      <c r="T1055" s="3">
        <v>10.0</v>
      </c>
      <c r="U1055" s="3">
        <v>7.0</v>
      </c>
      <c r="V1055" s="3" t="s">
        <v>1090</v>
      </c>
      <c r="W1055" s="3" t="s">
        <v>344</v>
      </c>
      <c r="X1055" s="77" t="s">
        <v>1085</v>
      </c>
      <c r="Y1055" s="3">
        <v>1.0</v>
      </c>
      <c r="Z1055" s="3">
        <v>4.0</v>
      </c>
      <c r="AA1055" s="3">
        <f>2+ (P1055*'Scoring System'!$B$3)+ (IF(OR(D1055="DEF",D1055="GK"),N1055*'Scoring System'!$B$4,IF(D1055="MID",N1055*'Scoring System'!$B$5,0)))+ (IF(OR(D1055="DEF",D1055="GK"),H1055*'Scoring System'!$B$6,IF(D1055="MID",H1055*'Scoring System'!$B$7,IF(D1055="ATT",H1055*'Scoring System'!$B$8,0))))+ IF(AND(OR(D1055="GK",D1055="DEF"),J1055&gt;=3),1*'Scoring System'!$B$9,0)+ (I1055*'Scoring System'!$B$10)+ (K1055*'Scoring System'!$B$11)+ (M1055*'Scoring System'!$B$12)+ (L1055*'Scoring System'!$B$13)+ (O1055*'Scoring System'!$B$14)+ (Q1055*'Scoring System'!$B$15)+ (R1055*'Scoring System'!$B$16)</f>
        <v>2</v>
      </c>
      <c r="AB1055" s="3" t="b">
        <f>IFERROR(match(C1055,'Match Day Fees'!$B$2:$B$999,0),0)=0</f>
        <v>0</v>
      </c>
      <c r="AC1055" s="3">
        <f t="shared" si="2"/>
        <v>0</v>
      </c>
      <c r="AD1055" s="3" t="str">
        <f>VLOOKUP(D1055,'Position Lookup'!A:B,1,FALSE)</f>
        <v>MID</v>
      </c>
    </row>
    <row r="1056" ht="17.25" customHeight="1">
      <c r="A1056" s="10">
        <v>45241.0</v>
      </c>
      <c r="B1056" s="5" t="s">
        <v>712</v>
      </c>
      <c r="C1056" s="3" t="s">
        <v>103</v>
      </c>
      <c r="D1056" s="5" t="s">
        <v>10</v>
      </c>
      <c r="E1056" s="5">
        <v>5.0</v>
      </c>
      <c r="F1056" s="3" t="s">
        <v>1083</v>
      </c>
      <c r="G1056" s="3" t="s">
        <v>230</v>
      </c>
      <c r="H1056" s="3">
        <v>1.0</v>
      </c>
      <c r="J1056" s="5">
        <v>4.0</v>
      </c>
      <c r="N1056" s="3" t="b">
        <v>0</v>
      </c>
      <c r="R1056" s="3">
        <v>0.0</v>
      </c>
      <c r="T1056" s="3">
        <v>10.0</v>
      </c>
      <c r="U1056" s="3">
        <v>7.0</v>
      </c>
      <c r="V1056" s="3" t="s">
        <v>1091</v>
      </c>
      <c r="W1056" s="3" t="s">
        <v>344</v>
      </c>
      <c r="X1056" s="77" t="s">
        <v>1085</v>
      </c>
      <c r="Y1056" s="3">
        <v>1.0</v>
      </c>
      <c r="Z1056" s="3">
        <v>4.0</v>
      </c>
      <c r="AA1056" s="3">
        <f>2+ (P1056*'Scoring System'!$B$3)+ (IF(OR(D1056="DEF",D1056="GK"),N1056*'Scoring System'!$B$4,IF(D1056="MID",N1056*'Scoring System'!$B$5,0)))+ (IF(OR(D1056="DEF",D1056="GK"),H1056*'Scoring System'!$B$6,IF(D1056="MID",H1056*'Scoring System'!$B$7,IF(D1056="ATT",H1056*'Scoring System'!$B$8,0))))+ IF(AND(OR(D1056="GK",D1056="DEF"),J1056&gt;=3),1*'Scoring System'!$B$9,0)+ (I1056*'Scoring System'!$B$10)+ (K1056*'Scoring System'!$B$11)+ (M1056*'Scoring System'!$B$12)+ (L1056*'Scoring System'!$B$13)+ (O1056*'Scoring System'!$B$14)+ (Q1056*'Scoring System'!$B$15)+ (R1056*'Scoring System'!$B$16)</f>
        <v>7</v>
      </c>
      <c r="AB1056" s="3" t="b">
        <f>IFERROR(match(C1056,'Match Day Fees'!$B$2:$B$999,0),0)=0</f>
        <v>0</v>
      </c>
      <c r="AC1056" s="3">
        <f t="shared" si="2"/>
        <v>0</v>
      </c>
      <c r="AD1056" s="3" t="str">
        <f>VLOOKUP(D1056,'Position Lookup'!A:B,1,FALSE)</f>
        <v>MID</v>
      </c>
    </row>
    <row r="1057" ht="17.25" customHeight="1">
      <c r="A1057" s="10">
        <v>45241.0</v>
      </c>
      <c r="B1057" s="5" t="s">
        <v>712</v>
      </c>
      <c r="C1057" s="3" t="s">
        <v>71</v>
      </c>
      <c r="D1057" s="5" t="s">
        <v>10</v>
      </c>
      <c r="E1057" s="5">
        <v>5.0</v>
      </c>
      <c r="F1057" s="3" t="s">
        <v>1083</v>
      </c>
      <c r="G1057" s="3" t="s">
        <v>230</v>
      </c>
      <c r="J1057" s="5">
        <v>4.0</v>
      </c>
      <c r="N1057" s="3" t="b">
        <v>0</v>
      </c>
      <c r="R1057" s="3">
        <v>1.0</v>
      </c>
      <c r="T1057" s="3">
        <v>10.0</v>
      </c>
      <c r="U1057" s="3">
        <v>8.0</v>
      </c>
      <c r="V1057" s="3" t="s">
        <v>1092</v>
      </c>
      <c r="W1057" s="3" t="s">
        <v>344</v>
      </c>
      <c r="X1057" s="77" t="s">
        <v>1085</v>
      </c>
      <c r="Y1057" s="3">
        <v>1.0</v>
      </c>
      <c r="Z1057" s="3">
        <v>4.0</v>
      </c>
      <c r="AA1057" s="3">
        <f>2+ (P1057*'Scoring System'!$B$3)+ (IF(OR(D1057="DEF",D1057="GK"),N1057*'Scoring System'!$B$4,IF(D1057="MID",N1057*'Scoring System'!$B$5,0)))+ (IF(OR(D1057="DEF",D1057="GK"),H1057*'Scoring System'!$B$6,IF(D1057="MID",H1057*'Scoring System'!$B$7,IF(D1057="ATT",H1057*'Scoring System'!$B$8,0))))+ IF(AND(OR(D1057="GK",D1057="DEF"),J1057&gt;=3),1*'Scoring System'!$B$9,0)+ (I1057*'Scoring System'!$B$10)+ (K1057*'Scoring System'!$B$11)+ (M1057*'Scoring System'!$B$12)+ (L1057*'Scoring System'!$B$13)+ (O1057*'Scoring System'!$B$14)+ (Q1057*'Scoring System'!$B$15)+ (R1057*'Scoring System'!$B$16)</f>
        <v>7</v>
      </c>
      <c r="AB1057" s="3" t="b">
        <f>IFERROR(match(C1057,'Match Day Fees'!$B$2:$B$999,0),0)=0</f>
        <v>0</v>
      </c>
      <c r="AC1057" s="3">
        <f t="shared" si="2"/>
        <v>0</v>
      </c>
      <c r="AD1057" s="3" t="str">
        <f>VLOOKUP(D1057,'Position Lookup'!A:B,1,FALSE)</f>
        <v>MID</v>
      </c>
    </row>
    <row r="1058" ht="17.25" customHeight="1">
      <c r="A1058" s="10">
        <v>45241.0</v>
      </c>
      <c r="B1058" s="5" t="s">
        <v>712</v>
      </c>
      <c r="C1058" s="3" t="s">
        <v>117</v>
      </c>
      <c r="D1058" s="5" t="s">
        <v>11</v>
      </c>
      <c r="E1058" s="5">
        <v>5.0</v>
      </c>
      <c r="F1058" s="3" t="s">
        <v>1083</v>
      </c>
      <c r="G1058" s="3" t="s">
        <v>230</v>
      </c>
      <c r="J1058" s="5">
        <v>4.0</v>
      </c>
      <c r="N1058" s="3" t="b">
        <v>0</v>
      </c>
      <c r="R1058" s="3">
        <v>0.0</v>
      </c>
      <c r="T1058" s="3">
        <v>10.0</v>
      </c>
      <c r="U1058" s="3">
        <v>6.0</v>
      </c>
      <c r="V1058" s="3" t="s">
        <v>1093</v>
      </c>
      <c r="W1058" s="3" t="s">
        <v>344</v>
      </c>
      <c r="X1058" s="77" t="s">
        <v>1085</v>
      </c>
      <c r="Y1058" s="3">
        <v>1.0</v>
      </c>
      <c r="Z1058" s="3">
        <v>4.0</v>
      </c>
      <c r="AA1058" s="3">
        <f>2+ (P1058*'Scoring System'!$B$3)+ (IF(OR(D1058="DEF",D1058="GK"),N1058*'Scoring System'!$B$4,IF(D1058="MID",N1058*'Scoring System'!$B$5,0)))+ (IF(OR(D1058="DEF",D1058="GK"),H1058*'Scoring System'!$B$6,IF(D1058="MID",H1058*'Scoring System'!$B$7,IF(D1058="ATT",H1058*'Scoring System'!$B$8,0))))+ IF(AND(OR(D1058="GK",D1058="DEF"),J1058&gt;=3),1*'Scoring System'!$B$9,0)+ (I1058*'Scoring System'!$B$10)+ (K1058*'Scoring System'!$B$11)+ (M1058*'Scoring System'!$B$12)+ (L1058*'Scoring System'!$B$13)+ (O1058*'Scoring System'!$B$14)+ (Q1058*'Scoring System'!$B$15)+ (R1058*'Scoring System'!$B$16)</f>
        <v>1</v>
      </c>
      <c r="AB1058" s="3" t="b">
        <f>IFERROR(match(C1058,'Match Day Fees'!$B$2:$B$999,0),0)=0</f>
        <v>0</v>
      </c>
      <c r="AC1058" s="3">
        <f t="shared" si="2"/>
        <v>0</v>
      </c>
      <c r="AD1058" s="3" t="str">
        <f>VLOOKUP(D1058,'Position Lookup'!A:B,1,FALSE)</f>
        <v>DEF</v>
      </c>
    </row>
    <row r="1059" ht="17.25" customHeight="1">
      <c r="A1059" s="10">
        <v>45241.0</v>
      </c>
      <c r="B1059" s="5" t="s">
        <v>712</v>
      </c>
      <c r="C1059" s="3" t="s">
        <v>474</v>
      </c>
      <c r="D1059" s="5" t="s">
        <v>10</v>
      </c>
      <c r="E1059" s="5">
        <v>5.0</v>
      </c>
      <c r="F1059" s="3" t="s">
        <v>1083</v>
      </c>
      <c r="G1059" s="3" t="s">
        <v>230</v>
      </c>
      <c r="J1059" s="5">
        <v>4.0</v>
      </c>
      <c r="N1059" s="3" t="b">
        <v>0</v>
      </c>
      <c r="R1059" s="3">
        <v>0.0</v>
      </c>
      <c r="T1059" s="3">
        <v>10.0</v>
      </c>
      <c r="U1059" s="3">
        <v>6.5</v>
      </c>
      <c r="V1059" s="3" t="s">
        <v>1094</v>
      </c>
      <c r="W1059" s="3" t="s">
        <v>344</v>
      </c>
      <c r="X1059" s="77" t="s">
        <v>1085</v>
      </c>
      <c r="Y1059" s="3">
        <v>1.0</v>
      </c>
      <c r="Z1059" s="3">
        <v>4.0</v>
      </c>
      <c r="AA1059" s="3">
        <f>2+ (P1059*'Scoring System'!$B$3)+ (IF(OR(D1059="DEF",D1059="GK"),N1059*'Scoring System'!$B$4,IF(D1059="MID",N1059*'Scoring System'!$B$5,0)))+ (IF(OR(D1059="DEF",D1059="GK"),H1059*'Scoring System'!$B$6,IF(D1059="MID",H1059*'Scoring System'!$B$7,IF(D1059="ATT",H1059*'Scoring System'!$B$8,0))))+ IF(AND(OR(D1059="GK",D1059="DEF"),J1059&gt;=3),1*'Scoring System'!$B$9,0)+ (I1059*'Scoring System'!$B$10)+ (K1059*'Scoring System'!$B$11)+ (M1059*'Scoring System'!$B$12)+ (L1059*'Scoring System'!$B$13)+ (O1059*'Scoring System'!$B$14)+ (Q1059*'Scoring System'!$B$15)+ (R1059*'Scoring System'!$B$16)</f>
        <v>2</v>
      </c>
      <c r="AB1059" s="3" t="b">
        <f>IFERROR(match(C1059,'Match Day Fees'!$B$2:$B$999,0),0)=0</f>
        <v>0</v>
      </c>
      <c r="AC1059" s="3">
        <f t="shared" si="2"/>
        <v>0</v>
      </c>
      <c r="AD1059" s="3" t="str">
        <f>VLOOKUP(D1059,'Position Lookup'!A:B,1,FALSE)</f>
        <v>MID</v>
      </c>
    </row>
    <row r="1060" ht="17.25" customHeight="1">
      <c r="A1060" s="10">
        <v>45241.0</v>
      </c>
      <c r="B1060" s="5" t="s">
        <v>712</v>
      </c>
      <c r="C1060" s="3" t="s">
        <v>70</v>
      </c>
      <c r="D1060" s="5" t="s">
        <v>9</v>
      </c>
      <c r="E1060" s="5">
        <v>5.0</v>
      </c>
      <c r="F1060" s="3" t="s">
        <v>1083</v>
      </c>
      <c r="G1060" s="3" t="s">
        <v>230</v>
      </c>
      <c r="J1060" s="5">
        <v>4.0</v>
      </c>
      <c r="N1060" s="3" t="b">
        <v>0</v>
      </c>
      <c r="R1060" s="3">
        <v>0.0</v>
      </c>
      <c r="T1060" s="3">
        <v>10.0</v>
      </c>
      <c r="U1060" s="3">
        <v>6.5</v>
      </c>
      <c r="V1060" s="3" t="s">
        <v>1095</v>
      </c>
      <c r="W1060" s="3" t="s">
        <v>344</v>
      </c>
      <c r="X1060" s="77" t="s">
        <v>1085</v>
      </c>
      <c r="Y1060" s="3">
        <v>1.0</v>
      </c>
      <c r="Z1060" s="3">
        <v>4.0</v>
      </c>
      <c r="AA1060" s="3">
        <f>2+ (P1060*'Scoring System'!$B$3)+ (IF(OR(D1060="DEF",D1060="GK"),N1060*'Scoring System'!$B$4,IF(D1060="MID",N1060*'Scoring System'!$B$5,0)))+ (IF(OR(D1060="DEF",D1060="GK"),H1060*'Scoring System'!$B$6,IF(D1060="MID",H1060*'Scoring System'!$B$7,IF(D1060="ATT",H1060*'Scoring System'!$B$8,0))))+ IF(AND(OR(D1060="GK",D1060="DEF"),J1060&gt;=3),1*'Scoring System'!$B$9,0)+ (I1060*'Scoring System'!$B$10)+ (K1060*'Scoring System'!$B$11)+ (M1060*'Scoring System'!$B$12)+ (L1060*'Scoring System'!$B$13)+ (O1060*'Scoring System'!$B$14)+ (Q1060*'Scoring System'!$B$15)+ (R1060*'Scoring System'!$B$16)</f>
        <v>2</v>
      </c>
      <c r="AB1060" s="3" t="b">
        <f>IFERROR(match(C1060,'Match Day Fees'!$B$2:$B$999,0),0)=0</f>
        <v>0</v>
      </c>
      <c r="AC1060" s="3">
        <f t="shared" si="2"/>
        <v>0</v>
      </c>
      <c r="AD1060" s="3" t="str">
        <f>VLOOKUP(D1060,'Position Lookup'!A:B,1,FALSE)</f>
        <v>ATT</v>
      </c>
    </row>
    <row r="1061" ht="17.25" customHeight="1">
      <c r="A1061" s="10">
        <v>45241.0</v>
      </c>
      <c r="B1061" s="5" t="s">
        <v>712</v>
      </c>
      <c r="C1061" s="3" t="s">
        <v>139</v>
      </c>
      <c r="D1061" s="5" t="s">
        <v>9</v>
      </c>
      <c r="E1061" s="5">
        <v>5.0</v>
      </c>
      <c r="F1061" s="3" t="s">
        <v>1083</v>
      </c>
      <c r="G1061" s="3" t="s">
        <v>230</v>
      </c>
      <c r="J1061" s="5">
        <v>4.0</v>
      </c>
      <c r="N1061" s="3" t="b">
        <v>0</v>
      </c>
      <c r="R1061" s="3">
        <v>0.0</v>
      </c>
      <c r="T1061" s="3">
        <v>10.0</v>
      </c>
      <c r="U1061" s="3">
        <v>7.0</v>
      </c>
      <c r="V1061" s="3" t="s">
        <v>1096</v>
      </c>
      <c r="W1061" s="3" t="s">
        <v>344</v>
      </c>
      <c r="X1061" s="77" t="s">
        <v>1085</v>
      </c>
      <c r="Y1061" s="3">
        <v>1.0</v>
      </c>
      <c r="Z1061" s="3">
        <v>4.0</v>
      </c>
      <c r="AA1061" s="3">
        <f>2+ (P1061*'Scoring System'!$B$3)+ (IF(OR(D1061="DEF",D1061="GK"),N1061*'Scoring System'!$B$4,IF(D1061="MID",N1061*'Scoring System'!$B$5,0)))+ (IF(OR(D1061="DEF",D1061="GK"),H1061*'Scoring System'!$B$6,IF(D1061="MID",H1061*'Scoring System'!$B$7,IF(D1061="ATT",H1061*'Scoring System'!$B$8,0))))+ IF(AND(OR(D1061="GK",D1061="DEF"),J1061&gt;=3),1*'Scoring System'!$B$9,0)+ (I1061*'Scoring System'!$B$10)+ (K1061*'Scoring System'!$B$11)+ (M1061*'Scoring System'!$B$12)+ (L1061*'Scoring System'!$B$13)+ (O1061*'Scoring System'!$B$14)+ (Q1061*'Scoring System'!$B$15)+ (R1061*'Scoring System'!$B$16)</f>
        <v>2</v>
      </c>
      <c r="AB1061" s="3" t="b">
        <f>IFERROR(match(C1061,'Match Day Fees'!$B$2:$B$999,0),0)=0</f>
        <v>0</v>
      </c>
      <c r="AC1061" s="3">
        <f t="shared" si="2"/>
        <v>0</v>
      </c>
      <c r="AD1061" s="3" t="str">
        <f>VLOOKUP(D1061,'Position Lookup'!A:B,1,FALSE)</f>
        <v>ATT</v>
      </c>
    </row>
    <row r="1062" ht="17.25" customHeight="1">
      <c r="A1062" s="10">
        <v>45241.0</v>
      </c>
      <c r="B1062" s="5" t="s">
        <v>712</v>
      </c>
      <c r="C1062" s="3" t="s">
        <v>95</v>
      </c>
      <c r="D1062" s="5" t="s">
        <v>9</v>
      </c>
      <c r="E1062" s="5">
        <v>5.0</v>
      </c>
      <c r="F1062" s="3" t="s">
        <v>1083</v>
      </c>
      <c r="G1062" s="3" t="s">
        <v>230</v>
      </c>
      <c r="I1062" s="3">
        <v>1.0</v>
      </c>
      <c r="J1062" s="5">
        <v>4.0</v>
      </c>
      <c r="N1062" s="3" t="b">
        <v>0</v>
      </c>
      <c r="R1062" s="3">
        <v>0.0</v>
      </c>
      <c r="T1062" s="3">
        <v>10.0</v>
      </c>
      <c r="U1062" s="3">
        <v>6.5</v>
      </c>
      <c r="V1062" s="3" t="s">
        <v>1097</v>
      </c>
      <c r="W1062" s="3" t="s">
        <v>344</v>
      </c>
      <c r="X1062" s="77" t="s">
        <v>1085</v>
      </c>
      <c r="Y1062" s="3">
        <v>1.0</v>
      </c>
      <c r="Z1062" s="3">
        <v>4.0</v>
      </c>
      <c r="AA1062" s="3">
        <f>2+ (P1062*'Scoring System'!$B$3)+ (IF(OR(D1062="DEF",D1062="GK"),N1062*'Scoring System'!$B$4,IF(D1062="MID",N1062*'Scoring System'!$B$5,0)))+ (IF(OR(D1062="DEF",D1062="GK"),H1062*'Scoring System'!$B$6,IF(D1062="MID",H1062*'Scoring System'!$B$7,IF(D1062="ATT",H1062*'Scoring System'!$B$8,0))))+ IF(AND(OR(D1062="GK",D1062="DEF"),J1062&gt;=3),1*'Scoring System'!$B$9,0)+ (I1062*'Scoring System'!$B$10)+ (K1062*'Scoring System'!$B$11)+ (M1062*'Scoring System'!$B$12)+ (L1062*'Scoring System'!$B$13)+ (O1062*'Scoring System'!$B$14)+ (Q1062*'Scoring System'!$B$15)+ (R1062*'Scoring System'!$B$16)</f>
        <v>5</v>
      </c>
      <c r="AB1062" s="3" t="b">
        <f>IFERROR(match(C1062,'Match Day Fees'!$B$2:$B$999,0),0)=0</f>
        <v>0</v>
      </c>
      <c r="AC1062" s="3">
        <f t="shared" si="2"/>
        <v>0</v>
      </c>
      <c r="AD1062" s="3" t="str">
        <f>VLOOKUP(D1062,'Position Lookup'!A:B,1,FALSE)</f>
        <v>ATT</v>
      </c>
    </row>
    <row r="1063" ht="17.25" customHeight="1">
      <c r="A1063" s="10">
        <v>45241.0</v>
      </c>
      <c r="B1063" s="5" t="s">
        <v>712</v>
      </c>
      <c r="C1063" s="3" t="s">
        <v>958</v>
      </c>
      <c r="D1063" s="5" t="s">
        <v>9</v>
      </c>
      <c r="E1063" s="5">
        <v>5.0</v>
      </c>
      <c r="F1063" s="3" t="s">
        <v>1083</v>
      </c>
      <c r="G1063" s="3" t="s">
        <v>230</v>
      </c>
      <c r="J1063" s="5">
        <v>4.0</v>
      </c>
      <c r="N1063" s="3" t="b">
        <v>0</v>
      </c>
      <c r="R1063" s="3">
        <v>0.0</v>
      </c>
      <c r="T1063" s="3">
        <v>10.0</v>
      </c>
      <c r="U1063" s="3">
        <v>6.5</v>
      </c>
      <c r="V1063" s="3" t="s">
        <v>1098</v>
      </c>
      <c r="W1063" s="3" t="s">
        <v>344</v>
      </c>
      <c r="X1063" s="77" t="s">
        <v>1085</v>
      </c>
      <c r="Y1063" s="3">
        <v>1.0</v>
      </c>
      <c r="Z1063" s="3">
        <v>4.0</v>
      </c>
      <c r="AA1063" s="3">
        <f>2+ (P1063*'Scoring System'!$B$3)+ (IF(OR(D1063="DEF",D1063="GK"),N1063*'Scoring System'!$B$4,IF(D1063="MID",N1063*'Scoring System'!$B$5,0)))+ (IF(OR(D1063="DEF",D1063="GK"),H1063*'Scoring System'!$B$6,IF(D1063="MID",H1063*'Scoring System'!$B$7,IF(D1063="ATT",H1063*'Scoring System'!$B$8,0))))+ IF(AND(OR(D1063="GK",D1063="DEF"),J1063&gt;=3),1*'Scoring System'!$B$9,0)+ (I1063*'Scoring System'!$B$10)+ (K1063*'Scoring System'!$B$11)+ (M1063*'Scoring System'!$B$12)+ (L1063*'Scoring System'!$B$13)+ (O1063*'Scoring System'!$B$14)+ (Q1063*'Scoring System'!$B$15)+ (R1063*'Scoring System'!$B$16)</f>
        <v>2</v>
      </c>
      <c r="AB1063" s="3" t="b">
        <f>IFERROR(match(C1063,'Match Day Fees'!$B$2:$B$999,0),0)=0</f>
        <v>0</v>
      </c>
      <c r="AC1063" s="3">
        <f t="shared" si="2"/>
        <v>0</v>
      </c>
      <c r="AD1063" s="3" t="str">
        <f>VLOOKUP(D1063,'Position Lookup'!A:B,1,FALSE)</f>
        <v>ATT</v>
      </c>
    </row>
    <row r="1064" ht="17.25" customHeight="1">
      <c r="A1064" s="10">
        <v>45241.0</v>
      </c>
      <c r="B1064" s="5" t="s">
        <v>309</v>
      </c>
      <c r="C1064" s="3" t="s">
        <v>259</v>
      </c>
      <c r="D1064" s="3" t="s">
        <v>8</v>
      </c>
      <c r="E1064" s="5">
        <v>6.0</v>
      </c>
      <c r="F1064" s="3" t="s">
        <v>1099</v>
      </c>
      <c r="G1064" s="3" t="s">
        <v>242</v>
      </c>
      <c r="J1064" s="5">
        <v>2.0</v>
      </c>
      <c r="N1064" s="3" t="b">
        <v>0</v>
      </c>
      <c r="R1064" s="3">
        <v>0.0</v>
      </c>
      <c r="T1064" s="3">
        <v>10.0</v>
      </c>
      <c r="U1064" s="3">
        <v>8.0</v>
      </c>
      <c r="V1064" s="3" t="s">
        <v>1100</v>
      </c>
      <c r="W1064" s="3" t="s">
        <v>845</v>
      </c>
      <c r="X1064" s="77" t="s">
        <v>1101</v>
      </c>
      <c r="Y1064" s="3">
        <v>2.0</v>
      </c>
      <c r="Z1064" s="3">
        <v>2.0</v>
      </c>
      <c r="AA1064" s="3">
        <f>2+ (P1064*'Scoring System'!$B$3)+ (IF(OR(D1064="DEF",D1064="GK"),N1064*'Scoring System'!$B$4,IF(D1064="MID",N1064*'Scoring System'!$B$5,0)))+ (IF(OR(D1064="DEF",D1064="GK"),H1064*'Scoring System'!$B$6,IF(D1064="MID",H1064*'Scoring System'!$B$7,IF(D1064="ATT",H1064*'Scoring System'!$B$8,0))))+ IF(AND(OR(D1064="GK",D1064="DEF"),J1064&gt;=3),1*'Scoring System'!$B$9,0)+ (I1064*'Scoring System'!$B$10)+ (K1064*'Scoring System'!$B$11)+ (M1064*'Scoring System'!$B$12)+ (L1064*'Scoring System'!$B$13)+ (O1064*'Scoring System'!$B$14)+ (Q1064*'Scoring System'!$B$15)+ (R1064*'Scoring System'!$B$16)</f>
        <v>2</v>
      </c>
      <c r="AB1064" s="3" t="b">
        <f>IFERROR(match(C1064,'Match Day Fees'!$B$2:$B$999,0),0)=0</f>
        <v>0</v>
      </c>
      <c r="AC1064" s="3">
        <f t="shared" si="2"/>
        <v>0</v>
      </c>
      <c r="AD1064" s="3" t="str">
        <f>VLOOKUP(D1064,'Position Lookup'!A:B,1,FALSE)</f>
        <v>GK</v>
      </c>
    </row>
    <row r="1065" ht="17.25" customHeight="1">
      <c r="A1065" s="10">
        <v>45241.0</v>
      </c>
      <c r="B1065" s="5" t="s">
        <v>309</v>
      </c>
      <c r="C1065" s="3" t="s">
        <v>98</v>
      </c>
      <c r="D1065" s="5" t="s">
        <v>11</v>
      </c>
      <c r="E1065" s="5">
        <v>6.0</v>
      </c>
      <c r="F1065" s="3" t="s">
        <v>1099</v>
      </c>
      <c r="G1065" s="3" t="s">
        <v>242</v>
      </c>
      <c r="J1065" s="5">
        <v>2.0</v>
      </c>
      <c r="N1065" s="3" t="b">
        <v>0</v>
      </c>
      <c r="R1065" s="3">
        <v>0.0</v>
      </c>
      <c r="T1065" s="3">
        <v>10.0</v>
      </c>
      <c r="U1065" s="3">
        <v>6.5</v>
      </c>
      <c r="V1065" s="3" t="s">
        <v>1102</v>
      </c>
      <c r="W1065" s="3" t="s">
        <v>845</v>
      </c>
      <c r="X1065" s="77" t="s">
        <v>1101</v>
      </c>
      <c r="Y1065" s="3">
        <v>2.0</v>
      </c>
      <c r="Z1065" s="3">
        <v>2.0</v>
      </c>
      <c r="AA1065" s="3">
        <f>2+ (P1065*'Scoring System'!$B$3)+ (IF(OR(D1065="DEF",D1065="GK"),N1065*'Scoring System'!$B$4,IF(D1065="MID",N1065*'Scoring System'!$B$5,0)))+ (IF(OR(D1065="DEF",D1065="GK"),H1065*'Scoring System'!$B$6,IF(D1065="MID",H1065*'Scoring System'!$B$7,IF(D1065="ATT",H1065*'Scoring System'!$B$8,0))))+ IF(AND(OR(D1065="GK",D1065="DEF"),J1065&gt;=3),1*'Scoring System'!$B$9,0)+ (I1065*'Scoring System'!$B$10)+ (K1065*'Scoring System'!$B$11)+ (M1065*'Scoring System'!$B$12)+ (L1065*'Scoring System'!$B$13)+ (O1065*'Scoring System'!$B$14)+ (Q1065*'Scoring System'!$B$15)+ (R1065*'Scoring System'!$B$16)</f>
        <v>2</v>
      </c>
      <c r="AB1065" s="3" t="b">
        <f>IFERROR(match(C1065,'Match Day Fees'!$B$2:$B$999,0),0)=0</f>
        <v>0</v>
      </c>
      <c r="AC1065" s="3">
        <f t="shared" si="2"/>
        <v>0</v>
      </c>
      <c r="AD1065" s="3" t="str">
        <f>VLOOKUP(D1065,'Position Lookup'!A:B,1,FALSE)</f>
        <v>DEF</v>
      </c>
    </row>
    <row r="1066" ht="17.25" customHeight="1">
      <c r="A1066" s="10">
        <v>45241.0</v>
      </c>
      <c r="B1066" s="5" t="s">
        <v>309</v>
      </c>
      <c r="C1066" s="3" t="s">
        <v>99</v>
      </c>
      <c r="D1066" s="5" t="s">
        <v>11</v>
      </c>
      <c r="E1066" s="5">
        <v>6.0</v>
      </c>
      <c r="F1066" s="3" t="s">
        <v>1099</v>
      </c>
      <c r="G1066" s="3" t="s">
        <v>242</v>
      </c>
      <c r="J1066" s="5">
        <v>2.0</v>
      </c>
      <c r="N1066" s="3" t="b">
        <v>0</v>
      </c>
      <c r="R1066" s="3">
        <v>0.0</v>
      </c>
      <c r="S1066" s="3" t="b">
        <v>1</v>
      </c>
      <c r="T1066" s="3">
        <v>0.0</v>
      </c>
      <c r="U1066" s="3">
        <v>5.5</v>
      </c>
      <c r="V1066" s="3" t="s">
        <v>1103</v>
      </c>
      <c r="W1066" s="3" t="s">
        <v>845</v>
      </c>
      <c r="X1066" s="77" t="s">
        <v>1101</v>
      </c>
      <c r="Y1066" s="3">
        <v>2.0</v>
      </c>
      <c r="Z1066" s="3">
        <v>2.0</v>
      </c>
      <c r="AA1066" s="3">
        <f>2+ (P1066*'Scoring System'!$B$3)+ (IF(OR(D1066="DEF",D1066="GK"),N1066*'Scoring System'!$B$4,IF(D1066="MID",N1066*'Scoring System'!$B$5,0)))+ (IF(OR(D1066="DEF",D1066="GK"),H1066*'Scoring System'!$B$6,IF(D1066="MID",H1066*'Scoring System'!$B$7,IF(D1066="ATT",H1066*'Scoring System'!$B$8,0))))+ IF(AND(OR(D1066="GK",D1066="DEF"),J1066&gt;=3),1*'Scoring System'!$B$9,0)+ (I1066*'Scoring System'!$B$10)+ (K1066*'Scoring System'!$B$11)+ (M1066*'Scoring System'!$B$12)+ (L1066*'Scoring System'!$B$13)+ (O1066*'Scoring System'!$B$14)+ (Q1066*'Scoring System'!$B$15)+ (R1066*'Scoring System'!$B$16)</f>
        <v>2</v>
      </c>
      <c r="AB1066" s="3" t="b">
        <f>IFERROR(match(C1066,'Match Day Fees'!$B$2:$B$999,0),0)=0</f>
        <v>0</v>
      </c>
      <c r="AC1066" s="3">
        <f t="shared" si="2"/>
        <v>0</v>
      </c>
      <c r="AD1066" s="3" t="str">
        <f>VLOOKUP(D1066,'Position Lookup'!A:B,1,FALSE)</f>
        <v>DEF</v>
      </c>
    </row>
    <row r="1067" ht="17.25" customHeight="1">
      <c r="A1067" s="10">
        <v>45241.0</v>
      </c>
      <c r="B1067" s="5" t="s">
        <v>309</v>
      </c>
      <c r="C1067" s="3" t="s">
        <v>142</v>
      </c>
      <c r="D1067" s="5" t="s">
        <v>11</v>
      </c>
      <c r="E1067" s="5">
        <v>6.0</v>
      </c>
      <c r="F1067" s="3" t="s">
        <v>1099</v>
      </c>
      <c r="G1067" s="3" t="s">
        <v>242</v>
      </c>
      <c r="J1067" s="5">
        <v>2.0</v>
      </c>
      <c r="N1067" s="3" t="b">
        <v>0</v>
      </c>
      <c r="R1067" s="3">
        <v>0.0</v>
      </c>
      <c r="T1067" s="3">
        <v>10.0</v>
      </c>
      <c r="U1067" s="3">
        <v>7.0</v>
      </c>
      <c r="V1067" s="3" t="s">
        <v>1104</v>
      </c>
      <c r="W1067" s="3" t="s">
        <v>845</v>
      </c>
      <c r="X1067" s="77" t="s">
        <v>1101</v>
      </c>
      <c r="Y1067" s="3">
        <v>2.0</v>
      </c>
      <c r="Z1067" s="3">
        <v>2.0</v>
      </c>
      <c r="AA1067" s="3">
        <f>2+ (P1067*'Scoring System'!$B$3)+ (IF(OR(D1067="DEF",D1067="GK"),N1067*'Scoring System'!$B$4,IF(D1067="MID",N1067*'Scoring System'!$B$5,0)))+ (IF(OR(D1067="DEF",D1067="GK"),H1067*'Scoring System'!$B$6,IF(D1067="MID",H1067*'Scoring System'!$B$7,IF(D1067="ATT",H1067*'Scoring System'!$B$8,0))))+ IF(AND(OR(D1067="GK",D1067="DEF"),J1067&gt;=3),1*'Scoring System'!$B$9,0)+ (I1067*'Scoring System'!$B$10)+ (K1067*'Scoring System'!$B$11)+ (M1067*'Scoring System'!$B$12)+ (L1067*'Scoring System'!$B$13)+ (O1067*'Scoring System'!$B$14)+ (Q1067*'Scoring System'!$B$15)+ (R1067*'Scoring System'!$B$16)</f>
        <v>2</v>
      </c>
      <c r="AB1067" s="3" t="b">
        <f>IFERROR(match(C1067,'Match Day Fees'!$B$2:$B$999,0),0)=0</f>
        <v>0</v>
      </c>
      <c r="AC1067" s="3">
        <f t="shared" si="2"/>
        <v>0</v>
      </c>
      <c r="AD1067" s="3" t="str">
        <f>VLOOKUP(D1067,'Position Lookup'!A:B,1,FALSE)</f>
        <v>DEF</v>
      </c>
    </row>
    <row r="1068" ht="17.25" customHeight="1">
      <c r="A1068" s="10">
        <v>45241.0</v>
      </c>
      <c r="B1068" s="5" t="s">
        <v>309</v>
      </c>
      <c r="C1068" s="3" t="s">
        <v>97</v>
      </c>
      <c r="D1068" s="5" t="s">
        <v>11</v>
      </c>
      <c r="E1068" s="5">
        <v>6.0</v>
      </c>
      <c r="F1068" s="3" t="s">
        <v>1099</v>
      </c>
      <c r="G1068" s="3" t="s">
        <v>242</v>
      </c>
      <c r="I1068" s="3">
        <v>1.0</v>
      </c>
      <c r="J1068" s="5">
        <v>2.0</v>
      </c>
      <c r="N1068" s="3" t="b">
        <v>0</v>
      </c>
      <c r="R1068" s="3">
        <v>0.0</v>
      </c>
      <c r="T1068" s="3">
        <v>5.0</v>
      </c>
      <c r="U1068" s="3">
        <v>6.5</v>
      </c>
      <c r="V1068" s="3" t="s">
        <v>1105</v>
      </c>
      <c r="W1068" s="3" t="s">
        <v>845</v>
      </c>
      <c r="X1068" s="77" t="s">
        <v>1101</v>
      </c>
      <c r="Y1068" s="3">
        <v>2.0</v>
      </c>
      <c r="Z1068" s="3">
        <v>2.0</v>
      </c>
      <c r="AA1068" s="3">
        <f>2+ (P1068*'Scoring System'!$B$3)+ (IF(OR(D1068="DEF",D1068="GK"),N1068*'Scoring System'!$B$4,IF(D1068="MID",N1068*'Scoring System'!$B$5,0)))+ (IF(OR(D1068="DEF",D1068="GK"),H1068*'Scoring System'!$B$6,IF(D1068="MID",H1068*'Scoring System'!$B$7,IF(D1068="ATT",H1068*'Scoring System'!$B$8,0))))+ IF(AND(OR(D1068="GK",D1068="DEF"),J1068&gt;=3),1*'Scoring System'!$B$9,0)+ (I1068*'Scoring System'!$B$10)+ (K1068*'Scoring System'!$B$11)+ (M1068*'Scoring System'!$B$12)+ (L1068*'Scoring System'!$B$13)+ (O1068*'Scoring System'!$B$14)+ (Q1068*'Scoring System'!$B$15)+ (R1068*'Scoring System'!$B$16)</f>
        <v>5</v>
      </c>
      <c r="AB1068" s="3" t="b">
        <f>IFERROR(match(C1068,'Match Day Fees'!$B$2:$B$999,0),0)=0</f>
        <v>0</v>
      </c>
      <c r="AC1068" s="3">
        <f t="shared" si="2"/>
        <v>0</v>
      </c>
      <c r="AD1068" s="3" t="str">
        <f>VLOOKUP(D1068,'Position Lookup'!A:B,1,FALSE)</f>
        <v>DEF</v>
      </c>
    </row>
    <row r="1069" ht="17.25" customHeight="1">
      <c r="A1069" s="10">
        <v>45241.0</v>
      </c>
      <c r="B1069" s="5" t="s">
        <v>309</v>
      </c>
      <c r="C1069" s="3" t="s">
        <v>147</v>
      </c>
      <c r="D1069" s="5" t="s">
        <v>9</v>
      </c>
      <c r="E1069" s="5">
        <v>6.0</v>
      </c>
      <c r="F1069" s="3" t="s">
        <v>1099</v>
      </c>
      <c r="G1069" s="3" t="s">
        <v>242</v>
      </c>
      <c r="J1069" s="5">
        <v>2.0</v>
      </c>
      <c r="N1069" s="3" t="b">
        <v>0</v>
      </c>
      <c r="R1069" s="3">
        <v>0.0</v>
      </c>
      <c r="T1069" s="3">
        <v>10.0</v>
      </c>
      <c r="U1069" s="3">
        <v>7.5</v>
      </c>
      <c r="V1069" s="3" t="s">
        <v>1106</v>
      </c>
      <c r="W1069" s="3" t="s">
        <v>845</v>
      </c>
      <c r="X1069" s="77" t="s">
        <v>1101</v>
      </c>
      <c r="Y1069" s="3">
        <v>2.0</v>
      </c>
      <c r="Z1069" s="3">
        <v>2.0</v>
      </c>
      <c r="AA1069" s="3">
        <f>2+ (P1069*'Scoring System'!$B$3)+ (IF(OR(D1069="DEF",D1069="GK"),N1069*'Scoring System'!$B$4,IF(D1069="MID",N1069*'Scoring System'!$B$5,0)))+ (IF(OR(D1069="DEF",D1069="GK"),H1069*'Scoring System'!$B$6,IF(D1069="MID",H1069*'Scoring System'!$B$7,IF(D1069="ATT",H1069*'Scoring System'!$B$8,0))))+ IF(AND(OR(D1069="GK",D1069="DEF"),J1069&gt;=3),1*'Scoring System'!$B$9,0)+ (I1069*'Scoring System'!$B$10)+ (K1069*'Scoring System'!$B$11)+ (M1069*'Scoring System'!$B$12)+ (L1069*'Scoring System'!$B$13)+ (O1069*'Scoring System'!$B$14)+ (Q1069*'Scoring System'!$B$15)+ (R1069*'Scoring System'!$B$16)</f>
        <v>2</v>
      </c>
      <c r="AB1069" s="3" t="b">
        <f>IFERROR(match(C1069,'Match Day Fees'!$B$2:$B$999,0),0)=0</f>
        <v>0</v>
      </c>
      <c r="AC1069" s="3">
        <f t="shared" si="2"/>
        <v>0</v>
      </c>
      <c r="AD1069" s="3" t="str">
        <f>VLOOKUP(D1069,'Position Lookup'!A:B,1,FALSE)</f>
        <v>ATT</v>
      </c>
    </row>
    <row r="1070" ht="17.25" customHeight="1">
      <c r="A1070" s="10">
        <v>45241.0</v>
      </c>
      <c r="B1070" s="5" t="s">
        <v>309</v>
      </c>
      <c r="C1070" s="3" t="s">
        <v>105</v>
      </c>
      <c r="D1070" s="5" t="s">
        <v>10</v>
      </c>
      <c r="E1070" s="5">
        <v>6.0</v>
      </c>
      <c r="F1070" s="3" t="s">
        <v>1099</v>
      </c>
      <c r="G1070" s="3" t="s">
        <v>242</v>
      </c>
      <c r="I1070" s="3">
        <v>1.0</v>
      </c>
      <c r="J1070" s="5">
        <v>2.0</v>
      </c>
      <c r="N1070" s="3" t="b">
        <v>0</v>
      </c>
      <c r="O1070" s="3">
        <v>1.0</v>
      </c>
      <c r="R1070" s="3">
        <v>1.0</v>
      </c>
      <c r="T1070" s="3">
        <v>10.0</v>
      </c>
      <c r="U1070" s="3">
        <v>8.5</v>
      </c>
      <c r="V1070" s="3" t="s">
        <v>1107</v>
      </c>
      <c r="W1070" s="3" t="s">
        <v>845</v>
      </c>
      <c r="X1070" s="77" t="s">
        <v>1101</v>
      </c>
      <c r="Y1070" s="3">
        <v>2.0</v>
      </c>
      <c r="Z1070" s="3">
        <v>2.0</v>
      </c>
      <c r="AA1070" s="3">
        <f>2+ (P1070*'Scoring System'!$B$3)+ (IF(OR(D1070="DEF",D1070="GK"),N1070*'Scoring System'!$B$4,IF(D1070="MID",N1070*'Scoring System'!$B$5,0)))+ (IF(OR(D1070="DEF",D1070="GK"),H1070*'Scoring System'!$B$6,IF(D1070="MID",H1070*'Scoring System'!$B$7,IF(D1070="ATT",H1070*'Scoring System'!$B$8,0))))+ IF(AND(OR(D1070="GK",D1070="DEF"),J1070&gt;=3),1*'Scoring System'!$B$9,0)+ (I1070*'Scoring System'!$B$10)+ (K1070*'Scoring System'!$B$11)+ (M1070*'Scoring System'!$B$12)+ (L1070*'Scoring System'!$B$13)+ (O1070*'Scoring System'!$B$14)+ (Q1070*'Scoring System'!$B$15)+ (R1070*'Scoring System'!$B$16)</f>
        <v>8</v>
      </c>
      <c r="AB1070" s="3" t="b">
        <f>IFERROR(match(C1070,'Match Day Fees'!$B$2:$B$999,0),0)=0</f>
        <v>0</v>
      </c>
      <c r="AC1070" s="3">
        <f t="shared" si="2"/>
        <v>0</v>
      </c>
      <c r="AD1070" s="3" t="str">
        <f>VLOOKUP(D1070,'Position Lookup'!A:B,1,FALSE)</f>
        <v>MID</v>
      </c>
    </row>
    <row r="1071" ht="17.25" customHeight="1">
      <c r="A1071" s="10">
        <v>45241.0</v>
      </c>
      <c r="B1071" s="5" t="s">
        <v>309</v>
      </c>
      <c r="C1071" s="3" t="s">
        <v>231</v>
      </c>
      <c r="D1071" s="5" t="s">
        <v>10</v>
      </c>
      <c r="E1071" s="5">
        <v>6.0</v>
      </c>
      <c r="F1071" s="3" t="s">
        <v>1099</v>
      </c>
      <c r="G1071" s="3" t="s">
        <v>242</v>
      </c>
      <c r="J1071" s="5">
        <v>2.0</v>
      </c>
      <c r="N1071" s="3" t="b">
        <v>0</v>
      </c>
      <c r="R1071" s="3">
        <v>0.0</v>
      </c>
      <c r="T1071" s="3">
        <v>10.0</v>
      </c>
      <c r="U1071" s="3">
        <v>7.5</v>
      </c>
      <c r="V1071" s="3" t="s">
        <v>1108</v>
      </c>
      <c r="W1071" s="3" t="s">
        <v>845</v>
      </c>
      <c r="X1071" s="77" t="s">
        <v>1101</v>
      </c>
      <c r="Y1071" s="3">
        <v>2.0</v>
      </c>
      <c r="Z1071" s="3">
        <v>2.0</v>
      </c>
      <c r="AA1071" s="3">
        <f>2+ (P1071*'Scoring System'!$B$3)+ (IF(OR(D1071="DEF",D1071="GK"),N1071*'Scoring System'!$B$4,IF(D1071="MID",N1071*'Scoring System'!$B$5,0)))+ (IF(OR(D1071="DEF",D1071="GK"),H1071*'Scoring System'!$B$6,IF(D1071="MID",H1071*'Scoring System'!$B$7,IF(D1071="ATT",H1071*'Scoring System'!$B$8,0))))+ IF(AND(OR(D1071="GK",D1071="DEF"),J1071&gt;=3),1*'Scoring System'!$B$9,0)+ (I1071*'Scoring System'!$B$10)+ (K1071*'Scoring System'!$B$11)+ (M1071*'Scoring System'!$B$12)+ (L1071*'Scoring System'!$B$13)+ (O1071*'Scoring System'!$B$14)+ (Q1071*'Scoring System'!$B$15)+ (R1071*'Scoring System'!$B$16)</f>
        <v>2</v>
      </c>
      <c r="AB1071" s="3" t="b">
        <f>IFERROR(match(C1071,'Match Day Fees'!$B$2:$B$999,0),0)=0</f>
        <v>0</v>
      </c>
      <c r="AC1071" s="3">
        <f t="shared" si="2"/>
        <v>0</v>
      </c>
      <c r="AD1071" s="3" t="str">
        <f>VLOOKUP(D1071,'Position Lookup'!A:B,1,FALSE)</f>
        <v>MID</v>
      </c>
    </row>
    <row r="1072" ht="17.25" customHeight="1">
      <c r="A1072" s="10">
        <v>45241.0</v>
      </c>
      <c r="B1072" s="5" t="s">
        <v>309</v>
      </c>
      <c r="C1072" s="3" t="s">
        <v>143</v>
      </c>
      <c r="D1072" s="5" t="s">
        <v>9</v>
      </c>
      <c r="E1072" s="5">
        <v>6.0</v>
      </c>
      <c r="F1072" s="3" t="s">
        <v>1099</v>
      </c>
      <c r="G1072" s="3" t="s">
        <v>242</v>
      </c>
      <c r="J1072" s="5">
        <v>2.0</v>
      </c>
      <c r="N1072" s="3" t="b">
        <v>0</v>
      </c>
      <c r="R1072" s="3">
        <v>0.0</v>
      </c>
      <c r="T1072" s="3">
        <v>5.0</v>
      </c>
      <c r="U1072" s="3">
        <v>6.0</v>
      </c>
      <c r="V1072" s="3" t="s">
        <v>1109</v>
      </c>
      <c r="W1072" s="3" t="s">
        <v>845</v>
      </c>
      <c r="X1072" s="77" t="s">
        <v>1101</v>
      </c>
      <c r="Y1072" s="3">
        <v>2.0</v>
      </c>
      <c r="Z1072" s="3">
        <v>2.0</v>
      </c>
      <c r="AA1072" s="3">
        <f>2+ (P1072*'Scoring System'!$B$3)+ (IF(OR(D1072="DEF",D1072="GK"),N1072*'Scoring System'!$B$4,IF(D1072="MID",N1072*'Scoring System'!$B$5,0)))+ (IF(OR(D1072="DEF",D1072="GK"),H1072*'Scoring System'!$B$6,IF(D1072="MID",H1072*'Scoring System'!$B$7,IF(D1072="ATT",H1072*'Scoring System'!$B$8,0))))+ IF(AND(OR(D1072="GK",D1072="DEF"),J1072&gt;=3),1*'Scoring System'!$B$9,0)+ (I1072*'Scoring System'!$B$10)+ (K1072*'Scoring System'!$B$11)+ (M1072*'Scoring System'!$B$12)+ (L1072*'Scoring System'!$B$13)+ (O1072*'Scoring System'!$B$14)+ (Q1072*'Scoring System'!$B$15)+ (R1072*'Scoring System'!$B$16)</f>
        <v>2</v>
      </c>
      <c r="AB1072" s="3" t="b">
        <f>IFERROR(match(C1072,'Match Day Fees'!$B$2:$B$999,0),0)=0</f>
        <v>0</v>
      </c>
      <c r="AC1072" s="3">
        <f t="shared" si="2"/>
        <v>0</v>
      </c>
      <c r="AD1072" s="3" t="str">
        <f>VLOOKUP(D1072,'Position Lookup'!A:B,1,FALSE)</f>
        <v>ATT</v>
      </c>
    </row>
    <row r="1073" ht="17.25" customHeight="1">
      <c r="A1073" s="10">
        <v>45241.0</v>
      </c>
      <c r="B1073" s="5" t="s">
        <v>309</v>
      </c>
      <c r="C1073" s="3" t="s">
        <v>122</v>
      </c>
      <c r="D1073" s="5" t="s">
        <v>10</v>
      </c>
      <c r="E1073" s="5">
        <v>6.0</v>
      </c>
      <c r="F1073" s="3" t="s">
        <v>1099</v>
      </c>
      <c r="G1073" s="3" t="s">
        <v>242</v>
      </c>
      <c r="H1073" s="3">
        <v>2.0</v>
      </c>
      <c r="J1073" s="5">
        <v>2.0</v>
      </c>
      <c r="N1073" s="3" t="b">
        <v>0</v>
      </c>
      <c r="R1073" s="3">
        <v>0.0</v>
      </c>
      <c r="T1073" s="3">
        <v>5.0</v>
      </c>
      <c r="U1073" s="3">
        <v>8.0</v>
      </c>
      <c r="V1073" s="3" t="s">
        <v>1110</v>
      </c>
      <c r="W1073" s="3" t="s">
        <v>845</v>
      </c>
      <c r="X1073" s="77" t="s">
        <v>1101</v>
      </c>
      <c r="Y1073" s="3">
        <v>2.0</v>
      </c>
      <c r="Z1073" s="3">
        <v>2.0</v>
      </c>
      <c r="AA1073" s="3">
        <f>2+ (P1073*'Scoring System'!$B$3)+ (IF(OR(D1073="DEF",D1073="GK"),N1073*'Scoring System'!$B$4,IF(D1073="MID",N1073*'Scoring System'!$B$5,0)))+ (IF(OR(D1073="DEF",D1073="GK"),H1073*'Scoring System'!$B$6,IF(D1073="MID",H1073*'Scoring System'!$B$7,IF(D1073="ATT",H1073*'Scoring System'!$B$8,0))))+ IF(AND(OR(D1073="GK",D1073="DEF"),J1073&gt;=3),1*'Scoring System'!$B$9,0)+ (I1073*'Scoring System'!$B$10)+ (K1073*'Scoring System'!$B$11)+ (M1073*'Scoring System'!$B$12)+ (L1073*'Scoring System'!$B$13)+ (O1073*'Scoring System'!$B$14)+ (Q1073*'Scoring System'!$B$15)+ (R1073*'Scoring System'!$B$16)</f>
        <v>12</v>
      </c>
      <c r="AB1073" s="3" t="b">
        <f>IFERROR(match(C1073,'Match Day Fees'!$B$2:$B$999,0),0)=0</f>
        <v>0</v>
      </c>
      <c r="AC1073" s="3">
        <f t="shared" si="2"/>
        <v>0</v>
      </c>
      <c r="AD1073" s="3" t="str">
        <f>VLOOKUP(D1073,'Position Lookup'!A:B,1,FALSE)</f>
        <v>MID</v>
      </c>
    </row>
    <row r="1074" ht="17.25" customHeight="1">
      <c r="A1074" s="10">
        <v>45241.0</v>
      </c>
      <c r="B1074" s="5" t="s">
        <v>309</v>
      </c>
      <c r="C1074" s="3" t="s">
        <v>235</v>
      </c>
      <c r="D1074" s="5" t="s">
        <v>9</v>
      </c>
      <c r="E1074" s="5">
        <v>6.0</v>
      </c>
      <c r="F1074" s="3" t="s">
        <v>1099</v>
      </c>
      <c r="G1074" s="3" t="s">
        <v>242</v>
      </c>
      <c r="J1074" s="5">
        <v>2.0</v>
      </c>
      <c r="N1074" s="3" t="b">
        <v>0</v>
      </c>
      <c r="R1074" s="3">
        <v>0.0</v>
      </c>
      <c r="T1074" s="3">
        <v>10.0</v>
      </c>
      <c r="U1074" s="3">
        <v>5.5</v>
      </c>
      <c r="V1074" s="3" t="s">
        <v>1111</v>
      </c>
      <c r="W1074" s="3" t="s">
        <v>845</v>
      </c>
      <c r="X1074" s="77" t="s">
        <v>1101</v>
      </c>
      <c r="Y1074" s="3">
        <v>2.0</v>
      </c>
      <c r="Z1074" s="3">
        <v>2.0</v>
      </c>
      <c r="AA1074" s="3">
        <f>2+ (P1074*'Scoring System'!$B$3)+ (IF(OR(D1074="DEF",D1074="GK"),N1074*'Scoring System'!$B$4,IF(D1074="MID",N1074*'Scoring System'!$B$5,0)))+ (IF(OR(D1074="DEF",D1074="GK"),H1074*'Scoring System'!$B$6,IF(D1074="MID",H1074*'Scoring System'!$B$7,IF(D1074="ATT",H1074*'Scoring System'!$B$8,0))))+ IF(AND(OR(D1074="GK",D1074="DEF"),J1074&gt;=3),1*'Scoring System'!$B$9,0)+ (I1074*'Scoring System'!$B$10)+ (K1074*'Scoring System'!$B$11)+ (M1074*'Scoring System'!$B$12)+ (L1074*'Scoring System'!$B$13)+ (O1074*'Scoring System'!$B$14)+ (Q1074*'Scoring System'!$B$15)+ (R1074*'Scoring System'!$B$16)</f>
        <v>2</v>
      </c>
      <c r="AB1074" s="3" t="b">
        <f>IFERROR(match(C1074,'Match Day Fees'!$B$2:$B$999,0),0)=0</f>
        <v>0</v>
      </c>
      <c r="AC1074" s="3">
        <f t="shared" si="2"/>
        <v>0</v>
      </c>
      <c r="AD1074" s="3" t="str">
        <f>VLOOKUP(D1074,'Position Lookup'!A:B,1,FALSE)</f>
        <v>ATT</v>
      </c>
    </row>
    <row r="1075" ht="17.25" customHeight="1">
      <c r="A1075" s="10">
        <v>45241.0</v>
      </c>
      <c r="B1075" s="5" t="s">
        <v>309</v>
      </c>
      <c r="C1075" s="3" t="s">
        <v>140</v>
      </c>
      <c r="D1075" s="5" t="s">
        <v>9</v>
      </c>
      <c r="E1075" s="5">
        <v>6.0</v>
      </c>
      <c r="F1075" s="3" t="s">
        <v>1099</v>
      </c>
      <c r="G1075" s="3" t="s">
        <v>242</v>
      </c>
      <c r="J1075" s="5">
        <v>2.0</v>
      </c>
      <c r="N1075" s="3" t="b">
        <v>0</v>
      </c>
      <c r="R1075" s="3">
        <v>0.0</v>
      </c>
      <c r="T1075" s="3">
        <v>5.0</v>
      </c>
      <c r="U1075" s="3">
        <v>7.5</v>
      </c>
      <c r="V1075" s="3" t="s">
        <v>1112</v>
      </c>
      <c r="W1075" s="3" t="s">
        <v>845</v>
      </c>
      <c r="X1075" s="77" t="s">
        <v>1101</v>
      </c>
      <c r="Y1075" s="3">
        <v>2.0</v>
      </c>
      <c r="Z1075" s="3">
        <v>2.0</v>
      </c>
      <c r="AA1075" s="3">
        <f>2+ (P1075*'Scoring System'!$B$3)+ (IF(OR(D1075="DEF",D1075="GK"),N1075*'Scoring System'!$B$4,IF(D1075="MID",N1075*'Scoring System'!$B$5,0)))+ (IF(OR(D1075="DEF",D1075="GK"),H1075*'Scoring System'!$B$6,IF(D1075="MID",H1075*'Scoring System'!$B$7,IF(D1075="ATT",H1075*'Scoring System'!$B$8,0))))+ IF(AND(OR(D1075="GK",D1075="DEF"),J1075&gt;=3),1*'Scoring System'!$B$9,0)+ (I1075*'Scoring System'!$B$10)+ (K1075*'Scoring System'!$B$11)+ (M1075*'Scoring System'!$B$12)+ (L1075*'Scoring System'!$B$13)+ (O1075*'Scoring System'!$B$14)+ (Q1075*'Scoring System'!$B$15)+ (R1075*'Scoring System'!$B$16)</f>
        <v>2</v>
      </c>
      <c r="AB1075" s="3" t="b">
        <f>IFERROR(match(C1075,'Match Day Fees'!$B$2:$B$999,0),0)=0</f>
        <v>0</v>
      </c>
      <c r="AC1075" s="3">
        <f t="shared" si="2"/>
        <v>0</v>
      </c>
      <c r="AD1075" s="3" t="str">
        <f>VLOOKUP(D1075,'Position Lookup'!A:B,1,FALSE)</f>
        <v>ATT</v>
      </c>
    </row>
    <row r="1076" ht="17.25" customHeight="1">
      <c r="A1076" s="10">
        <v>45241.0</v>
      </c>
      <c r="B1076" s="5" t="s">
        <v>309</v>
      </c>
      <c r="C1076" s="3" t="s">
        <v>284</v>
      </c>
      <c r="D1076" s="5" t="s">
        <v>9</v>
      </c>
      <c r="E1076" s="5">
        <v>6.0</v>
      </c>
      <c r="F1076" s="3" t="s">
        <v>1099</v>
      </c>
      <c r="G1076" s="3" t="s">
        <v>242</v>
      </c>
      <c r="J1076" s="5">
        <v>2.0</v>
      </c>
      <c r="N1076" s="3" t="b">
        <v>0</v>
      </c>
      <c r="R1076" s="3">
        <v>0.0</v>
      </c>
      <c r="T1076" s="3">
        <v>10.0</v>
      </c>
      <c r="U1076" s="3">
        <v>7.0</v>
      </c>
      <c r="V1076" s="3" t="s">
        <v>1113</v>
      </c>
      <c r="W1076" s="3" t="s">
        <v>845</v>
      </c>
      <c r="X1076" s="77" t="s">
        <v>1101</v>
      </c>
      <c r="Y1076" s="3">
        <v>2.0</v>
      </c>
      <c r="Z1076" s="3">
        <v>2.0</v>
      </c>
      <c r="AA1076" s="3">
        <f>2+ (P1076*'Scoring System'!$B$3)+ (IF(OR(D1076="DEF",D1076="GK"),N1076*'Scoring System'!$B$4,IF(D1076="MID",N1076*'Scoring System'!$B$5,0)))+ (IF(OR(D1076="DEF",D1076="GK"),H1076*'Scoring System'!$B$6,IF(D1076="MID",H1076*'Scoring System'!$B$7,IF(D1076="ATT",H1076*'Scoring System'!$B$8,0))))+ IF(AND(OR(D1076="GK",D1076="DEF"),J1076&gt;=3),1*'Scoring System'!$B$9,0)+ (I1076*'Scoring System'!$B$10)+ (K1076*'Scoring System'!$B$11)+ (M1076*'Scoring System'!$B$12)+ (L1076*'Scoring System'!$B$13)+ (O1076*'Scoring System'!$B$14)+ (Q1076*'Scoring System'!$B$15)+ (R1076*'Scoring System'!$B$16)</f>
        <v>2</v>
      </c>
      <c r="AB1076" s="3" t="b">
        <f>IFERROR(match(C1076,'Match Day Fees'!$B$2:$B$999,0),0)=0</f>
        <v>0</v>
      </c>
      <c r="AC1076" s="3">
        <f t="shared" si="2"/>
        <v>0</v>
      </c>
      <c r="AD1076" s="3" t="str">
        <f>VLOOKUP(D1076,'Position Lookup'!A:B,1,FALSE)</f>
        <v>ATT</v>
      </c>
    </row>
    <row r="1077" ht="17.25" customHeight="1">
      <c r="A1077" s="10">
        <v>45241.0</v>
      </c>
      <c r="B1077" s="5" t="s">
        <v>309</v>
      </c>
      <c r="C1077" s="3" t="s">
        <v>141</v>
      </c>
      <c r="D1077" s="5" t="s">
        <v>11</v>
      </c>
      <c r="E1077" s="5">
        <v>6.0</v>
      </c>
      <c r="F1077" s="3" t="s">
        <v>1099</v>
      </c>
      <c r="G1077" s="3" t="s">
        <v>242</v>
      </c>
      <c r="J1077" s="5">
        <v>2.0</v>
      </c>
      <c r="N1077" s="3" t="b">
        <v>0</v>
      </c>
      <c r="R1077" s="3">
        <v>0.0</v>
      </c>
      <c r="T1077" s="3">
        <v>5.0</v>
      </c>
      <c r="U1077" s="3">
        <v>7.5</v>
      </c>
      <c r="V1077" s="3" t="s">
        <v>1114</v>
      </c>
      <c r="W1077" s="3" t="s">
        <v>845</v>
      </c>
      <c r="X1077" s="77" t="s">
        <v>1101</v>
      </c>
      <c r="Y1077" s="3">
        <v>2.0</v>
      </c>
      <c r="Z1077" s="3">
        <v>2.0</v>
      </c>
      <c r="AA1077" s="3">
        <f>2+ (P1077*'Scoring System'!$B$3)+ (IF(OR(D1077="DEF",D1077="GK"),N1077*'Scoring System'!$B$4,IF(D1077="MID",N1077*'Scoring System'!$B$5,0)))+ (IF(OR(D1077="DEF",D1077="GK"),H1077*'Scoring System'!$B$6,IF(D1077="MID",H1077*'Scoring System'!$B$7,IF(D1077="ATT",H1077*'Scoring System'!$B$8,0))))+ IF(AND(OR(D1077="GK",D1077="DEF"),J1077&gt;=3),1*'Scoring System'!$B$9,0)+ (I1077*'Scoring System'!$B$10)+ (K1077*'Scoring System'!$B$11)+ (M1077*'Scoring System'!$B$12)+ (L1077*'Scoring System'!$B$13)+ (O1077*'Scoring System'!$B$14)+ (Q1077*'Scoring System'!$B$15)+ (R1077*'Scoring System'!$B$16)</f>
        <v>2</v>
      </c>
      <c r="AB1077" s="3" t="b">
        <f>IFERROR(match(C1077,'Match Day Fees'!$B$2:$B$999,0),0)=0</f>
        <v>0</v>
      </c>
      <c r="AC1077" s="3">
        <f t="shared" si="2"/>
        <v>0</v>
      </c>
      <c r="AD1077" s="3" t="str">
        <f>VLOOKUP(D1077,'Position Lookup'!A:B,1,FALSE)</f>
        <v>DEF</v>
      </c>
    </row>
    <row r="1078" ht="17.25" customHeight="1">
      <c r="A1078" s="10">
        <v>45241.0</v>
      </c>
      <c r="B1078" s="5" t="s">
        <v>222</v>
      </c>
      <c r="C1078" s="3" t="s">
        <v>290</v>
      </c>
      <c r="D1078" s="5" t="s">
        <v>11</v>
      </c>
      <c r="E1078" s="5" t="s">
        <v>157</v>
      </c>
      <c r="G1078" s="3" t="s">
        <v>224</v>
      </c>
      <c r="J1078" s="5">
        <v>4.0</v>
      </c>
      <c r="N1078" s="3" t="b">
        <v>0</v>
      </c>
      <c r="R1078" s="3">
        <v>0.0</v>
      </c>
      <c r="X1078" s="77"/>
      <c r="Y1078" s="3">
        <v>6.0</v>
      </c>
      <c r="Z1078" s="3">
        <v>4.0</v>
      </c>
      <c r="AA1078" s="3">
        <f>2+ (P1078*'Scoring System'!$B$3)+ (IF(OR(D1078="DEF",D1078="GK"),N1078*'Scoring System'!$B$4,IF(D1078="MID",N1078*'Scoring System'!$B$5,0)))+ (IF(OR(D1078="DEF",D1078="GK"),H1078*'Scoring System'!$B$6,IF(D1078="MID",H1078*'Scoring System'!$B$7,IF(D1078="ATT",H1078*'Scoring System'!$B$8,0))))+ IF(AND(OR(D1078="GK",D1078="DEF"),J1078&gt;=3),1*'Scoring System'!$B$9,0)+ (I1078*'Scoring System'!$B$10)+ (K1078*'Scoring System'!$B$11)+ (M1078*'Scoring System'!$B$12)+ (L1078*'Scoring System'!$B$13)+ (O1078*'Scoring System'!$B$14)+ (Q1078*'Scoring System'!$B$15)+ (R1078*'Scoring System'!$B$16)</f>
        <v>1</v>
      </c>
      <c r="AB1078" s="3" t="b">
        <f>IFERROR(match(C1078,'Match Day Fees'!$B$2:$B$999,0),0)=0</f>
        <v>0</v>
      </c>
      <c r="AC1078" s="3">
        <f t="shared" si="2"/>
        <v>0</v>
      </c>
      <c r="AD1078" s="3" t="str">
        <f>VLOOKUP(D1078,'Position Lookup'!A:B,1,FALSE)</f>
        <v>DEF</v>
      </c>
    </row>
    <row r="1079" ht="17.25" customHeight="1">
      <c r="A1079" s="10">
        <v>45241.0</v>
      </c>
      <c r="B1079" s="5" t="s">
        <v>222</v>
      </c>
      <c r="C1079" s="3" t="s">
        <v>291</v>
      </c>
      <c r="D1079" s="5" t="s">
        <v>11</v>
      </c>
      <c r="E1079" s="5" t="s">
        <v>157</v>
      </c>
      <c r="G1079" s="3" t="s">
        <v>224</v>
      </c>
      <c r="J1079" s="5">
        <v>4.0</v>
      </c>
      <c r="N1079" s="3" t="b">
        <v>0</v>
      </c>
      <c r="R1079" s="3">
        <v>0.0</v>
      </c>
      <c r="X1079" s="77"/>
      <c r="Y1079" s="3">
        <v>6.0</v>
      </c>
      <c r="Z1079" s="3">
        <v>4.0</v>
      </c>
      <c r="AA1079" s="3">
        <f>2+ (P1079*'Scoring System'!$B$3)+ (IF(OR(D1079="DEF",D1079="GK"),N1079*'Scoring System'!$B$4,IF(D1079="MID",N1079*'Scoring System'!$B$5,0)))+ (IF(OR(D1079="DEF",D1079="GK"),H1079*'Scoring System'!$B$6,IF(D1079="MID",H1079*'Scoring System'!$B$7,IF(D1079="ATT",H1079*'Scoring System'!$B$8,0))))+ IF(AND(OR(D1079="GK",D1079="DEF"),J1079&gt;=3),1*'Scoring System'!$B$9,0)+ (I1079*'Scoring System'!$B$10)+ (K1079*'Scoring System'!$B$11)+ (M1079*'Scoring System'!$B$12)+ (L1079*'Scoring System'!$B$13)+ (O1079*'Scoring System'!$B$14)+ (Q1079*'Scoring System'!$B$15)+ (R1079*'Scoring System'!$B$16)</f>
        <v>1</v>
      </c>
      <c r="AB1079" s="3" t="b">
        <f>IFERROR(match(C1079,'Match Day Fees'!$B$2:$B$999,0),0)=0</f>
        <v>0</v>
      </c>
      <c r="AC1079" s="3">
        <f t="shared" si="2"/>
        <v>0</v>
      </c>
      <c r="AD1079" s="3" t="str">
        <f>VLOOKUP(D1079,'Position Lookup'!A:B,1,FALSE)</f>
        <v>DEF</v>
      </c>
    </row>
    <row r="1080" ht="17.25" customHeight="1">
      <c r="A1080" s="10">
        <v>45241.0</v>
      </c>
      <c r="B1080" s="5" t="s">
        <v>222</v>
      </c>
      <c r="C1080" s="3" t="s">
        <v>129</v>
      </c>
      <c r="D1080" s="5" t="s">
        <v>10</v>
      </c>
      <c r="E1080" s="5" t="s">
        <v>157</v>
      </c>
      <c r="G1080" s="3" t="s">
        <v>224</v>
      </c>
      <c r="I1080" s="3">
        <v>1.0</v>
      </c>
      <c r="J1080" s="5">
        <v>4.0</v>
      </c>
      <c r="N1080" s="3" t="b">
        <v>0</v>
      </c>
      <c r="R1080" s="3">
        <v>0.0</v>
      </c>
      <c r="X1080" s="77"/>
      <c r="Y1080" s="3">
        <v>6.0</v>
      </c>
      <c r="Z1080" s="3">
        <v>4.0</v>
      </c>
      <c r="AA1080" s="3">
        <f>2+ (P1080*'Scoring System'!$B$3)+ (IF(OR(D1080="DEF",D1080="GK"),N1080*'Scoring System'!$B$4,IF(D1080="MID",N1080*'Scoring System'!$B$5,0)))+ (IF(OR(D1080="DEF",D1080="GK"),H1080*'Scoring System'!$B$6,IF(D1080="MID",H1080*'Scoring System'!$B$7,IF(D1080="ATT",H1080*'Scoring System'!$B$8,0))))+ IF(AND(OR(D1080="GK",D1080="DEF"),J1080&gt;=3),1*'Scoring System'!$B$9,0)+ (I1080*'Scoring System'!$B$10)+ (K1080*'Scoring System'!$B$11)+ (M1080*'Scoring System'!$B$12)+ (L1080*'Scoring System'!$B$13)+ (O1080*'Scoring System'!$B$14)+ (Q1080*'Scoring System'!$B$15)+ (R1080*'Scoring System'!$B$16)</f>
        <v>5</v>
      </c>
      <c r="AB1080" s="3" t="b">
        <f>IFERROR(match(C1080,'Match Day Fees'!$B$2:$B$999,0),0)=0</f>
        <v>0</v>
      </c>
      <c r="AC1080" s="3">
        <f t="shared" si="2"/>
        <v>0</v>
      </c>
      <c r="AD1080" s="3" t="str">
        <f>VLOOKUP(D1080,'Position Lookup'!A:B,1,FALSE)</f>
        <v>MID</v>
      </c>
    </row>
    <row r="1081" ht="17.25" customHeight="1">
      <c r="A1081" s="10">
        <v>45241.0</v>
      </c>
      <c r="B1081" s="5" t="s">
        <v>222</v>
      </c>
      <c r="C1081" s="3" t="s">
        <v>146</v>
      </c>
      <c r="D1081" s="5" t="s">
        <v>11</v>
      </c>
      <c r="E1081" s="5" t="s">
        <v>157</v>
      </c>
      <c r="G1081" s="3" t="s">
        <v>224</v>
      </c>
      <c r="J1081" s="5">
        <v>4.0</v>
      </c>
      <c r="N1081" s="3" t="b">
        <v>0</v>
      </c>
      <c r="R1081" s="3">
        <v>0.0</v>
      </c>
      <c r="X1081" s="77"/>
      <c r="Y1081" s="3">
        <v>6.0</v>
      </c>
      <c r="Z1081" s="3">
        <v>4.0</v>
      </c>
      <c r="AA1081" s="3">
        <f>2+ (P1081*'Scoring System'!$B$3)+ (IF(OR(D1081="DEF",D1081="GK"),N1081*'Scoring System'!$B$4,IF(D1081="MID",N1081*'Scoring System'!$B$5,0)))+ (IF(OR(D1081="DEF",D1081="GK"),H1081*'Scoring System'!$B$6,IF(D1081="MID",H1081*'Scoring System'!$B$7,IF(D1081="ATT",H1081*'Scoring System'!$B$8,0))))+ IF(AND(OR(D1081="GK",D1081="DEF"),J1081&gt;=3),1*'Scoring System'!$B$9,0)+ (I1081*'Scoring System'!$B$10)+ (K1081*'Scoring System'!$B$11)+ (M1081*'Scoring System'!$B$12)+ (L1081*'Scoring System'!$B$13)+ (O1081*'Scoring System'!$B$14)+ (Q1081*'Scoring System'!$B$15)+ (R1081*'Scoring System'!$B$16)</f>
        <v>1</v>
      </c>
      <c r="AB1081" s="3" t="b">
        <f>IFERROR(match(C1081,'Match Day Fees'!$B$2:$B$999,0),0)=0</f>
        <v>0</v>
      </c>
      <c r="AC1081" s="3">
        <f t="shared" si="2"/>
        <v>0</v>
      </c>
      <c r="AD1081" s="3" t="str">
        <f>VLOOKUP(D1081,'Position Lookup'!A:B,1,FALSE)</f>
        <v>DEF</v>
      </c>
    </row>
    <row r="1082" ht="17.25" customHeight="1">
      <c r="A1082" s="10">
        <v>45241.0</v>
      </c>
      <c r="B1082" s="5" t="s">
        <v>222</v>
      </c>
      <c r="C1082" s="3" t="s">
        <v>391</v>
      </c>
      <c r="D1082" s="5" t="s">
        <v>9</v>
      </c>
      <c r="E1082" s="5" t="s">
        <v>157</v>
      </c>
      <c r="G1082" s="3" t="s">
        <v>224</v>
      </c>
      <c r="H1082" s="3">
        <v>1.0</v>
      </c>
      <c r="J1082" s="5">
        <v>4.0</v>
      </c>
      <c r="N1082" s="3" t="b">
        <v>0</v>
      </c>
      <c r="R1082" s="3">
        <v>0.0</v>
      </c>
      <c r="X1082" s="77"/>
      <c r="Y1082" s="3">
        <v>6.0</v>
      </c>
      <c r="Z1082" s="3">
        <v>4.0</v>
      </c>
      <c r="AA1082" s="3">
        <f>2+ (P1082*'Scoring System'!$B$3)+ (IF(OR(D1082="DEF",D1082="GK"),N1082*'Scoring System'!$B$4,IF(D1082="MID",N1082*'Scoring System'!$B$5,0)))+ (IF(OR(D1082="DEF",D1082="GK"),H1082*'Scoring System'!$B$6,IF(D1082="MID",H1082*'Scoring System'!$B$7,IF(D1082="ATT",H1082*'Scoring System'!$B$8,0))))+ IF(AND(OR(D1082="GK",D1082="DEF"),J1082&gt;=3),1*'Scoring System'!$B$9,0)+ (I1082*'Scoring System'!$B$10)+ (K1082*'Scoring System'!$B$11)+ (M1082*'Scoring System'!$B$12)+ (L1082*'Scoring System'!$B$13)+ (O1082*'Scoring System'!$B$14)+ (Q1082*'Scoring System'!$B$15)+ (R1082*'Scoring System'!$B$16)</f>
        <v>6</v>
      </c>
      <c r="AB1082" s="3" t="b">
        <f>IFERROR(match(C1082,'Match Day Fees'!$B$2:$B$999,0),0)=0</f>
        <v>0</v>
      </c>
      <c r="AC1082" s="3">
        <f t="shared" si="2"/>
        <v>0</v>
      </c>
      <c r="AD1082" s="3" t="str">
        <f>VLOOKUP(D1082,'Position Lookup'!A:B,1,FALSE)</f>
        <v>ATT</v>
      </c>
    </row>
    <row r="1083" ht="17.25" customHeight="1">
      <c r="A1083" s="10">
        <v>45241.0</v>
      </c>
      <c r="B1083" s="5" t="s">
        <v>222</v>
      </c>
      <c r="C1083" s="3" t="s">
        <v>678</v>
      </c>
      <c r="D1083" s="5" t="s">
        <v>9</v>
      </c>
      <c r="E1083" s="5" t="s">
        <v>157</v>
      </c>
      <c r="G1083" s="3" t="s">
        <v>224</v>
      </c>
      <c r="I1083" s="3">
        <v>1.0</v>
      </c>
      <c r="J1083" s="5">
        <v>4.0</v>
      </c>
      <c r="N1083" s="3" t="b">
        <v>0</v>
      </c>
      <c r="R1083" s="3">
        <v>0.0</v>
      </c>
      <c r="X1083" s="77"/>
      <c r="Y1083" s="3">
        <v>6.0</v>
      </c>
      <c r="Z1083" s="3">
        <v>4.0</v>
      </c>
      <c r="AA1083" s="3">
        <f>2+ (P1083*'Scoring System'!$B$3)+ (IF(OR(D1083="DEF",D1083="GK"),N1083*'Scoring System'!$B$4,IF(D1083="MID",N1083*'Scoring System'!$B$5,0)))+ (IF(OR(D1083="DEF",D1083="GK"),H1083*'Scoring System'!$B$6,IF(D1083="MID",H1083*'Scoring System'!$B$7,IF(D1083="ATT",H1083*'Scoring System'!$B$8,0))))+ IF(AND(OR(D1083="GK",D1083="DEF"),J1083&gt;=3),1*'Scoring System'!$B$9,0)+ (I1083*'Scoring System'!$B$10)+ (K1083*'Scoring System'!$B$11)+ (M1083*'Scoring System'!$B$12)+ (L1083*'Scoring System'!$B$13)+ (O1083*'Scoring System'!$B$14)+ (Q1083*'Scoring System'!$B$15)+ (R1083*'Scoring System'!$B$16)</f>
        <v>5</v>
      </c>
      <c r="AB1083" s="3" t="b">
        <f>IFERROR(match(C1083,'Match Day Fees'!$B$2:$B$999,0),0)=0</f>
        <v>0</v>
      </c>
      <c r="AC1083" s="3">
        <f t="shared" si="2"/>
        <v>0</v>
      </c>
      <c r="AD1083" s="3" t="str">
        <f>VLOOKUP(D1083,'Position Lookup'!A:B,1,FALSE)</f>
        <v>ATT</v>
      </c>
    </row>
    <row r="1084" ht="17.25" customHeight="1">
      <c r="A1084" s="10">
        <v>45241.0</v>
      </c>
      <c r="B1084" s="5" t="s">
        <v>222</v>
      </c>
      <c r="C1084" s="3" t="s">
        <v>1115</v>
      </c>
      <c r="D1084" s="5" t="s">
        <v>10</v>
      </c>
      <c r="E1084" s="5" t="s">
        <v>157</v>
      </c>
      <c r="G1084" s="3" t="s">
        <v>224</v>
      </c>
      <c r="J1084" s="5">
        <v>4.0</v>
      </c>
      <c r="N1084" s="3" t="b">
        <v>0</v>
      </c>
      <c r="R1084" s="3">
        <v>0.0</v>
      </c>
      <c r="X1084" s="77"/>
      <c r="Y1084" s="3">
        <v>6.0</v>
      </c>
      <c r="Z1084" s="3">
        <v>4.0</v>
      </c>
      <c r="AA1084" s="3">
        <f>2+ (P1084*'Scoring System'!$B$3)+ (IF(OR(D1084="DEF",D1084="GK"),N1084*'Scoring System'!$B$4,IF(D1084="MID",N1084*'Scoring System'!$B$5,0)))+ (IF(OR(D1084="DEF",D1084="GK"),H1084*'Scoring System'!$B$6,IF(D1084="MID",H1084*'Scoring System'!$B$7,IF(D1084="ATT",H1084*'Scoring System'!$B$8,0))))+ IF(AND(OR(D1084="GK",D1084="DEF"),J1084&gt;=3),1*'Scoring System'!$B$9,0)+ (I1084*'Scoring System'!$B$10)+ (K1084*'Scoring System'!$B$11)+ (M1084*'Scoring System'!$B$12)+ (L1084*'Scoring System'!$B$13)+ (O1084*'Scoring System'!$B$14)+ (Q1084*'Scoring System'!$B$15)+ (R1084*'Scoring System'!$B$16)</f>
        <v>2</v>
      </c>
      <c r="AB1084" s="3" t="b">
        <f>IFERROR(match(C1084,'Match Day Fees'!$B$2:$B$999,0),0)=0</f>
        <v>0</v>
      </c>
      <c r="AC1084" s="3">
        <f t="shared" si="2"/>
        <v>0</v>
      </c>
      <c r="AD1084" s="3" t="str">
        <f>VLOOKUP(D1084,'Position Lookup'!A:B,1,FALSE)</f>
        <v>MID</v>
      </c>
    </row>
    <row r="1085" ht="17.25" customHeight="1">
      <c r="A1085" s="10">
        <v>45241.0</v>
      </c>
      <c r="B1085" s="5" t="s">
        <v>222</v>
      </c>
      <c r="C1085" s="3" t="s">
        <v>100</v>
      </c>
      <c r="D1085" s="5" t="s">
        <v>11</v>
      </c>
      <c r="E1085" s="5" t="s">
        <v>157</v>
      </c>
      <c r="G1085" s="3" t="s">
        <v>224</v>
      </c>
      <c r="I1085" s="3">
        <v>1.0</v>
      </c>
      <c r="J1085" s="5">
        <v>4.0</v>
      </c>
      <c r="N1085" s="3" t="b">
        <v>0</v>
      </c>
      <c r="R1085" s="3">
        <v>0.0</v>
      </c>
      <c r="X1085" s="77"/>
      <c r="Y1085" s="3">
        <v>6.0</v>
      </c>
      <c r="Z1085" s="3">
        <v>4.0</v>
      </c>
      <c r="AA1085" s="3">
        <f>2+ (P1085*'Scoring System'!$B$3)+ (IF(OR(D1085="DEF",D1085="GK"),N1085*'Scoring System'!$B$4,IF(D1085="MID",N1085*'Scoring System'!$B$5,0)))+ (IF(OR(D1085="DEF",D1085="GK"),H1085*'Scoring System'!$B$6,IF(D1085="MID",H1085*'Scoring System'!$B$7,IF(D1085="ATT",H1085*'Scoring System'!$B$8,0))))+ IF(AND(OR(D1085="GK",D1085="DEF"),J1085&gt;=3),1*'Scoring System'!$B$9,0)+ (I1085*'Scoring System'!$B$10)+ (K1085*'Scoring System'!$B$11)+ (M1085*'Scoring System'!$B$12)+ (L1085*'Scoring System'!$B$13)+ (O1085*'Scoring System'!$B$14)+ (Q1085*'Scoring System'!$B$15)+ (R1085*'Scoring System'!$B$16)</f>
        <v>4</v>
      </c>
      <c r="AB1085" s="3" t="b">
        <f>IFERROR(match(C1085,'Match Day Fees'!$B$2:$B$999,0),0)=0</f>
        <v>0</v>
      </c>
      <c r="AC1085" s="3">
        <f t="shared" si="2"/>
        <v>0</v>
      </c>
      <c r="AD1085" s="3" t="str">
        <f>VLOOKUP(D1085,'Position Lookup'!A:B,1,FALSE)</f>
        <v>DEF</v>
      </c>
    </row>
    <row r="1086" ht="17.25" customHeight="1">
      <c r="A1086" s="10">
        <v>45241.0</v>
      </c>
      <c r="B1086" s="5" t="s">
        <v>222</v>
      </c>
      <c r="C1086" s="3" t="s">
        <v>392</v>
      </c>
      <c r="D1086" s="5" t="s">
        <v>9</v>
      </c>
      <c r="E1086" s="5" t="s">
        <v>157</v>
      </c>
      <c r="G1086" s="3" t="s">
        <v>224</v>
      </c>
      <c r="I1086" s="3">
        <v>1.0</v>
      </c>
      <c r="J1086" s="5">
        <v>4.0</v>
      </c>
      <c r="N1086" s="3" t="b">
        <v>0</v>
      </c>
      <c r="R1086" s="3">
        <v>0.0</v>
      </c>
      <c r="X1086" s="77"/>
      <c r="Y1086" s="3">
        <v>6.0</v>
      </c>
      <c r="Z1086" s="3">
        <v>4.0</v>
      </c>
      <c r="AA1086" s="3">
        <f>2+ (P1086*'Scoring System'!$B$3)+ (IF(OR(D1086="DEF",D1086="GK"),N1086*'Scoring System'!$B$4,IF(D1086="MID",N1086*'Scoring System'!$B$5,0)))+ (IF(OR(D1086="DEF",D1086="GK"),H1086*'Scoring System'!$B$6,IF(D1086="MID",H1086*'Scoring System'!$B$7,IF(D1086="ATT",H1086*'Scoring System'!$B$8,0))))+ IF(AND(OR(D1086="GK",D1086="DEF"),J1086&gt;=3),1*'Scoring System'!$B$9,0)+ (I1086*'Scoring System'!$B$10)+ (K1086*'Scoring System'!$B$11)+ (M1086*'Scoring System'!$B$12)+ (L1086*'Scoring System'!$B$13)+ (O1086*'Scoring System'!$B$14)+ (Q1086*'Scoring System'!$B$15)+ (R1086*'Scoring System'!$B$16)</f>
        <v>5</v>
      </c>
      <c r="AB1086" s="3" t="b">
        <f>IFERROR(match(C1086,'Match Day Fees'!$B$2:$B$999,0),0)=0</f>
        <v>0</v>
      </c>
      <c r="AC1086" s="3">
        <f t="shared" si="2"/>
        <v>0</v>
      </c>
      <c r="AD1086" s="3" t="str">
        <f>VLOOKUP(D1086,'Position Lookup'!A:B,1,FALSE)</f>
        <v>ATT</v>
      </c>
    </row>
    <row r="1087" ht="17.25" customHeight="1">
      <c r="A1087" s="10">
        <v>45241.0</v>
      </c>
      <c r="B1087" s="5" t="s">
        <v>222</v>
      </c>
      <c r="C1087" s="3" t="s">
        <v>83</v>
      </c>
      <c r="D1087" s="5" t="s">
        <v>11</v>
      </c>
      <c r="E1087" s="5" t="s">
        <v>157</v>
      </c>
      <c r="G1087" s="3" t="s">
        <v>224</v>
      </c>
      <c r="I1087" s="3">
        <v>2.0</v>
      </c>
      <c r="J1087" s="5">
        <v>4.0</v>
      </c>
      <c r="N1087" s="3" t="b">
        <v>0</v>
      </c>
      <c r="R1087" s="3">
        <v>0.0</v>
      </c>
      <c r="X1087" s="77"/>
      <c r="Y1087" s="3">
        <v>6.0</v>
      </c>
      <c r="Z1087" s="3">
        <v>4.0</v>
      </c>
      <c r="AA1087" s="3">
        <f>2+ (P1087*'Scoring System'!$B$3)+ (IF(OR(D1087="DEF",D1087="GK"),N1087*'Scoring System'!$B$4,IF(D1087="MID",N1087*'Scoring System'!$B$5,0)))+ (IF(OR(D1087="DEF",D1087="GK"),H1087*'Scoring System'!$B$6,IF(D1087="MID",H1087*'Scoring System'!$B$7,IF(D1087="ATT",H1087*'Scoring System'!$B$8,0))))+ IF(AND(OR(D1087="GK",D1087="DEF"),J1087&gt;=3),1*'Scoring System'!$B$9,0)+ (I1087*'Scoring System'!$B$10)+ (K1087*'Scoring System'!$B$11)+ (M1087*'Scoring System'!$B$12)+ (L1087*'Scoring System'!$B$13)+ (O1087*'Scoring System'!$B$14)+ (Q1087*'Scoring System'!$B$15)+ (R1087*'Scoring System'!$B$16)</f>
        <v>7</v>
      </c>
      <c r="AB1087" s="3" t="b">
        <f>IFERROR(match(C1087,'Match Day Fees'!$B$2:$B$999,0),0)=0</f>
        <v>0</v>
      </c>
      <c r="AC1087" s="3">
        <f t="shared" si="2"/>
        <v>0</v>
      </c>
      <c r="AD1087" s="3" t="str">
        <f>VLOOKUP(D1087,'Position Lookup'!A:B,1,FALSE)</f>
        <v>DEF</v>
      </c>
    </row>
    <row r="1088" ht="17.25" customHeight="1">
      <c r="A1088" s="10">
        <v>45241.0</v>
      </c>
      <c r="B1088" s="5" t="s">
        <v>222</v>
      </c>
      <c r="C1088" s="5" t="s">
        <v>96</v>
      </c>
      <c r="D1088" s="5" t="s">
        <v>9</v>
      </c>
      <c r="E1088" s="5" t="s">
        <v>157</v>
      </c>
      <c r="G1088" s="3" t="s">
        <v>224</v>
      </c>
      <c r="H1088" s="3">
        <v>5.0</v>
      </c>
      <c r="J1088" s="5">
        <v>4.0</v>
      </c>
      <c r="N1088" s="3" t="b">
        <v>0</v>
      </c>
      <c r="R1088" s="3">
        <v>1.0</v>
      </c>
      <c r="X1088" s="77"/>
      <c r="Y1088" s="3">
        <v>6.0</v>
      </c>
      <c r="Z1088" s="3">
        <v>4.0</v>
      </c>
      <c r="AA1088" s="3">
        <f>2+ (P1088*'Scoring System'!$B$3)+ (IF(OR(D1088="DEF",D1088="GK"),N1088*'Scoring System'!$B$4,IF(D1088="MID",N1088*'Scoring System'!$B$5,0)))+ (IF(OR(D1088="DEF",D1088="GK"),H1088*'Scoring System'!$B$6,IF(D1088="MID",H1088*'Scoring System'!$B$7,IF(D1088="ATT",H1088*'Scoring System'!$B$8,0))))+ IF(AND(OR(D1088="GK",D1088="DEF"),J1088&gt;=3),1*'Scoring System'!$B$9,0)+ (I1088*'Scoring System'!$B$10)+ (K1088*'Scoring System'!$B$11)+ (M1088*'Scoring System'!$B$12)+ (L1088*'Scoring System'!$B$13)+ (O1088*'Scoring System'!$B$14)+ (Q1088*'Scoring System'!$B$15)+ (R1088*'Scoring System'!$B$16)</f>
        <v>27</v>
      </c>
      <c r="AB1088" s="3" t="b">
        <f>IFERROR(match(C1088,'Match Day Fees'!$B$2:$B$999,0),0)=0</f>
        <v>0</v>
      </c>
      <c r="AC1088" s="3">
        <f t="shared" si="2"/>
        <v>0</v>
      </c>
      <c r="AD1088" s="3" t="str">
        <f>VLOOKUP(D1088,'Position Lookup'!A:B,1,FALSE)</f>
        <v>ATT</v>
      </c>
    </row>
    <row r="1089" ht="17.25" customHeight="1">
      <c r="A1089" s="10">
        <v>45241.0</v>
      </c>
      <c r="B1089" s="5" t="s">
        <v>222</v>
      </c>
      <c r="C1089" s="3" t="s">
        <v>106</v>
      </c>
      <c r="D1089" s="3" t="s">
        <v>8</v>
      </c>
      <c r="E1089" s="5" t="s">
        <v>157</v>
      </c>
      <c r="G1089" s="3" t="s">
        <v>224</v>
      </c>
      <c r="J1089" s="5">
        <v>4.0</v>
      </c>
      <c r="N1089" s="3" t="b">
        <v>0</v>
      </c>
      <c r="R1089" s="3">
        <v>0.0</v>
      </c>
      <c r="X1089" s="77"/>
      <c r="Y1089" s="3">
        <v>6.0</v>
      </c>
      <c r="Z1089" s="3">
        <v>4.0</v>
      </c>
      <c r="AA1089" s="3">
        <f>2+ (P1089*'Scoring System'!$B$3)+ (IF(OR(D1089="DEF",D1089="GK"),N1089*'Scoring System'!$B$4,IF(D1089="MID",N1089*'Scoring System'!$B$5,0)))+ (IF(OR(D1089="DEF",D1089="GK"),H1089*'Scoring System'!$B$6,IF(D1089="MID",H1089*'Scoring System'!$B$7,IF(D1089="ATT",H1089*'Scoring System'!$B$8,0))))+ IF(AND(OR(D1089="GK",D1089="DEF"),J1089&gt;=3),1*'Scoring System'!$B$9,0)+ (I1089*'Scoring System'!$B$10)+ (K1089*'Scoring System'!$B$11)+ (M1089*'Scoring System'!$B$12)+ (L1089*'Scoring System'!$B$13)+ (O1089*'Scoring System'!$B$14)+ (Q1089*'Scoring System'!$B$15)+ (R1089*'Scoring System'!$B$16)</f>
        <v>1</v>
      </c>
      <c r="AB1089" s="3" t="b">
        <f>IFERROR(match(C1089,'Match Day Fees'!$B$2:$B$999,0),0)=0</f>
        <v>0</v>
      </c>
      <c r="AC1089" s="3">
        <f t="shared" si="2"/>
        <v>0</v>
      </c>
      <c r="AD1089" s="3" t="str">
        <f>VLOOKUP(D1089,'Position Lookup'!A:B,1,FALSE)</f>
        <v>GK</v>
      </c>
    </row>
    <row r="1090" ht="17.25" customHeight="1">
      <c r="A1090" s="32">
        <v>45248.0</v>
      </c>
      <c r="B1090" s="5" t="s">
        <v>712</v>
      </c>
      <c r="C1090" s="5" t="s">
        <v>53</v>
      </c>
      <c r="D1090" s="5" t="s">
        <v>8</v>
      </c>
      <c r="E1090" s="5">
        <v>1.0</v>
      </c>
      <c r="F1090" s="5" t="s">
        <v>1116</v>
      </c>
      <c r="G1090" s="5" t="s">
        <v>224</v>
      </c>
      <c r="J1090" s="5">
        <v>3.0</v>
      </c>
      <c r="N1090" s="5" t="b">
        <v>0</v>
      </c>
      <c r="R1090" s="5">
        <v>0.0</v>
      </c>
      <c r="T1090" s="5">
        <v>10.0</v>
      </c>
      <c r="U1090" s="5">
        <v>7.0</v>
      </c>
      <c r="V1090" s="5" t="s">
        <v>1117</v>
      </c>
      <c r="W1090" s="74"/>
      <c r="X1090" s="78" t="s">
        <v>1118</v>
      </c>
      <c r="Y1090" s="5">
        <v>4.0</v>
      </c>
      <c r="Z1090" s="5">
        <v>3.0</v>
      </c>
      <c r="AA1090" s="3">
        <f>2+ (P1090*'Scoring System'!$B$3)+ (IF(OR(D1090="DEF",D1090="GK"),N1090*'Scoring System'!$B$4,IF(D1090="MID",N1090*'Scoring System'!$B$5,0)))+ (IF(OR(D1090="DEF",D1090="GK"),H1090*'Scoring System'!$B$6,IF(D1090="MID",H1090*'Scoring System'!$B$7,IF(D1090="ATT",H1090*'Scoring System'!$B$8,0))))+ IF(AND(OR(D1090="GK",D1090="DEF"),J1090&gt;=3),1*'Scoring System'!$B$9,0)+ (I1090*'Scoring System'!$B$10)+ (K1090*'Scoring System'!$B$11)+ (M1090*'Scoring System'!$B$12)+ (L1090*'Scoring System'!$B$13)+ (O1090*'Scoring System'!$B$14)+ (Q1090*'Scoring System'!$B$15)+ (R1090*'Scoring System'!$B$16)</f>
        <v>1</v>
      </c>
      <c r="AB1090" s="3" t="b">
        <f>IFERROR(match(C1090,'Match Day Fees'!$B$2:$B$999,0),0)=0</f>
        <v>0</v>
      </c>
      <c r="AC1090" s="3">
        <f t="shared" si="2"/>
        <v>0</v>
      </c>
      <c r="AD1090" s="3" t="str">
        <f>VLOOKUP(D1090,'Position Lookup'!A:B,1,FALSE)</f>
        <v>GK</v>
      </c>
    </row>
    <row r="1091" ht="17.25" customHeight="1">
      <c r="A1091" s="32">
        <v>45248.0</v>
      </c>
      <c r="B1091" s="5" t="s">
        <v>712</v>
      </c>
      <c r="C1091" s="5" t="s">
        <v>77</v>
      </c>
      <c r="D1091" s="5" t="s">
        <v>11</v>
      </c>
      <c r="E1091" s="5">
        <v>1.0</v>
      </c>
      <c r="F1091" s="5" t="s">
        <v>1116</v>
      </c>
      <c r="G1091" s="5" t="s">
        <v>224</v>
      </c>
      <c r="J1091" s="5">
        <v>3.0</v>
      </c>
      <c r="N1091" s="5" t="b">
        <v>0</v>
      </c>
      <c r="R1091" s="5">
        <v>0.0</v>
      </c>
      <c r="T1091" s="5">
        <v>10.0</v>
      </c>
      <c r="U1091" s="5">
        <v>8.0</v>
      </c>
      <c r="V1091" s="5" t="s">
        <v>1119</v>
      </c>
      <c r="W1091" s="74"/>
      <c r="X1091" s="78" t="s">
        <v>1118</v>
      </c>
      <c r="Y1091" s="5">
        <v>4.0</v>
      </c>
      <c r="Z1091" s="5">
        <v>3.0</v>
      </c>
      <c r="AA1091" s="3">
        <f>2+ (P1091*'Scoring System'!$B$3)+ (IF(OR(D1091="DEF",D1091="GK"),N1091*'Scoring System'!$B$4,IF(D1091="MID",N1091*'Scoring System'!$B$5,0)))+ (IF(OR(D1091="DEF",D1091="GK"),H1091*'Scoring System'!$B$6,IF(D1091="MID",H1091*'Scoring System'!$B$7,IF(D1091="ATT",H1091*'Scoring System'!$B$8,0))))+ IF(AND(OR(D1091="GK",D1091="DEF"),J1091&gt;=3),1*'Scoring System'!$B$9,0)+ (I1091*'Scoring System'!$B$10)+ (K1091*'Scoring System'!$B$11)+ (M1091*'Scoring System'!$B$12)+ (L1091*'Scoring System'!$B$13)+ (O1091*'Scoring System'!$B$14)+ (Q1091*'Scoring System'!$B$15)+ (R1091*'Scoring System'!$B$16)</f>
        <v>1</v>
      </c>
      <c r="AB1091" s="3" t="b">
        <f>IFERROR(match(C1091,'Match Day Fees'!$B$2:$B$999,0),0)=0</f>
        <v>0</v>
      </c>
      <c r="AC1091" s="3">
        <f t="shared" si="2"/>
        <v>0</v>
      </c>
      <c r="AD1091" s="3" t="str">
        <f>VLOOKUP(D1091,'Position Lookup'!A:B,1,FALSE)</f>
        <v>DEF</v>
      </c>
    </row>
    <row r="1092" ht="17.25" customHeight="1">
      <c r="A1092" s="32">
        <v>45248.0</v>
      </c>
      <c r="B1092" s="5" t="s">
        <v>712</v>
      </c>
      <c r="C1092" s="5" t="s">
        <v>68</v>
      </c>
      <c r="D1092" s="5" t="s">
        <v>11</v>
      </c>
      <c r="E1092" s="5">
        <v>1.0</v>
      </c>
      <c r="F1092" s="5" t="s">
        <v>1116</v>
      </c>
      <c r="G1092" s="5" t="s">
        <v>224</v>
      </c>
      <c r="J1092" s="5">
        <v>3.0</v>
      </c>
      <c r="N1092" s="5" t="b">
        <v>0</v>
      </c>
      <c r="R1092" s="5">
        <v>0.0</v>
      </c>
      <c r="T1092" s="5">
        <v>10.0</v>
      </c>
      <c r="U1092" s="5">
        <v>7.5</v>
      </c>
      <c r="V1092" s="5" t="s">
        <v>1120</v>
      </c>
      <c r="W1092" s="74"/>
      <c r="X1092" s="78" t="s">
        <v>1118</v>
      </c>
      <c r="Y1092" s="5">
        <v>4.0</v>
      </c>
      <c r="Z1092" s="5">
        <v>3.0</v>
      </c>
      <c r="AA1092" s="3">
        <f>2+ (P1092*'Scoring System'!$B$3)+ (IF(OR(D1092="DEF",D1092="GK"),N1092*'Scoring System'!$B$4,IF(D1092="MID",N1092*'Scoring System'!$B$5,0)))+ (IF(OR(D1092="DEF",D1092="GK"),H1092*'Scoring System'!$B$6,IF(D1092="MID",H1092*'Scoring System'!$B$7,IF(D1092="ATT",H1092*'Scoring System'!$B$8,0))))+ IF(AND(OR(D1092="GK",D1092="DEF"),J1092&gt;=3),1*'Scoring System'!$B$9,0)+ (I1092*'Scoring System'!$B$10)+ (K1092*'Scoring System'!$B$11)+ (M1092*'Scoring System'!$B$12)+ (L1092*'Scoring System'!$B$13)+ (O1092*'Scoring System'!$B$14)+ (Q1092*'Scoring System'!$B$15)+ (R1092*'Scoring System'!$B$16)</f>
        <v>1</v>
      </c>
      <c r="AB1092" s="3" t="b">
        <f>IFERROR(match(C1092,'Match Day Fees'!$B$2:$B$999,0),0)=0</f>
        <v>0</v>
      </c>
      <c r="AC1092" s="3">
        <f t="shared" si="2"/>
        <v>0</v>
      </c>
      <c r="AD1092" s="3" t="str">
        <f>VLOOKUP(D1092,'Position Lookup'!A:B,1,FALSE)</f>
        <v>DEF</v>
      </c>
    </row>
    <row r="1093" ht="17.25" customHeight="1">
      <c r="A1093" s="32">
        <v>45248.0</v>
      </c>
      <c r="B1093" s="5" t="s">
        <v>712</v>
      </c>
      <c r="C1093" s="5" t="s">
        <v>76</v>
      </c>
      <c r="D1093" s="5" t="s">
        <v>11</v>
      </c>
      <c r="E1093" s="5">
        <v>1.0</v>
      </c>
      <c r="F1093" s="5" t="s">
        <v>1116</v>
      </c>
      <c r="G1093" s="5" t="s">
        <v>224</v>
      </c>
      <c r="J1093" s="5">
        <v>3.0</v>
      </c>
      <c r="N1093" s="5" t="b">
        <v>0</v>
      </c>
      <c r="R1093" s="5">
        <v>0.0</v>
      </c>
      <c r="T1093" s="5">
        <v>10.0</v>
      </c>
      <c r="U1093" s="5">
        <v>6.0</v>
      </c>
      <c r="V1093" s="5" t="s">
        <v>1121</v>
      </c>
      <c r="W1093" s="74"/>
      <c r="X1093" s="78" t="s">
        <v>1118</v>
      </c>
      <c r="Y1093" s="5">
        <v>4.0</v>
      </c>
      <c r="Z1093" s="5">
        <v>3.0</v>
      </c>
      <c r="AA1093" s="3">
        <f>2+ (P1093*'Scoring System'!$B$3)+ (IF(OR(D1093="DEF",D1093="GK"),N1093*'Scoring System'!$B$4,IF(D1093="MID",N1093*'Scoring System'!$B$5,0)))+ (IF(OR(D1093="DEF",D1093="GK"),H1093*'Scoring System'!$B$6,IF(D1093="MID",H1093*'Scoring System'!$B$7,IF(D1093="ATT",H1093*'Scoring System'!$B$8,0))))+ IF(AND(OR(D1093="GK",D1093="DEF"),J1093&gt;=3),1*'Scoring System'!$B$9,0)+ (I1093*'Scoring System'!$B$10)+ (K1093*'Scoring System'!$B$11)+ (M1093*'Scoring System'!$B$12)+ (L1093*'Scoring System'!$B$13)+ (O1093*'Scoring System'!$B$14)+ (Q1093*'Scoring System'!$B$15)+ (R1093*'Scoring System'!$B$16)</f>
        <v>1</v>
      </c>
      <c r="AB1093" s="3" t="b">
        <f>IFERROR(match(C1093,'Match Day Fees'!$B$2:$B$999,0),0)=0</f>
        <v>0</v>
      </c>
      <c r="AC1093" s="3">
        <f t="shared" si="2"/>
        <v>0</v>
      </c>
      <c r="AD1093" s="3" t="str">
        <f>VLOOKUP(D1093,'Position Lookup'!A:B,1,FALSE)</f>
        <v>DEF</v>
      </c>
    </row>
    <row r="1094" ht="17.25" customHeight="1">
      <c r="A1094" s="32">
        <v>45248.0</v>
      </c>
      <c r="B1094" s="5" t="s">
        <v>712</v>
      </c>
      <c r="C1094" s="5" t="s">
        <v>43</v>
      </c>
      <c r="D1094" s="5" t="s">
        <v>11</v>
      </c>
      <c r="E1094" s="5">
        <v>1.0</v>
      </c>
      <c r="F1094" s="5" t="s">
        <v>1116</v>
      </c>
      <c r="G1094" s="5" t="s">
        <v>224</v>
      </c>
      <c r="J1094" s="5">
        <v>3.0</v>
      </c>
      <c r="N1094" s="5" t="b">
        <v>0</v>
      </c>
      <c r="R1094" s="5">
        <v>0.0</v>
      </c>
      <c r="T1094" s="5">
        <v>10.0</v>
      </c>
      <c r="U1094" s="5">
        <v>6.0</v>
      </c>
      <c r="V1094" s="5" t="s">
        <v>1122</v>
      </c>
      <c r="W1094" s="74"/>
      <c r="X1094" s="78" t="s">
        <v>1118</v>
      </c>
      <c r="Y1094" s="5">
        <v>4.0</v>
      </c>
      <c r="Z1094" s="5">
        <v>3.0</v>
      </c>
      <c r="AA1094" s="3">
        <f>2+ (P1094*'Scoring System'!$B$3)+ (IF(OR(D1094="DEF",D1094="GK"),N1094*'Scoring System'!$B$4,IF(D1094="MID",N1094*'Scoring System'!$B$5,0)))+ (IF(OR(D1094="DEF",D1094="GK"),H1094*'Scoring System'!$B$6,IF(D1094="MID",H1094*'Scoring System'!$B$7,IF(D1094="ATT",H1094*'Scoring System'!$B$8,0))))+ IF(AND(OR(D1094="GK",D1094="DEF"),J1094&gt;=3),1*'Scoring System'!$B$9,0)+ (I1094*'Scoring System'!$B$10)+ (K1094*'Scoring System'!$B$11)+ (M1094*'Scoring System'!$B$12)+ (L1094*'Scoring System'!$B$13)+ (O1094*'Scoring System'!$B$14)+ (Q1094*'Scoring System'!$B$15)+ (R1094*'Scoring System'!$B$16)</f>
        <v>1</v>
      </c>
      <c r="AB1094" s="3" t="b">
        <f>IFERROR(match(C1094,'Match Day Fees'!$B$2:$B$999,0),0)=0</f>
        <v>0</v>
      </c>
      <c r="AC1094" s="3">
        <f t="shared" si="2"/>
        <v>0</v>
      </c>
      <c r="AD1094" s="3" t="str">
        <f>VLOOKUP(D1094,'Position Lookup'!A:B,1,FALSE)</f>
        <v>DEF</v>
      </c>
    </row>
    <row r="1095" ht="17.25" customHeight="1">
      <c r="A1095" s="32">
        <v>45248.0</v>
      </c>
      <c r="B1095" s="5" t="s">
        <v>712</v>
      </c>
      <c r="C1095" s="5" t="s">
        <v>57</v>
      </c>
      <c r="D1095" s="5" t="s">
        <v>11</v>
      </c>
      <c r="E1095" s="5">
        <v>1.0</v>
      </c>
      <c r="F1095" s="5" t="s">
        <v>1116</v>
      </c>
      <c r="G1095" s="5" t="s">
        <v>224</v>
      </c>
      <c r="I1095" s="5">
        <v>1.0</v>
      </c>
      <c r="J1095" s="5">
        <v>3.0</v>
      </c>
      <c r="N1095" s="5" t="b">
        <v>0</v>
      </c>
      <c r="R1095" s="5">
        <v>0.0</v>
      </c>
      <c r="T1095" s="5">
        <v>10.0</v>
      </c>
      <c r="U1095" s="5">
        <v>8.0</v>
      </c>
      <c r="V1095" s="5" t="s">
        <v>1123</v>
      </c>
      <c r="W1095" s="74"/>
      <c r="X1095" s="78" t="s">
        <v>1118</v>
      </c>
      <c r="Y1095" s="5">
        <v>4.0</v>
      </c>
      <c r="Z1095" s="5">
        <v>3.0</v>
      </c>
      <c r="AA1095" s="3">
        <f>2+ (P1095*'Scoring System'!$B$3)+ (IF(OR(D1095="DEF",D1095="GK"),N1095*'Scoring System'!$B$4,IF(D1095="MID",N1095*'Scoring System'!$B$5,0)))+ (IF(OR(D1095="DEF",D1095="GK"),H1095*'Scoring System'!$B$6,IF(D1095="MID",H1095*'Scoring System'!$B$7,IF(D1095="ATT",H1095*'Scoring System'!$B$8,0))))+ IF(AND(OR(D1095="GK",D1095="DEF"),J1095&gt;=3),1*'Scoring System'!$B$9,0)+ (I1095*'Scoring System'!$B$10)+ (K1095*'Scoring System'!$B$11)+ (M1095*'Scoring System'!$B$12)+ (L1095*'Scoring System'!$B$13)+ (O1095*'Scoring System'!$B$14)+ (Q1095*'Scoring System'!$B$15)+ (R1095*'Scoring System'!$B$16)</f>
        <v>4</v>
      </c>
      <c r="AB1095" s="3" t="b">
        <f>IFERROR(match(C1095,'Match Day Fees'!$B$2:$B$999,0),0)=0</f>
        <v>0</v>
      </c>
      <c r="AC1095" s="3">
        <f t="shared" si="2"/>
        <v>0</v>
      </c>
      <c r="AD1095" s="3" t="str">
        <f>VLOOKUP(D1095,'Position Lookup'!A:B,1,FALSE)</f>
        <v>DEF</v>
      </c>
    </row>
    <row r="1096" ht="17.25" customHeight="1">
      <c r="A1096" s="32">
        <v>45248.0</v>
      </c>
      <c r="B1096" s="5" t="s">
        <v>712</v>
      </c>
      <c r="C1096" s="5" t="s">
        <v>85</v>
      </c>
      <c r="D1096" s="5" t="s">
        <v>10</v>
      </c>
      <c r="E1096" s="5">
        <v>1.0</v>
      </c>
      <c r="F1096" s="5" t="s">
        <v>1116</v>
      </c>
      <c r="G1096" s="5" t="s">
        <v>224</v>
      </c>
      <c r="J1096" s="5">
        <v>3.0</v>
      </c>
      <c r="K1096" s="5">
        <v>1.0</v>
      </c>
      <c r="L1096" s="5" t="b">
        <v>0</v>
      </c>
      <c r="N1096" s="5" t="b">
        <v>0</v>
      </c>
      <c r="R1096" s="5">
        <v>0.0</v>
      </c>
      <c r="T1096" s="5">
        <v>10.0</v>
      </c>
      <c r="U1096" s="5">
        <v>7.5</v>
      </c>
      <c r="V1096" s="5" t="s">
        <v>1124</v>
      </c>
      <c r="W1096" s="74"/>
      <c r="X1096" s="78" t="s">
        <v>1118</v>
      </c>
      <c r="Y1096" s="5">
        <v>4.0</v>
      </c>
      <c r="Z1096" s="5">
        <v>3.0</v>
      </c>
      <c r="AA1096" s="3">
        <f>2+ (P1096*'Scoring System'!$B$3)+ (IF(OR(D1096="DEF",D1096="GK"),N1096*'Scoring System'!$B$4,IF(D1096="MID",N1096*'Scoring System'!$B$5,0)))+ (IF(OR(D1096="DEF",D1096="GK"),H1096*'Scoring System'!$B$6,IF(D1096="MID",H1096*'Scoring System'!$B$7,IF(D1096="ATT",H1096*'Scoring System'!$B$8,0))))+ IF(AND(OR(D1096="GK",D1096="DEF"),J1096&gt;=3),1*'Scoring System'!$B$9,0)+ (I1096*'Scoring System'!$B$10)+ (K1096*'Scoring System'!$B$11)+ (M1096*'Scoring System'!$B$12)+ (L1096*'Scoring System'!$B$13)+ (O1096*'Scoring System'!$B$14)+ (Q1096*'Scoring System'!$B$15)+ (R1096*'Scoring System'!$B$16)</f>
        <v>1</v>
      </c>
      <c r="AB1096" s="3" t="b">
        <f>IFERROR(match(C1096,'Match Day Fees'!$B$2:$B$999,0),0)=0</f>
        <v>0</v>
      </c>
      <c r="AC1096" s="3">
        <f t="shared" si="2"/>
        <v>0</v>
      </c>
      <c r="AD1096" s="3" t="str">
        <f>VLOOKUP(D1096,'Position Lookup'!A:B,1,FALSE)</f>
        <v>MID</v>
      </c>
    </row>
    <row r="1097" ht="17.25" customHeight="1">
      <c r="A1097" s="32">
        <v>45248.0</v>
      </c>
      <c r="B1097" s="5" t="s">
        <v>712</v>
      </c>
      <c r="C1097" s="5" t="s">
        <v>60</v>
      </c>
      <c r="D1097" s="5" t="s">
        <v>10</v>
      </c>
      <c r="E1097" s="5">
        <v>1.0</v>
      </c>
      <c r="F1097" s="5" t="s">
        <v>1116</v>
      </c>
      <c r="G1097" s="5" t="s">
        <v>224</v>
      </c>
      <c r="H1097" s="5">
        <v>1.0</v>
      </c>
      <c r="J1097" s="5">
        <v>3.0</v>
      </c>
      <c r="N1097" s="5" t="b">
        <v>0</v>
      </c>
      <c r="R1097" s="5">
        <v>0.0</v>
      </c>
      <c r="T1097" s="5">
        <v>10.0</v>
      </c>
      <c r="U1097" s="5">
        <v>8.0</v>
      </c>
      <c r="V1097" s="5" t="s">
        <v>1125</v>
      </c>
      <c r="W1097" s="74"/>
      <c r="X1097" s="78" t="s">
        <v>1118</v>
      </c>
      <c r="Y1097" s="5">
        <v>4.0</v>
      </c>
      <c r="Z1097" s="5">
        <v>3.0</v>
      </c>
      <c r="AA1097" s="3">
        <f>2+ (P1097*'Scoring System'!$B$3)+ (IF(OR(D1097="DEF",D1097="GK"),N1097*'Scoring System'!$B$4,IF(D1097="MID",N1097*'Scoring System'!$B$5,0)))+ (IF(OR(D1097="DEF",D1097="GK"),H1097*'Scoring System'!$B$6,IF(D1097="MID",H1097*'Scoring System'!$B$7,IF(D1097="ATT",H1097*'Scoring System'!$B$8,0))))+ IF(AND(OR(D1097="GK",D1097="DEF"),J1097&gt;=3),1*'Scoring System'!$B$9,0)+ (I1097*'Scoring System'!$B$10)+ (K1097*'Scoring System'!$B$11)+ (M1097*'Scoring System'!$B$12)+ (L1097*'Scoring System'!$B$13)+ (O1097*'Scoring System'!$B$14)+ (Q1097*'Scoring System'!$B$15)+ (R1097*'Scoring System'!$B$16)</f>
        <v>7</v>
      </c>
      <c r="AB1097" s="3" t="b">
        <f>IFERROR(match(C1097,'Match Day Fees'!$B$2:$B$999,0),0)=0</f>
        <v>0</v>
      </c>
      <c r="AC1097" s="3">
        <f t="shared" si="2"/>
        <v>0</v>
      </c>
      <c r="AD1097" s="3" t="str">
        <f>VLOOKUP(D1097,'Position Lookup'!A:B,1,FALSE)</f>
        <v>MID</v>
      </c>
    </row>
    <row r="1098" ht="17.25" customHeight="1">
      <c r="A1098" s="32">
        <v>45248.0</v>
      </c>
      <c r="B1098" s="5" t="s">
        <v>712</v>
      </c>
      <c r="C1098" s="5" t="s">
        <v>272</v>
      </c>
      <c r="D1098" s="5" t="s">
        <v>10</v>
      </c>
      <c r="E1098" s="5">
        <v>1.0</v>
      </c>
      <c r="F1098" s="5" t="s">
        <v>1116</v>
      </c>
      <c r="G1098" s="5" t="s">
        <v>224</v>
      </c>
      <c r="J1098" s="5">
        <v>3.0</v>
      </c>
      <c r="L1098" s="5" t="b">
        <v>0</v>
      </c>
      <c r="N1098" s="5" t="b">
        <v>0</v>
      </c>
      <c r="R1098" s="5">
        <v>0.0</v>
      </c>
      <c r="T1098" s="5">
        <v>5.0</v>
      </c>
      <c r="U1098" s="5">
        <v>7.5</v>
      </c>
      <c r="V1098" s="5" t="s">
        <v>1126</v>
      </c>
      <c r="W1098" s="74"/>
      <c r="X1098" s="78" t="s">
        <v>1118</v>
      </c>
      <c r="Y1098" s="5">
        <v>4.0</v>
      </c>
      <c r="Z1098" s="5">
        <v>3.0</v>
      </c>
      <c r="AA1098" s="3">
        <f>2+ (P1098*'Scoring System'!$B$3)+ (IF(OR(D1098="DEF",D1098="GK"),N1098*'Scoring System'!$B$4,IF(D1098="MID",N1098*'Scoring System'!$B$5,0)))+ (IF(OR(D1098="DEF",D1098="GK"),H1098*'Scoring System'!$B$6,IF(D1098="MID",H1098*'Scoring System'!$B$7,IF(D1098="ATT",H1098*'Scoring System'!$B$8,0))))+ IF(AND(OR(D1098="GK",D1098="DEF"),J1098&gt;=3),1*'Scoring System'!$B$9,0)+ (I1098*'Scoring System'!$B$10)+ (K1098*'Scoring System'!$B$11)+ (M1098*'Scoring System'!$B$12)+ (L1098*'Scoring System'!$B$13)+ (O1098*'Scoring System'!$B$14)+ (Q1098*'Scoring System'!$B$15)+ (R1098*'Scoring System'!$B$16)</f>
        <v>2</v>
      </c>
      <c r="AB1098" s="3" t="b">
        <f>IFERROR(match(C1098,'Match Day Fees'!$B$2:$B$999,0),0)=0</f>
        <v>0</v>
      </c>
      <c r="AC1098" s="3">
        <f t="shared" si="2"/>
        <v>0</v>
      </c>
      <c r="AD1098" s="3" t="str">
        <f>VLOOKUP(D1098,'Position Lookup'!A:B,1,FALSE)</f>
        <v>MID</v>
      </c>
    </row>
    <row r="1099" ht="17.25" customHeight="1">
      <c r="A1099" s="32">
        <v>45248.0</v>
      </c>
      <c r="B1099" s="5" t="s">
        <v>712</v>
      </c>
      <c r="C1099" s="5" t="s">
        <v>47</v>
      </c>
      <c r="D1099" s="5" t="s">
        <v>10</v>
      </c>
      <c r="E1099" s="5">
        <v>1.0</v>
      </c>
      <c r="F1099" s="5" t="s">
        <v>1116</v>
      </c>
      <c r="G1099" s="5" t="s">
        <v>224</v>
      </c>
      <c r="H1099" s="5">
        <v>2.0</v>
      </c>
      <c r="J1099" s="5">
        <v>3.0</v>
      </c>
      <c r="N1099" s="5" t="b">
        <v>0</v>
      </c>
      <c r="R1099" s="5">
        <v>1.0</v>
      </c>
      <c r="T1099" s="5">
        <v>10.0</v>
      </c>
      <c r="U1099" s="5">
        <v>9.0</v>
      </c>
      <c r="V1099" s="5" t="s">
        <v>1127</v>
      </c>
      <c r="W1099" s="74"/>
      <c r="X1099" s="78" t="s">
        <v>1118</v>
      </c>
      <c r="Y1099" s="5">
        <v>4.0</v>
      </c>
      <c r="Z1099" s="5">
        <v>3.0</v>
      </c>
      <c r="AA1099" s="3">
        <f>2+ (P1099*'Scoring System'!$B$3)+ (IF(OR(D1099="DEF",D1099="GK"),N1099*'Scoring System'!$B$4,IF(D1099="MID",N1099*'Scoring System'!$B$5,0)))+ (IF(OR(D1099="DEF",D1099="GK"),H1099*'Scoring System'!$B$6,IF(D1099="MID",H1099*'Scoring System'!$B$7,IF(D1099="ATT",H1099*'Scoring System'!$B$8,0))))+ IF(AND(OR(D1099="GK",D1099="DEF"),J1099&gt;=3),1*'Scoring System'!$B$9,0)+ (I1099*'Scoring System'!$B$10)+ (K1099*'Scoring System'!$B$11)+ (M1099*'Scoring System'!$B$12)+ (L1099*'Scoring System'!$B$13)+ (O1099*'Scoring System'!$B$14)+ (Q1099*'Scoring System'!$B$15)+ (R1099*'Scoring System'!$B$16)</f>
        <v>17</v>
      </c>
      <c r="AB1099" s="3" t="b">
        <f>IFERROR(match(C1099,'Match Day Fees'!$B$2:$B$999,0),0)=0</f>
        <v>0</v>
      </c>
      <c r="AC1099" s="3">
        <f t="shared" si="2"/>
        <v>0</v>
      </c>
      <c r="AD1099" s="3" t="str">
        <f>VLOOKUP(D1099,'Position Lookup'!A:B,1,FALSE)</f>
        <v>MID</v>
      </c>
    </row>
    <row r="1100" ht="17.25" customHeight="1">
      <c r="A1100" s="32">
        <v>45248.0</v>
      </c>
      <c r="B1100" s="5" t="s">
        <v>712</v>
      </c>
      <c r="C1100" s="5" t="s">
        <v>62</v>
      </c>
      <c r="D1100" s="5" t="s">
        <v>9</v>
      </c>
      <c r="E1100" s="5">
        <v>1.0</v>
      </c>
      <c r="F1100" s="5" t="s">
        <v>1116</v>
      </c>
      <c r="G1100" s="5" t="s">
        <v>224</v>
      </c>
      <c r="H1100" s="5">
        <v>1.0</v>
      </c>
      <c r="I1100" s="5">
        <v>1.0</v>
      </c>
      <c r="J1100" s="5">
        <v>3.0</v>
      </c>
      <c r="N1100" s="5" t="b">
        <v>0</v>
      </c>
      <c r="R1100" s="5">
        <v>0.0</v>
      </c>
      <c r="T1100" s="5">
        <v>10.0</v>
      </c>
      <c r="U1100" s="5">
        <v>8.5</v>
      </c>
      <c r="V1100" s="5" t="s">
        <v>1128</v>
      </c>
      <c r="W1100" s="74"/>
      <c r="X1100" s="78" t="s">
        <v>1118</v>
      </c>
      <c r="Y1100" s="5">
        <v>4.0</v>
      </c>
      <c r="Z1100" s="5">
        <v>3.0</v>
      </c>
      <c r="AA1100" s="3">
        <f>2+ (P1100*'Scoring System'!$B$3)+ (IF(OR(D1100="DEF",D1100="GK"),N1100*'Scoring System'!$B$4,IF(D1100="MID",N1100*'Scoring System'!$B$5,0)))+ (IF(OR(D1100="DEF",D1100="GK"),H1100*'Scoring System'!$B$6,IF(D1100="MID",H1100*'Scoring System'!$B$7,IF(D1100="ATT",H1100*'Scoring System'!$B$8,0))))+ IF(AND(OR(D1100="GK",D1100="DEF"),J1100&gt;=3),1*'Scoring System'!$B$9,0)+ (I1100*'Scoring System'!$B$10)+ (K1100*'Scoring System'!$B$11)+ (M1100*'Scoring System'!$B$12)+ (L1100*'Scoring System'!$B$13)+ (O1100*'Scoring System'!$B$14)+ (Q1100*'Scoring System'!$B$15)+ (R1100*'Scoring System'!$B$16)</f>
        <v>9</v>
      </c>
      <c r="AB1100" s="3" t="b">
        <f>IFERROR(match(C1100,'Match Day Fees'!$B$2:$B$999,0),0)=0</f>
        <v>0</v>
      </c>
      <c r="AC1100" s="3">
        <f t="shared" si="2"/>
        <v>0</v>
      </c>
      <c r="AD1100" s="3" t="str">
        <f>VLOOKUP(D1100,'Position Lookup'!A:B,1,FALSE)</f>
        <v>ATT</v>
      </c>
    </row>
    <row r="1101" ht="17.25" customHeight="1">
      <c r="A1101" s="32">
        <v>45248.0</v>
      </c>
      <c r="B1101" s="5" t="s">
        <v>712</v>
      </c>
      <c r="C1101" s="5" t="s">
        <v>75</v>
      </c>
      <c r="D1101" s="5" t="s">
        <v>10</v>
      </c>
      <c r="E1101" s="5">
        <v>1.0</v>
      </c>
      <c r="F1101" s="5" t="s">
        <v>1116</v>
      </c>
      <c r="G1101" s="5" t="s">
        <v>224</v>
      </c>
      <c r="J1101" s="5">
        <v>3.0</v>
      </c>
      <c r="N1101" s="5" t="b">
        <v>0</v>
      </c>
      <c r="R1101" s="5">
        <v>0.0</v>
      </c>
      <c r="T1101" s="5">
        <v>5.0</v>
      </c>
      <c r="U1101" s="5">
        <v>7.5</v>
      </c>
      <c r="V1101" s="5" t="s">
        <v>1129</v>
      </c>
      <c r="W1101" s="74"/>
      <c r="X1101" s="78" t="s">
        <v>1118</v>
      </c>
      <c r="Y1101" s="5">
        <v>4.0</v>
      </c>
      <c r="Z1101" s="5">
        <v>3.0</v>
      </c>
      <c r="AA1101" s="3">
        <f>2+ (P1101*'Scoring System'!$B$3)+ (IF(OR(D1101="DEF",D1101="GK"),N1101*'Scoring System'!$B$4,IF(D1101="MID",N1101*'Scoring System'!$B$5,0)))+ (IF(OR(D1101="DEF",D1101="GK"),H1101*'Scoring System'!$B$6,IF(D1101="MID",H1101*'Scoring System'!$B$7,IF(D1101="ATT",H1101*'Scoring System'!$B$8,0))))+ IF(AND(OR(D1101="GK",D1101="DEF"),J1101&gt;=3),1*'Scoring System'!$B$9,0)+ (I1101*'Scoring System'!$B$10)+ (K1101*'Scoring System'!$B$11)+ (M1101*'Scoring System'!$B$12)+ (L1101*'Scoring System'!$B$13)+ (O1101*'Scoring System'!$B$14)+ (Q1101*'Scoring System'!$B$15)+ (R1101*'Scoring System'!$B$16)</f>
        <v>2</v>
      </c>
      <c r="AB1101" s="3" t="b">
        <f>IFERROR(match(C1101,'Match Day Fees'!$B$2:$B$999,0),0)=0</f>
        <v>0</v>
      </c>
      <c r="AC1101" s="3">
        <f t="shared" si="2"/>
        <v>0</v>
      </c>
      <c r="AD1101" s="3" t="str">
        <f>VLOOKUP(D1101,'Position Lookup'!A:B,1,FALSE)</f>
        <v>MID</v>
      </c>
    </row>
    <row r="1102" ht="17.25" customHeight="1">
      <c r="A1102" s="32">
        <v>45248.0</v>
      </c>
      <c r="B1102" s="5" t="s">
        <v>712</v>
      </c>
      <c r="C1102" s="5" t="s">
        <v>96</v>
      </c>
      <c r="D1102" s="5" t="s">
        <v>9</v>
      </c>
      <c r="E1102" s="5">
        <v>1.0</v>
      </c>
      <c r="F1102" s="5" t="s">
        <v>1116</v>
      </c>
      <c r="G1102" s="5" t="s">
        <v>224</v>
      </c>
      <c r="I1102" s="5">
        <v>2.0</v>
      </c>
      <c r="J1102" s="5">
        <v>3.0</v>
      </c>
      <c r="N1102" s="5" t="b">
        <v>0</v>
      </c>
      <c r="R1102" s="5">
        <v>0.0</v>
      </c>
      <c r="T1102" s="5">
        <v>5.0</v>
      </c>
      <c r="U1102" s="5">
        <v>8.0</v>
      </c>
      <c r="V1102" s="5" t="s">
        <v>1130</v>
      </c>
      <c r="W1102" s="74"/>
      <c r="X1102" s="78" t="s">
        <v>1118</v>
      </c>
      <c r="Y1102" s="5">
        <v>4.0</v>
      </c>
      <c r="Z1102" s="5">
        <v>3.0</v>
      </c>
      <c r="AA1102" s="3">
        <f>2+ (P1102*'Scoring System'!$B$3)+ (IF(OR(D1102="DEF",D1102="GK"),N1102*'Scoring System'!$B$4,IF(D1102="MID",N1102*'Scoring System'!$B$5,0)))+ (IF(OR(D1102="DEF",D1102="GK"),H1102*'Scoring System'!$B$6,IF(D1102="MID",H1102*'Scoring System'!$B$7,IF(D1102="ATT",H1102*'Scoring System'!$B$8,0))))+ IF(AND(OR(D1102="GK",D1102="DEF"),J1102&gt;=3),1*'Scoring System'!$B$9,0)+ (I1102*'Scoring System'!$B$10)+ (K1102*'Scoring System'!$B$11)+ (M1102*'Scoring System'!$B$12)+ (L1102*'Scoring System'!$B$13)+ (O1102*'Scoring System'!$B$14)+ (Q1102*'Scoring System'!$B$15)+ (R1102*'Scoring System'!$B$16)</f>
        <v>8</v>
      </c>
      <c r="AB1102" s="3" t="b">
        <f>IFERROR(match(C1102,'Match Day Fees'!$B$2:$B$999,0),0)=0</f>
        <v>0</v>
      </c>
      <c r="AC1102" s="3">
        <f t="shared" si="2"/>
        <v>0</v>
      </c>
      <c r="AD1102" s="3" t="str">
        <f>VLOOKUP(D1102,'Position Lookup'!A:B,1,FALSE)</f>
        <v>ATT</v>
      </c>
    </row>
    <row r="1103" ht="17.25" customHeight="1">
      <c r="A1103" s="32">
        <v>45248.0</v>
      </c>
      <c r="B1103" s="5" t="s">
        <v>712</v>
      </c>
      <c r="C1103" s="5" t="s">
        <v>110</v>
      </c>
      <c r="D1103" s="5" t="s">
        <v>9</v>
      </c>
      <c r="E1103" s="5">
        <v>1.0</v>
      </c>
      <c r="F1103" s="5" t="s">
        <v>1116</v>
      </c>
      <c r="G1103" s="5" t="s">
        <v>224</v>
      </c>
      <c r="J1103" s="5">
        <v>3.0</v>
      </c>
      <c r="N1103" s="5" t="b">
        <v>0</v>
      </c>
      <c r="R1103" s="5">
        <v>0.0</v>
      </c>
      <c r="T1103" s="5">
        <v>3.0</v>
      </c>
      <c r="U1103" s="5">
        <v>7.0</v>
      </c>
      <c r="V1103" s="5" t="s">
        <v>1131</v>
      </c>
      <c r="W1103" s="74"/>
      <c r="X1103" s="78" t="s">
        <v>1118</v>
      </c>
      <c r="Y1103" s="5">
        <v>4.0</v>
      </c>
      <c r="Z1103" s="5">
        <v>3.0</v>
      </c>
      <c r="AA1103" s="3">
        <f>2+ (P1103*'Scoring System'!$B$3)+ (IF(OR(D1103="DEF",D1103="GK"),N1103*'Scoring System'!$B$4,IF(D1103="MID",N1103*'Scoring System'!$B$5,0)))+ (IF(OR(D1103="DEF",D1103="GK"),H1103*'Scoring System'!$B$6,IF(D1103="MID",H1103*'Scoring System'!$B$7,IF(D1103="ATT",H1103*'Scoring System'!$B$8,0))))+ IF(AND(OR(D1103="GK",D1103="DEF"),J1103&gt;=3),1*'Scoring System'!$B$9,0)+ (I1103*'Scoring System'!$B$10)+ (K1103*'Scoring System'!$B$11)+ (M1103*'Scoring System'!$B$12)+ (L1103*'Scoring System'!$B$13)+ (O1103*'Scoring System'!$B$14)+ (Q1103*'Scoring System'!$B$15)+ (R1103*'Scoring System'!$B$16)</f>
        <v>2</v>
      </c>
      <c r="AB1103" s="3" t="b">
        <f>IFERROR(match(C1103,'Match Day Fees'!$B$2:$B$999,0),0)=0</f>
        <v>0</v>
      </c>
      <c r="AC1103" s="3">
        <f t="shared" si="2"/>
        <v>0</v>
      </c>
      <c r="AD1103" s="3" t="str">
        <f>VLOOKUP(D1103,'Position Lookup'!A:B,1,FALSE)</f>
        <v>ATT</v>
      </c>
    </row>
    <row r="1104" ht="17.25" customHeight="1">
      <c r="A1104" s="32">
        <v>45248.0</v>
      </c>
      <c r="B1104" s="5" t="s">
        <v>309</v>
      </c>
      <c r="C1104" s="5" t="s">
        <v>38</v>
      </c>
      <c r="D1104" s="5" t="s">
        <v>8</v>
      </c>
      <c r="E1104" s="5">
        <v>2.0</v>
      </c>
      <c r="F1104" s="5" t="s">
        <v>1132</v>
      </c>
      <c r="G1104" s="5" t="s">
        <v>224</v>
      </c>
      <c r="I1104" s="5">
        <v>1.0</v>
      </c>
      <c r="J1104" s="5">
        <v>1.0</v>
      </c>
      <c r="N1104" s="5" t="b">
        <v>0</v>
      </c>
      <c r="R1104" s="5">
        <v>0.0</v>
      </c>
      <c r="T1104" s="5">
        <v>10.0</v>
      </c>
      <c r="U1104" s="5">
        <v>8.0</v>
      </c>
      <c r="V1104" s="5" t="s">
        <v>1133</v>
      </c>
      <c r="W1104" s="81" t="s">
        <v>327</v>
      </c>
      <c r="X1104" s="78" t="s">
        <v>1134</v>
      </c>
      <c r="Y1104" s="5">
        <v>3.0</v>
      </c>
      <c r="Z1104" s="5">
        <v>1.0</v>
      </c>
      <c r="AA1104" s="3">
        <f>2+ (P1104*'Scoring System'!$B$3)+ (IF(OR(D1104="DEF",D1104="GK"),N1104*'Scoring System'!$B$4,IF(D1104="MID",N1104*'Scoring System'!$B$5,0)))+ (IF(OR(D1104="DEF",D1104="GK"),H1104*'Scoring System'!$B$6,IF(D1104="MID",H1104*'Scoring System'!$B$7,IF(D1104="ATT",H1104*'Scoring System'!$B$8,0))))+ IF(AND(OR(D1104="GK",D1104="DEF"),J1104&gt;=3),1*'Scoring System'!$B$9,0)+ (I1104*'Scoring System'!$B$10)+ (K1104*'Scoring System'!$B$11)+ (M1104*'Scoring System'!$B$12)+ (L1104*'Scoring System'!$B$13)+ (O1104*'Scoring System'!$B$14)+ (Q1104*'Scoring System'!$B$15)+ (R1104*'Scoring System'!$B$16)</f>
        <v>5</v>
      </c>
      <c r="AB1104" s="3" t="b">
        <f>IFERROR(match(C1104,'Match Day Fees'!$B$2:$B$999,0),0)=0</f>
        <v>0</v>
      </c>
      <c r="AC1104" s="3">
        <f t="shared" si="2"/>
        <v>0</v>
      </c>
      <c r="AD1104" s="3" t="str">
        <f>VLOOKUP(D1104,'Position Lookup'!A:B,1,FALSE)</f>
        <v>GK</v>
      </c>
    </row>
    <row r="1105" ht="17.25" customHeight="1">
      <c r="A1105" s="32">
        <v>45248.0</v>
      </c>
      <c r="B1105" s="5" t="s">
        <v>309</v>
      </c>
      <c r="C1105" s="5" t="s">
        <v>91</v>
      </c>
      <c r="D1105" s="5" t="s">
        <v>11</v>
      </c>
      <c r="E1105" s="5">
        <v>2.0</v>
      </c>
      <c r="F1105" s="5" t="s">
        <v>1132</v>
      </c>
      <c r="G1105" s="5" t="s">
        <v>224</v>
      </c>
      <c r="J1105" s="5">
        <v>1.0</v>
      </c>
      <c r="N1105" s="5" t="b">
        <v>0</v>
      </c>
      <c r="R1105" s="5">
        <v>0.0</v>
      </c>
      <c r="T1105" s="5">
        <v>2.5</v>
      </c>
      <c r="U1105" s="5">
        <v>6.5</v>
      </c>
      <c r="V1105" s="5" t="s">
        <v>1135</v>
      </c>
      <c r="W1105" s="81" t="s">
        <v>327</v>
      </c>
      <c r="X1105" s="78" t="s">
        <v>1134</v>
      </c>
      <c r="Y1105" s="5">
        <v>3.0</v>
      </c>
      <c r="Z1105" s="5">
        <v>1.0</v>
      </c>
      <c r="AA1105" s="3">
        <f>2+ (P1105*'Scoring System'!$B$3)+ (IF(OR(D1105="DEF",D1105="GK"),N1105*'Scoring System'!$B$4,IF(D1105="MID",N1105*'Scoring System'!$B$5,0)))+ (IF(OR(D1105="DEF",D1105="GK"),H1105*'Scoring System'!$B$6,IF(D1105="MID",H1105*'Scoring System'!$B$7,IF(D1105="ATT",H1105*'Scoring System'!$B$8,0))))+ IF(AND(OR(D1105="GK",D1105="DEF"),J1105&gt;=3),1*'Scoring System'!$B$9,0)+ (I1105*'Scoring System'!$B$10)+ (K1105*'Scoring System'!$B$11)+ (M1105*'Scoring System'!$B$12)+ (L1105*'Scoring System'!$B$13)+ (O1105*'Scoring System'!$B$14)+ (Q1105*'Scoring System'!$B$15)+ (R1105*'Scoring System'!$B$16)</f>
        <v>2</v>
      </c>
      <c r="AB1105" s="3" t="b">
        <f>IFERROR(match(C1105,'Match Day Fees'!$B$2:$B$999,0),0)=0</f>
        <v>0</v>
      </c>
      <c r="AC1105" s="3">
        <f t="shared" si="2"/>
        <v>0</v>
      </c>
      <c r="AD1105" s="3" t="str">
        <f>VLOOKUP(D1105,'Position Lookup'!A:B,1,FALSE)</f>
        <v>DEF</v>
      </c>
    </row>
    <row r="1106" ht="17.25" customHeight="1">
      <c r="A1106" s="32">
        <v>45248.0</v>
      </c>
      <c r="B1106" s="5" t="s">
        <v>309</v>
      </c>
      <c r="C1106" s="5" t="s">
        <v>40</v>
      </c>
      <c r="D1106" s="5" t="s">
        <v>11</v>
      </c>
      <c r="E1106" s="5">
        <v>2.0</v>
      </c>
      <c r="F1106" s="5" t="s">
        <v>1132</v>
      </c>
      <c r="G1106" s="5" t="s">
        <v>224</v>
      </c>
      <c r="J1106" s="5">
        <v>1.0</v>
      </c>
      <c r="N1106" s="5" t="b">
        <v>0</v>
      </c>
      <c r="R1106" s="5">
        <v>0.0</v>
      </c>
      <c r="T1106" s="5">
        <v>10.0</v>
      </c>
      <c r="U1106" s="5">
        <v>7.0</v>
      </c>
      <c r="V1106" s="5" t="s">
        <v>1136</v>
      </c>
      <c r="W1106" s="81" t="s">
        <v>327</v>
      </c>
      <c r="X1106" s="78" t="s">
        <v>1134</v>
      </c>
      <c r="Y1106" s="5">
        <v>3.0</v>
      </c>
      <c r="Z1106" s="5">
        <v>1.0</v>
      </c>
      <c r="AA1106" s="3">
        <f>2+ (P1106*'Scoring System'!$B$3)+ (IF(OR(D1106="DEF",D1106="GK"),N1106*'Scoring System'!$B$4,IF(D1106="MID",N1106*'Scoring System'!$B$5,0)))+ (IF(OR(D1106="DEF",D1106="GK"),H1106*'Scoring System'!$B$6,IF(D1106="MID",H1106*'Scoring System'!$B$7,IF(D1106="ATT",H1106*'Scoring System'!$B$8,0))))+ IF(AND(OR(D1106="GK",D1106="DEF"),J1106&gt;=3),1*'Scoring System'!$B$9,0)+ (I1106*'Scoring System'!$B$10)+ (K1106*'Scoring System'!$B$11)+ (M1106*'Scoring System'!$B$12)+ (L1106*'Scoring System'!$B$13)+ (O1106*'Scoring System'!$B$14)+ (Q1106*'Scoring System'!$B$15)+ (R1106*'Scoring System'!$B$16)</f>
        <v>2</v>
      </c>
      <c r="AB1106" s="3" t="b">
        <f>IFERROR(match(C1106,'Match Day Fees'!$B$2:$B$999,0),0)=0</f>
        <v>0</v>
      </c>
      <c r="AC1106" s="3">
        <f t="shared" si="2"/>
        <v>0</v>
      </c>
      <c r="AD1106" s="3" t="str">
        <f>VLOOKUP(D1106,'Position Lookup'!A:B,1,FALSE)</f>
        <v>DEF</v>
      </c>
    </row>
    <row r="1107" ht="17.25" customHeight="1">
      <c r="A1107" s="32">
        <v>45248.0</v>
      </c>
      <c r="B1107" s="5" t="s">
        <v>309</v>
      </c>
      <c r="C1107" s="5" t="s">
        <v>290</v>
      </c>
      <c r="D1107" s="5" t="s">
        <v>11</v>
      </c>
      <c r="E1107" s="5">
        <v>2.0</v>
      </c>
      <c r="F1107" s="5" t="s">
        <v>1132</v>
      </c>
      <c r="G1107" s="5" t="s">
        <v>224</v>
      </c>
      <c r="J1107" s="5">
        <v>1.0</v>
      </c>
      <c r="N1107" s="5" t="b">
        <v>0</v>
      </c>
      <c r="R1107" s="5">
        <v>0.0</v>
      </c>
      <c r="T1107" s="5">
        <v>10.0</v>
      </c>
      <c r="U1107" s="5">
        <v>8.0</v>
      </c>
      <c r="V1107" s="5" t="s">
        <v>1137</v>
      </c>
      <c r="W1107" s="81" t="s">
        <v>327</v>
      </c>
      <c r="X1107" s="78" t="s">
        <v>1134</v>
      </c>
      <c r="Y1107" s="5">
        <v>3.0</v>
      </c>
      <c r="Z1107" s="5">
        <v>1.0</v>
      </c>
      <c r="AA1107" s="3">
        <f>2+ (P1107*'Scoring System'!$B$3)+ (IF(OR(D1107="DEF",D1107="GK"),N1107*'Scoring System'!$B$4,IF(D1107="MID",N1107*'Scoring System'!$B$5,0)))+ (IF(OR(D1107="DEF",D1107="GK"),H1107*'Scoring System'!$B$6,IF(D1107="MID",H1107*'Scoring System'!$B$7,IF(D1107="ATT",H1107*'Scoring System'!$B$8,0))))+ IF(AND(OR(D1107="GK",D1107="DEF"),J1107&gt;=3),1*'Scoring System'!$B$9,0)+ (I1107*'Scoring System'!$B$10)+ (K1107*'Scoring System'!$B$11)+ (M1107*'Scoring System'!$B$12)+ (L1107*'Scoring System'!$B$13)+ (O1107*'Scoring System'!$B$14)+ (Q1107*'Scoring System'!$B$15)+ (R1107*'Scoring System'!$B$16)</f>
        <v>2</v>
      </c>
      <c r="AB1107" s="3" t="b">
        <f>IFERROR(match(C1107,'Match Day Fees'!$B$2:$B$999,0),0)=0</f>
        <v>0</v>
      </c>
      <c r="AC1107" s="3">
        <f t="shared" si="2"/>
        <v>0</v>
      </c>
      <c r="AD1107" s="3" t="str">
        <f>VLOOKUP(D1107,'Position Lookup'!A:B,1,FALSE)</f>
        <v>DEF</v>
      </c>
    </row>
    <row r="1108" ht="17.25" customHeight="1">
      <c r="A1108" s="32">
        <v>45248.0</v>
      </c>
      <c r="B1108" s="5" t="s">
        <v>309</v>
      </c>
      <c r="C1108" s="5" t="s">
        <v>114</v>
      </c>
      <c r="D1108" s="5" t="s">
        <v>11</v>
      </c>
      <c r="E1108" s="5">
        <v>2.0</v>
      </c>
      <c r="F1108" s="5" t="s">
        <v>1132</v>
      </c>
      <c r="G1108" s="5" t="s">
        <v>224</v>
      </c>
      <c r="J1108" s="5">
        <v>1.0</v>
      </c>
      <c r="N1108" s="5" t="b">
        <v>0</v>
      </c>
      <c r="R1108" s="5">
        <v>0.0</v>
      </c>
      <c r="T1108" s="5">
        <v>10.0</v>
      </c>
      <c r="U1108" s="5">
        <v>7.5</v>
      </c>
      <c r="V1108" s="5" t="s">
        <v>1138</v>
      </c>
      <c r="W1108" s="81" t="s">
        <v>327</v>
      </c>
      <c r="X1108" s="78" t="s">
        <v>1134</v>
      </c>
      <c r="Y1108" s="5">
        <v>3.0</v>
      </c>
      <c r="Z1108" s="5">
        <v>1.0</v>
      </c>
      <c r="AA1108" s="3">
        <f>2+ (P1108*'Scoring System'!$B$3)+ (IF(OR(D1108="DEF",D1108="GK"),N1108*'Scoring System'!$B$4,IF(D1108="MID",N1108*'Scoring System'!$B$5,0)))+ (IF(OR(D1108="DEF",D1108="GK"),H1108*'Scoring System'!$B$6,IF(D1108="MID",H1108*'Scoring System'!$B$7,IF(D1108="ATT",H1108*'Scoring System'!$B$8,0))))+ IF(AND(OR(D1108="GK",D1108="DEF"),J1108&gt;=3),1*'Scoring System'!$B$9,0)+ (I1108*'Scoring System'!$B$10)+ (K1108*'Scoring System'!$B$11)+ (M1108*'Scoring System'!$B$12)+ (L1108*'Scoring System'!$B$13)+ (O1108*'Scoring System'!$B$14)+ (Q1108*'Scoring System'!$B$15)+ (R1108*'Scoring System'!$B$16)</f>
        <v>2</v>
      </c>
      <c r="AB1108" s="3" t="b">
        <f>IFERROR(match(C1108,'Match Day Fees'!$B$2:$B$999,0),0)=0</f>
        <v>0</v>
      </c>
      <c r="AC1108" s="3">
        <f t="shared" si="2"/>
        <v>0</v>
      </c>
      <c r="AD1108" s="3" t="str">
        <f>VLOOKUP(D1108,'Position Lookup'!A:B,1,FALSE)</f>
        <v>DEF</v>
      </c>
    </row>
    <row r="1109" ht="17.25" customHeight="1">
      <c r="A1109" s="32">
        <v>45248.0</v>
      </c>
      <c r="B1109" s="5" t="s">
        <v>309</v>
      </c>
      <c r="C1109" s="5" t="s">
        <v>104</v>
      </c>
      <c r="D1109" s="5" t="s">
        <v>10</v>
      </c>
      <c r="E1109" s="5">
        <v>2.0</v>
      </c>
      <c r="F1109" s="5" t="s">
        <v>1132</v>
      </c>
      <c r="G1109" s="5" t="s">
        <v>224</v>
      </c>
      <c r="J1109" s="5">
        <v>1.0</v>
      </c>
      <c r="N1109" s="5" t="b">
        <v>0</v>
      </c>
      <c r="R1109" s="5">
        <v>0.0</v>
      </c>
      <c r="T1109" s="5">
        <v>5.0</v>
      </c>
      <c r="U1109" s="5">
        <v>7.0</v>
      </c>
      <c r="V1109" s="5" t="s">
        <v>1139</v>
      </c>
      <c r="W1109" s="81" t="s">
        <v>327</v>
      </c>
      <c r="X1109" s="78" t="s">
        <v>1134</v>
      </c>
      <c r="Y1109" s="5">
        <v>3.0</v>
      </c>
      <c r="Z1109" s="5">
        <v>1.0</v>
      </c>
      <c r="AA1109" s="3">
        <f>2+ (P1109*'Scoring System'!$B$3)+ (IF(OR(D1109="DEF",D1109="GK"),N1109*'Scoring System'!$B$4,IF(D1109="MID",N1109*'Scoring System'!$B$5,0)))+ (IF(OR(D1109="DEF",D1109="GK"),H1109*'Scoring System'!$B$6,IF(D1109="MID",H1109*'Scoring System'!$B$7,IF(D1109="ATT",H1109*'Scoring System'!$B$8,0))))+ IF(AND(OR(D1109="GK",D1109="DEF"),J1109&gt;=3),1*'Scoring System'!$B$9,0)+ (I1109*'Scoring System'!$B$10)+ (K1109*'Scoring System'!$B$11)+ (M1109*'Scoring System'!$B$12)+ (L1109*'Scoring System'!$B$13)+ (O1109*'Scoring System'!$B$14)+ (Q1109*'Scoring System'!$B$15)+ (R1109*'Scoring System'!$B$16)</f>
        <v>2</v>
      </c>
      <c r="AB1109" s="3" t="b">
        <f>IFERROR(match(C1109,'Match Day Fees'!$B$2:$B$999,0),0)=0</f>
        <v>0</v>
      </c>
      <c r="AC1109" s="3">
        <f t="shared" si="2"/>
        <v>0</v>
      </c>
      <c r="AD1109" s="3" t="str">
        <f>VLOOKUP(D1109,'Position Lookup'!A:B,1,FALSE)</f>
        <v>MID</v>
      </c>
    </row>
    <row r="1110" ht="17.25" customHeight="1">
      <c r="A1110" s="32">
        <v>45248.0</v>
      </c>
      <c r="B1110" s="5" t="s">
        <v>309</v>
      </c>
      <c r="C1110" s="5" t="s">
        <v>112</v>
      </c>
      <c r="D1110" s="5" t="s">
        <v>10</v>
      </c>
      <c r="E1110" s="5">
        <v>2.0</v>
      </c>
      <c r="F1110" s="5" t="s">
        <v>1132</v>
      </c>
      <c r="G1110" s="5" t="s">
        <v>224</v>
      </c>
      <c r="J1110" s="5">
        <v>1.0</v>
      </c>
      <c r="N1110" s="5" t="b">
        <v>0</v>
      </c>
      <c r="R1110" s="5">
        <v>0.0</v>
      </c>
      <c r="T1110" s="5">
        <v>10.0</v>
      </c>
      <c r="U1110" s="5">
        <v>7.0</v>
      </c>
      <c r="V1110" s="5" t="s">
        <v>1140</v>
      </c>
      <c r="W1110" s="81" t="s">
        <v>327</v>
      </c>
      <c r="X1110" s="78" t="s">
        <v>1134</v>
      </c>
      <c r="Y1110" s="5">
        <v>3.0</v>
      </c>
      <c r="Z1110" s="5">
        <v>1.0</v>
      </c>
      <c r="AA1110" s="3">
        <f>2+ (P1110*'Scoring System'!$B$3)+ (IF(OR(D1110="DEF",D1110="GK"),N1110*'Scoring System'!$B$4,IF(D1110="MID",N1110*'Scoring System'!$B$5,0)))+ (IF(OR(D1110="DEF",D1110="GK"),H1110*'Scoring System'!$B$6,IF(D1110="MID",H1110*'Scoring System'!$B$7,IF(D1110="ATT",H1110*'Scoring System'!$B$8,0))))+ IF(AND(OR(D1110="GK",D1110="DEF"),J1110&gt;=3),1*'Scoring System'!$B$9,0)+ (I1110*'Scoring System'!$B$10)+ (K1110*'Scoring System'!$B$11)+ (M1110*'Scoring System'!$B$12)+ (L1110*'Scoring System'!$B$13)+ (O1110*'Scoring System'!$B$14)+ (Q1110*'Scoring System'!$B$15)+ (R1110*'Scoring System'!$B$16)</f>
        <v>2</v>
      </c>
      <c r="AB1110" s="3" t="b">
        <f>IFERROR(match(C1110,'Match Day Fees'!$B$2:$B$999,0),0)=0</f>
        <v>0</v>
      </c>
      <c r="AC1110" s="3">
        <f t="shared" si="2"/>
        <v>0</v>
      </c>
      <c r="AD1110" s="3" t="str">
        <f>VLOOKUP(D1110,'Position Lookup'!A:B,1,FALSE)</f>
        <v>MID</v>
      </c>
    </row>
    <row r="1111" ht="17.25" customHeight="1">
      <c r="A1111" s="32">
        <v>45248.0</v>
      </c>
      <c r="B1111" s="5" t="s">
        <v>309</v>
      </c>
      <c r="C1111" s="5" t="s">
        <v>78</v>
      </c>
      <c r="D1111" s="5" t="s">
        <v>9</v>
      </c>
      <c r="E1111" s="5">
        <v>2.0</v>
      </c>
      <c r="F1111" s="5" t="s">
        <v>1132</v>
      </c>
      <c r="G1111" s="5" t="s">
        <v>224</v>
      </c>
      <c r="I1111" s="5">
        <v>1.0</v>
      </c>
      <c r="J1111" s="5">
        <v>1.0</v>
      </c>
      <c r="N1111" s="5" t="b">
        <v>0</v>
      </c>
      <c r="R1111" s="5">
        <v>0.0</v>
      </c>
      <c r="T1111" s="5">
        <v>10.0</v>
      </c>
      <c r="U1111" s="5">
        <v>6.5</v>
      </c>
      <c r="V1111" s="5" t="s">
        <v>1141</v>
      </c>
      <c r="W1111" s="81" t="s">
        <v>327</v>
      </c>
      <c r="X1111" s="78" t="s">
        <v>1134</v>
      </c>
      <c r="Y1111" s="5">
        <v>3.0</v>
      </c>
      <c r="Z1111" s="5">
        <v>1.0</v>
      </c>
      <c r="AA1111" s="3">
        <f>2+ (P1111*'Scoring System'!$B$3)+ (IF(OR(D1111="DEF",D1111="GK"),N1111*'Scoring System'!$B$4,IF(D1111="MID",N1111*'Scoring System'!$B$5,0)))+ (IF(OR(D1111="DEF",D1111="GK"),H1111*'Scoring System'!$B$6,IF(D1111="MID",H1111*'Scoring System'!$B$7,IF(D1111="ATT",H1111*'Scoring System'!$B$8,0))))+ IF(AND(OR(D1111="GK",D1111="DEF"),J1111&gt;=3),1*'Scoring System'!$B$9,0)+ (I1111*'Scoring System'!$B$10)+ (K1111*'Scoring System'!$B$11)+ (M1111*'Scoring System'!$B$12)+ (L1111*'Scoring System'!$B$13)+ (O1111*'Scoring System'!$B$14)+ (Q1111*'Scoring System'!$B$15)+ (R1111*'Scoring System'!$B$16)</f>
        <v>5</v>
      </c>
      <c r="AB1111" s="3" t="b">
        <f>IFERROR(match(C1111,'Match Day Fees'!$B$2:$B$999,0),0)=0</f>
        <v>0</v>
      </c>
      <c r="AC1111" s="3">
        <f t="shared" si="2"/>
        <v>0</v>
      </c>
      <c r="AD1111" s="3" t="str">
        <f>VLOOKUP(D1111,'Position Lookup'!A:B,1,FALSE)</f>
        <v>ATT</v>
      </c>
    </row>
    <row r="1112" ht="17.25" customHeight="1">
      <c r="A1112" s="32">
        <v>45248.0</v>
      </c>
      <c r="B1112" s="5" t="s">
        <v>309</v>
      </c>
      <c r="C1112" s="5" t="s">
        <v>239</v>
      </c>
      <c r="D1112" s="5" t="s">
        <v>9</v>
      </c>
      <c r="E1112" s="5">
        <v>2.0</v>
      </c>
      <c r="F1112" s="5" t="s">
        <v>1132</v>
      </c>
      <c r="G1112" s="5" t="s">
        <v>224</v>
      </c>
      <c r="J1112" s="5">
        <v>1.0</v>
      </c>
      <c r="N1112" s="5" t="b">
        <v>0</v>
      </c>
      <c r="R1112" s="5">
        <v>0.0</v>
      </c>
      <c r="T1112" s="5">
        <v>5.0</v>
      </c>
      <c r="U1112" s="5">
        <v>6.0</v>
      </c>
      <c r="V1112" s="5" t="s">
        <v>1142</v>
      </c>
      <c r="W1112" s="81" t="s">
        <v>327</v>
      </c>
      <c r="X1112" s="78" t="s">
        <v>1134</v>
      </c>
      <c r="Y1112" s="5">
        <v>3.0</v>
      </c>
      <c r="Z1112" s="5">
        <v>1.0</v>
      </c>
      <c r="AA1112" s="3">
        <f>2+ (P1112*'Scoring System'!$B$3)+ (IF(OR(D1112="DEF",D1112="GK"),N1112*'Scoring System'!$B$4,IF(D1112="MID",N1112*'Scoring System'!$B$5,0)))+ (IF(OR(D1112="DEF",D1112="GK"),H1112*'Scoring System'!$B$6,IF(D1112="MID",H1112*'Scoring System'!$B$7,IF(D1112="ATT",H1112*'Scoring System'!$B$8,0))))+ IF(AND(OR(D1112="GK",D1112="DEF"),J1112&gt;=3),1*'Scoring System'!$B$9,0)+ (I1112*'Scoring System'!$B$10)+ (K1112*'Scoring System'!$B$11)+ (M1112*'Scoring System'!$B$12)+ (L1112*'Scoring System'!$B$13)+ (O1112*'Scoring System'!$B$14)+ (Q1112*'Scoring System'!$B$15)+ (R1112*'Scoring System'!$B$16)</f>
        <v>2</v>
      </c>
      <c r="AB1112" s="3" t="b">
        <f>IFERROR(match(C1112,'Match Day Fees'!$B$2:$B$999,0),0)=0</f>
        <v>0</v>
      </c>
      <c r="AC1112" s="3">
        <f t="shared" si="2"/>
        <v>0</v>
      </c>
      <c r="AD1112" s="3" t="str">
        <f>VLOOKUP(D1112,'Position Lookup'!A:B,1,FALSE)</f>
        <v>ATT</v>
      </c>
    </row>
    <row r="1113" ht="17.25" customHeight="1">
      <c r="A1113" s="32">
        <v>45248.0</v>
      </c>
      <c r="B1113" s="5" t="s">
        <v>309</v>
      </c>
      <c r="C1113" s="5" t="s">
        <v>61</v>
      </c>
      <c r="D1113" s="5" t="s">
        <v>9</v>
      </c>
      <c r="E1113" s="5">
        <v>2.0</v>
      </c>
      <c r="F1113" s="5" t="s">
        <v>1132</v>
      </c>
      <c r="G1113" s="5" t="s">
        <v>224</v>
      </c>
      <c r="H1113" s="5">
        <v>1.0</v>
      </c>
      <c r="J1113" s="5">
        <v>1.0</v>
      </c>
      <c r="N1113" s="5" t="b">
        <v>0</v>
      </c>
      <c r="R1113" s="5">
        <v>0.0</v>
      </c>
      <c r="T1113" s="5">
        <v>10.0</v>
      </c>
      <c r="U1113" s="5">
        <v>7.5</v>
      </c>
      <c r="V1113" s="5" t="s">
        <v>1143</v>
      </c>
      <c r="W1113" s="81" t="s">
        <v>327</v>
      </c>
      <c r="X1113" s="78" t="s">
        <v>1134</v>
      </c>
      <c r="Y1113" s="5">
        <v>3.0</v>
      </c>
      <c r="Z1113" s="5">
        <v>1.0</v>
      </c>
      <c r="AA1113" s="3">
        <f>2+ (P1113*'Scoring System'!$B$3)+ (IF(OR(D1113="DEF",D1113="GK"),N1113*'Scoring System'!$B$4,IF(D1113="MID",N1113*'Scoring System'!$B$5,0)))+ (IF(OR(D1113="DEF",D1113="GK"),H1113*'Scoring System'!$B$6,IF(D1113="MID",H1113*'Scoring System'!$B$7,IF(D1113="ATT",H1113*'Scoring System'!$B$8,0))))+ IF(AND(OR(D1113="GK",D1113="DEF"),J1113&gt;=3),1*'Scoring System'!$B$9,0)+ (I1113*'Scoring System'!$B$10)+ (K1113*'Scoring System'!$B$11)+ (M1113*'Scoring System'!$B$12)+ (L1113*'Scoring System'!$B$13)+ (O1113*'Scoring System'!$B$14)+ (Q1113*'Scoring System'!$B$15)+ (R1113*'Scoring System'!$B$16)</f>
        <v>6</v>
      </c>
      <c r="AB1113" s="3" t="b">
        <f>IFERROR(match(C1113,'Match Day Fees'!$B$2:$B$999,0),0)=0</f>
        <v>0</v>
      </c>
      <c r="AC1113" s="3">
        <f t="shared" si="2"/>
        <v>0</v>
      </c>
      <c r="AD1113" s="3" t="str">
        <f>VLOOKUP(D1113,'Position Lookup'!A:B,1,FALSE)</f>
        <v>ATT</v>
      </c>
    </row>
    <row r="1114" ht="17.25" customHeight="1">
      <c r="A1114" s="32">
        <v>45248.0</v>
      </c>
      <c r="B1114" s="5" t="s">
        <v>309</v>
      </c>
      <c r="C1114" s="5" t="s">
        <v>73</v>
      </c>
      <c r="D1114" s="5" t="s">
        <v>9</v>
      </c>
      <c r="E1114" s="5">
        <v>2.0</v>
      </c>
      <c r="F1114" s="5" t="s">
        <v>1132</v>
      </c>
      <c r="G1114" s="5" t="s">
        <v>224</v>
      </c>
      <c r="H1114" s="5">
        <v>2.0</v>
      </c>
      <c r="I1114" s="5">
        <v>1.0</v>
      </c>
      <c r="J1114" s="5">
        <v>1.0</v>
      </c>
      <c r="N1114" s="5" t="b">
        <v>0</v>
      </c>
      <c r="R1114" s="5">
        <v>1.0</v>
      </c>
      <c r="T1114" s="5">
        <v>10.0</v>
      </c>
      <c r="U1114" s="5">
        <v>8.0</v>
      </c>
      <c r="V1114" s="5" t="s">
        <v>1144</v>
      </c>
      <c r="W1114" s="81" t="s">
        <v>327</v>
      </c>
      <c r="X1114" s="78" t="s">
        <v>1134</v>
      </c>
      <c r="Y1114" s="5">
        <v>3.0</v>
      </c>
      <c r="Z1114" s="5">
        <v>1.0</v>
      </c>
      <c r="AA1114" s="3">
        <f>2+ (P1114*'Scoring System'!$B$3)+ (IF(OR(D1114="DEF",D1114="GK"),N1114*'Scoring System'!$B$4,IF(D1114="MID",N1114*'Scoring System'!$B$5,0)))+ (IF(OR(D1114="DEF",D1114="GK"),H1114*'Scoring System'!$B$6,IF(D1114="MID",H1114*'Scoring System'!$B$7,IF(D1114="ATT",H1114*'Scoring System'!$B$8,0))))+ IF(AND(OR(D1114="GK",D1114="DEF"),J1114&gt;=3),1*'Scoring System'!$B$9,0)+ (I1114*'Scoring System'!$B$10)+ (K1114*'Scoring System'!$B$11)+ (M1114*'Scoring System'!$B$12)+ (L1114*'Scoring System'!$B$13)+ (O1114*'Scoring System'!$B$14)+ (Q1114*'Scoring System'!$B$15)+ (R1114*'Scoring System'!$B$16)</f>
        <v>18</v>
      </c>
      <c r="AB1114" s="3" t="b">
        <f>IFERROR(match(C1114,'Match Day Fees'!$B$2:$B$999,0),0)=0</f>
        <v>0</v>
      </c>
      <c r="AC1114" s="3">
        <f t="shared" si="2"/>
        <v>0</v>
      </c>
      <c r="AD1114" s="3" t="str">
        <f>VLOOKUP(D1114,'Position Lookup'!A:B,1,FALSE)</f>
        <v>ATT</v>
      </c>
    </row>
    <row r="1115" ht="17.25" customHeight="1">
      <c r="A1115" s="32">
        <v>45248.0</v>
      </c>
      <c r="B1115" s="5" t="s">
        <v>309</v>
      </c>
      <c r="C1115" s="5" t="s">
        <v>123</v>
      </c>
      <c r="D1115" s="5" t="s">
        <v>9</v>
      </c>
      <c r="E1115" s="5">
        <v>2.0</v>
      </c>
      <c r="F1115" s="5" t="s">
        <v>1132</v>
      </c>
      <c r="G1115" s="5" t="s">
        <v>224</v>
      </c>
      <c r="J1115" s="5">
        <v>1.0</v>
      </c>
      <c r="N1115" s="5" t="b">
        <v>0</v>
      </c>
      <c r="R1115" s="5">
        <v>0.0</v>
      </c>
      <c r="T1115" s="5">
        <v>10.0</v>
      </c>
      <c r="U1115" s="5">
        <v>6.0</v>
      </c>
      <c r="V1115" s="5" t="s">
        <v>1145</v>
      </c>
      <c r="W1115" s="81" t="s">
        <v>327</v>
      </c>
      <c r="X1115" s="78" t="s">
        <v>1134</v>
      </c>
      <c r="Y1115" s="5">
        <v>3.0</v>
      </c>
      <c r="Z1115" s="5">
        <v>1.0</v>
      </c>
      <c r="AA1115" s="3">
        <f>2+ (P1115*'Scoring System'!$B$3)+ (IF(OR(D1115="DEF",D1115="GK"),N1115*'Scoring System'!$B$4,IF(D1115="MID",N1115*'Scoring System'!$B$5,0)))+ (IF(OR(D1115="DEF",D1115="GK"),H1115*'Scoring System'!$B$6,IF(D1115="MID",H1115*'Scoring System'!$B$7,IF(D1115="ATT",H1115*'Scoring System'!$B$8,0))))+ IF(AND(OR(D1115="GK",D1115="DEF"),J1115&gt;=3),1*'Scoring System'!$B$9,0)+ (I1115*'Scoring System'!$B$10)+ (K1115*'Scoring System'!$B$11)+ (M1115*'Scoring System'!$B$12)+ (L1115*'Scoring System'!$B$13)+ (O1115*'Scoring System'!$B$14)+ (Q1115*'Scoring System'!$B$15)+ (R1115*'Scoring System'!$B$16)</f>
        <v>2</v>
      </c>
      <c r="AB1115" s="3" t="b">
        <f>IFERROR(match(C1115,'Match Day Fees'!$B$2:$B$999,0),0)=0</f>
        <v>0</v>
      </c>
      <c r="AC1115" s="3">
        <f t="shared" si="2"/>
        <v>0</v>
      </c>
      <c r="AD1115" s="3" t="str">
        <f>VLOOKUP(D1115,'Position Lookup'!A:B,1,FALSE)</f>
        <v>ATT</v>
      </c>
    </row>
    <row r="1116" ht="17.25" customHeight="1">
      <c r="A1116" s="32">
        <v>45248.0</v>
      </c>
      <c r="B1116" s="5" t="s">
        <v>309</v>
      </c>
      <c r="C1116" s="5" t="s">
        <v>86</v>
      </c>
      <c r="D1116" s="5" t="s">
        <v>10</v>
      </c>
      <c r="E1116" s="5">
        <v>2.0</v>
      </c>
      <c r="F1116" s="5" t="s">
        <v>1132</v>
      </c>
      <c r="G1116" s="5" t="s">
        <v>224</v>
      </c>
      <c r="J1116" s="5">
        <v>1.0</v>
      </c>
      <c r="N1116" s="5" t="b">
        <v>0</v>
      </c>
      <c r="R1116" s="5">
        <v>0.0</v>
      </c>
      <c r="T1116" s="5">
        <v>10.0</v>
      </c>
      <c r="U1116" s="5">
        <v>7.0</v>
      </c>
      <c r="V1116" s="5" t="s">
        <v>1146</v>
      </c>
      <c r="W1116" s="81" t="s">
        <v>327</v>
      </c>
      <c r="X1116" s="78" t="s">
        <v>1134</v>
      </c>
      <c r="Y1116" s="5">
        <v>3.0</v>
      </c>
      <c r="Z1116" s="5">
        <v>1.0</v>
      </c>
      <c r="AA1116" s="3">
        <f>2+ (P1116*'Scoring System'!$B$3)+ (IF(OR(D1116="DEF",D1116="GK"),N1116*'Scoring System'!$B$4,IF(D1116="MID",N1116*'Scoring System'!$B$5,0)))+ (IF(OR(D1116="DEF",D1116="GK"),H1116*'Scoring System'!$B$6,IF(D1116="MID",H1116*'Scoring System'!$B$7,IF(D1116="ATT",H1116*'Scoring System'!$B$8,0))))+ IF(AND(OR(D1116="GK",D1116="DEF"),J1116&gt;=3),1*'Scoring System'!$B$9,0)+ (I1116*'Scoring System'!$B$10)+ (K1116*'Scoring System'!$B$11)+ (M1116*'Scoring System'!$B$12)+ (L1116*'Scoring System'!$B$13)+ (O1116*'Scoring System'!$B$14)+ (Q1116*'Scoring System'!$B$15)+ (R1116*'Scoring System'!$B$16)</f>
        <v>2</v>
      </c>
      <c r="AB1116" s="3" t="b">
        <f>IFERROR(match(C1116,'Match Day Fees'!$B$2:$B$999,0),0)=0</f>
        <v>0</v>
      </c>
      <c r="AC1116" s="3">
        <f t="shared" si="2"/>
        <v>0</v>
      </c>
      <c r="AD1116" s="3" t="str">
        <f>VLOOKUP(D1116,'Position Lookup'!A:B,1,FALSE)</f>
        <v>MID</v>
      </c>
    </row>
    <row r="1117" ht="17.25" customHeight="1">
      <c r="A1117" s="32">
        <v>45248.0</v>
      </c>
      <c r="B1117" s="5" t="s">
        <v>309</v>
      </c>
      <c r="C1117" s="5" t="s">
        <v>273</v>
      </c>
      <c r="D1117" s="5" t="s">
        <v>11</v>
      </c>
      <c r="E1117" s="5">
        <v>2.0</v>
      </c>
      <c r="F1117" s="5" t="s">
        <v>1132</v>
      </c>
      <c r="G1117" s="5" t="s">
        <v>224</v>
      </c>
      <c r="J1117" s="5">
        <v>1.0</v>
      </c>
      <c r="N1117" s="5" t="b">
        <v>0</v>
      </c>
      <c r="R1117" s="5">
        <v>0.0</v>
      </c>
      <c r="T1117" s="5">
        <v>5.0</v>
      </c>
      <c r="U1117" s="5">
        <v>7.5</v>
      </c>
      <c r="V1117" s="5" t="s">
        <v>1147</v>
      </c>
      <c r="W1117" s="81" t="s">
        <v>327</v>
      </c>
      <c r="X1117" s="78" t="s">
        <v>1134</v>
      </c>
      <c r="Y1117" s="5">
        <v>3.0</v>
      </c>
      <c r="Z1117" s="5">
        <v>1.0</v>
      </c>
      <c r="AA1117" s="3">
        <f>2+ (P1117*'Scoring System'!$B$3)+ (IF(OR(D1117="DEF",D1117="GK"),N1117*'Scoring System'!$B$4,IF(D1117="MID",N1117*'Scoring System'!$B$5,0)))+ (IF(OR(D1117="DEF",D1117="GK"),H1117*'Scoring System'!$B$6,IF(D1117="MID",H1117*'Scoring System'!$B$7,IF(D1117="ATT",H1117*'Scoring System'!$B$8,0))))+ IF(AND(OR(D1117="GK",D1117="DEF"),J1117&gt;=3),1*'Scoring System'!$B$9,0)+ (I1117*'Scoring System'!$B$10)+ (K1117*'Scoring System'!$B$11)+ (M1117*'Scoring System'!$B$12)+ (L1117*'Scoring System'!$B$13)+ (O1117*'Scoring System'!$B$14)+ (Q1117*'Scoring System'!$B$15)+ (R1117*'Scoring System'!$B$16)</f>
        <v>2</v>
      </c>
      <c r="AB1117" s="3" t="b">
        <f>IFERROR(match(C1117,'Match Day Fees'!$B$2:$B$999,0),0)=0</f>
        <v>0</v>
      </c>
      <c r="AC1117" s="3">
        <f t="shared" si="2"/>
        <v>0</v>
      </c>
      <c r="AD1117" s="3" t="str">
        <f>VLOOKUP(D1117,'Position Lookup'!A:B,1,FALSE)</f>
        <v>DEF</v>
      </c>
    </row>
    <row r="1118" ht="17.25" customHeight="1">
      <c r="A1118" s="32">
        <v>45248.0</v>
      </c>
      <c r="B1118" s="5" t="s">
        <v>712</v>
      </c>
      <c r="C1118" s="5" t="s">
        <v>810</v>
      </c>
      <c r="D1118" s="5" t="s">
        <v>8</v>
      </c>
      <c r="E1118" s="5">
        <v>3.0</v>
      </c>
      <c r="F1118" s="5" t="s">
        <v>1148</v>
      </c>
      <c r="G1118" s="5" t="s">
        <v>242</v>
      </c>
      <c r="J1118" s="5">
        <v>3.0</v>
      </c>
      <c r="N1118" s="5" t="b">
        <v>0</v>
      </c>
      <c r="R1118" s="5">
        <v>0.0</v>
      </c>
      <c r="T1118" s="5">
        <v>10.0</v>
      </c>
      <c r="U1118" s="5">
        <v>5.5</v>
      </c>
      <c r="V1118" s="5" t="s">
        <v>1149</v>
      </c>
      <c r="W1118" s="81" t="s">
        <v>344</v>
      </c>
      <c r="X1118" s="78" t="s">
        <v>1150</v>
      </c>
      <c r="Y1118" s="5">
        <v>3.0</v>
      </c>
      <c r="Z1118" s="5">
        <v>3.0</v>
      </c>
      <c r="AA1118" s="3">
        <f>2+ (P1118*'Scoring System'!$B$3)+ (IF(OR(D1118="DEF",D1118="GK"),N1118*'Scoring System'!$B$4,IF(D1118="MID",N1118*'Scoring System'!$B$5,0)))+ (IF(OR(D1118="DEF",D1118="GK"),H1118*'Scoring System'!$B$6,IF(D1118="MID",H1118*'Scoring System'!$B$7,IF(D1118="ATT",H1118*'Scoring System'!$B$8,0))))+ IF(AND(OR(D1118="GK",D1118="DEF"),J1118&gt;=3),1*'Scoring System'!$B$9,0)+ (I1118*'Scoring System'!$B$10)+ (K1118*'Scoring System'!$B$11)+ (M1118*'Scoring System'!$B$12)+ (L1118*'Scoring System'!$B$13)+ (O1118*'Scoring System'!$B$14)+ (Q1118*'Scoring System'!$B$15)+ (R1118*'Scoring System'!$B$16)</f>
        <v>1</v>
      </c>
      <c r="AB1118" s="3" t="b">
        <f>IFERROR(match(C1118,'Match Day Fees'!$B$2:$B$999,0),0)=0</f>
        <v>0</v>
      </c>
      <c r="AC1118" s="3">
        <f t="shared" si="2"/>
        <v>0</v>
      </c>
      <c r="AD1118" s="3" t="str">
        <f>VLOOKUP(D1118,'Position Lookup'!A:B,1,FALSE)</f>
        <v>GK</v>
      </c>
    </row>
    <row r="1119" ht="17.25" customHeight="1">
      <c r="A1119" s="32">
        <v>45248.0</v>
      </c>
      <c r="B1119" s="5" t="s">
        <v>712</v>
      </c>
      <c r="C1119" s="5" t="s">
        <v>119</v>
      </c>
      <c r="D1119" s="5" t="s">
        <v>11</v>
      </c>
      <c r="E1119" s="5">
        <v>3.0</v>
      </c>
      <c r="F1119" s="5" t="s">
        <v>1148</v>
      </c>
      <c r="G1119" s="5" t="s">
        <v>242</v>
      </c>
      <c r="J1119" s="5">
        <v>3.0</v>
      </c>
      <c r="N1119" s="5" t="b">
        <v>0</v>
      </c>
      <c r="R1119" s="5">
        <v>0.0</v>
      </c>
      <c r="T1119" s="5">
        <v>10.0</v>
      </c>
      <c r="U1119" s="5">
        <v>6.0</v>
      </c>
      <c r="V1119" s="5" t="s">
        <v>1151</v>
      </c>
      <c r="W1119" s="81" t="s">
        <v>344</v>
      </c>
      <c r="X1119" s="78" t="s">
        <v>1150</v>
      </c>
      <c r="Y1119" s="5">
        <v>3.0</v>
      </c>
      <c r="Z1119" s="5">
        <v>3.0</v>
      </c>
      <c r="AA1119" s="3">
        <f>2+ (P1119*'Scoring System'!$B$3)+ (IF(OR(D1119="DEF",D1119="GK"),N1119*'Scoring System'!$B$4,IF(D1119="MID",N1119*'Scoring System'!$B$5,0)))+ (IF(OR(D1119="DEF",D1119="GK"),H1119*'Scoring System'!$B$6,IF(D1119="MID",H1119*'Scoring System'!$B$7,IF(D1119="ATT",H1119*'Scoring System'!$B$8,0))))+ IF(AND(OR(D1119="GK",D1119="DEF"),J1119&gt;=3),1*'Scoring System'!$B$9,0)+ (I1119*'Scoring System'!$B$10)+ (K1119*'Scoring System'!$B$11)+ (M1119*'Scoring System'!$B$12)+ (L1119*'Scoring System'!$B$13)+ (O1119*'Scoring System'!$B$14)+ (Q1119*'Scoring System'!$B$15)+ (R1119*'Scoring System'!$B$16)</f>
        <v>1</v>
      </c>
      <c r="AB1119" s="3" t="b">
        <f>IFERROR(match(C1119,'Match Day Fees'!$B$2:$B$999,0),0)=0</f>
        <v>0</v>
      </c>
      <c r="AC1119" s="3">
        <f t="shared" si="2"/>
        <v>0</v>
      </c>
      <c r="AD1119" s="3" t="str">
        <f>VLOOKUP(D1119,'Position Lookup'!A:B,1,FALSE)</f>
        <v>DEF</v>
      </c>
    </row>
    <row r="1120" ht="17.25" customHeight="1">
      <c r="A1120" s="32">
        <v>45248.0</v>
      </c>
      <c r="B1120" s="5" t="s">
        <v>712</v>
      </c>
      <c r="C1120" s="5" t="s">
        <v>42</v>
      </c>
      <c r="D1120" s="5" t="s">
        <v>11</v>
      </c>
      <c r="E1120" s="5">
        <v>3.0</v>
      </c>
      <c r="F1120" s="5" t="s">
        <v>1148</v>
      </c>
      <c r="G1120" s="5" t="s">
        <v>242</v>
      </c>
      <c r="J1120" s="5">
        <v>3.0</v>
      </c>
      <c r="N1120" s="5" t="b">
        <v>0</v>
      </c>
      <c r="R1120" s="5">
        <v>0.0</v>
      </c>
      <c r="T1120" s="5">
        <v>10.0</v>
      </c>
      <c r="U1120" s="5">
        <v>7.0</v>
      </c>
      <c r="V1120" s="5" t="s">
        <v>1152</v>
      </c>
      <c r="W1120" s="81" t="s">
        <v>344</v>
      </c>
      <c r="X1120" s="78" t="s">
        <v>1150</v>
      </c>
      <c r="Y1120" s="5">
        <v>3.0</v>
      </c>
      <c r="Z1120" s="5">
        <v>3.0</v>
      </c>
      <c r="AA1120" s="3">
        <f>2+ (P1120*'Scoring System'!$B$3)+ (IF(OR(D1120="DEF",D1120="GK"),N1120*'Scoring System'!$B$4,IF(D1120="MID",N1120*'Scoring System'!$B$5,0)))+ (IF(OR(D1120="DEF",D1120="GK"),H1120*'Scoring System'!$B$6,IF(D1120="MID",H1120*'Scoring System'!$B$7,IF(D1120="ATT",H1120*'Scoring System'!$B$8,0))))+ IF(AND(OR(D1120="GK",D1120="DEF"),J1120&gt;=3),1*'Scoring System'!$B$9,0)+ (I1120*'Scoring System'!$B$10)+ (K1120*'Scoring System'!$B$11)+ (M1120*'Scoring System'!$B$12)+ (L1120*'Scoring System'!$B$13)+ (O1120*'Scoring System'!$B$14)+ (Q1120*'Scoring System'!$B$15)+ (R1120*'Scoring System'!$B$16)</f>
        <v>1</v>
      </c>
      <c r="AB1120" s="3" t="b">
        <f>IFERROR(match(C1120,'Match Day Fees'!$B$2:$B$999,0),0)=0</f>
        <v>0</v>
      </c>
      <c r="AC1120" s="3">
        <f t="shared" si="2"/>
        <v>0</v>
      </c>
      <c r="AD1120" s="3" t="str">
        <f>VLOOKUP(D1120,'Position Lookup'!A:B,1,FALSE)</f>
        <v>DEF</v>
      </c>
    </row>
    <row r="1121" ht="17.25" customHeight="1">
      <c r="A1121" s="32">
        <v>45248.0</v>
      </c>
      <c r="B1121" s="5" t="s">
        <v>712</v>
      </c>
      <c r="C1121" s="5" t="s">
        <v>1153</v>
      </c>
      <c r="D1121" s="5" t="s">
        <v>11</v>
      </c>
      <c r="E1121" s="5">
        <v>3.0</v>
      </c>
      <c r="F1121" s="5" t="s">
        <v>1148</v>
      </c>
      <c r="G1121" s="5" t="s">
        <v>242</v>
      </c>
      <c r="J1121" s="5">
        <v>3.0</v>
      </c>
      <c r="N1121" s="5" t="b">
        <v>0</v>
      </c>
      <c r="R1121" s="5">
        <v>0.0</v>
      </c>
      <c r="T1121" s="5">
        <v>10.0</v>
      </c>
      <c r="U1121" s="5">
        <v>5.5</v>
      </c>
      <c r="V1121" s="5" t="s">
        <v>1154</v>
      </c>
      <c r="W1121" s="81" t="s">
        <v>344</v>
      </c>
      <c r="X1121" s="78" t="s">
        <v>1150</v>
      </c>
      <c r="Y1121" s="5">
        <v>3.0</v>
      </c>
      <c r="Z1121" s="5">
        <v>3.0</v>
      </c>
      <c r="AA1121" s="3">
        <f>2+ (P1121*'Scoring System'!$B$3)+ (IF(OR(D1121="DEF",D1121="GK"),N1121*'Scoring System'!$B$4,IF(D1121="MID",N1121*'Scoring System'!$B$5,0)))+ (IF(OR(D1121="DEF",D1121="GK"),H1121*'Scoring System'!$B$6,IF(D1121="MID",H1121*'Scoring System'!$B$7,IF(D1121="ATT",H1121*'Scoring System'!$B$8,0))))+ IF(AND(OR(D1121="GK",D1121="DEF"),J1121&gt;=3),1*'Scoring System'!$B$9,0)+ (I1121*'Scoring System'!$B$10)+ (K1121*'Scoring System'!$B$11)+ (M1121*'Scoring System'!$B$12)+ (L1121*'Scoring System'!$B$13)+ (O1121*'Scoring System'!$B$14)+ (Q1121*'Scoring System'!$B$15)+ (R1121*'Scoring System'!$B$16)</f>
        <v>1</v>
      </c>
      <c r="AB1121" s="3" t="b">
        <f>IFERROR(match(C1121,'Match Day Fees'!$B$2:$B$999,0),0)=0</f>
        <v>0</v>
      </c>
      <c r="AC1121" s="3">
        <f t="shared" si="2"/>
        <v>0</v>
      </c>
      <c r="AD1121" s="3" t="str">
        <f>VLOOKUP(D1121,'Position Lookup'!A:B,1,FALSE)</f>
        <v>DEF</v>
      </c>
    </row>
    <row r="1122" ht="17.25" customHeight="1">
      <c r="A1122" s="32">
        <v>45248.0</v>
      </c>
      <c r="B1122" s="5" t="s">
        <v>712</v>
      </c>
      <c r="C1122" s="5" t="s">
        <v>893</v>
      </c>
      <c r="D1122" s="5" t="s">
        <v>11</v>
      </c>
      <c r="E1122" s="5">
        <v>3.0</v>
      </c>
      <c r="F1122" s="5" t="s">
        <v>1148</v>
      </c>
      <c r="G1122" s="5" t="s">
        <v>242</v>
      </c>
      <c r="J1122" s="5">
        <v>3.0</v>
      </c>
      <c r="N1122" s="5" t="b">
        <v>0</v>
      </c>
      <c r="R1122" s="5">
        <v>0.0</v>
      </c>
      <c r="T1122" s="5">
        <v>10.0</v>
      </c>
      <c r="U1122" s="5">
        <v>6.5</v>
      </c>
      <c r="V1122" s="5" t="s">
        <v>1155</v>
      </c>
      <c r="W1122" s="81" t="s">
        <v>344</v>
      </c>
      <c r="X1122" s="78" t="s">
        <v>1150</v>
      </c>
      <c r="Y1122" s="5">
        <v>3.0</v>
      </c>
      <c r="Z1122" s="5">
        <v>3.0</v>
      </c>
      <c r="AA1122" s="3">
        <f>2+ (P1122*'Scoring System'!$B$3)+ (IF(OR(D1122="DEF",D1122="GK"),N1122*'Scoring System'!$B$4,IF(D1122="MID",N1122*'Scoring System'!$B$5,0)))+ (IF(OR(D1122="DEF",D1122="GK"),H1122*'Scoring System'!$B$6,IF(D1122="MID",H1122*'Scoring System'!$B$7,IF(D1122="ATT",H1122*'Scoring System'!$B$8,0))))+ IF(AND(OR(D1122="GK",D1122="DEF"),J1122&gt;=3),1*'Scoring System'!$B$9,0)+ (I1122*'Scoring System'!$B$10)+ (K1122*'Scoring System'!$B$11)+ (M1122*'Scoring System'!$B$12)+ (L1122*'Scoring System'!$B$13)+ (O1122*'Scoring System'!$B$14)+ (Q1122*'Scoring System'!$B$15)+ (R1122*'Scoring System'!$B$16)</f>
        <v>1</v>
      </c>
      <c r="AB1122" s="3" t="b">
        <f>IFERROR(match(C1122,'Match Day Fees'!$B$2:$B$999,0),0)=0</f>
        <v>0</v>
      </c>
      <c r="AC1122" s="3">
        <f t="shared" si="2"/>
        <v>0</v>
      </c>
      <c r="AD1122" s="3" t="str">
        <f>VLOOKUP(D1122,'Position Lookup'!A:B,1,FALSE)</f>
        <v>DEF</v>
      </c>
    </row>
    <row r="1123" ht="17.25" customHeight="1">
      <c r="A1123" s="32">
        <v>45248.0</v>
      </c>
      <c r="B1123" s="5" t="s">
        <v>712</v>
      </c>
      <c r="C1123" s="5" t="s">
        <v>59</v>
      </c>
      <c r="D1123" s="5" t="s">
        <v>10</v>
      </c>
      <c r="E1123" s="5">
        <v>3.0</v>
      </c>
      <c r="F1123" s="5" t="s">
        <v>1148</v>
      </c>
      <c r="G1123" s="5" t="s">
        <v>242</v>
      </c>
      <c r="J1123" s="5">
        <v>3.0</v>
      </c>
      <c r="N1123" s="5" t="b">
        <v>0</v>
      </c>
      <c r="R1123" s="5">
        <v>1.0</v>
      </c>
      <c r="T1123" s="5">
        <v>10.0</v>
      </c>
      <c r="U1123" s="5">
        <v>8.5</v>
      </c>
      <c r="V1123" s="5" t="s">
        <v>1156</v>
      </c>
      <c r="W1123" s="81" t="s">
        <v>344</v>
      </c>
      <c r="X1123" s="78" t="s">
        <v>1150</v>
      </c>
      <c r="Y1123" s="5">
        <v>3.0</v>
      </c>
      <c r="Z1123" s="5">
        <v>3.0</v>
      </c>
      <c r="AA1123" s="3">
        <f>2+ (P1123*'Scoring System'!$B$3)+ (IF(OR(D1123="DEF",D1123="GK"),N1123*'Scoring System'!$B$4,IF(D1123="MID",N1123*'Scoring System'!$B$5,0)))+ (IF(OR(D1123="DEF",D1123="GK"),H1123*'Scoring System'!$B$6,IF(D1123="MID",H1123*'Scoring System'!$B$7,IF(D1123="ATT",H1123*'Scoring System'!$B$8,0))))+ IF(AND(OR(D1123="GK",D1123="DEF"),J1123&gt;=3),1*'Scoring System'!$B$9,0)+ (I1123*'Scoring System'!$B$10)+ (K1123*'Scoring System'!$B$11)+ (M1123*'Scoring System'!$B$12)+ (L1123*'Scoring System'!$B$13)+ (O1123*'Scoring System'!$B$14)+ (Q1123*'Scoring System'!$B$15)+ (R1123*'Scoring System'!$B$16)</f>
        <v>7</v>
      </c>
      <c r="AB1123" s="3" t="b">
        <f>IFERROR(match(C1123,'Match Day Fees'!$B$2:$B$999,0),0)=0</f>
        <v>0</v>
      </c>
      <c r="AC1123" s="3">
        <f t="shared" si="2"/>
        <v>0</v>
      </c>
      <c r="AD1123" s="3" t="str">
        <f>VLOOKUP(D1123,'Position Lookup'!A:B,1,FALSE)</f>
        <v>MID</v>
      </c>
    </row>
    <row r="1124" ht="17.25" customHeight="1">
      <c r="A1124" s="32">
        <v>45248.0</v>
      </c>
      <c r="B1124" s="5" t="s">
        <v>712</v>
      </c>
      <c r="C1124" s="5" t="s">
        <v>308</v>
      </c>
      <c r="D1124" s="5" t="s">
        <v>10</v>
      </c>
      <c r="E1124" s="5">
        <v>3.0</v>
      </c>
      <c r="F1124" s="5" t="s">
        <v>1148</v>
      </c>
      <c r="G1124" s="5" t="s">
        <v>242</v>
      </c>
      <c r="J1124" s="5">
        <v>3.0</v>
      </c>
      <c r="N1124" s="5" t="b">
        <v>0</v>
      </c>
      <c r="R1124" s="5">
        <v>0.0</v>
      </c>
      <c r="T1124" s="5">
        <v>10.0</v>
      </c>
      <c r="U1124" s="5">
        <v>6.5</v>
      </c>
      <c r="V1124" s="5" t="s">
        <v>1157</v>
      </c>
      <c r="W1124" s="81" t="s">
        <v>344</v>
      </c>
      <c r="X1124" s="78" t="s">
        <v>1150</v>
      </c>
      <c r="Y1124" s="5">
        <v>3.0</v>
      </c>
      <c r="Z1124" s="5">
        <v>3.0</v>
      </c>
      <c r="AA1124" s="3">
        <f>2+ (P1124*'Scoring System'!$B$3)+ (IF(OR(D1124="DEF",D1124="GK"),N1124*'Scoring System'!$B$4,IF(D1124="MID",N1124*'Scoring System'!$B$5,0)))+ (IF(OR(D1124="DEF",D1124="GK"),H1124*'Scoring System'!$B$6,IF(D1124="MID",H1124*'Scoring System'!$B$7,IF(D1124="ATT",H1124*'Scoring System'!$B$8,0))))+ IF(AND(OR(D1124="GK",D1124="DEF"),J1124&gt;=3),1*'Scoring System'!$B$9,0)+ (I1124*'Scoring System'!$B$10)+ (K1124*'Scoring System'!$B$11)+ (M1124*'Scoring System'!$B$12)+ (L1124*'Scoring System'!$B$13)+ (O1124*'Scoring System'!$B$14)+ (Q1124*'Scoring System'!$B$15)+ (R1124*'Scoring System'!$B$16)</f>
        <v>2</v>
      </c>
      <c r="AB1124" s="3" t="b">
        <f>IFERROR(match(C1124,'Match Day Fees'!$B$2:$B$999,0),0)=0</f>
        <v>0</v>
      </c>
      <c r="AC1124" s="3">
        <f t="shared" si="2"/>
        <v>0</v>
      </c>
      <c r="AD1124" s="3" t="str">
        <f>VLOOKUP(D1124,'Position Lookup'!A:B,1,FALSE)</f>
        <v>MID</v>
      </c>
    </row>
    <row r="1125" ht="17.25" customHeight="1">
      <c r="A1125" s="32">
        <v>45248.0</v>
      </c>
      <c r="B1125" s="5" t="s">
        <v>712</v>
      </c>
      <c r="C1125" s="5" t="s">
        <v>130</v>
      </c>
      <c r="D1125" s="5" t="s">
        <v>10</v>
      </c>
      <c r="E1125" s="5">
        <v>3.0</v>
      </c>
      <c r="F1125" s="5" t="s">
        <v>1148</v>
      </c>
      <c r="G1125" s="5" t="s">
        <v>242</v>
      </c>
      <c r="I1125" s="5">
        <v>1.0</v>
      </c>
      <c r="J1125" s="5">
        <v>3.0</v>
      </c>
      <c r="N1125" s="5" t="b">
        <v>0</v>
      </c>
      <c r="R1125" s="5">
        <v>0.0</v>
      </c>
      <c r="T1125" s="5">
        <v>10.0</v>
      </c>
      <c r="U1125" s="5">
        <v>8.0</v>
      </c>
      <c r="V1125" s="5" t="s">
        <v>1158</v>
      </c>
      <c r="W1125" s="81" t="s">
        <v>344</v>
      </c>
      <c r="X1125" s="78" t="s">
        <v>1150</v>
      </c>
      <c r="Y1125" s="5">
        <v>3.0</v>
      </c>
      <c r="Z1125" s="5">
        <v>3.0</v>
      </c>
      <c r="AA1125" s="3">
        <f>2+ (P1125*'Scoring System'!$B$3)+ (IF(OR(D1125="DEF",D1125="GK"),N1125*'Scoring System'!$B$4,IF(D1125="MID",N1125*'Scoring System'!$B$5,0)))+ (IF(OR(D1125="DEF",D1125="GK"),H1125*'Scoring System'!$B$6,IF(D1125="MID",H1125*'Scoring System'!$B$7,IF(D1125="ATT",H1125*'Scoring System'!$B$8,0))))+ IF(AND(OR(D1125="GK",D1125="DEF"),J1125&gt;=3),1*'Scoring System'!$B$9,0)+ (I1125*'Scoring System'!$B$10)+ (K1125*'Scoring System'!$B$11)+ (M1125*'Scoring System'!$B$12)+ (L1125*'Scoring System'!$B$13)+ (O1125*'Scoring System'!$B$14)+ (Q1125*'Scoring System'!$B$15)+ (R1125*'Scoring System'!$B$16)</f>
        <v>5</v>
      </c>
      <c r="AB1125" s="3" t="b">
        <f>IFERROR(match(C1125,'Match Day Fees'!$B$2:$B$999,0),0)=0</f>
        <v>0</v>
      </c>
      <c r="AC1125" s="3">
        <f t="shared" si="2"/>
        <v>0</v>
      </c>
      <c r="AD1125" s="3" t="str">
        <f>VLOOKUP(D1125,'Position Lookup'!A:B,1,FALSE)</f>
        <v>MID</v>
      </c>
    </row>
    <row r="1126" ht="17.25" customHeight="1">
      <c r="A1126" s="32">
        <v>45248.0</v>
      </c>
      <c r="B1126" s="5" t="s">
        <v>712</v>
      </c>
      <c r="C1126" s="5" t="s">
        <v>46</v>
      </c>
      <c r="D1126" s="5" t="s">
        <v>9</v>
      </c>
      <c r="E1126" s="5">
        <v>3.0</v>
      </c>
      <c r="F1126" s="5" t="s">
        <v>1148</v>
      </c>
      <c r="G1126" s="5" t="s">
        <v>242</v>
      </c>
      <c r="H1126" s="5">
        <v>1.0</v>
      </c>
      <c r="J1126" s="5">
        <v>3.0</v>
      </c>
      <c r="N1126" s="5" t="b">
        <v>0</v>
      </c>
      <c r="R1126" s="5">
        <v>0.0</v>
      </c>
      <c r="T1126" s="5">
        <v>10.0</v>
      </c>
      <c r="U1126" s="5">
        <v>7.0</v>
      </c>
      <c r="V1126" s="5" t="s">
        <v>1159</v>
      </c>
      <c r="W1126" s="81" t="s">
        <v>344</v>
      </c>
      <c r="X1126" s="78" t="s">
        <v>1150</v>
      </c>
      <c r="Y1126" s="5">
        <v>3.0</v>
      </c>
      <c r="Z1126" s="5">
        <v>3.0</v>
      </c>
      <c r="AA1126" s="3">
        <f>2+ (P1126*'Scoring System'!$B$3)+ (IF(OR(D1126="DEF",D1126="GK"),N1126*'Scoring System'!$B$4,IF(D1126="MID",N1126*'Scoring System'!$B$5,0)))+ (IF(OR(D1126="DEF",D1126="GK"),H1126*'Scoring System'!$B$6,IF(D1126="MID",H1126*'Scoring System'!$B$7,IF(D1126="ATT",H1126*'Scoring System'!$B$8,0))))+ IF(AND(OR(D1126="GK",D1126="DEF"),J1126&gt;=3),1*'Scoring System'!$B$9,0)+ (I1126*'Scoring System'!$B$10)+ (K1126*'Scoring System'!$B$11)+ (M1126*'Scoring System'!$B$12)+ (L1126*'Scoring System'!$B$13)+ (O1126*'Scoring System'!$B$14)+ (Q1126*'Scoring System'!$B$15)+ (R1126*'Scoring System'!$B$16)</f>
        <v>6</v>
      </c>
      <c r="AB1126" s="3" t="b">
        <f>IFERROR(match(C1126,'Match Day Fees'!$B$2:$B$999,0),0)=0</f>
        <v>0</v>
      </c>
      <c r="AC1126" s="3">
        <f t="shared" si="2"/>
        <v>0</v>
      </c>
      <c r="AD1126" s="3" t="str">
        <f>VLOOKUP(D1126,'Position Lookup'!A:B,1,FALSE)</f>
        <v>ATT</v>
      </c>
    </row>
    <row r="1127" ht="17.25" customHeight="1">
      <c r="A1127" s="32">
        <v>45248.0</v>
      </c>
      <c r="B1127" s="5" t="s">
        <v>712</v>
      </c>
      <c r="C1127" s="5" t="s">
        <v>74</v>
      </c>
      <c r="D1127" s="5" t="s">
        <v>9</v>
      </c>
      <c r="E1127" s="5">
        <v>3.0</v>
      </c>
      <c r="F1127" s="5" t="s">
        <v>1148</v>
      </c>
      <c r="G1127" s="5" t="s">
        <v>242</v>
      </c>
      <c r="H1127" s="5">
        <v>2.0</v>
      </c>
      <c r="J1127" s="5">
        <v>3.0</v>
      </c>
      <c r="N1127" s="5" t="b">
        <v>0</v>
      </c>
      <c r="R1127" s="5">
        <v>0.0</v>
      </c>
      <c r="T1127" s="5">
        <v>10.0</v>
      </c>
      <c r="U1127" s="5">
        <v>7.5</v>
      </c>
      <c r="V1127" s="5" t="s">
        <v>1160</v>
      </c>
      <c r="W1127" s="81" t="s">
        <v>344</v>
      </c>
      <c r="X1127" s="78" t="s">
        <v>1150</v>
      </c>
      <c r="Y1127" s="5">
        <v>3.0</v>
      </c>
      <c r="Z1127" s="5">
        <v>3.0</v>
      </c>
      <c r="AA1127" s="3">
        <f>2+ (P1127*'Scoring System'!$B$3)+ (IF(OR(D1127="DEF",D1127="GK"),N1127*'Scoring System'!$B$4,IF(D1127="MID",N1127*'Scoring System'!$B$5,0)))+ (IF(OR(D1127="DEF",D1127="GK"),H1127*'Scoring System'!$B$6,IF(D1127="MID",H1127*'Scoring System'!$B$7,IF(D1127="ATT",H1127*'Scoring System'!$B$8,0))))+ IF(AND(OR(D1127="GK",D1127="DEF"),J1127&gt;=3),1*'Scoring System'!$B$9,0)+ (I1127*'Scoring System'!$B$10)+ (K1127*'Scoring System'!$B$11)+ (M1127*'Scoring System'!$B$12)+ (L1127*'Scoring System'!$B$13)+ (O1127*'Scoring System'!$B$14)+ (Q1127*'Scoring System'!$B$15)+ (R1127*'Scoring System'!$B$16)</f>
        <v>10</v>
      </c>
      <c r="AB1127" s="3" t="b">
        <f>IFERROR(match(C1127,'Match Day Fees'!$B$2:$B$999,0),0)=0</f>
        <v>0</v>
      </c>
      <c r="AC1127" s="3">
        <f t="shared" si="2"/>
        <v>0</v>
      </c>
      <c r="AD1127" s="3" t="str">
        <f>VLOOKUP(D1127,'Position Lookup'!A:B,1,FALSE)</f>
        <v>ATT</v>
      </c>
    </row>
    <row r="1128" ht="17.25" customHeight="1">
      <c r="A1128" s="32">
        <v>45248.0</v>
      </c>
      <c r="B1128" s="5" t="s">
        <v>712</v>
      </c>
      <c r="C1128" s="5" t="s">
        <v>254</v>
      </c>
      <c r="D1128" s="5" t="s">
        <v>9</v>
      </c>
      <c r="E1128" s="5">
        <v>3.0</v>
      </c>
      <c r="F1128" s="5" t="s">
        <v>1148</v>
      </c>
      <c r="G1128" s="5" t="s">
        <v>242</v>
      </c>
      <c r="J1128" s="5">
        <v>3.0</v>
      </c>
      <c r="N1128" s="5" t="b">
        <v>0</v>
      </c>
      <c r="R1128" s="5">
        <v>0.0</v>
      </c>
      <c r="S1128" s="5" t="b">
        <v>1</v>
      </c>
      <c r="T1128" s="5">
        <v>0.0</v>
      </c>
      <c r="U1128" s="5">
        <v>6.5</v>
      </c>
      <c r="V1128" s="5" t="s">
        <v>1161</v>
      </c>
      <c r="W1128" s="81" t="s">
        <v>344</v>
      </c>
      <c r="X1128" s="78" t="s">
        <v>1150</v>
      </c>
      <c r="Y1128" s="5">
        <v>3.0</v>
      </c>
      <c r="Z1128" s="5">
        <v>3.0</v>
      </c>
      <c r="AA1128" s="3">
        <f>2+ (P1128*'Scoring System'!$B$3)+ (IF(OR(D1128="DEF",D1128="GK"),N1128*'Scoring System'!$B$4,IF(D1128="MID",N1128*'Scoring System'!$B$5,0)))+ (IF(OR(D1128="DEF",D1128="GK"),H1128*'Scoring System'!$B$6,IF(D1128="MID",H1128*'Scoring System'!$B$7,IF(D1128="ATT",H1128*'Scoring System'!$B$8,0))))+ IF(AND(OR(D1128="GK",D1128="DEF"),J1128&gt;=3),1*'Scoring System'!$B$9,0)+ (I1128*'Scoring System'!$B$10)+ (K1128*'Scoring System'!$B$11)+ (M1128*'Scoring System'!$B$12)+ (L1128*'Scoring System'!$B$13)+ (O1128*'Scoring System'!$B$14)+ (Q1128*'Scoring System'!$B$15)+ (R1128*'Scoring System'!$B$16)</f>
        <v>2</v>
      </c>
      <c r="AB1128" s="3" t="b">
        <f>IFERROR(match(C1128,'Match Day Fees'!$B$2:$B$999,0),0)=0</f>
        <v>0</v>
      </c>
      <c r="AC1128" s="3">
        <f t="shared" si="2"/>
        <v>0</v>
      </c>
      <c r="AD1128" s="3" t="str">
        <f>VLOOKUP(D1128,'Position Lookup'!A:B,1,FALSE)</f>
        <v>ATT</v>
      </c>
    </row>
    <row r="1129" ht="17.25" customHeight="1">
      <c r="A1129" s="32">
        <v>45248.0</v>
      </c>
      <c r="B1129" s="5" t="s">
        <v>712</v>
      </c>
      <c r="C1129" s="5" t="s">
        <v>149</v>
      </c>
      <c r="D1129" s="5" t="s">
        <v>11</v>
      </c>
      <c r="E1129" s="5">
        <v>3.0</v>
      </c>
      <c r="F1129" s="5" t="s">
        <v>1148</v>
      </c>
      <c r="G1129" s="5" t="s">
        <v>242</v>
      </c>
      <c r="J1129" s="5">
        <v>3.0</v>
      </c>
      <c r="N1129" s="5" t="b">
        <v>0</v>
      </c>
      <c r="R1129" s="5">
        <v>0.0</v>
      </c>
      <c r="T1129" s="5">
        <v>5.0</v>
      </c>
      <c r="U1129" s="5">
        <v>5.0</v>
      </c>
      <c r="V1129" s="5" t="s">
        <v>1162</v>
      </c>
      <c r="W1129" s="81" t="s">
        <v>344</v>
      </c>
      <c r="X1129" s="78" t="s">
        <v>1150</v>
      </c>
      <c r="Y1129" s="5">
        <v>3.0</v>
      </c>
      <c r="Z1129" s="5">
        <v>3.0</v>
      </c>
      <c r="AA1129" s="3">
        <f>2+ (P1129*'Scoring System'!$B$3)+ (IF(OR(D1129="DEF",D1129="GK"),N1129*'Scoring System'!$B$4,IF(D1129="MID",N1129*'Scoring System'!$B$5,0)))+ (IF(OR(D1129="DEF",D1129="GK"),H1129*'Scoring System'!$B$6,IF(D1129="MID",H1129*'Scoring System'!$B$7,IF(D1129="ATT",H1129*'Scoring System'!$B$8,0))))+ IF(AND(OR(D1129="GK",D1129="DEF"),J1129&gt;=3),1*'Scoring System'!$B$9,0)+ (I1129*'Scoring System'!$B$10)+ (K1129*'Scoring System'!$B$11)+ (M1129*'Scoring System'!$B$12)+ (L1129*'Scoring System'!$B$13)+ (O1129*'Scoring System'!$B$14)+ (Q1129*'Scoring System'!$B$15)+ (R1129*'Scoring System'!$B$16)</f>
        <v>1</v>
      </c>
      <c r="AB1129" s="3" t="b">
        <f>IFERROR(match(C1129,'Match Day Fees'!$B$2:$B$999,0),0)=0</f>
        <v>0</v>
      </c>
      <c r="AC1129" s="3">
        <f t="shared" si="2"/>
        <v>0</v>
      </c>
      <c r="AD1129" s="3" t="str">
        <f>VLOOKUP(D1129,'Position Lookup'!A:B,1,FALSE)</f>
        <v>DEF</v>
      </c>
    </row>
    <row r="1130" ht="17.25" customHeight="1">
      <c r="A1130" s="32">
        <v>45248.0</v>
      </c>
      <c r="B1130" s="5" t="s">
        <v>712</v>
      </c>
      <c r="C1130" s="5" t="s">
        <v>474</v>
      </c>
      <c r="D1130" s="5" t="s">
        <v>10</v>
      </c>
      <c r="E1130" s="5">
        <v>3.0</v>
      </c>
      <c r="F1130" s="5" t="s">
        <v>1148</v>
      </c>
      <c r="G1130" s="5" t="s">
        <v>242</v>
      </c>
      <c r="J1130" s="5">
        <v>3.0</v>
      </c>
      <c r="N1130" s="5" t="b">
        <v>0</v>
      </c>
      <c r="R1130" s="5">
        <v>0.0</v>
      </c>
      <c r="T1130" s="5">
        <v>10.0</v>
      </c>
      <c r="U1130" s="5">
        <v>7.0</v>
      </c>
      <c r="V1130" s="5" t="s">
        <v>1163</v>
      </c>
      <c r="W1130" s="81" t="s">
        <v>344</v>
      </c>
      <c r="X1130" s="78" t="s">
        <v>1150</v>
      </c>
      <c r="Y1130" s="5">
        <v>3.0</v>
      </c>
      <c r="Z1130" s="5">
        <v>3.0</v>
      </c>
      <c r="AA1130" s="3">
        <f>2+ (P1130*'Scoring System'!$B$3)+ (IF(OR(D1130="DEF",D1130="GK"),N1130*'Scoring System'!$B$4,IF(D1130="MID",N1130*'Scoring System'!$B$5,0)))+ (IF(OR(D1130="DEF",D1130="GK"),H1130*'Scoring System'!$B$6,IF(D1130="MID",H1130*'Scoring System'!$B$7,IF(D1130="ATT",H1130*'Scoring System'!$B$8,0))))+ IF(AND(OR(D1130="GK",D1130="DEF"),J1130&gt;=3),1*'Scoring System'!$B$9,0)+ (I1130*'Scoring System'!$B$10)+ (K1130*'Scoring System'!$B$11)+ (M1130*'Scoring System'!$B$12)+ (L1130*'Scoring System'!$B$13)+ (O1130*'Scoring System'!$B$14)+ (Q1130*'Scoring System'!$B$15)+ (R1130*'Scoring System'!$B$16)</f>
        <v>2</v>
      </c>
      <c r="AB1130" s="3" t="b">
        <f>IFERROR(match(C1130,'Match Day Fees'!$B$2:$B$999,0),0)=0</f>
        <v>0</v>
      </c>
      <c r="AC1130" s="3">
        <f t="shared" si="2"/>
        <v>0</v>
      </c>
      <c r="AD1130" s="3" t="str">
        <f>VLOOKUP(D1130,'Position Lookup'!A:B,1,FALSE)</f>
        <v>MID</v>
      </c>
    </row>
    <row r="1131" ht="17.25" customHeight="1">
      <c r="A1131" s="32">
        <v>45248.0</v>
      </c>
      <c r="B1131" s="5" t="s">
        <v>712</v>
      </c>
      <c r="C1131" s="5" t="s">
        <v>958</v>
      </c>
      <c r="D1131" s="5" t="s">
        <v>9</v>
      </c>
      <c r="E1131" s="5">
        <v>3.0</v>
      </c>
      <c r="F1131" s="5" t="s">
        <v>1148</v>
      </c>
      <c r="G1131" s="5" t="s">
        <v>242</v>
      </c>
      <c r="J1131" s="5">
        <v>3.0</v>
      </c>
      <c r="N1131" s="5" t="b">
        <v>0</v>
      </c>
      <c r="R1131" s="5">
        <v>0.0</v>
      </c>
      <c r="T1131" s="5">
        <v>10.0</v>
      </c>
      <c r="U1131" s="5">
        <v>6.5</v>
      </c>
      <c r="V1131" s="5" t="s">
        <v>1164</v>
      </c>
      <c r="W1131" s="81" t="s">
        <v>344</v>
      </c>
      <c r="X1131" s="78" t="s">
        <v>1150</v>
      </c>
      <c r="Y1131" s="5">
        <v>3.0</v>
      </c>
      <c r="Z1131" s="5">
        <v>3.0</v>
      </c>
      <c r="AA1131" s="3">
        <f>2+ (P1131*'Scoring System'!$B$3)+ (IF(OR(D1131="DEF",D1131="GK"),N1131*'Scoring System'!$B$4,IF(D1131="MID",N1131*'Scoring System'!$B$5,0)))+ (IF(OR(D1131="DEF",D1131="GK"),H1131*'Scoring System'!$B$6,IF(D1131="MID",H1131*'Scoring System'!$B$7,IF(D1131="ATT",H1131*'Scoring System'!$B$8,0))))+ IF(AND(OR(D1131="GK",D1131="DEF"),J1131&gt;=3),1*'Scoring System'!$B$9,0)+ (I1131*'Scoring System'!$B$10)+ (K1131*'Scoring System'!$B$11)+ (M1131*'Scoring System'!$B$12)+ (L1131*'Scoring System'!$B$13)+ (O1131*'Scoring System'!$B$14)+ (Q1131*'Scoring System'!$B$15)+ (R1131*'Scoring System'!$B$16)</f>
        <v>2</v>
      </c>
      <c r="AB1131" s="3" t="b">
        <f>IFERROR(match(C1131,'Match Day Fees'!$B$2:$B$999,0),0)=0</f>
        <v>0</v>
      </c>
      <c r="AC1131" s="3">
        <f t="shared" si="2"/>
        <v>0</v>
      </c>
      <c r="AD1131" s="3" t="str">
        <f>VLOOKUP(D1131,'Position Lookup'!A:B,1,FALSE)</f>
        <v>ATT</v>
      </c>
    </row>
    <row r="1132" ht="17.25" customHeight="1">
      <c r="A1132" s="32">
        <v>45248.0</v>
      </c>
      <c r="B1132" s="5" t="s">
        <v>712</v>
      </c>
      <c r="C1132" s="5" t="s">
        <v>55</v>
      </c>
      <c r="D1132" s="5" t="s">
        <v>11</v>
      </c>
      <c r="E1132" s="5">
        <v>3.0</v>
      </c>
      <c r="F1132" s="5" t="s">
        <v>1148</v>
      </c>
      <c r="G1132" s="5" t="s">
        <v>242</v>
      </c>
      <c r="J1132" s="5">
        <v>3.0</v>
      </c>
      <c r="N1132" s="5" t="b">
        <v>0</v>
      </c>
      <c r="R1132" s="5">
        <v>0.0</v>
      </c>
      <c r="U1132" s="5">
        <v>6.5</v>
      </c>
      <c r="V1132" s="5" t="s">
        <v>1165</v>
      </c>
      <c r="W1132" s="81" t="s">
        <v>344</v>
      </c>
      <c r="X1132" s="78" t="s">
        <v>1150</v>
      </c>
      <c r="Y1132" s="5">
        <v>3.0</v>
      </c>
      <c r="Z1132" s="5">
        <v>3.0</v>
      </c>
      <c r="AA1132" s="3">
        <f>2+ (P1132*'Scoring System'!$B$3)+ (IF(OR(D1132="DEF",D1132="GK"),N1132*'Scoring System'!$B$4,IF(D1132="MID",N1132*'Scoring System'!$B$5,0)))+ (IF(OR(D1132="DEF",D1132="GK"),H1132*'Scoring System'!$B$6,IF(D1132="MID",H1132*'Scoring System'!$B$7,IF(D1132="ATT",H1132*'Scoring System'!$B$8,0))))+ IF(AND(OR(D1132="GK",D1132="DEF"),J1132&gt;=3),1*'Scoring System'!$B$9,0)+ (I1132*'Scoring System'!$B$10)+ (K1132*'Scoring System'!$B$11)+ (M1132*'Scoring System'!$B$12)+ (L1132*'Scoring System'!$B$13)+ (O1132*'Scoring System'!$B$14)+ (Q1132*'Scoring System'!$B$15)+ (R1132*'Scoring System'!$B$16)</f>
        <v>1</v>
      </c>
      <c r="AB1132" s="3" t="b">
        <f>IFERROR(match(C1132,'Match Day Fees'!$B$2:$B$999,0),0)=0</f>
        <v>0</v>
      </c>
      <c r="AC1132" s="3">
        <f t="shared" si="2"/>
        <v>0</v>
      </c>
      <c r="AD1132" s="3" t="str">
        <f>VLOOKUP(D1132,'Position Lookup'!A:B,1,FALSE)</f>
        <v>DEF</v>
      </c>
    </row>
    <row r="1133" ht="17.25" customHeight="1">
      <c r="A1133" s="32">
        <v>45248.0</v>
      </c>
      <c r="B1133" s="5" t="s">
        <v>309</v>
      </c>
      <c r="C1133" s="5" t="s">
        <v>124</v>
      </c>
      <c r="D1133" s="5" t="s">
        <v>8</v>
      </c>
      <c r="E1133" s="5">
        <v>4.0</v>
      </c>
      <c r="F1133" s="5" t="s">
        <v>1166</v>
      </c>
      <c r="G1133" s="5" t="s">
        <v>224</v>
      </c>
      <c r="J1133" s="5">
        <v>0.0</v>
      </c>
      <c r="N1133" s="5" t="b">
        <v>1</v>
      </c>
      <c r="R1133" s="5">
        <v>0.0</v>
      </c>
      <c r="T1133" s="5">
        <v>0.0</v>
      </c>
      <c r="U1133" s="5">
        <v>7.5</v>
      </c>
      <c r="V1133" s="5" t="s">
        <v>1167</v>
      </c>
      <c r="W1133" s="81" t="s">
        <v>1067</v>
      </c>
      <c r="X1133" s="78" t="s">
        <v>1168</v>
      </c>
      <c r="Y1133" s="5">
        <v>2.0</v>
      </c>
      <c r="Z1133" s="5">
        <v>0.0</v>
      </c>
      <c r="AA1133" s="3">
        <f>2+ (P1133*'Scoring System'!$B$3)+ (IF(OR(D1133="DEF",D1133="GK"),N1133*'Scoring System'!$B$4,IF(D1133="MID",N1133*'Scoring System'!$B$5,0)))+ (IF(OR(D1133="DEF",D1133="GK"),H1133*'Scoring System'!$B$6,IF(D1133="MID",H1133*'Scoring System'!$B$7,IF(D1133="ATT",H1133*'Scoring System'!$B$8,0))))+ IF(AND(OR(D1133="GK",D1133="DEF"),J1133&gt;=3),1*'Scoring System'!$B$9,0)+ (I1133*'Scoring System'!$B$10)+ (K1133*'Scoring System'!$B$11)+ (M1133*'Scoring System'!$B$12)+ (L1133*'Scoring System'!$B$13)+ (O1133*'Scoring System'!$B$14)+ (Q1133*'Scoring System'!$B$15)+ (R1133*'Scoring System'!$B$16)</f>
        <v>8</v>
      </c>
      <c r="AB1133" s="3" t="b">
        <f>IFERROR(match(C1133,'Match Day Fees'!$B$2:$B$999,0),0)=0</f>
        <v>0</v>
      </c>
      <c r="AC1133" s="3">
        <f t="shared" si="2"/>
        <v>0</v>
      </c>
      <c r="AD1133" s="3" t="str">
        <f>VLOOKUP(D1133,'Position Lookup'!A:B,1,FALSE)</f>
        <v>GK</v>
      </c>
    </row>
    <row r="1134" ht="17.25" customHeight="1">
      <c r="A1134" s="32">
        <v>45248.0</v>
      </c>
      <c r="B1134" s="5" t="s">
        <v>309</v>
      </c>
      <c r="C1134" s="5" t="s">
        <v>126</v>
      </c>
      <c r="D1134" s="5" t="s">
        <v>11</v>
      </c>
      <c r="E1134" s="5">
        <v>4.0</v>
      </c>
      <c r="F1134" s="5" t="s">
        <v>1166</v>
      </c>
      <c r="G1134" s="5" t="s">
        <v>224</v>
      </c>
      <c r="J1134" s="5">
        <v>0.0</v>
      </c>
      <c r="N1134" s="5" t="b">
        <v>1</v>
      </c>
      <c r="R1134" s="5">
        <v>0.0</v>
      </c>
      <c r="T1134" s="5">
        <v>5.0</v>
      </c>
      <c r="U1134" s="5">
        <v>7.5</v>
      </c>
      <c r="V1134" s="5" t="s">
        <v>1169</v>
      </c>
      <c r="W1134" s="81" t="s">
        <v>1067</v>
      </c>
      <c r="X1134" s="78" t="s">
        <v>1168</v>
      </c>
      <c r="Y1134" s="5">
        <v>2.0</v>
      </c>
      <c r="Z1134" s="5">
        <v>0.0</v>
      </c>
      <c r="AA1134" s="3">
        <f>2+ (P1134*'Scoring System'!$B$3)+ (IF(OR(D1134="DEF",D1134="GK"),N1134*'Scoring System'!$B$4,IF(D1134="MID",N1134*'Scoring System'!$B$5,0)))+ (IF(OR(D1134="DEF",D1134="GK"),H1134*'Scoring System'!$B$6,IF(D1134="MID",H1134*'Scoring System'!$B$7,IF(D1134="ATT",H1134*'Scoring System'!$B$8,0))))+ IF(AND(OR(D1134="GK",D1134="DEF"),J1134&gt;=3),1*'Scoring System'!$B$9,0)+ (I1134*'Scoring System'!$B$10)+ (K1134*'Scoring System'!$B$11)+ (M1134*'Scoring System'!$B$12)+ (L1134*'Scoring System'!$B$13)+ (O1134*'Scoring System'!$B$14)+ (Q1134*'Scoring System'!$B$15)+ (R1134*'Scoring System'!$B$16)</f>
        <v>8</v>
      </c>
      <c r="AB1134" s="3" t="b">
        <f>IFERROR(match(C1134,'Match Day Fees'!$B$2:$B$999,0),0)=0</f>
        <v>0</v>
      </c>
      <c r="AC1134" s="3">
        <f t="shared" si="2"/>
        <v>0</v>
      </c>
      <c r="AD1134" s="3" t="str">
        <f>VLOOKUP(D1134,'Position Lookup'!A:B,1,FALSE)</f>
        <v>DEF</v>
      </c>
    </row>
    <row r="1135" ht="17.25" customHeight="1">
      <c r="A1135" s="32">
        <v>45248.0</v>
      </c>
      <c r="B1135" s="5" t="s">
        <v>309</v>
      </c>
      <c r="C1135" s="5" t="s">
        <v>145</v>
      </c>
      <c r="D1135" s="5" t="s">
        <v>11</v>
      </c>
      <c r="E1135" s="5">
        <v>4.0</v>
      </c>
      <c r="F1135" s="5" t="s">
        <v>1166</v>
      </c>
      <c r="G1135" s="5" t="s">
        <v>224</v>
      </c>
      <c r="J1135" s="5">
        <v>0.0</v>
      </c>
      <c r="N1135" s="5" t="b">
        <v>1</v>
      </c>
      <c r="R1135" s="5">
        <v>0.0</v>
      </c>
      <c r="T1135" s="5">
        <v>0.0</v>
      </c>
      <c r="U1135" s="5">
        <v>6.0</v>
      </c>
      <c r="V1135" s="5" t="s">
        <v>1170</v>
      </c>
      <c r="W1135" s="81" t="s">
        <v>1067</v>
      </c>
      <c r="X1135" s="78" t="s">
        <v>1168</v>
      </c>
      <c r="Y1135" s="5">
        <v>2.0</v>
      </c>
      <c r="Z1135" s="5">
        <v>0.0</v>
      </c>
      <c r="AA1135" s="3">
        <f>2+ (P1135*'Scoring System'!$B$3)+ (IF(OR(D1135="DEF",D1135="GK"),N1135*'Scoring System'!$B$4,IF(D1135="MID",N1135*'Scoring System'!$B$5,0)))+ (IF(OR(D1135="DEF",D1135="GK"),H1135*'Scoring System'!$B$6,IF(D1135="MID",H1135*'Scoring System'!$B$7,IF(D1135="ATT",H1135*'Scoring System'!$B$8,0))))+ IF(AND(OR(D1135="GK",D1135="DEF"),J1135&gt;=3),1*'Scoring System'!$B$9,0)+ (I1135*'Scoring System'!$B$10)+ (K1135*'Scoring System'!$B$11)+ (M1135*'Scoring System'!$B$12)+ (L1135*'Scoring System'!$B$13)+ (O1135*'Scoring System'!$B$14)+ (Q1135*'Scoring System'!$B$15)+ (R1135*'Scoring System'!$B$16)</f>
        <v>8</v>
      </c>
      <c r="AB1135" s="3" t="b">
        <f>IFERROR(match(C1135,'Match Day Fees'!$B$2:$B$999,0),0)=0</f>
        <v>0</v>
      </c>
      <c r="AC1135" s="3">
        <f t="shared" si="2"/>
        <v>0</v>
      </c>
      <c r="AD1135" s="3" t="str">
        <f>VLOOKUP(D1135,'Position Lookup'!A:B,1,FALSE)</f>
        <v>DEF</v>
      </c>
    </row>
    <row r="1136" ht="17.25" customHeight="1">
      <c r="A1136" s="32">
        <v>45248.0</v>
      </c>
      <c r="B1136" s="5" t="s">
        <v>309</v>
      </c>
      <c r="C1136" s="5" t="s">
        <v>108</v>
      </c>
      <c r="D1136" s="5" t="s">
        <v>11</v>
      </c>
      <c r="E1136" s="5">
        <v>4.0</v>
      </c>
      <c r="F1136" s="5" t="s">
        <v>1166</v>
      </c>
      <c r="G1136" s="5" t="s">
        <v>224</v>
      </c>
      <c r="J1136" s="5">
        <v>0.0</v>
      </c>
      <c r="N1136" s="5" t="b">
        <v>1</v>
      </c>
      <c r="R1136" s="5">
        <v>0.0</v>
      </c>
      <c r="T1136" s="5">
        <v>10.0</v>
      </c>
      <c r="U1136" s="5">
        <v>7.0</v>
      </c>
      <c r="V1136" s="5" t="s">
        <v>1171</v>
      </c>
      <c r="W1136" s="81" t="s">
        <v>1067</v>
      </c>
      <c r="X1136" s="78" t="s">
        <v>1168</v>
      </c>
      <c r="Y1136" s="5">
        <v>2.0</v>
      </c>
      <c r="Z1136" s="5">
        <v>0.0</v>
      </c>
      <c r="AA1136" s="3">
        <f>2+ (P1136*'Scoring System'!$B$3)+ (IF(OR(D1136="DEF",D1136="GK"),N1136*'Scoring System'!$B$4,IF(D1136="MID",N1136*'Scoring System'!$B$5,0)))+ (IF(OR(D1136="DEF",D1136="GK"),H1136*'Scoring System'!$B$6,IF(D1136="MID",H1136*'Scoring System'!$B$7,IF(D1136="ATT",H1136*'Scoring System'!$B$8,0))))+ IF(AND(OR(D1136="GK",D1136="DEF"),J1136&gt;=3),1*'Scoring System'!$B$9,0)+ (I1136*'Scoring System'!$B$10)+ (K1136*'Scoring System'!$B$11)+ (M1136*'Scoring System'!$B$12)+ (L1136*'Scoring System'!$B$13)+ (O1136*'Scoring System'!$B$14)+ (Q1136*'Scoring System'!$B$15)+ (R1136*'Scoring System'!$B$16)</f>
        <v>8</v>
      </c>
      <c r="AB1136" s="3" t="b">
        <f>IFERROR(match(C1136,'Match Day Fees'!$B$2:$B$999,0),0)=0</f>
        <v>0</v>
      </c>
      <c r="AC1136" s="3">
        <f t="shared" si="2"/>
        <v>0</v>
      </c>
      <c r="AD1136" s="3" t="str">
        <f>VLOOKUP(D1136,'Position Lookup'!A:B,1,FALSE)</f>
        <v>DEF</v>
      </c>
    </row>
    <row r="1137" ht="17.25" customHeight="1">
      <c r="A1137" s="32">
        <v>45248.0</v>
      </c>
      <c r="B1137" s="5" t="s">
        <v>309</v>
      </c>
      <c r="C1137" s="5" t="s">
        <v>127</v>
      </c>
      <c r="D1137" s="5" t="s">
        <v>11</v>
      </c>
      <c r="E1137" s="5">
        <v>4.0</v>
      </c>
      <c r="F1137" s="5" t="s">
        <v>1166</v>
      </c>
      <c r="G1137" s="5" t="s">
        <v>224</v>
      </c>
      <c r="J1137" s="5">
        <v>0.0</v>
      </c>
      <c r="N1137" s="5" t="b">
        <v>1</v>
      </c>
      <c r="R1137" s="5">
        <v>0.0</v>
      </c>
      <c r="T1137" s="5">
        <v>10.0</v>
      </c>
      <c r="U1137" s="5">
        <v>7.0</v>
      </c>
      <c r="V1137" s="5" t="s">
        <v>1172</v>
      </c>
      <c r="W1137" s="81" t="s">
        <v>1067</v>
      </c>
      <c r="X1137" s="78" t="s">
        <v>1168</v>
      </c>
      <c r="Y1137" s="5">
        <v>2.0</v>
      </c>
      <c r="Z1137" s="5">
        <v>0.0</v>
      </c>
      <c r="AA1137" s="3">
        <f>2+ (P1137*'Scoring System'!$B$3)+ (IF(OR(D1137="DEF",D1137="GK"),N1137*'Scoring System'!$B$4,IF(D1137="MID",N1137*'Scoring System'!$B$5,0)))+ (IF(OR(D1137="DEF",D1137="GK"),H1137*'Scoring System'!$B$6,IF(D1137="MID",H1137*'Scoring System'!$B$7,IF(D1137="ATT",H1137*'Scoring System'!$B$8,0))))+ IF(AND(OR(D1137="GK",D1137="DEF"),J1137&gt;=3),1*'Scoring System'!$B$9,0)+ (I1137*'Scoring System'!$B$10)+ (K1137*'Scoring System'!$B$11)+ (M1137*'Scoring System'!$B$12)+ (L1137*'Scoring System'!$B$13)+ (O1137*'Scoring System'!$B$14)+ (Q1137*'Scoring System'!$B$15)+ (R1137*'Scoring System'!$B$16)</f>
        <v>8</v>
      </c>
      <c r="AB1137" s="3" t="b">
        <f>IFERROR(match(C1137,'Match Day Fees'!$B$2:$B$999,0),0)=0</f>
        <v>0</v>
      </c>
      <c r="AC1137" s="3">
        <f t="shared" si="2"/>
        <v>0</v>
      </c>
      <c r="AD1137" s="3" t="str">
        <f>VLOOKUP(D1137,'Position Lookup'!A:B,1,FALSE)</f>
        <v>DEF</v>
      </c>
    </row>
    <row r="1138" ht="17.25" customHeight="1">
      <c r="A1138" s="32">
        <v>45248.0</v>
      </c>
      <c r="B1138" s="5" t="s">
        <v>309</v>
      </c>
      <c r="C1138" s="5" t="s">
        <v>44</v>
      </c>
      <c r="D1138" s="5" t="s">
        <v>10</v>
      </c>
      <c r="E1138" s="5">
        <v>4.0</v>
      </c>
      <c r="F1138" s="5" t="s">
        <v>1166</v>
      </c>
      <c r="G1138" s="5" t="s">
        <v>224</v>
      </c>
      <c r="J1138" s="5">
        <v>0.0</v>
      </c>
      <c r="K1138" s="5">
        <v>1.0</v>
      </c>
      <c r="N1138" s="5" t="b">
        <v>1</v>
      </c>
      <c r="R1138" s="5">
        <v>0.0</v>
      </c>
      <c r="T1138" s="5">
        <v>5.0</v>
      </c>
      <c r="U1138" s="5">
        <v>7.5</v>
      </c>
      <c r="V1138" s="5" t="s">
        <v>1173</v>
      </c>
      <c r="W1138" s="81" t="s">
        <v>1067</v>
      </c>
      <c r="X1138" s="78" t="s">
        <v>1168</v>
      </c>
      <c r="Y1138" s="5">
        <v>2.0</v>
      </c>
      <c r="Z1138" s="5">
        <v>0.0</v>
      </c>
      <c r="AA1138" s="3">
        <f>2+ (P1138*'Scoring System'!$B$3)+ (IF(OR(D1138="DEF",D1138="GK"),N1138*'Scoring System'!$B$4,IF(D1138="MID",N1138*'Scoring System'!$B$5,0)))+ (IF(OR(D1138="DEF",D1138="GK"),H1138*'Scoring System'!$B$6,IF(D1138="MID",H1138*'Scoring System'!$B$7,IF(D1138="ATT",H1138*'Scoring System'!$B$8,0))))+ IF(AND(OR(D1138="GK",D1138="DEF"),J1138&gt;=3),1*'Scoring System'!$B$9,0)+ (I1138*'Scoring System'!$B$10)+ (K1138*'Scoring System'!$B$11)+ (M1138*'Scoring System'!$B$12)+ (L1138*'Scoring System'!$B$13)+ (O1138*'Scoring System'!$B$14)+ (Q1138*'Scoring System'!$B$15)+ (R1138*'Scoring System'!$B$16)</f>
        <v>3</v>
      </c>
      <c r="AB1138" s="3" t="b">
        <f>IFERROR(match(C1138,'Match Day Fees'!$B$2:$B$999,0),0)=0</f>
        <v>0</v>
      </c>
      <c r="AC1138" s="3">
        <f t="shared" si="2"/>
        <v>0</v>
      </c>
      <c r="AD1138" s="3" t="str">
        <f>VLOOKUP(D1138,'Position Lookup'!A:B,1,FALSE)</f>
        <v>MID</v>
      </c>
    </row>
    <row r="1139" ht="17.25" customHeight="1">
      <c r="A1139" s="32">
        <v>45248.0</v>
      </c>
      <c r="B1139" s="5" t="s">
        <v>309</v>
      </c>
      <c r="C1139" s="5" t="s">
        <v>125</v>
      </c>
      <c r="D1139" s="5" t="s">
        <v>11</v>
      </c>
      <c r="E1139" s="5">
        <v>4.0</v>
      </c>
      <c r="F1139" s="5" t="s">
        <v>1166</v>
      </c>
      <c r="G1139" s="5" t="s">
        <v>224</v>
      </c>
      <c r="J1139" s="5">
        <v>0.0</v>
      </c>
      <c r="N1139" s="5" t="b">
        <v>1</v>
      </c>
      <c r="R1139" s="5">
        <v>1.0</v>
      </c>
      <c r="T1139" s="5">
        <v>10.0</v>
      </c>
      <c r="U1139" s="5">
        <v>8.0</v>
      </c>
      <c r="V1139" s="5" t="s">
        <v>1174</v>
      </c>
      <c r="W1139" s="81" t="s">
        <v>1067</v>
      </c>
      <c r="X1139" s="78" t="s">
        <v>1168</v>
      </c>
      <c r="Y1139" s="5">
        <v>2.0</v>
      </c>
      <c r="Z1139" s="5">
        <v>0.0</v>
      </c>
      <c r="AA1139" s="3">
        <f>2+ (P1139*'Scoring System'!$B$3)+ (IF(OR(D1139="DEF",D1139="GK"),N1139*'Scoring System'!$B$4,IF(D1139="MID",N1139*'Scoring System'!$B$5,0)))+ (IF(OR(D1139="DEF",D1139="GK"),H1139*'Scoring System'!$B$6,IF(D1139="MID",H1139*'Scoring System'!$B$7,IF(D1139="ATT",H1139*'Scoring System'!$B$8,0))))+ IF(AND(OR(D1139="GK",D1139="DEF"),J1139&gt;=3),1*'Scoring System'!$B$9,0)+ (I1139*'Scoring System'!$B$10)+ (K1139*'Scoring System'!$B$11)+ (M1139*'Scoring System'!$B$12)+ (L1139*'Scoring System'!$B$13)+ (O1139*'Scoring System'!$B$14)+ (Q1139*'Scoring System'!$B$15)+ (R1139*'Scoring System'!$B$16)</f>
        <v>13</v>
      </c>
      <c r="AB1139" s="3" t="b">
        <f>IFERROR(match(C1139,'Match Day Fees'!$B$2:$B$999,0),0)=0</f>
        <v>0</v>
      </c>
      <c r="AC1139" s="3">
        <f t="shared" si="2"/>
        <v>0</v>
      </c>
      <c r="AD1139" s="3" t="str">
        <f>VLOOKUP(D1139,'Position Lookup'!A:B,1,FALSE)</f>
        <v>DEF</v>
      </c>
    </row>
    <row r="1140" ht="17.25" customHeight="1">
      <c r="A1140" s="32">
        <v>45248.0</v>
      </c>
      <c r="B1140" s="5" t="s">
        <v>309</v>
      </c>
      <c r="C1140" s="5" t="s">
        <v>136</v>
      </c>
      <c r="D1140" s="5" t="s">
        <v>10</v>
      </c>
      <c r="E1140" s="5">
        <v>4.0</v>
      </c>
      <c r="F1140" s="5" t="s">
        <v>1166</v>
      </c>
      <c r="G1140" s="5" t="s">
        <v>224</v>
      </c>
      <c r="J1140" s="5">
        <v>0.0</v>
      </c>
      <c r="N1140" s="5" t="b">
        <v>1</v>
      </c>
      <c r="R1140" s="5">
        <v>0.0</v>
      </c>
      <c r="S1140" s="5" t="b">
        <v>1</v>
      </c>
      <c r="T1140" s="5">
        <v>0.0</v>
      </c>
      <c r="U1140" s="5">
        <v>7.0</v>
      </c>
      <c r="V1140" s="5" t="s">
        <v>1175</v>
      </c>
      <c r="W1140" s="81" t="s">
        <v>1067</v>
      </c>
      <c r="X1140" s="78" t="s">
        <v>1168</v>
      </c>
      <c r="Y1140" s="5">
        <v>2.0</v>
      </c>
      <c r="Z1140" s="5">
        <v>0.0</v>
      </c>
      <c r="AA1140" s="3">
        <f>2+ (P1140*'Scoring System'!$B$3)+ (IF(OR(D1140="DEF",D1140="GK"),N1140*'Scoring System'!$B$4,IF(D1140="MID",N1140*'Scoring System'!$B$5,0)))+ (IF(OR(D1140="DEF",D1140="GK"),H1140*'Scoring System'!$B$6,IF(D1140="MID",H1140*'Scoring System'!$B$7,IF(D1140="ATT",H1140*'Scoring System'!$B$8,0))))+ IF(AND(OR(D1140="GK",D1140="DEF"),J1140&gt;=3),1*'Scoring System'!$B$9,0)+ (I1140*'Scoring System'!$B$10)+ (K1140*'Scoring System'!$B$11)+ (M1140*'Scoring System'!$B$12)+ (L1140*'Scoring System'!$B$13)+ (O1140*'Scoring System'!$B$14)+ (Q1140*'Scoring System'!$B$15)+ (R1140*'Scoring System'!$B$16)</f>
        <v>4</v>
      </c>
      <c r="AB1140" s="3" t="b">
        <f>IFERROR(match(C1140,'Match Day Fees'!$B$2:$B$999,0),0)=0</f>
        <v>0</v>
      </c>
      <c r="AC1140" s="3">
        <f t="shared" si="2"/>
        <v>0</v>
      </c>
      <c r="AD1140" s="3" t="str">
        <f>VLOOKUP(D1140,'Position Lookup'!A:B,1,FALSE)</f>
        <v>MID</v>
      </c>
    </row>
    <row r="1141" ht="17.25" customHeight="1">
      <c r="A1141" s="32">
        <v>45248.0</v>
      </c>
      <c r="B1141" s="5" t="s">
        <v>309</v>
      </c>
      <c r="C1141" s="5" t="s">
        <v>105</v>
      </c>
      <c r="D1141" s="5" t="s">
        <v>9</v>
      </c>
      <c r="E1141" s="5">
        <v>4.0</v>
      </c>
      <c r="F1141" s="5" t="s">
        <v>1166</v>
      </c>
      <c r="G1141" s="5" t="s">
        <v>224</v>
      </c>
      <c r="I1141" s="5">
        <v>1.0</v>
      </c>
      <c r="J1141" s="5">
        <v>0.0</v>
      </c>
      <c r="N1141" s="5" t="b">
        <v>1</v>
      </c>
      <c r="R1141" s="5">
        <v>0.0</v>
      </c>
      <c r="T1141" s="5">
        <v>10.0</v>
      </c>
      <c r="U1141" s="5">
        <v>6.0</v>
      </c>
      <c r="V1141" s="5" t="s">
        <v>1176</v>
      </c>
      <c r="W1141" s="81" t="s">
        <v>1067</v>
      </c>
      <c r="X1141" s="78" t="s">
        <v>1168</v>
      </c>
      <c r="Y1141" s="5">
        <v>2.0</v>
      </c>
      <c r="Z1141" s="5">
        <v>0.0</v>
      </c>
      <c r="AA1141" s="3">
        <f>2+ (P1141*'Scoring System'!$B$3)+ (IF(OR(D1141="DEF",D1141="GK"),N1141*'Scoring System'!$B$4,IF(D1141="MID",N1141*'Scoring System'!$B$5,0)))+ (IF(OR(D1141="DEF",D1141="GK"),H1141*'Scoring System'!$B$6,IF(D1141="MID",H1141*'Scoring System'!$B$7,IF(D1141="ATT",H1141*'Scoring System'!$B$8,0))))+ IF(AND(OR(D1141="GK",D1141="DEF"),J1141&gt;=3),1*'Scoring System'!$B$9,0)+ (I1141*'Scoring System'!$B$10)+ (K1141*'Scoring System'!$B$11)+ (M1141*'Scoring System'!$B$12)+ (L1141*'Scoring System'!$B$13)+ (O1141*'Scoring System'!$B$14)+ (Q1141*'Scoring System'!$B$15)+ (R1141*'Scoring System'!$B$16)</f>
        <v>5</v>
      </c>
      <c r="AB1141" s="3" t="b">
        <f>IFERROR(match(C1141,'Match Day Fees'!$B$2:$B$999,0),0)=0</f>
        <v>0</v>
      </c>
      <c r="AC1141" s="3">
        <f t="shared" si="2"/>
        <v>0</v>
      </c>
      <c r="AD1141" s="3" t="str">
        <f>VLOOKUP(D1141,'Position Lookup'!A:B,1,FALSE)</f>
        <v>ATT</v>
      </c>
    </row>
    <row r="1142" ht="17.25" customHeight="1">
      <c r="A1142" s="32">
        <v>45248.0</v>
      </c>
      <c r="B1142" s="5" t="s">
        <v>309</v>
      </c>
      <c r="C1142" s="5" t="s">
        <v>45</v>
      </c>
      <c r="D1142" s="5" t="s">
        <v>9</v>
      </c>
      <c r="E1142" s="5">
        <v>4.0</v>
      </c>
      <c r="F1142" s="5" t="s">
        <v>1166</v>
      </c>
      <c r="G1142" s="5" t="s">
        <v>224</v>
      </c>
      <c r="I1142" s="5">
        <v>1.0</v>
      </c>
      <c r="J1142" s="5">
        <v>0.0</v>
      </c>
      <c r="N1142" s="5" t="b">
        <v>1</v>
      </c>
      <c r="R1142" s="5">
        <v>0.0</v>
      </c>
      <c r="T1142" s="5">
        <v>10.0</v>
      </c>
      <c r="U1142" s="5">
        <v>7.0</v>
      </c>
      <c r="V1142" s="5" t="s">
        <v>1177</v>
      </c>
      <c r="W1142" s="81" t="s">
        <v>1067</v>
      </c>
      <c r="X1142" s="78" t="s">
        <v>1168</v>
      </c>
      <c r="Y1142" s="5">
        <v>2.0</v>
      </c>
      <c r="Z1142" s="5">
        <v>0.0</v>
      </c>
      <c r="AA1142" s="3">
        <f>2+ (P1142*'Scoring System'!$B$3)+ (IF(OR(D1142="DEF",D1142="GK"),N1142*'Scoring System'!$B$4,IF(D1142="MID",N1142*'Scoring System'!$B$5,0)))+ (IF(OR(D1142="DEF",D1142="GK"),H1142*'Scoring System'!$B$6,IF(D1142="MID",H1142*'Scoring System'!$B$7,IF(D1142="ATT",H1142*'Scoring System'!$B$8,0))))+ IF(AND(OR(D1142="GK",D1142="DEF"),J1142&gt;=3),1*'Scoring System'!$B$9,0)+ (I1142*'Scoring System'!$B$10)+ (K1142*'Scoring System'!$B$11)+ (M1142*'Scoring System'!$B$12)+ (L1142*'Scoring System'!$B$13)+ (O1142*'Scoring System'!$B$14)+ (Q1142*'Scoring System'!$B$15)+ (R1142*'Scoring System'!$B$16)</f>
        <v>5</v>
      </c>
      <c r="AB1142" s="3" t="b">
        <f>IFERROR(match(C1142,'Match Day Fees'!$B$2:$B$999,0),0)=0</f>
        <v>0</v>
      </c>
      <c r="AC1142" s="3">
        <f t="shared" si="2"/>
        <v>0</v>
      </c>
      <c r="AD1142" s="3" t="str">
        <f>VLOOKUP(D1142,'Position Lookup'!A:B,1,FALSE)</f>
        <v>ATT</v>
      </c>
    </row>
    <row r="1143" ht="17.25" customHeight="1">
      <c r="A1143" s="32">
        <v>45248.0</v>
      </c>
      <c r="B1143" s="5" t="s">
        <v>309</v>
      </c>
      <c r="C1143" s="5" t="s">
        <v>109</v>
      </c>
      <c r="D1143" s="5" t="s">
        <v>9</v>
      </c>
      <c r="E1143" s="5">
        <v>4.0</v>
      </c>
      <c r="F1143" s="5" t="s">
        <v>1166</v>
      </c>
      <c r="G1143" s="5" t="s">
        <v>224</v>
      </c>
      <c r="H1143" s="5">
        <v>1.0</v>
      </c>
      <c r="J1143" s="5">
        <v>0.0</v>
      </c>
      <c r="N1143" s="5" t="b">
        <v>1</v>
      </c>
      <c r="R1143" s="5">
        <v>0.0</v>
      </c>
      <c r="T1143" s="5">
        <v>5.0</v>
      </c>
      <c r="U1143" s="5">
        <v>7.0</v>
      </c>
      <c r="V1143" s="5" t="s">
        <v>1178</v>
      </c>
      <c r="W1143" s="81" t="s">
        <v>1067</v>
      </c>
      <c r="X1143" s="78" t="s">
        <v>1168</v>
      </c>
      <c r="Y1143" s="5">
        <v>2.0</v>
      </c>
      <c r="Z1143" s="5">
        <v>0.0</v>
      </c>
      <c r="AA1143" s="3">
        <f>2+ (P1143*'Scoring System'!$B$3)+ (IF(OR(D1143="DEF",D1143="GK"),N1143*'Scoring System'!$B$4,IF(D1143="MID",N1143*'Scoring System'!$B$5,0)))+ (IF(OR(D1143="DEF",D1143="GK"),H1143*'Scoring System'!$B$6,IF(D1143="MID",H1143*'Scoring System'!$B$7,IF(D1143="ATT",H1143*'Scoring System'!$B$8,0))))+ IF(AND(OR(D1143="GK",D1143="DEF"),J1143&gt;=3),1*'Scoring System'!$B$9,0)+ (I1143*'Scoring System'!$B$10)+ (K1143*'Scoring System'!$B$11)+ (M1143*'Scoring System'!$B$12)+ (L1143*'Scoring System'!$B$13)+ (O1143*'Scoring System'!$B$14)+ (Q1143*'Scoring System'!$B$15)+ (R1143*'Scoring System'!$B$16)</f>
        <v>6</v>
      </c>
      <c r="AB1143" s="3" t="b">
        <f>IFERROR(match(C1143,'Match Day Fees'!$B$2:$B$999,0),0)=0</f>
        <v>0</v>
      </c>
      <c r="AC1143" s="3">
        <f t="shared" si="2"/>
        <v>0</v>
      </c>
      <c r="AD1143" s="3" t="str">
        <f>VLOOKUP(D1143,'Position Lookup'!A:B,1,FALSE)</f>
        <v>ATT</v>
      </c>
    </row>
    <row r="1144" ht="17.25" customHeight="1">
      <c r="A1144" s="32">
        <v>45248.0</v>
      </c>
      <c r="B1144" s="5" t="s">
        <v>309</v>
      </c>
      <c r="C1144" s="5" t="s">
        <v>122</v>
      </c>
      <c r="D1144" s="5" t="s">
        <v>10</v>
      </c>
      <c r="E1144" s="5">
        <v>4.0</v>
      </c>
      <c r="F1144" s="5" t="s">
        <v>1166</v>
      </c>
      <c r="G1144" s="5" t="s">
        <v>224</v>
      </c>
      <c r="J1144" s="5">
        <v>0.0</v>
      </c>
      <c r="N1144" s="5" t="b">
        <v>1</v>
      </c>
      <c r="R1144" s="5">
        <v>0.0</v>
      </c>
      <c r="T1144" s="5">
        <v>5.0</v>
      </c>
      <c r="U1144" s="5">
        <v>6.0</v>
      </c>
      <c r="V1144" s="5" t="s">
        <v>1179</v>
      </c>
      <c r="W1144" s="81" t="s">
        <v>1067</v>
      </c>
      <c r="X1144" s="78" t="s">
        <v>1168</v>
      </c>
      <c r="Y1144" s="5">
        <v>2.0</v>
      </c>
      <c r="Z1144" s="5">
        <v>0.0</v>
      </c>
      <c r="AA1144" s="3">
        <f>2+ (P1144*'Scoring System'!$B$3)+ (IF(OR(D1144="DEF",D1144="GK"),N1144*'Scoring System'!$B$4,IF(D1144="MID",N1144*'Scoring System'!$B$5,0)))+ (IF(OR(D1144="DEF",D1144="GK"),H1144*'Scoring System'!$B$6,IF(D1144="MID",H1144*'Scoring System'!$B$7,IF(D1144="ATT",H1144*'Scoring System'!$B$8,0))))+ IF(AND(OR(D1144="GK",D1144="DEF"),J1144&gt;=3),1*'Scoring System'!$B$9,0)+ (I1144*'Scoring System'!$B$10)+ (K1144*'Scoring System'!$B$11)+ (M1144*'Scoring System'!$B$12)+ (L1144*'Scoring System'!$B$13)+ (O1144*'Scoring System'!$B$14)+ (Q1144*'Scoring System'!$B$15)+ (R1144*'Scoring System'!$B$16)</f>
        <v>4</v>
      </c>
      <c r="AB1144" s="3" t="b">
        <f>IFERROR(match(C1144,'Match Day Fees'!$B$2:$B$999,0),0)=0</f>
        <v>0</v>
      </c>
      <c r="AC1144" s="3">
        <f t="shared" si="2"/>
        <v>0</v>
      </c>
      <c r="AD1144" s="3" t="str">
        <f>VLOOKUP(D1144,'Position Lookup'!A:B,1,FALSE)</f>
        <v>MID</v>
      </c>
    </row>
    <row r="1145" ht="17.25" customHeight="1">
      <c r="A1145" s="32">
        <v>45248.0</v>
      </c>
      <c r="B1145" s="5" t="s">
        <v>309</v>
      </c>
      <c r="C1145" s="5" t="s">
        <v>72</v>
      </c>
      <c r="D1145" s="5" t="s">
        <v>9</v>
      </c>
      <c r="E1145" s="5">
        <v>4.0</v>
      </c>
      <c r="F1145" s="5" t="s">
        <v>1166</v>
      </c>
      <c r="G1145" s="5" t="s">
        <v>224</v>
      </c>
      <c r="H1145" s="5">
        <v>1.0</v>
      </c>
      <c r="J1145" s="5">
        <v>0.0</v>
      </c>
      <c r="N1145" s="5" t="b">
        <v>1</v>
      </c>
      <c r="R1145" s="5">
        <v>0.0</v>
      </c>
      <c r="T1145" s="5">
        <v>5.0</v>
      </c>
      <c r="U1145" s="5">
        <v>7.0</v>
      </c>
      <c r="V1145" s="5" t="s">
        <v>1180</v>
      </c>
      <c r="W1145" s="81" t="s">
        <v>1067</v>
      </c>
      <c r="X1145" s="78" t="s">
        <v>1168</v>
      </c>
      <c r="Y1145" s="5">
        <v>2.0</v>
      </c>
      <c r="Z1145" s="5">
        <v>0.0</v>
      </c>
      <c r="AA1145" s="3">
        <f>2+ (P1145*'Scoring System'!$B$3)+ (IF(OR(D1145="DEF",D1145="GK"),N1145*'Scoring System'!$B$4,IF(D1145="MID",N1145*'Scoring System'!$B$5,0)))+ (IF(OR(D1145="DEF",D1145="GK"),H1145*'Scoring System'!$B$6,IF(D1145="MID",H1145*'Scoring System'!$B$7,IF(D1145="ATT",H1145*'Scoring System'!$B$8,0))))+ IF(AND(OR(D1145="GK",D1145="DEF"),J1145&gt;=3),1*'Scoring System'!$B$9,0)+ (I1145*'Scoring System'!$B$10)+ (K1145*'Scoring System'!$B$11)+ (M1145*'Scoring System'!$B$12)+ (L1145*'Scoring System'!$B$13)+ (O1145*'Scoring System'!$B$14)+ (Q1145*'Scoring System'!$B$15)+ (R1145*'Scoring System'!$B$16)</f>
        <v>6</v>
      </c>
      <c r="AB1145" s="3" t="b">
        <f>IFERROR(match(C1145,'Match Day Fees'!$B$2:$B$999,0),0)=0</f>
        <v>0</v>
      </c>
      <c r="AC1145" s="3">
        <f t="shared" si="2"/>
        <v>0</v>
      </c>
      <c r="AD1145" s="3" t="str">
        <f>VLOOKUP(D1145,'Position Lookup'!A:B,1,FALSE)</f>
        <v>ATT</v>
      </c>
    </row>
    <row r="1146" ht="17.25" customHeight="1">
      <c r="A1146" s="32">
        <v>45248.0</v>
      </c>
      <c r="B1146" s="5" t="s">
        <v>309</v>
      </c>
      <c r="C1146" s="5" t="s">
        <v>128</v>
      </c>
      <c r="D1146" s="5" t="s">
        <v>10</v>
      </c>
      <c r="E1146" s="5">
        <v>4.0</v>
      </c>
      <c r="F1146" s="5" t="s">
        <v>1166</v>
      </c>
      <c r="G1146" s="5" t="s">
        <v>224</v>
      </c>
      <c r="J1146" s="5">
        <v>0.0</v>
      </c>
      <c r="N1146" s="5" t="b">
        <v>1</v>
      </c>
      <c r="R1146" s="5">
        <v>0.0</v>
      </c>
      <c r="T1146" s="5">
        <v>5.0</v>
      </c>
      <c r="U1146" s="5">
        <v>6.0</v>
      </c>
      <c r="V1146" s="5" t="s">
        <v>1181</v>
      </c>
      <c r="W1146" s="81" t="s">
        <v>1067</v>
      </c>
      <c r="X1146" s="78" t="s">
        <v>1168</v>
      </c>
      <c r="Y1146" s="5">
        <v>2.0</v>
      </c>
      <c r="Z1146" s="5">
        <v>0.0</v>
      </c>
      <c r="AA1146" s="3">
        <f>2+ (P1146*'Scoring System'!$B$3)+ (IF(OR(D1146="DEF",D1146="GK"),N1146*'Scoring System'!$B$4,IF(D1146="MID",N1146*'Scoring System'!$B$5,0)))+ (IF(OR(D1146="DEF",D1146="GK"),H1146*'Scoring System'!$B$6,IF(D1146="MID",H1146*'Scoring System'!$B$7,IF(D1146="ATT",H1146*'Scoring System'!$B$8,0))))+ IF(AND(OR(D1146="GK",D1146="DEF"),J1146&gt;=3),1*'Scoring System'!$B$9,0)+ (I1146*'Scoring System'!$B$10)+ (K1146*'Scoring System'!$B$11)+ (M1146*'Scoring System'!$B$12)+ (L1146*'Scoring System'!$B$13)+ (O1146*'Scoring System'!$B$14)+ (Q1146*'Scoring System'!$B$15)+ (R1146*'Scoring System'!$B$16)</f>
        <v>4</v>
      </c>
      <c r="AB1146" s="3" t="b">
        <f>IFERROR(match(C1146,'Match Day Fees'!$B$2:$B$999,0),0)=0</f>
        <v>0</v>
      </c>
      <c r="AC1146" s="3">
        <f t="shared" si="2"/>
        <v>0</v>
      </c>
      <c r="AD1146" s="3" t="str">
        <f>VLOOKUP(D1146,'Position Lookup'!A:B,1,FALSE)</f>
        <v>MID</v>
      </c>
    </row>
    <row r="1147" ht="17.25" customHeight="1">
      <c r="A1147" s="32">
        <v>45248.0</v>
      </c>
      <c r="B1147" s="5" t="s">
        <v>309</v>
      </c>
      <c r="C1147" s="5" t="s">
        <v>106</v>
      </c>
      <c r="D1147" s="5" t="s">
        <v>8</v>
      </c>
      <c r="E1147" s="5">
        <v>5.0</v>
      </c>
      <c r="F1147" s="5" t="s">
        <v>1182</v>
      </c>
      <c r="G1147" s="5" t="s">
        <v>242</v>
      </c>
      <c r="J1147" s="5">
        <v>2.0</v>
      </c>
      <c r="N1147" s="5" t="b">
        <v>0</v>
      </c>
      <c r="R1147" s="5">
        <v>0.0</v>
      </c>
      <c r="S1147" s="5" t="b">
        <v>1</v>
      </c>
      <c r="T1147" s="5">
        <v>0.0</v>
      </c>
      <c r="U1147" s="5">
        <v>6.5</v>
      </c>
      <c r="V1147" s="5" t="s">
        <v>1183</v>
      </c>
      <c r="W1147" s="81" t="s">
        <v>344</v>
      </c>
      <c r="X1147" s="78" t="s">
        <v>1184</v>
      </c>
      <c r="Y1147" s="5">
        <v>2.0</v>
      </c>
      <c r="Z1147" s="5">
        <v>2.0</v>
      </c>
      <c r="AA1147" s="3">
        <f>2+ (P1147*'Scoring System'!$B$3)+ (IF(OR(D1147="DEF",D1147="GK"),N1147*'Scoring System'!$B$4,IF(D1147="MID",N1147*'Scoring System'!$B$5,0)))+ (IF(OR(D1147="DEF",D1147="GK"),H1147*'Scoring System'!$B$6,IF(D1147="MID",H1147*'Scoring System'!$B$7,IF(D1147="ATT",H1147*'Scoring System'!$B$8,0))))+ IF(AND(OR(D1147="GK",D1147="DEF"),J1147&gt;=3),1*'Scoring System'!$B$9,0)+ (I1147*'Scoring System'!$B$10)+ (K1147*'Scoring System'!$B$11)+ (M1147*'Scoring System'!$B$12)+ (L1147*'Scoring System'!$B$13)+ (O1147*'Scoring System'!$B$14)+ (Q1147*'Scoring System'!$B$15)+ (R1147*'Scoring System'!$B$16)</f>
        <v>2</v>
      </c>
      <c r="AB1147" s="3" t="b">
        <f>IFERROR(match(C1147,'Match Day Fees'!$B$2:$B$999,0),0)=0</f>
        <v>0</v>
      </c>
      <c r="AC1147" s="3">
        <f t="shared" si="2"/>
        <v>0</v>
      </c>
      <c r="AD1147" s="3" t="str">
        <f>VLOOKUP(D1147,'Position Lookup'!A:B,1,FALSE)</f>
        <v>GK</v>
      </c>
    </row>
    <row r="1148" ht="17.25" customHeight="1">
      <c r="A1148" s="32">
        <v>45248.0</v>
      </c>
      <c r="B1148" s="5" t="s">
        <v>309</v>
      </c>
      <c r="C1148" s="5" t="s">
        <v>133</v>
      </c>
      <c r="D1148" s="5" t="s">
        <v>11</v>
      </c>
      <c r="E1148" s="5">
        <v>5.0</v>
      </c>
      <c r="F1148" s="5" t="s">
        <v>1182</v>
      </c>
      <c r="G1148" s="5" t="s">
        <v>242</v>
      </c>
      <c r="I1148" s="5">
        <v>1.0</v>
      </c>
      <c r="J1148" s="5">
        <v>2.0</v>
      </c>
      <c r="N1148" s="5" t="b">
        <v>0</v>
      </c>
      <c r="R1148" s="5">
        <v>0.0</v>
      </c>
      <c r="T1148" s="5">
        <v>10.0</v>
      </c>
      <c r="U1148" s="5">
        <v>7.0</v>
      </c>
      <c r="V1148" s="5" t="s">
        <v>1185</v>
      </c>
      <c r="W1148" s="81" t="s">
        <v>344</v>
      </c>
      <c r="X1148" s="78" t="s">
        <v>1184</v>
      </c>
      <c r="Y1148" s="5">
        <v>2.0</v>
      </c>
      <c r="Z1148" s="5">
        <v>2.0</v>
      </c>
      <c r="AA1148" s="3">
        <f>2+ (P1148*'Scoring System'!$B$3)+ (IF(OR(D1148="DEF",D1148="GK"),N1148*'Scoring System'!$B$4,IF(D1148="MID",N1148*'Scoring System'!$B$5,0)))+ (IF(OR(D1148="DEF",D1148="GK"),H1148*'Scoring System'!$B$6,IF(D1148="MID",H1148*'Scoring System'!$B$7,IF(D1148="ATT",H1148*'Scoring System'!$B$8,0))))+ IF(AND(OR(D1148="GK",D1148="DEF"),J1148&gt;=3),1*'Scoring System'!$B$9,0)+ (I1148*'Scoring System'!$B$10)+ (K1148*'Scoring System'!$B$11)+ (M1148*'Scoring System'!$B$12)+ (L1148*'Scoring System'!$B$13)+ (O1148*'Scoring System'!$B$14)+ (Q1148*'Scoring System'!$B$15)+ (R1148*'Scoring System'!$B$16)</f>
        <v>5</v>
      </c>
      <c r="AB1148" s="3" t="b">
        <f>IFERROR(match(C1148,'Match Day Fees'!$B$2:$B$999,0),0)=0</f>
        <v>0</v>
      </c>
      <c r="AC1148" s="3">
        <f t="shared" si="2"/>
        <v>0</v>
      </c>
      <c r="AD1148" s="3" t="str">
        <f>VLOOKUP(D1148,'Position Lookup'!A:B,1,FALSE)</f>
        <v>DEF</v>
      </c>
    </row>
    <row r="1149" ht="17.25" customHeight="1">
      <c r="A1149" s="32">
        <v>45248.0</v>
      </c>
      <c r="B1149" s="5" t="s">
        <v>309</v>
      </c>
      <c r="C1149" s="5" t="s">
        <v>154</v>
      </c>
      <c r="D1149" s="5" t="s">
        <v>11</v>
      </c>
      <c r="E1149" s="5">
        <v>5.0</v>
      </c>
      <c r="F1149" s="5" t="s">
        <v>1182</v>
      </c>
      <c r="G1149" s="5" t="s">
        <v>242</v>
      </c>
      <c r="J1149" s="5">
        <v>2.0</v>
      </c>
      <c r="N1149" s="5" t="b">
        <v>0</v>
      </c>
      <c r="R1149" s="5">
        <v>0.0</v>
      </c>
      <c r="T1149" s="5">
        <v>10.0</v>
      </c>
      <c r="U1149" s="5">
        <v>7.5</v>
      </c>
      <c r="V1149" s="5" t="s">
        <v>1186</v>
      </c>
      <c r="W1149" s="81" t="s">
        <v>344</v>
      </c>
      <c r="X1149" s="78" t="s">
        <v>1184</v>
      </c>
      <c r="Y1149" s="5">
        <v>2.0</v>
      </c>
      <c r="Z1149" s="5">
        <v>2.0</v>
      </c>
      <c r="AA1149" s="3">
        <f>2+ (P1149*'Scoring System'!$B$3)+ (IF(OR(D1149="DEF",D1149="GK"),N1149*'Scoring System'!$B$4,IF(D1149="MID",N1149*'Scoring System'!$B$5,0)))+ (IF(OR(D1149="DEF",D1149="GK"),H1149*'Scoring System'!$B$6,IF(D1149="MID",H1149*'Scoring System'!$B$7,IF(D1149="ATT",H1149*'Scoring System'!$B$8,0))))+ IF(AND(OR(D1149="GK",D1149="DEF"),J1149&gt;=3),1*'Scoring System'!$B$9,0)+ (I1149*'Scoring System'!$B$10)+ (K1149*'Scoring System'!$B$11)+ (M1149*'Scoring System'!$B$12)+ (L1149*'Scoring System'!$B$13)+ (O1149*'Scoring System'!$B$14)+ (Q1149*'Scoring System'!$B$15)+ (R1149*'Scoring System'!$B$16)</f>
        <v>2</v>
      </c>
      <c r="AB1149" s="3" t="b">
        <f>IFERROR(match(C1149,'Match Day Fees'!$B$2:$B$999,0),0)=0</f>
        <v>0</v>
      </c>
      <c r="AC1149" s="3">
        <f t="shared" si="2"/>
        <v>0</v>
      </c>
      <c r="AD1149" s="3" t="str">
        <f>VLOOKUP(D1149,'Position Lookup'!A:B,1,FALSE)</f>
        <v>DEF</v>
      </c>
    </row>
    <row r="1150" ht="17.25" customHeight="1">
      <c r="A1150" s="32">
        <v>45248.0</v>
      </c>
      <c r="B1150" s="5" t="s">
        <v>309</v>
      </c>
      <c r="C1150" s="5" t="s">
        <v>117</v>
      </c>
      <c r="D1150" s="5" t="s">
        <v>11</v>
      </c>
      <c r="E1150" s="5">
        <v>5.0</v>
      </c>
      <c r="F1150" s="5" t="s">
        <v>1182</v>
      </c>
      <c r="G1150" s="5" t="s">
        <v>242</v>
      </c>
      <c r="J1150" s="5">
        <v>2.0</v>
      </c>
      <c r="N1150" s="5" t="b">
        <v>0</v>
      </c>
      <c r="R1150" s="5">
        <v>0.0</v>
      </c>
      <c r="T1150" s="5">
        <v>10.0</v>
      </c>
      <c r="U1150" s="5">
        <v>6.5</v>
      </c>
      <c r="V1150" s="5" t="s">
        <v>1187</v>
      </c>
      <c r="W1150" s="81" t="s">
        <v>344</v>
      </c>
      <c r="X1150" s="78" t="s">
        <v>1184</v>
      </c>
      <c r="Y1150" s="5">
        <v>2.0</v>
      </c>
      <c r="Z1150" s="5">
        <v>2.0</v>
      </c>
      <c r="AA1150" s="3">
        <f>2+ (P1150*'Scoring System'!$B$3)+ (IF(OR(D1150="DEF",D1150="GK"),N1150*'Scoring System'!$B$4,IF(D1150="MID",N1150*'Scoring System'!$B$5,0)))+ (IF(OR(D1150="DEF",D1150="GK"),H1150*'Scoring System'!$B$6,IF(D1150="MID",H1150*'Scoring System'!$B$7,IF(D1150="ATT",H1150*'Scoring System'!$B$8,0))))+ IF(AND(OR(D1150="GK",D1150="DEF"),J1150&gt;=3),1*'Scoring System'!$B$9,0)+ (I1150*'Scoring System'!$B$10)+ (K1150*'Scoring System'!$B$11)+ (M1150*'Scoring System'!$B$12)+ (L1150*'Scoring System'!$B$13)+ (O1150*'Scoring System'!$B$14)+ (Q1150*'Scoring System'!$B$15)+ (R1150*'Scoring System'!$B$16)</f>
        <v>2</v>
      </c>
      <c r="AB1150" s="3" t="b">
        <f>IFERROR(match(C1150,'Match Day Fees'!$B$2:$B$999,0),0)=0</f>
        <v>0</v>
      </c>
      <c r="AC1150" s="3">
        <f t="shared" si="2"/>
        <v>0</v>
      </c>
      <c r="AD1150" s="3" t="str">
        <f>VLOOKUP(D1150,'Position Lookup'!A:B,1,FALSE)</f>
        <v>DEF</v>
      </c>
    </row>
    <row r="1151" ht="17.25" customHeight="1">
      <c r="A1151" s="32">
        <v>45248.0</v>
      </c>
      <c r="B1151" s="5" t="s">
        <v>309</v>
      </c>
      <c r="C1151" s="5" t="s">
        <v>135</v>
      </c>
      <c r="D1151" s="5" t="s">
        <v>11</v>
      </c>
      <c r="E1151" s="5">
        <v>5.0</v>
      </c>
      <c r="F1151" s="5" t="s">
        <v>1182</v>
      </c>
      <c r="G1151" s="5" t="s">
        <v>242</v>
      </c>
      <c r="J1151" s="5">
        <v>2.0</v>
      </c>
      <c r="N1151" s="5" t="b">
        <v>0</v>
      </c>
      <c r="R1151" s="5">
        <v>0.0</v>
      </c>
      <c r="T1151" s="5">
        <v>10.0</v>
      </c>
      <c r="U1151" s="5">
        <v>7.5</v>
      </c>
      <c r="V1151" s="5" t="s">
        <v>1188</v>
      </c>
      <c r="W1151" s="81" t="s">
        <v>344</v>
      </c>
      <c r="X1151" s="78" t="s">
        <v>1184</v>
      </c>
      <c r="Y1151" s="5">
        <v>2.0</v>
      </c>
      <c r="Z1151" s="5">
        <v>2.0</v>
      </c>
      <c r="AA1151" s="3">
        <f>2+ (P1151*'Scoring System'!$B$3)+ (IF(OR(D1151="DEF",D1151="GK"),N1151*'Scoring System'!$B$4,IF(D1151="MID",N1151*'Scoring System'!$B$5,0)))+ (IF(OR(D1151="DEF",D1151="GK"),H1151*'Scoring System'!$B$6,IF(D1151="MID",H1151*'Scoring System'!$B$7,IF(D1151="ATT",H1151*'Scoring System'!$B$8,0))))+ IF(AND(OR(D1151="GK",D1151="DEF"),J1151&gt;=3),1*'Scoring System'!$B$9,0)+ (I1151*'Scoring System'!$B$10)+ (K1151*'Scoring System'!$B$11)+ (M1151*'Scoring System'!$B$12)+ (L1151*'Scoring System'!$B$13)+ (O1151*'Scoring System'!$B$14)+ (Q1151*'Scoring System'!$B$15)+ (R1151*'Scoring System'!$B$16)</f>
        <v>2</v>
      </c>
      <c r="AB1151" s="3" t="b">
        <f>IFERROR(match(C1151,'Match Day Fees'!$B$2:$B$999,0),0)=0</f>
        <v>0</v>
      </c>
      <c r="AC1151" s="3">
        <f t="shared" si="2"/>
        <v>0</v>
      </c>
      <c r="AD1151" s="3" t="str">
        <f>VLOOKUP(D1151,'Position Lookup'!A:B,1,FALSE)</f>
        <v>DEF</v>
      </c>
    </row>
    <row r="1152" ht="17.25" customHeight="1">
      <c r="A1152" s="32">
        <v>45248.0</v>
      </c>
      <c r="B1152" s="5" t="s">
        <v>309</v>
      </c>
      <c r="C1152" s="5" t="s">
        <v>138</v>
      </c>
      <c r="D1152" s="5" t="s">
        <v>11</v>
      </c>
      <c r="E1152" s="5">
        <v>5.0</v>
      </c>
      <c r="F1152" s="5" t="s">
        <v>1182</v>
      </c>
      <c r="G1152" s="5" t="s">
        <v>242</v>
      </c>
      <c r="J1152" s="5">
        <v>2.0</v>
      </c>
      <c r="N1152" s="5" t="b">
        <v>0</v>
      </c>
      <c r="R1152" s="5">
        <v>0.0</v>
      </c>
      <c r="T1152" s="5">
        <v>10.0</v>
      </c>
      <c r="U1152" s="5">
        <v>6.5</v>
      </c>
      <c r="V1152" s="5" t="s">
        <v>1189</v>
      </c>
      <c r="W1152" s="81" t="s">
        <v>344</v>
      </c>
      <c r="X1152" s="78" t="s">
        <v>1184</v>
      </c>
      <c r="Y1152" s="5">
        <v>2.0</v>
      </c>
      <c r="Z1152" s="5">
        <v>2.0</v>
      </c>
      <c r="AA1152" s="3">
        <f>2+ (P1152*'Scoring System'!$B$3)+ (IF(OR(D1152="DEF",D1152="GK"),N1152*'Scoring System'!$B$4,IF(D1152="MID",N1152*'Scoring System'!$B$5,0)))+ (IF(OR(D1152="DEF",D1152="GK"),H1152*'Scoring System'!$B$6,IF(D1152="MID",H1152*'Scoring System'!$B$7,IF(D1152="ATT",H1152*'Scoring System'!$B$8,0))))+ IF(AND(OR(D1152="GK",D1152="DEF"),J1152&gt;=3),1*'Scoring System'!$B$9,0)+ (I1152*'Scoring System'!$B$10)+ (K1152*'Scoring System'!$B$11)+ (M1152*'Scoring System'!$B$12)+ (L1152*'Scoring System'!$B$13)+ (O1152*'Scoring System'!$B$14)+ (Q1152*'Scoring System'!$B$15)+ (R1152*'Scoring System'!$B$16)</f>
        <v>2</v>
      </c>
      <c r="AB1152" s="3" t="b">
        <f>IFERROR(match(C1152,'Match Day Fees'!$B$2:$B$999,0),0)=0</f>
        <v>0</v>
      </c>
      <c r="AC1152" s="3">
        <f t="shared" si="2"/>
        <v>0</v>
      </c>
      <c r="AD1152" s="3" t="str">
        <f>VLOOKUP(D1152,'Position Lookup'!A:B,1,FALSE)</f>
        <v>DEF</v>
      </c>
    </row>
    <row r="1153" ht="17.25" customHeight="1">
      <c r="A1153" s="32">
        <v>45248.0</v>
      </c>
      <c r="B1153" s="5" t="s">
        <v>309</v>
      </c>
      <c r="C1153" s="5" t="s">
        <v>71</v>
      </c>
      <c r="D1153" s="5" t="s">
        <v>10</v>
      </c>
      <c r="E1153" s="5">
        <v>5.0</v>
      </c>
      <c r="F1153" s="5" t="s">
        <v>1182</v>
      </c>
      <c r="G1153" s="5" t="s">
        <v>242</v>
      </c>
      <c r="J1153" s="5">
        <v>2.0</v>
      </c>
      <c r="N1153" s="5" t="b">
        <v>0</v>
      </c>
      <c r="R1153" s="5">
        <v>0.0</v>
      </c>
      <c r="T1153" s="5">
        <v>10.0</v>
      </c>
      <c r="U1153" s="5">
        <v>7.0</v>
      </c>
      <c r="V1153" s="5" t="s">
        <v>1190</v>
      </c>
      <c r="W1153" s="81" t="s">
        <v>344</v>
      </c>
      <c r="X1153" s="78" t="s">
        <v>1184</v>
      </c>
      <c r="Y1153" s="5">
        <v>2.0</v>
      </c>
      <c r="Z1153" s="5">
        <v>2.0</v>
      </c>
      <c r="AA1153" s="3">
        <f>2+ (P1153*'Scoring System'!$B$3)+ (IF(OR(D1153="DEF",D1153="GK"),N1153*'Scoring System'!$B$4,IF(D1153="MID",N1153*'Scoring System'!$B$5,0)))+ (IF(OR(D1153="DEF",D1153="GK"),H1153*'Scoring System'!$B$6,IF(D1153="MID",H1153*'Scoring System'!$B$7,IF(D1153="ATT",H1153*'Scoring System'!$B$8,0))))+ IF(AND(OR(D1153="GK",D1153="DEF"),J1153&gt;=3),1*'Scoring System'!$B$9,0)+ (I1153*'Scoring System'!$B$10)+ (K1153*'Scoring System'!$B$11)+ (M1153*'Scoring System'!$B$12)+ (L1153*'Scoring System'!$B$13)+ (O1153*'Scoring System'!$B$14)+ (Q1153*'Scoring System'!$B$15)+ (R1153*'Scoring System'!$B$16)</f>
        <v>2</v>
      </c>
      <c r="AB1153" s="3" t="b">
        <f>IFERROR(match(C1153,'Match Day Fees'!$B$2:$B$999,0),0)=0</f>
        <v>0</v>
      </c>
      <c r="AC1153" s="3">
        <f t="shared" si="2"/>
        <v>0</v>
      </c>
      <c r="AD1153" s="3" t="str">
        <f>VLOOKUP(D1153,'Position Lookup'!A:B,1,FALSE)</f>
        <v>MID</v>
      </c>
    </row>
    <row r="1154" ht="17.25" customHeight="1">
      <c r="A1154" s="32">
        <v>45248.0</v>
      </c>
      <c r="B1154" s="5" t="s">
        <v>309</v>
      </c>
      <c r="C1154" s="5" t="s">
        <v>94</v>
      </c>
      <c r="D1154" s="5" t="s">
        <v>10</v>
      </c>
      <c r="E1154" s="5">
        <v>5.0</v>
      </c>
      <c r="F1154" s="5" t="s">
        <v>1182</v>
      </c>
      <c r="G1154" s="5" t="s">
        <v>242</v>
      </c>
      <c r="J1154" s="5">
        <v>2.0</v>
      </c>
      <c r="N1154" s="5" t="b">
        <v>0</v>
      </c>
      <c r="R1154" s="5">
        <v>0.0</v>
      </c>
      <c r="T1154" s="5">
        <v>10.0</v>
      </c>
      <c r="U1154" s="5">
        <v>7.0</v>
      </c>
      <c r="V1154" s="5" t="s">
        <v>1191</v>
      </c>
      <c r="W1154" s="81" t="s">
        <v>344</v>
      </c>
      <c r="X1154" s="78" t="s">
        <v>1184</v>
      </c>
      <c r="Y1154" s="5">
        <v>2.0</v>
      </c>
      <c r="Z1154" s="5">
        <v>2.0</v>
      </c>
      <c r="AA1154" s="3">
        <f>2+ (P1154*'Scoring System'!$B$3)+ (IF(OR(D1154="DEF",D1154="GK"),N1154*'Scoring System'!$B$4,IF(D1154="MID",N1154*'Scoring System'!$B$5,0)))+ (IF(OR(D1154="DEF",D1154="GK"),H1154*'Scoring System'!$B$6,IF(D1154="MID",H1154*'Scoring System'!$B$7,IF(D1154="ATT",H1154*'Scoring System'!$B$8,0))))+ IF(AND(OR(D1154="GK",D1154="DEF"),J1154&gt;=3),1*'Scoring System'!$B$9,0)+ (I1154*'Scoring System'!$B$10)+ (K1154*'Scoring System'!$B$11)+ (M1154*'Scoring System'!$B$12)+ (L1154*'Scoring System'!$B$13)+ (O1154*'Scoring System'!$B$14)+ (Q1154*'Scoring System'!$B$15)+ (R1154*'Scoring System'!$B$16)</f>
        <v>2</v>
      </c>
      <c r="AB1154" s="3" t="b">
        <f>IFERROR(match(C1154,'Match Day Fees'!$B$2:$B$999,0),0)=0</f>
        <v>0</v>
      </c>
      <c r="AC1154" s="3">
        <f t="shared" si="2"/>
        <v>0</v>
      </c>
      <c r="AD1154" s="3" t="str">
        <f>VLOOKUP(D1154,'Position Lookup'!A:B,1,FALSE)</f>
        <v>MID</v>
      </c>
    </row>
    <row r="1155" ht="17.25" customHeight="1">
      <c r="A1155" s="32">
        <v>45248.0</v>
      </c>
      <c r="B1155" s="5" t="s">
        <v>309</v>
      </c>
      <c r="C1155" s="5" t="s">
        <v>237</v>
      </c>
      <c r="D1155" s="5" t="s">
        <v>10</v>
      </c>
      <c r="E1155" s="5">
        <v>5.0</v>
      </c>
      <c r="F1155" s="5" t="s">
        <v>1182</v>
      </c>
      <c r="G1155" s="5" t="s">
        <v>242</v>
      </c>
      <c r="J1155" s="5">
        <v>2.0</v>
      </c>
      <c r="N1155" s="5" t="b">
        <v>0</v>
      </c>
      <c r="R1155" s="5">
        <v>0.0</v>
      </c>
      <c r="T1155" s="5">
        <v>10.0</v>
      </c>
      <c r="U1155" s="5">
        <v>7.0</v>
      </c>
      <c r="V1155" s="5" t="s">
        <v>1192</v>
      </c>
      <c r="W1155" s="81" t="s">
        <v>344</v>
      </c>
      <c r="X1155" s="78" t="s">
        <v>1184</v>
      </c>
      <c r="Y1155" s="5">
        <v>2.0</v>
      </c>
      <c r="Z1155" s="5">
        <v>2.0</v>
      </c>
      <c r="AA1155" s="3">
        <f>2+ (P1155*'Scoring System'!$B$3)+ (IF(OR(D1155="DEF",D1155="GK"),N1155*'Scoring System'!$B$4,IF(D1155="MID",N1155*'Scoring System'!$B$5,0)))+ (IF(OR(D1155="DEF",D1155="GK"),H1155*'Scoring System'!$B$6,IF(D1155="MID",H1155*'Scoring System'!$B$7,IF(D1155="ATT",H1155*'Scoring System'!$B$8,0))))+ IF(AND(OR(D1155="GK",D1155="DEF"),J1155&gt;=3),1*'Scoring System'!$B$9,0)+ (I1155*'Scoring System'!$B$10)+ (K1155*'Scoring System'!$B$11)+ (M1155*'Scoring System'!$B$12)+ (L1155*'Scoring System'!$B$13)+ (O1155*'Scoring System'!$B$14)+ (Q1155*'Scoring System'!$B$15)+ (R1155*'Scoring System'!$B$16)</f>
        <v>2</v>
      </c>
      <c r="AB1155" s="3" t="b">
        <f>IFERROR(match(C1155,'Match Day Fees'!$B$2:$B$999,0),0)=0</f>
        <v>0</v>
      </c>
      <c r="AC1155" s="3">
        <f t="shared" si="2"/>
        <v>0</v>
      </c>
      <c r="AD1155" s="3" t="str">
        <f>VLOOKUP(D1155,'Position Lookup'!A:B,1,FALSE)</f>
        <v>MID</v>
      </c>
    </row>
    <row r="1156" ht="17.25" customHeight="1">
      <c r="A1156" s="32">
        <v>45248.0</v>
      </c>
      <c r="B1156" s="5" t="s">
        <v>309</v>
      </c>
      <c r="C1156" s="5" t="s">
        <v>58</v>
      </c>
      <c r="D1156" s="5" t="s">
        <v>9</v>
      </c>
      <c r="E1156" s="5">
        <v>5.0</v>
      </c>
      <c r="F1156" s="5" t="s">
        <v>1182</v>
      </c>
      <c r="G1156" s="5" t="s">
        <v>242</v>
      </c>
      <c r="J1156" s="5">
        <v>2.0</v>
      </c>
      <c r="N1156" s="5" t="b">
        <v>0</v>
      </c>
      <c r="R1156" s="5">
        <v>0.0</v>
      </c>
      <c r="T1156" s="5">
        <v>10.0</v>
      </c>
      <c r="U1156" s="5">
        <v>7.0</v>
      </c>
      <c r="V1156" s="5" t="s">
        <v>1193</v>
      </c>
      <c r="W1156" s="81" t="s">
        <v>344</v>
      </c>
      <c r="X1156" s="78" t="s">
        <v>1184</v>
      </c>
      <c r="Y1156" s="5">
        <v>2.0</v>
      </c>
      <c r="Z1156" s="5">
        <v>2.0</v>
      </c>
      <c r="AA1156" s="3">
        <f>2+ (P1156*'Scoring System'!$B$3)+ (IF(OR(D1156="DEF",D1156="GK"),N1156*'Scoring System'!$B$4,IF(D1156="MID",N1156*'Scoring System'!$B$5,0)))+ (IF(OR(D1156="DEF",D1156="GK"),H1156*'Scoring System'!$B$6,IF(D1156="MID",H1156*'Scoring System'!$B$7,IF(D1156="ATT",H1156*'Scoring System'!$B$8,0))))+ IF(AND(OR(D1156="GK",D1156="DEF"),J1156&gt;=3),1*'Scoring System'!$B$9,0)+ (I1156*'Scoring System'!$B$10)+ (K1156*'Scoring System'!$B$11)+ (M1156*'Scoring System'!$B$12)+ (L1156*'Scoring System'!$B$13)+ (O1156*'Scoring System'!$B$14)+ (Q1156*'Scoring System'!$B$15)+ (R1156*'Scoring System'!$B$16)</f>
        <v>2</v>
      </c>
      <c r="AB1156" s="3" t="b">
        <f>IFERROR(match(C1156,'Match Day Fees'!$B$2:$B$999,0),0)=0</f>
        <v>0</v>
      </c>
      <c r="AC1156" s="3">
        <f t="shared" si="2"/>
        <v>0</v>
      </c>
      <c r="AD1156" s="3" t="str">
        <f>VLOOKUP(D1156,'Position Lookup'!A:B,1,FALSE)</f>
        <v>ATT</v>
      </c>
    </row>
    <row r="1157" ht="17.25" customHeight="1">
      <c r="A1157" s="32">
        <v>45248.0</v>
      </c>
      <c r="B1157" s="5" t="s">
        <v>309</v>
      </c>
      <c r="C1157" s="5" t="s">
        <v>95</v>
      </c>
      <c r="D1157" s="5" t="s">
        <v>9</v>
      </c>
      <c r="E1157" s="5">
        <v>5.0</v>
      </c>
      <c r="F1157" s="5" t="s">
        <v>1182</v>
      </c>
      <c r="G1157" s="5" t="s">
        <v>242</v>
      </c>
      <c r="J1157" s="5">
        <v>2.0</v>
      </c>
      <c r="N1157" s="5" t="b">
        <v>0</v>
      </c>
      <c r="R1157" s="5">
        <v>0.0</v>
      </c>
      <c r="T1157" s="5">
        <v>10.0</v>
      </c>
      <c r="U1157" s="5">
        <v>7.0</v>
      </c>
      <c r="V1157" s="5" t="s">
        <v>1194</v>
      </c>
      <c r="W1157" s="81" t="s">
        <v>344</v>
      </c>
      <c r="X1157" s="78" t="s">
        <v>1184</v>
      </c>
      <c r="Y1157" s="5">
        <v>2.0</v>
      </c>
      <c r="Z1157" s="5">
        <v>2.0</v>
      </c>
      <c r="AA1157" s="3">
        <f>2+ (P1157*'Scoring System'!$B$3)+ (IF(OR(D1157="DEF",D1157="GK"),N1157*'Scoring System'!$B$4,IF(D1157="MID",N1157*'Scoring System'!$B$5,0)))+ (IF(OR(D1157="DEF",D1157="GK"),H1157*'Scoring System'!$B$6,IF(D1157="MID",H1157*'Scoring System'!$B$7,IF(D1157="ATT",H1157*'Scoring System'!$B$8,0))))+ IF(AND(OR(D1157="GK",D1157="DEF"),J1157&gt;=3),1*'Scoring System'!$B$9,0)+ (I1157*'Scoring System'!$B$10)+ (K1157*'Scoring System'!$B$11)+ (M1157*'Scoring System'!$B$12)+ (L1157*'Scoring System'!$B$13)+ (O1157*'Scoring System'!$B$14)+ (Q1157*'Scoring System'!$B$15)+ (R1157*'Scoring System'!$B$16)</f>
        <v>2</v>
      </c>
      <c r="AB1157" s="3" t="b">
        <f>IFERROR(match(C1157,'Match Day Fees'!$B$2:$B$999,0),0)=0</f>
        <v>0</v>
      </c>
      <c r="AC1157" s="3">
        <f t="shared" si="2"/>
        <v>0</v>
      </c>
      <c r="AD1157" s="3" t="str">
        <f>VLOOKUP(D1157,'Position Lookup'!A:B,1,FALSE)</f>
        <v>ATT</v>
      </c>
    </row>
    <row r="1158" ht="17.25" customHeight="1">
      <c r="A1158" s="32">
        <v>45248.0</v>
      </c>
      <c r="B1158" s="5" t="s">
        <v>309</v>
      </c>
      <c r="C1158" s="5" t="s">
        <v>139</v>
      </c>
      <c r="D1158" s="5" t="s">
        <v>9</v>
      </c>
      <c r="E1158" s="5">
        <v>5.0</v>
      </c>
      <c r="F1158" s="5" t="s">
        <v>1182</v>
      </c>
      <c r="G1158" s="5" t="s">
        <v>242</v>
      </c>
      <c r="J1158" s="5">
        <v>2.0</v>
      </c>
      <c r="N1158" s="5" t="b">
        <v>0</v>
      </c>
      <c r="R1158" s="5">
        <v>0.0</v>
      </c>
      <c r="T1158" s="5">
        <v>10.0</v>
      </c>
      <c r="U1158" s="5">
        <v>6.5</v>
      </c>
      <c r="V1158" s="5" t="s">
        <v>1195</v>
      </c>
      <c r="W1158" s="81" t="s">
        <v>344</v>
      </c>
      <c r="X1158" s="78" t="s">
        <v>1184</v>
      </c>
      <c r="Y1158" s="5">
        <v>2.0</v>
      </c>
      <c r="Z1158" s="5">
        <v>2.0</v>
      </c>
      <c r="AA1158" s="3">
        <f>2+ (P1158*'Scoring System'!$B$3)+ (IF(OR(D1158="DEF",D1158="GK"),N1158*'Scoring System'!$B$4,IF(D1158="MID",N1158*'Scoring System'!$B$5,0)))+ (IF(OR(D1158="DEF",D1158="GK"),H1158*'Scoring System'!$B$6,IF(D1158="MID",H1158*'Scoring System'!$B$7,IF(D1158="ATT",H1158*'Scoring System'!$B$8,0))))+ IF(AND(OR(D1158="GK",D1158="DEF"),J1158&gt;=3),1*'Scoring System'!$B$9,0)+ (I1158*'Scoring System'!$B$10)+ (K1158*'Scoring System'!$B$11)+ (M1158*'Scoring System'!$B$12)+ (L1158*'Scoring System'!$B$13)+ (O1158*'Scoring System'!$B$14)+ (Q1158*'Scoring System'!$B$15)+ (R1158*'Scoring System'!$B$16)</f>
        <v>2</v>
      </c>
      <c r="AB1158" s="3" t="b">
        <f>IFERROR(match(C1158,'Match Day Fees'!$B$2:$B$999,0),0)=0</f>
        <v>0</v>
      </c>
      <c r="AC1158" s="3">
        <f t="shared" si="2"/>
        <v>0</v>
      </c>
      <c r="AD1158" s="3" t="str">
        <f>VLOOKUP(D1158,'Position Lookup'!A:B,1,FALSE)</f>
        <v>ATT</v>
      </c>
    </row>
    <row r="1159" ht="17.25" customHeight="1">
      <c r="A1159" s="32">
        <v>45248.0</v>
      </c>
      <c r="B1159" s="5" t="s">
        <v>309</v>
      </c>
      <c r="C1159" s="5" t="s">
        <v>70</v>
      </c>
      <c r="D1159" s="5" t="s">
        <v>9</v>
      </c>
      <c r="E1159" s="5">
        <v>5.0</v>
      </c>
      <c r="F1159" s="5" t="s">
        <v>1182</v>
      </c>
      <c r="G1159" s="5" t="s">
        <v>242</v>
      </c>
      <c r="H1159" s="5">
        <v>2.0</v>
      </c>
      <c r="J1159" s="5">
        <v>2.0</v>
      </c>
      <c r="N1159" s="5" t="b">
        <v>0</v>
      </c>
      <c r="R1159" s="5">
        <v>1.0</v>
      </c>
      <c r="T1159" s="5">
        <v>10.0</v>
      </c>
      <c r="U1159" s="5">
        <v>8.0</v>
      </c>
      <c r="V1159" s="5" t="s">
        <v>1196</v>
      </c>
      <c r="W1159" s="81" t="s">
        <v>344</v>
      </c>
      <c r="X1159" s="78" t="s">
        <v>1184</v>
      </c>
      <c r="Y1159" s="5">
        <v>2.0</v>
      </c>
      <c r="Z1159" s="5">
        <v>2.0</v>
      </c>
      <c r="AA1159" s="3">
        <f>2+ (P1159*'Scoring System'!$B$3)+ (IF(OR(D1159="DEF",D1159="GK"),N1159*'Scoring System'!$B$4,IF(D1159="MID",N1159*'Scoring System'!$B$5,0)))+ (IF(OR(D1159="DEF",D1159="GK"),H1159*'Scoring System'!$B$6,IF(D1159="MID",H1159*'Scoring System'!$B$7,IF(D1159="ATT",H1159*'Scoring System'!$B$8,0))))+ IF(AND(OR(D1159="GK",D1159="DEF"),J1159&gt;=3),1*'Scoring System'!$B$9,0)+ (I1159*'Scoring System'!$B$10)+ (K1159*'Scoring System'!$B$11)+ (M1159*'Scoring System'!$B$12)+ (L1159*'Scoring System'!$B$13)+ (O1159*'Scoring System'!$B$14)+ (Q1159*'Scoring System'!$B$15)+ (R1159*'Scoring System'!$B$16)</f>
        <v>15</v>
      </c>
      <c r="AB1159" s="3" t="b">
        <f>IFERROR(match(C1159,'Match Day Fees'!$B$2:$B$999,0),0)=0</f>
        <v>0</v>
      </c>
      <c r="AC1159" s="3">
        <f t="shared" si="2"/>
        <v>0</v>
      </c>
      <c r="AD1159" s="3" t="str">
        <f>VLOOKUP(D1159,'Position Lookup'!A:B,1,FALSE)</f>
        <v>ATT</v>
      </c>
    </row>
    <row r="1160" ht="17.25" customHeight="1">
      <c r="A1160" s="32">
        <v>45248.0</v>
      </c>
      <c r="B1160" s="5" t="s">
        <v>309</v>
      </c>
      <c r="C1160" s="5" t="s">
        <v>140</v>
      </c>
      <c r="D1160" s="5" t="s">
        <v>9</v>
      </c>
      <c r="E1160" s="5">
        <v>5.0</v>
      </c>
      <c r="F1160" s="5" t="s">
        <v>1182</v>
      </c>
      <c r="G1160" s="5" t="s">
        <v>242</v>
      </c>
      <c r="I1160" s="5">
        <v>1.0</v>
      </c>
      <c r="J1160" s="5">
        <v>2.0</v>
      </c>
      <c r="N1160" s="5" t="b">
        <v>0</v>
      </c>
      <c r="R1160" s="5">
        <v>0.0</v>
      </c>
      <c r="T1160" s="5">
        <v>10.0</v>
      </c>
      <c r="U1160" s="5">
        <v>7.5</v>
      </c>
      <c r="V1160" s="5" t="s">
        <v>1197</v>
      </c>
      <c r="W1160" s="81" t="s">
        <v>344</v>
      </c>
      <c r="X1160" s="78" t="s">
        <v>1184</v>
      </c>
      <c r="Y1160" s="5">
        <v>2.0</v>
      </c>
      <c r="Z1160" s="5">
        <v>2.0</v>
      </c>
      <c r="AA1160" s="3">
        <f>2+ (P1160*'Scoring System'!$B$3)+ (IF(OR(D1160="DEF",D1160="GK"),N1160*'Scoring System'!$B$4,IF(D1160="MID",N1160*'Scoring System'!$B$5,0)))+ (IF(OR(D1160="DEF",D1160="GK"),H1160*'Scoring System'!$B$6,IF(D1160="MID",H1160*'Scoring System'!$B$7,IF(D1160="ATT",H1160*'Scoring System'!$B$8,0))))+ IF(AND(OR(D1160="GK",D1160="DEF"),J1160&gt;=3),1*'Scoring System'!$B$9,0)+ (I1160*'Scoring System'!$B$10)+ (K1160*'Scoring System'!$B$11)+ (M1160*'Scoring System'!$B$12)+ (L1160*'Scoring System'!$B$13)+ (O1160*'Scoring System'!$B$14)+ (Q1160*'Scoring System'!$B$15)+ (R1160*'Scoring System'!$B$16)</f>
        <v>5</v>
      </c>
      <c r="AB1160" s="3" t="b">
        <f>IFERROR(match(C1160,'Match Day Fees'!$B$2:$B$999,0),0)=0</f>
        <v>0</v>
      </c>
      <c r="AC1160" s="3">
        <f t="shared" si="2"/>
        <v>0</v>
      </c>
      <c r="AD1160" s="3" t="str">
        <f>VLOOKUP(D1160,'Position Lookup'!A:B,1,FALSE)</f>
        <v>ATT</v>
      </c>
    </row>
    <row r="1161" ht="17.25" customHeight="1">
      <c r="A1161" s="32">
        <v>45255.0</v>
      </c>
      <c r="B1161" s="5" t="s">
        <v>1198</v>
      </c>
      <c r="C1161" s="5" t="s">
        <v>118</v>
      </c>
      <c r="D1161" s="5" t="s">
        <v>8</v>
      </c>
      <c r="E1161" s="5" t="s">
        <v>157</v>
      </c>
      <c r="F1161" s="5" t="s">
        <v>1199</v>
      </c>
      <c r="G1161" s="5" t="s">
        <v>224</v>
      </c>
      <c r="I1161" s="5">
        <v>1.0</v>
      </c>
      <c r="J1161" s="5">
        <v>2.0</v>
      </c>
      <c r="N1161" s="5" t="b">
        <v>0</v>
      </c>
      <c r="R1161" s="5">
        <v>0.0</v>
      </c>
      <c r="T1161" s="5">
        <v>10.0</v>
      </c>
      <c r="U1161" s="5">
        <v>7.0</v>
      </c>
      <c r="V1161" s="5" t="s">
        <v>1200</v>
      </c>
      <c r="W1161" s="81" t="s">
        <v>344</v>
      </c>
      <c r="X1161" s="78" t="s">
        <v>1201</v>
      </c>
      <c r="Y1161" s="5">
        <v>7.0</v>
      </c>
      <c r="Z1161" s="5">
        <v>2.0</v>
      </c>
      <c r="AA1161" s="3">
        <f>2+ (P1161*'Scoring System'!$B$3)+ (IF(OR(D1161="DEF",D1161="GK"),N1161*'Scoring System'!$B$4,IF(D1161="MID",N1161*'Scoring System'!$B$5,0)))+ (IF(OR(D1161="DEF",D1161="GK"),H1161*'Scoring System'!$B$6,IF(D1161="MID",H1161*'Scoring System'!$B$7,IF(D1161="ATT",H1161*'Scoring System'!$B$8,0))))+ IF(AND(OR(D1161="GK",D1161="DEF"),J1161&gt;=3),1*'Scoring System'!$B$9,0)+ (I1161*'Scoring System'!$B$10)+ (K1161*'Scoring System'!$B$11)+ (M1161*'Scoring System'!$B$12)+ (L1161*'Scoring System'!$B$13)+ (O1161*'Scoring System'!$B$14)+ (Q1161*'Scoring System'!$B$15)+ (R1161*'Scoring System'!$B$16)</f>
        <v>5</v>
      </c>
      <c r="AB1161" s="3" t="b">
        <f>IFERROR(match(C1161,'Match Day Fees'!$B$2:$B$999,0),0)=0</f>
        <v>0</v>
      </c>
      <c r="AC1161" s="3">
        <f t="shared" si="2"/>
        <v>0</v>
      </c>
      <c r="AD1161" s="3" t="str">
        <f>VLOOKUP(D1161,'Position Lookup'!A:B,1,FALSE)</f>
        <v>GK</v>
      </c>
    </row>
    <row r="1162" ht="17.25" customHeight="1">
      <c r="A1162" s="32">
        <v>45255.0</v>
      </c>
      <c r="B1162" s="5" t="s">
        <v>1198</v>
      </c>
      <c r="C1162" s="5" t="s">
        <v>678</v>
      </c>
      <c r="D1162" s="5" t="s">
        <v>9</v>
      </c>
      <c r="E1162" s="5" t="s">
        <v>157</v>
      </c>
      <c r="F1162" s="5" t="s">
        <v>1199</v>
      </c>
      <c r="G1162" s="5" t="s">
        <v>224</v>
      </c>
      <c r="I1162" s="5">
        <v>2.0</v>
      </c>
      <c r="J1162" s="5">
        <v>2.0</v>
      </c>
      <c r="N1162" s="5" t="b">
        <v>0</v>
      </c>
      <c r="R1162" s="5">
        <v>0.0</v>
      </c>
      <c r="T1162" s="5">
        <v>10.0</v>
      </c>
      <c r="U1162" s="5">
        <v>8.0</v>
      </c>
      <c r="V1162" s="5" t="s">
        <v>1202</v>
      </c>
      <c r="W1162" s="81" t="s">
        <v>344</v>
      </c>
      <c r="X1162" s="78" t="s">
        <v>1201</v>
      </c>
      <c r="Y1162" s="5">
        <v>7.0</v>
      </c>
      <c r="Z1162" s="5">
        <v>2.0</v>
      </c>
      <c r="AA1162" s="3">
        <f>2+ (P1162*'Scoring System'!$B$3)+ (IF(OR(D1162="DEF",D1162="GK"),N1162*'Scoring System'!$B$4,IF(D1162="MID",N1162*'Scoring System'!$B$5,0)))+ (IF(OR(D1162="DEF",D1162="GK"),H1162*'Scoring System'!$B$6,IF(D1162="MID",H1162*'Scoring System'!$B$7,IF(D1162="ATT",H1162*'Scoring System'!$B$8,0))))+ IF(AND(OR(D1162="GK",D1162="DEF"),J1162&gt;=3),1*'Scoring System'!$B$9,0)+ (I1162*'Scoring System'!$B$10)+ (K1162*'Scoring System'!$B$11)+ (M1162*'Scoring System'!$B$12)+ (L1162*'Scoring System'!$B$13)+ (O1162*'Scoring System'!$B$14)+ (Q1162*'Scoring System'!$B$15)+ (R1162*'Scoring System'!$B$16)</f>
        <v>8</v>
      </c>
      <c r="AB1162" s="3" t="b">
        <f>IFERROR(match(C1162,'Match Day Fees'!$B$2:$B$999,0),0)=0</f>
        <v>0</v>
      </c>
      <c r="AC1162" s="3">
        <f t="shared" si="2"/>
        <v>0</v>
      </c>
      <c r="AD1162" s="3" t="str">
        <f>VLOOKUP(D1162,'Position Lookup'!A:B,1,FALSE)</f>
        <v>ATT</v>
      </c>
    </row>
    <row r="1163" ht="17.25" customHeight="1">
      <c r="A1163" s="32">
        <v>45255.0</v>
      </c>
      <c r="B1163" s="5" t="s">
        <v>1198</v>
      </c>
      <c r="C1163" s="5" t="s">
        <v>291</v>
      </c>
      <c r="D1163" s="5" t="s">
        <v>9</v>
      </c>
      <c r="E1163" s="5" t="s">
        <v>157</v>
      </c>
      <c r="F1163" s="5" t="s">
        <v>1199</v>
      </c>
      <c r="G1163" s="5" t="s">
        <v>224</v>
      </c>
      <c r="I1163" s="5">
        <v>1.0</v>
      </c>
      <c r="J1163" s="5">
        <v>2.0</v>
      </c>
      <c r="N1163" s="5" t="b">
        <v>0</v>
      </c>
      <c r="R1163" s="5">
        <v>0.0</v>
      </c>
      <c r="T1163" s="5">
        <v>0.0</v>
      </c>
      <c r="U1163" s="5">
        <v>7.0</v>
      </c>
      <c r="V1163" s="5" t="s">
        <v>1203</v>
      </c>
      <c r="W1163" s="81" t="s">
        <v>344</v>
      </c>
      <c r="X1163" s="78" t="s">
        <v>1201</v>
      </c>
      <c r="Y1163" s="5">
        <v>7.0</v>
      </c>
      <c r="Z1163" s="5">
        <v>2.0</v>
      </c>
      <c r="AA1163" s="3">
        <f>2+ (P1163*'Scoring System'!$B$3)+ (IF(OR(D1163="DEF",D1163="GK"),N1163*'Scoring System'!$B$4,IF(D1163="MID",N1163*'Scoring System'!$B$5,0)))+ (IF(OR(D1163="DEF",D1163="GK"),H1163*'Scoring System'!$B$6,IF(D1163="MID",H1163*'Scoring System'!$B$7,IF(D1163="ATT",H1163*'Scoring System'!$B$8,0))))+ IF(AND(OR(D1163="GK",D1163="DEF"),J1163&gt;=3),1*'Scoring System'!$B$9,0)+ (I1163*'Scoring System'!$B$10)+ (K1163*'Scoring System'!$B$11)+ (M1163*'Scoring System'!$B$12)+ (L1163*'Scoring System'!$B$13)+ (O1163*'Scoring System'!$B$14)+ (Q1163*'Scoring System'!$B$15)+ (R1163*'Scoring System'!$B$16)</f>
        <v>5</v>
      </c>
      <c r="AB1163" s="3" t="b">
        <f>IFERROR(match(C1163,'Match Day Fees'!$B$2:$B$999,0),0)=0</f>
        <v>0</v>
      </c>
      <c r="AC1163" s="3">
        <f t="shared" si="2"/>
        <v>0</v>
      </c>
      <c r="AD1163" s="3" t="str">
        <f>VLOOKUP(D1163,'Position Lookup'!A:B,1,FALSE)</f>
        <v>ATT</v>
      </c>
    </row>
    <row r="1164" ht="17.25" customHeight="1">
      <c r="A1164" s="32">
        <v>45255.0</v>
      </c>
      <c r="B1164" s="5" t="s">
        <v>1198</v>
      </c>
      <c r="C1164" s="5" t="s">
        <v>146</v>
      </c>
      <c r="D1164" s="5" t="s">
        <v>10</v>
      </c>
      <c r="E1164" s="5" t="s">
        <v>157</v>
      </c>
      <c r="F1164" s="5" t="s">
        <v>1199</v>
      </c>
      <c r="G1164" s="5" t="s">
        <v>224</v>
      </c>
      <c r="J1164" s="5">
        <v>2.0</v>
      </c>
      <c r="N1164" s="5" t="b">
        <v>0</v>
      </c>
      <c r="R1164" s="5">
        <v>0.0</v>
      </c>
      <c r="T1164" s="5">
        <v>10.0</v>
      </c>
      <c r="U1164" s="5">
        <v>7.5</v>
      </c>
      <c r="V1164" s="5" t="s">
        <v>1204</v>
      </c>
      <c r="W1164" s="81" t="s">
        <v>344</v>
      </c>
      <c r="X1164" s="78" t="s">
        <v>1201</v>
      </c>
      <c r="Y1164" s="5">
        <v>7.0</v>
      </c>
      <c r="Z1164" s="5">
        <v>2.0</v>
      </c>
      <c r="AA1164" s="3">
        <f>2+ (P1164*'Scoring System'!$B$3)+ (IF(OR(D1164="DEF",D1164="GK"),N1164*'Scoring System'!$B$4,IF(D1164="MID",N1164*'Scoring System'!$B$5,0)))+ (IF(OR(D1164="DEF",D1164="GK"),H1164*'Scoring System'!$B$6,IF(D1164="MID",H1164*'Scoring System'!$B$7,IF(D1164="ATT",H1164*'Scoring System'!$B$8,0))))+ IF(AND(OR(D1164="GK",D1164="DEF"),J1164&gt;=3),1*'Scoring System'!$B$9,0)+ (I1164*'Scoring System'!$B$10)+ (K1164*'Scoring System'!$B$11)+ (M1164*'Scoring System'!$B$12)+ (L1164*'Scoring System'!$B$13)+ (O1164*'Scoring System'!$B$14)+ (Q1164*'Scoring System'!$B$15)+ (R1164*'Scoring System'!$B$16)</f>
        <v>2</v>
      </c>
      <c r="AB1164" s="3" t="b">
        <f>IFERROR(match(C1164,'Match Day Fees'!$B$2:$B$999,0),0)=0</f>
        <v>0</v>
      </c>
      <c r="AC1164" s="3">
        <f t="shared" si="2"/>
        <v>0</v>
      </c>
      <c r="AD1164" s="3" t="str">
        <f>VLOOKUP(D1164,'Position Lookup'!A:B,1,FALSE)</f>
        <v>MID</v>
      </c>
    </row>
    <row r="1165" ht="17.25" customHeight="1">
      <c r="A1165" s="32">
        <v>45255.0</v>
      </c>
      <c r="B1165" s="5" t="s">
        <v>1198</v>
      </c>
      <c r="C1165" s="5" t="s">
        <v>304</v>
      </c>
      <c r="D1165" s="5" t="s">
        <v>11</v>
      </c>
      <c r="E1165" s="5" t="s">
        <v>157</v>
      </c>
      <c r="F1165" s="5" t="s">
        <v>1199</v>
      </c>
      <c r="G1165" s="5" t="s">
        <v>224</v>
      </c>
      <c r="J1165" s="5">
        <v>2.0</v>
      </c>
      <c r="N1165" s="5" t="b">
        <v>0</v>
      </c>
      <c r="R1165" s="5">
        <v>0.0</v>
      </c>
      <c r="T1165" s="5">
        <v>10.0</v>
      </c>
      <c r="U1165" s="5">
        <v>7.0</v>
      </c>
      <c r="V1165" s="5" t="s">
        <v>1205</v>
      </c>
      <c r="W1165" s="81" t="s">
        <v>344</v>
      </c>
      <c r="X1165" s="78" t="s">
        <v>1201</v>
      </c>
      <c r="Y1165" s="5">
        <v>7.0</v>
      </c>
      <c r="Z1165" s="5">
        <v>2.0</v>
      </c>
      <c r="AA1165" s="3">
        <f>2+ (P1165*'Scoring System'!$B$3)+ (IF(OR(D1165="DEF",D1165="GK"),N1165*'Scoring System'!$B$4,IF(D1165="MID",N1165*'Scoring System'!$B$5,0)))+ (IF(OR(D1165="DEF",D1165="GK"),H1165*'Scoring System'!$B$6,IF(D1165="MID",H1165*'Scoring System'!$B$7,IF(D1165="ATT",H1165*'Scoring System'!$B$8,0))))+ IF(AND(OR(D1165="GK",D1165="DEF"),J1165&gt;=3),1*'Scoring System'!$B$9,0)+ (I1165*'Scoring System'!$B$10)+ (K1165*'Scoring System'!$B$11)+ (M1165*'Scoring System'!$B$12)+ (L1165*'Scoring System'!$B$13)+ (O1165*'Scoring System'!$B$14)+ (Q1165*'Scoring System'!$B$15)+ (R1165*'Scoring System'!$B$16)</f>
        <v>2</v>
      </c>
      <c r="AB1165" s="3" t="b">
        <f>IFERROR(match(C1165,'Match Day Fees'!$B$2:$B$999,0),0)=0</f>
        <v>0</v>
      </c>
      <c r="AC1165" s="3">
        <f t="shared" si="2"/>
        <v>0</v>
      </c>
      <c r="AD1165" s="3" t="str">
        <f>VLOOKUP(D1165,'Position Lookup'!A:B,1,FALSE)</f>
        <v>DEF</v>
      </c>
    </row>
    <row r="1166" ht="17.25" customHeight="1">
      <c r="A1166" s="32">
        <v>45255.0</v>
      </c>
      <c r="B1166" s="5" t="s">
        <v>1198</v>
      </c>
      <c r="C1166" s="5" t="s">
        <v>290</v>
      </c>
      <c r="D1166" s="5" t="s">
        <v>11</v>
      </c>
      <c r="E1166" s="5" t="s">
        <v>157</v>
      </c>
      <c r="F1166" s="5" t="s">
        <v>1199</v>
      </c>
      <c r="G1166" s="5" t="s">
        <v>224</v>
      </c>
      <c r="J1166" s="5">
        <v>2.0</v>
      </c>
      <c r="N1166" s="5" t="b">
        <v>0</v>
      </c>
      <c r="R1166" s="5">
        <v>0.0</v>
      </c>
      <c r="T1166" s="5">
        <v>10.0</v>
      </c>
      <c r="U1166" s="5">
        <v>8.0</v>
      </c>
      <c r="V1166" s="5" t="s">
        <v>1206</v>
      </c>
      <c r="W1166" s="81" t="s">
        <v>344</v>
      </c>
      <c r="X1166" s="78" t="s">
        <v>1201</v>
      </c>
      <c r="Y1166" s="5">
        <v>7.0</v>
      </c>
      <c r="Z1166" s="5">
        <v>2.0</v>
      </c>
      <c r="AA1166" s="3">
        <f>2+ (P1166*'Scoring System'!$B$3)+ (IF(OR(D1166="DEF",D1166="GK"),N1166*'Scoring System'!$B$4,IF(D1166="MID",N1166*'Scoring System'!$B$5,0)))+ (IF(OR(D1166="DEF",D1166="GK"),H1166*'Scoring System'!$B$6,IF(D1166="MID",H1166*'Scoring System'!$B$7,IF(D1166="ATT",H1166*'Scoring System'!$B$8,0))))+ IF(AND(OR(D1166="GK",D1166="DEF"),J1166&gt;=3),1*'Scoring System'!$B$9,0)+ (I1166*'Scoring System'!$B$10)+ (K1166*'Scoring System'!$B$11)+ (M1166*'Scoring System'!$B$12)+ (L1166*'Scoring System'!$B$13)+ (O1166*'Scoring System'!$B$14)+ (Q1166*'Scoring System'!$B$15)+ (R1166*'Scoring System'!$B$16)</f>
        <v>2</v>
      </c>
      <c r="AB1166" s="3" t="b">
        <f>IFERROR(match(C1166,'Match Day Fees'!$B$2:$B$999,0),0)=0</f>
        <v>0</v>
      </c>
      <c r="AC1166" s="3">
        <f t="shared" si="2"/>
        <v>0</v>
      </c>
      <c r="AD1166" s="3" t="str">
        <f>VLOOKUP(D1166,'Position Lookup'!A:B,1,FALSE)</f>
        <v>DEF</v>
      </c>
    </row>
    <row r="1167" ht="17.25" customHeight="1">
      <c r="A1167" s="32">
        <v>45255.0</v>
      </c>
      <c r="B1167" s="5" t="s">
        <v>1198</v>
      </c>
      <c r="C1167" s="5" t="s">
        <v>679</v>
      </c>
      <c r="D1167" s="5" t="s">
        <v>10</v>
      </c>
      <c r="E1167" s="5" t="s">
        <v>157</v>
      </c>
      <c r="F1167" s="5" t="s">
        <v>1199</v>
      </c>
      <c r="G1167" s="5" t="s">
        <v>224</v>
      </c>
      <c r="J1167" s="5">
        <v>2.0</v>
      </c>
      <c r="N1167" s="5" t="b">
        <v>0</v>
      </c>
      <c r="R1167" s="5">
        <v>0.0</v>
      </c>
      <c r="T1167" s="5">
        <v>10.0</v>
      </c>
      <c r="U1167" s="5">
        <v>8.5</v>
      </c>
      <c r="V1167" s="5" t="s">
        <v>1207</v>
      </c>
      <c r="W1167" s="81" t="s">
        <v>344</v>
      </c>
      <c r="X1167" s="78" t="s">
        <v>1201</v>
      </c>
      <c r="Y1167" s="5">
        <v>7.0</v>
      </c>
      <c r="Z1167" s="5">
        <v>2.0</v>
      </c>
      <c r="AA1167" s="3">
        <f>2+ (P1167*'Scoring System'!$B$3)+ (IF(OR(D1167="DEF",D1167="GK"),N1167*'Scoring System'!$B$4,IF(D1167="MID",N1167*'Scoring System'!$B$5,0)))+ (IF(OR(D1167="DEF",D1167="GK"),H1167*'Scoring System'!$B$6,IF(D1167="MID",H1167*'Scoring System'!$B$7,IF(D1167="ATT",H1167*'Scoring System'!$B$8,0))))+ IF(AND(OR(D1167="GK",D1167="DEF"),J1167&gt;=3),1*'Scoring System'!$B$9,0)+ (I1167*'Scoring System'!$B$10)+ (K1167*'Scoring System'!$B$11)+ (M1167*'Scoring System'!$B$12)+ (L1167*'Scoring System'!$B$13)+ (O1167*'Scoring System'!$B$14)+ (Q1167*'Scoring System'!$B$15)+ (R1167*'Scoring System'!$B$16)</f>
        <v>2</v>
      </c>
      <c r="AB1167" s="3" t="b">
        <f>IFERROR(match(C1167,'Match Day Fees'!$B$2:$B$999,0),0)=0</f>
        <v>0</v>
      </c>
      <c r="AC1167" s="3">
        <f t="shared" si="2"/>
        <v>0</v>
      </c>
      <c r="AD1167" s="3" t="str">
        <f>VLOOKUP(D1167,'Position Lookup'!A:B,1,FALSE)</f>
        <v>MID</v>
      </c>
    </row>
    <row r="1168" ht="17.25" customHeight="1">
      <c r="A1168" s="32">
        <v>45255.0</v>
      </c>
      <c r="B1168" s="5" t="s">
        <v>1198</v>
      </c>
      <c r="C1168" s="5" t="s">
        <v>55</v>
      </c>
      <c r="D1168" s="5" t="s">
        <v>11</v>
      </c>
      <c r="E1168" s="5" t="s">
        <v>157</v>
      </c>
      <c r="F1168" s="5" t="s">
        <v>1199</v>
      </c>
      <c r="G1168" s="5" t="s">
        <v>224</v>
      </c>
      <c r="I1168" s="5">
        <v>1.0</v>
      </c>
      <c r="J1168" s="5">
        <v>2.0</v>
      </c>
      <c r="N1168" s="5" t="b">
        <v>0</v>
      </c>
      <c r="R1168" s="5">
        <v>0.0</v>
      </c>
      <c r="T1168" s="5">
        <v>10.0</v>
      </c>
      <c r="U1168" s="5">
        <v>8.0</v>
      </c>
      <c r="V1168" s="5" t="s">
        <v>1208</v>
      </c>
      <c r="W1168" s="81" t="s">
        <v>344</v>
      </c>
      <c r="X1168" s="78" t="s">
        <v>1201</v>
      </c>
      <c r="Y1168" s="5">
        <v>7.0</v>
      </c>
      <c r="Z1168" s="5">
        <v>2.0</v>
      </c>
      <c r="AA1168" s="3">
        <f>2+ (P1168*'Scoring System'!$B$3)+ (IF(OR(D1168="DEF",D1168="GK"),N1168*'Scoring System'!$B$4,IF(D1168="MID",N1168*'Scoring System'!$B$5,0)))+ (IF(OR(D1168="DEF",D1168="GK"),H1168*'Scoring System'!$B$6,IF(D1168="MID",H1168*'Scoring System'!$B$7,IF(D1168="ATT",H1168*'Scoring System'!$B$8,0))))+ IF(AND(OR(D1168="GK",D1168="DEF"),J1168&gt;=3),1*'Scoring System'!$B$9,0)+ (I1168*'Scoring System'!$B$10)+ (K1168*'Scoring System'!$B$11)+ (M1168*'Scoring System'!$B$12)+ (L1168*'Scoring System'!$B$13)+ (O1168*'Scoring System'!$B$14)+ (Q1168*'Scoring System'!$B$15)+ (R1168*'Scoring System'!$B$16)</f>
        <v>5</v>
      </c>
      <c r="AB1168" s="3" t="b">
        <f>IFERROR(match(C1168,'Match Day Fees'!$B$2:$B$999,0),0)=0</f>
        <v>0</v>
      </c>
      <c r="AC1168" s="3">
        <f t="shared" si="2"/>
        <v>0</v>
      </c>
      <c r="AD1168" s="3" t="str">
        <f>VLOOKUP(D1168,'Position Lookup'!A:B,1,FALSE)</f>
        <v>DEF</v>
      </c>
    </row>
    <row r="1169" ht="17.25" customHeight="1">
      <c r="A1169" s="32">
        <v>45255.0</v>
      </c>
      <c r="B1169" s="5" t="s">
        <v>1198</v>
      </c>
      <c r="C1169" s="5" t="s">
        <v>131</v>
      </c>
      <c r="D1169" s="5" t="s">
        <v>9</v>
      </c>
      <c r="E1169" s="5" t="s">
        <v>157</v>
      </c>
      <c r="F1169" s="5" t="s">
        <v>1199</v>
      </c>
      <c r="G1169" s="5" t="s">
        <v>224</v>
      </c>
      <c r="H1169" s="5">
        <v>5.0</v>
      </c>
      <c r="J1169" s="5">
        <v>2.0</v>
      </c>
      <c r="N1169" s="5" t="b">
        <v>0</v>
      </c>
      <c r="R1169" s="5">
        <v>1.0</v>
      </c>
      <c r="T1169" s="5">
        <v>10.0</v>
      </c>
      <c r="U1169" s="5">
        <v>9.0</v>
      </c>
      <c r="V1169" s="5" t="s">
        <v>1209</v>
      </c>
      <c r="W1169" s="81" t="s">
        <v>344</v>
      </c>
      <c r="X1169" s="78" t="s">
        <v>1201</v>
      </c>
      <c r="Y1169" s="5">
        <v>7.0</v>
      </c>
      <c r="Z1169" s="5">
        <v>2.0</v>
      </c>
      <c r="AA1169" s="3">
        <f>2+ (P1169*'Scoring System'!$B$3)+ (IF(OR(D1169="DEF",D1169="GK"),N1169*'Scoring System'!$B$4,IF(D1169="MID",N1169*'Scoring System'!$B$5,0)))+ (IF(OR(D1169="DEF",D1169="GK"),H1169*'Scoring System'!$B$6,IF(D1169="MID",H1169*'Scoring System'!$B$7,IF(D1169="ATT",H1169*'Scoring System'!$B$8,0))))+ IF(AND(OR(D1169="GK",D1169="DEF"),J1169&gt;=3),1*'Scoring System'!$B$9,0)+ (I1169*'Scoring System'!$B$10)+ (K1169*'Scoring System'!$B$11)+ (M1169*'Scoring System'!$B$12)+ (L1169*'Scoring System'!$B$13)+ (O1169*'Scoring System'!$B$14)+ (Q1169*'Scoring System'!$B$15)+ (R1169*'Scoring System'!$B$16)</f>
        <v>27</v>
      </c>
      <c r="AB1169" s="3" t="b">
        <f>IFERROR(match(C1169,'Match Day Fees'!$B$2:$B$999,0),0)=0</f>
        <v>0</v>
      </c>
      <c r="AC1169" s="3">
        <f t="shared" si="2"/>
        <v>0</v>
      </c>
      <c r="AD1169" s="3" t="str">
        <f>VLOOKUP(D1169,'Position Lookup'!A:B,1,FALSE)</f>
        <v>ATT</v>
      </c>
    </row>
    <row r="1170" ht="17.25" customHeight="1">
      <c r="A1170" s="32">
        <v>45255.0</v>
      </c>
      <c r="B1170" s="5" t="s">
        <v>1198</v>
      </c>
      <c r="C1170" s="5" t="s">
        <v>393</v>
      </c>
      <c r="D1170" s="5" t="s">
        <v>11</v>
      </c>
      <c r="E1170" s="5" t="s">
        <v>157</v>
      </c>
      <c r="F1170" s="5" t="s">
        <v>1199</v>
      </c>
      <c r="G1170" s="5" t="s">
        <v>224</v>
      </c>
      <c r="J1170" s="5">
        <v>2.0</v>
      </c>
      <c r="N1170" s="5" t="b">
        <v>0</v>
      </c>
      <c r="R1170" s="5">
        <v>0.0</v>
      </c>
      <c r="T1170" s="5">
        <v>10.0</v>
      </c>
      <c r="U1170" s="5">
        <v>7.0</v>
      </c>
      <c r="V1170" s="5" t="s">
        <v>1210</v>
      </c>
      <c r="W1170" s="81" t="s">
        <v>344</v>
      </c>
      <c r="X1170" s="78" t="s">
        <v>1201</v>
      </c>
      <c r="Y1170" s="5">
        <v>7.0</v>
      </c>
      <c r="Z1170" s="5">
        <v>2.0</v>
      </c>
      <c r="AA1170" s="3">
        <f>2+ (P1170*'Scoring System'!$B$3)+ (IF(OR(D1170="DEF",D1170="GK"),N1170*'Scoring System'!$B$4,IF(D1170="MID",N1170*'Scoring System'!$B$5,0)))+ (IF(OR(D1170="DEF",D1170="GK"),H1170*'Scoring System'!$B$6,IF(D1170="MID",H1170*'Scoring System'!$B$7,IF(D1170="ATT",H1170*'Scoring System'!$B$8,0))))+ IF(AND(OR(D1170="GK",D1170="DEF"),J1170&gt;=3),1*'Scoring System'!$B$9,0)+ (I1170*'Scoring System'!$B$10)+ (K1170*'Scoring System'!$B$11)+ (M1170*'Scoring System'!$B$12)+ (L1170*'Scoring System'!$B$13)+ (O1170*'Scoring System'!$B$14)+ (Q1170*'Scoring System'!$B$15)+ (R1170*'Scoring System'!$B$16)</f>
        <v>2</v>
      </c>
      <c r="AB1170" s="3" t="b">
        <f>IFERROR(match(C1170,'Match Day Fees'!$B$2:$B$999,0),0)=0</f>
        <v>0</v>
      </c>
      <c r="AC1170" s="3">
        <f t="shared" si="2"/>
        <v>0</v>
      </c>
      <c r="AD1170" s="3" t="str">
        <f>VLOOKUP(D1170,'Position Lookup'!A:B,1,FALSE)</f>
        <v>DEF</v>
      </c>
    </row>
    <row r="1171" ht="17.25" customHeight="1">
      <c r="A1171" s="32">
        <v>45255.0</v>
      </c>
      <c r="B1171" s="5" t="s">
        <v>1198</v>
      </c>
      <c r="C1171" s="5" t="s">
        <v>129</v>
      </c>
      <c r="D1171" s="5" t="s">
        <v>10</v>
      </c>
      <c r="E1171" s="5" t="s">
        <v>157</v>
      </c>
      <c r="F1171" s="5" t="s">
        <v>1199</v>
      </c>
      <c r="G1171" s="5" t="s">
        <v>224</v>
      </c>
      <c r="H1171" s="5">
        <v>1.0</v>
      </c>
      <c r="I1171" s="5">
        <v>2.0</v>
      </c>
      <c r="J1171" s="5">
        <v>2.0</v>
      </c>
      <c r="N1171" s="5" t="b">
        <v>0</v>
      </c>
      <c r="R1171" s="5">
        <v>0.0</v>
      </c>
      <c r="T1171" s="5">
        <v>10.0</v>
      </c>
      <c r="U1171" s="5">
        <v>8.0</v>
      </c>
      <c r="V1171" s="5" t="s">
        <v>1211</v>
      </c>
      <c r="W1171" s="81" t="s">
        <v>344</v>
      </c>
      <c r="X1171" s="78" t="s">
        <v>1201</v>
      </c>
      <c r="Y1171" s="5">
        <v>7.0</v>
      </c>
      <c r="Z1171" s="5">
        <v>2.0</v>
      </c>
      <c r="AA1171" s="3">
        <f>2+ (P1171*'Scoring System'!$B$3)+ (IF(OR(D1171="DEF",D1171="GK"),N1171*'Scoring System'!$B$4,IF(D1171="MID",N1171*'Scoring System'!$B$5,0)))+ (IF(OR(D1171="DEF",D1171="GK"),H1171*'Scoring System'!$B$6,IF(D1171="MID",H1171*'Scoring System'!$B$7,IF(D1171="ATT",H1171*'Scoring System'!$B$8,0))))+ IF(AND(OR(D1171="GK",D1171="DEF"),J1171&gt;=3),1*'Scoring System'!$B$9,0)+ (I1171*'Scoring System'!$B$10)+ (K1171*'Scoring System'!$B$11)+ (M1171*'Scoring System'!$B$12)+ (L1171*'Scoring System'!$B$13)+ (O1171*'Scoring System'!$B$14)+ (Q1171*'Scoring System'!$B$15)+ (R1171*'Scoring System'!$B$16)</f>
        <v>13</v>
      </c>
      <c r="AB1171" s="3" t="b">
        <f>IFERROR(match(C1171,'Match Day Fees'!$B$2:$B$999,0),0)=0</f>
        <v>0</v>
      </c>
      <c r="AC1171" s="3">
        <f t="shared" si="2"/>
        <v>0</v>
      </c>
      <c r="AD1171" s="3" t="str">
        <f>VLOOKUP(D1171,'Position Lookup'!A:B,1,FALSE)</f>
        <v>MID</v>
      </c>
    </row>
    <row r="1172" ht="17.25" customHeight="1">
      <c r="A1172" s="32">
        <v>45255.0</v>
      </c>
      <c r="B1172" s="5" t="s">
        <v>1198</v>
      </c>
      <c r="C1172" s="5" t="s">
        <v>153</v>
      </c>
      <c r="D1172" s="5" t="s">
        <v>9</v>
      </c>
      <c r="E1172" s="5" t="s">
        <v>157</v>
      </c>
      <c r="F1172" s="5" t="s">
        <v>1199</v>
      </c>
      <c r="G1172" s="5" t="s">
        <v>224</v>
      </c>
      <c r="H1172" s="5">
        <v>1.0</v>
      </c>
      <c r="J1172" s="5">
        <v>2.0</v>
      </c>
      <c r="N1172" s="5" t="b">
        <v>0</v>
      </c>
      <c r="R1172" s="5">
        <v>0.0</v>
      </c>
      <c r="T1172" s="5">
        <v>10.0</v>
      </c>
      <c r="U1172" s="5">
        <v>7.0</v>
      </c>
      <c r="V1172" s="5" t="s">
        <v>1212</v>
      </c>
      <c r="W1172" s="81" t="s">
        <v>344</v>
      </c>
      <c r="X1172" s="78" t="s">
        <v>1201</v>
      </c>
      <c r="Y1172" s="5">
        <v>7.0</v>
      </c>
      <c r="Z1172" s="5">
        <v>2.0</v>
      </c>
      <c r="AA1172" s="3">
        <f>2+ (P1172*'Scoring System'!$B$3)+ (IF(OR(D1172="DEF",D1172="GK"),N1172*'Scoring System'!$B$4,IF(D1172="MID",N1172*'Scoring System'!$B$5,0)))+ (IF(OR(D1172="DEF",D1172="GK"),H1172*'Scoring System'!$B$6,IF(D1172="MID",H1172*'Scoring System'!$B$7,IF(D1172="ATT",H1172*'Scoring System'!$B$8,0))))+ IF(AND(OR(D1172="GK",D1172="DEF"),J1172&gt;=3),1*'Scoring System'!$B$9,0)+ (I1172*'Scoring System'!$B$10)+ (K1172*'Scoring System'!$B$11)+ (M1172*'Scoring System'!$B$12)+ (L1172*'Scoring System'!$B$13)+ (O1172*'Scoring System'!$B$14)+ (Q1172*'Scoring System'!$B$15)+ (R1172*'Scoring System'!$B$16)</f>
        <v>6</v>
      </c>
      <c r="AB1172" s="3" t="b">
        <f>IFERROR(match(C1172,'Match Day Fees'!$B$2:$B$999,0),0)=0</f>
        <v>0</v>
      </c>
      <c r="AC1172" s="3">
        <f t="shared" si="2"/>
        <v>0</v>
      </c>
      <c r="AD1172" s="3" t="str">
        <f>VLOOKUP(D1172,'Position Lookup'!A:B,1,FALSE)</f>
        <v>ATT</v>
      </c>
    </row>
    <row r="1173" ht="17.25" customHeight="1">
      <c r="A1173" s="32">
        <v>45255.0</v>
      </c>
      <c r="B1173" s="5" t="s">
        <v>1198</v>
      </c>
      <c r="C1173" s="5" t="s">
        <v>1213</v>
      </c>
      <c r="D1173" s="5" t="s">
        <v>11</v>
      </c>
      <c r="E1173" s="5" t="s">
        <v>157</v>
      </c>
      <c r="F1173" s="5" t="s">
        <v>1199</v>
      </c>
      <c r="G1173" s="5" t="s">
        <v>224</v>
      </c>
      <c r="J1173" s="5">
        <v>2.0</v>
      </c>
      <c r="N1173" s="5" t="b">
        <v>0</v>
      </c>
      <c r="R1173" s="5">
        <v>0.0</v>
      </c>
      <c r="T1173" s="5">
        <v>10.0</v>
      </c>
      <c r="U1173" s="5">
        <v>7.0</v>
      </c>
      <c r="V1173" s="5" t="s">
        <v>1214</v>
      </c>
      <c r="W1173" s="81" t="s">
        <v>344</v>
      </c>
      <c r="X1173" s="78" t="s">
        <v>1201</v>
      </c>
      <c r="Y1173" s="5">
        <v>7.0</v>
      </c>
      <c r="Z1173" s="5">
        <v>2.0</v>
      </c>
      <c r="AA1173" s="3">
        <f>2+ (P1173*'Scoring System'!$B$3)+ (IF(OR(D1173="DEF",D1173="GK"),N1173*'Scoring System'!$B$4,IF(D1173="MID",N1173*'Scoring System'!$B$5,0)))+ (IF(OR(D1173="DEF",D1173="GK"),H1173*'Scoring System'!$B$6,IF(D1173="MID",H1173*'Scoring System'!$B$7,IF(D1173="ATT",H1173*'Scoring System'!$B$8,0))))+ IF(AND(OR(D1173="GK",D1173="DEF"),J1173&gt;=3),1*'Scoring System'!$B$9,0)+ (I1173*'Scoring System'!$B$10)+ (K1173*'Scoring System'!$B$11)+ (M1173*'Scoring System'!$B$12)+ (L1173*'Scoring System'!$B$13)+ (O1173*'Scoring System'!$B$14)+ (Q1173*'Scoring System'!$B$15)+ (R1173*'Scoring System'!$B$16)</f>
        <v>2</v>
      </c>
      <c r="AB1173" s="3" t="b">
        <f>IFERROR(match(C1173,'Match Day Fees'!$B$2:$B$999,0),0)=0</f>
        <v>0</v>
      </c>
      <c r="AC1173" s="3">
        <f t="shared" si="2"/>
        <v>0</v>
      </c>
      <c r="AD1173" s="3" t="str">
        <f>VLOOKUP(D1173,'Position Lookup'!A:B,1,FALSE)</f>
        <v>DEF</v>
      </c>
    </row>
    <row r="1174" ht="17.25" customHeight="1">
      <c r="A1174" s="32">
        <v>45255.0</v>
      </c>
      <c r="B1174" s="5" t="s">
        <v>309</v>
      </c>
      <c r="C1174" s="5" t="s">
        <v>38</v>
      </c>
      <c r="D1174" s="5" t="s">
        <v>8</v>
      </c>
      <c r="E1174" s="5">
        <v>1.0</v>
      </c>
      <c r="F1174" s="5" t="s">
        <v>1215</v>
      </c>
      <c r="G1174" s="5" t="s">
        <v>224</v>
      </c>
      <c r="J1174" s="5">
        <v>2.0</v>
      </c>
      <c r="N1174" s="5" t="b">
        <v>0</v>
      </c>
      <c r="R1174" s="5">
        <v>0.0</v>
      </c>
      <c r="T1174" s="5">
        <v>10.0</v>
      </c>
      <c r="U1174" s="5">
        <v>6.0</v>
      </c>
      <c r="V1174" s="5" t="s">
        <v>1216</v>
      </c>
      <c r="W1174" s="81" t="s">
        <v>311</v>
      </c>
      <c r="X1174" s="78" t="s">
        <v>1217</v>
      </c>
      <c r="Y1174" s="5">
        <v>3.0</v>
      </c>
      <c r="Z1174" s="5">
        <v>2.0</v>
      </c>
      <c r="AA1174" s="3">
        <f>2+ (P1174*'Scoring System'!$B$3)+ (IF(OR(D1174="DEF",D1174="GK"),N1174*'Scoring System'!$B$4,IF(D1174="MID",N1174*'Scoring System'!$B$5,0)))+ (IF(OR(D1174="DEF",D1174="GK"),H1174*'Scoring System'!$B$6,IF(D1174="MID",H1174*'Scoring System'!$B$7,IF(D1174="ATT",H1174*'Scoring System'!$B$8,0))))+ IF(AND(OR(D1174="GK",D1174="DEF"),J1174&gt;=3),1*'Scoring System'!$B$9,0)+ (I1174*'Scoring System'!$B$10)+ (K1174*'Scoring System'!$B$11)+ (M1174*'Scoring System'!$B$12)+ (L1174*'Scoring System'!$B$13)+ (O1174*'Scoring System'!$B$14)+ (Q1174*'Scoring System'!$B$15)+ (R1174*'Scoring System'!$B$16)</f>
        <v>2</v>
      </c>
      <c r="AB1174" s="3" t="b">
        <f>IFERROR(match(C1174,'Match Day Fees'!$B$2:$B$999,0),0)=0</f>
        <v>0</v>
      </c>
      <c r="AC1174" s="3">
        <f t="shared" si="2"/>
        <v>0</v>
      </c>
      <c r="AD1174" s="3" t="str">
        <f>VLOOKUP(D1174,'Position Lookup'!A:B,1,FALSE)</f>
        <v>GK</v>
      </c>
    </row>
    <row r="1175" ht="17.25" customHeight="1">
      <c r="A1175" s="32">
        <v>45255.0</v>
      </c>
      <c r="B1175" s="5" t="s">
        <v>309</v>
      </c>
      <c r="C1175" s="5" t="s">
        <v>107</v>
      </c>
      <c r="D1175" s="5" t="s">
        <v>11</v>
      </c>
      <c r="E1175" s="5">
        <v>1.0</v>
      </c>
      <c r="F1175" s="5" t="s">
        <v>1215</v>
      </c>
      <c r="G1175" s="5" t="s">
        <v>224</v>
      </c>
      <c r="J1175" s="5">
        <v>2.0</v>
      </c>
      <c r="N1175" s="5" t="b">
        <v>0</v>
      </c>
      <c r="R1175" s="5">
        <v>0.0</v>
      </c>
      <c r="T1175" s="5">
        <v>10.0</v>
      </c>
      <c r="U1175" s="5">
        <v>9.0</v>
      </c>
      <c r="V1175" s="5" t="s">
        <v>1218</v>
      </c>
      <c r="W1175" s="81" t="s">
        <v>311</v>
      </c>
      <c r="X1175" s="78" t="s">
        <v>1217</v>
      </c>
      <c r="Y1175" s="5">
        <v>3.0</v>
      </c>
      <c r="Z1175" s="5">
        <v>2.0</v>
      </c>
      <c r="AA1175" s="3">
        <f>2+ (P1175*'Scoring System'!$B$3)+ (IF(OR(D1175="DEF",D1175="GK"),N1175*'Scoring System'!$B$4,IF(D1175="MID",N1175*'Scoring System'!$B$5,0)))+ (IF(OR(D1175="DEF",D1175="GK"),H1175*'Scoring System'!$B$6,IF(D1175="MID",H1175*'Scoring System'!$B$7,IF(D1175="ATT",H1175*'Scoring System'!$B$8,0))))+ IF(AND(OR(D1175="GK",D1175="DEF"),J1175&gt;=3),1*'Scoring System'!$B$9,0)+ (I1175*'Scoring System'!$B$10)+ (K1175*'Scoring System'!$B$11)+ (M1175*'Scoring System'!$B$12)+ (L1175*'Scoring System'!$B$13)+ (O1175*'Scoring System'!$B$14)+ (Q1175*'Scoring System'!$B$15)+ (R1175*'Scoring System'!$B$16)</f>
        <v>2</v>
      </c>
      <c r="AB1175" s="3" t="b">
        <f>IFERROR(match(C1175,'Match Day Fees'!$B$2:$B$999,0),0)=0</f>
        <v>0</v>
      </c>
      <c r="AC1175" s="3">
        <f t="shared" si="2"/>
        <v>0</v>
      </c>
      <c r="AD1175" s="3" t="str">
        <f>VLOOKUP(D1175,'Position Lookup'!A:B,1,FALSE)</f>
        <v>DEF</v>
      </c>
    </row>
    <row r="1176" ht="17.25" customHeight="1">
      <c r="A1176" s="32">
        <v>45255.0</v>
      </c>
      <c r="B1176" s="5" t="s">
        <v>309</v>
      </c>
      <c r="C1176" s="5" t="s">
        <v>76</v>
      </c>
      <c r="D1176" s="5" t="s">
        <v>11</v>
      </c>
      <c r="E1176" s="5">
        <v>1.0</v>
      </c>
      <c r="F1176" s="5" t="s">
        <v>1215</v>
      </c>
      <c r="G1176" s="5" t="s">
        <v>224</v>
      </c>
      <c r="J1176" s="5">
        <v>2.0</v>
      </c>
      <c r="N1176" s="5" t="b">
        <v>0</v>
      </c>
      <c r="R1176" s="5">
        <v>0.0</v>
      </c>
      <c r="T1176" s="5">
        <v>10.0</v>
      </c>
      <c r="U1176" s="5">
        <v>8.0</v>
      </c>
      <c r="V1176" s="5" t="s">
        <v>1219</v>
      </c>
      <c r="W1176" s="81" t="s">
        <v>311</v>
      </c>
      <c r="X1176" s="78" t="s">
        <v>1217</v>
      </c>
      <c r="Y1176" s="5">
        <v>3.0</v>
      </c>
      <c r="Z1176" s="5">
        <v>2.0</v>
      </c>
      <c r="AA1176" s="3">
        <f>2+ (P1176*'Scoring System'!$B$3)+ (IF(OR(D1176="DEF",D1176="GK"),N1176*'Scoring System'!$B$4,IF(D1176="MID",N1176*'Scoring System'!$B$5,0)))+ (IF(OR(D1176="DEF",D1176="GK"),H1176*'Scoring System'!$B$6,IF(D1176="MID",H1176*'Scoring System'!$B$7,IF(D1176="ATT",H1176*'Scoring System'!$B$8,0))))+ IF(AND(OR(D1176="GK",D1176="DEF"),J1176&gt;=3),1*'Scoring System'!$B$9,0)+ (I1176*'Scoring System'!$B$10)+ (K1176*'Scoring System'!$B$11)+ (M1176*'Scoring System'!$B$12)+ (L1176*'Scoring System'!$B$13)+ (O1176*'Scoring System'!$B$14)+ (Q1176*'Scoring System'!$B$15)+ (R1176*'Scoring System'!$B$16)</f>
        <v>2</v>
      </c>
      <c r="AB1176" s="3" t="b">
        <f>IFERROR(match(C1176,'Match Day Fees'!$B$2:$B$999,0),0)=0</f>
        <v>0</v>
      </c>
      <c r="AC1176" s="3">
        <f t="shared" si="2"/>
        <v>0</v>
      </c>
      <c r="AD1176" s="3" t="str">
        <f>VLOOKUP(D1176,'Position Lookup'!A:B,1,FALSE)</f>
        <v>DEF</v>
      </c>
    </row>
    <row r="1177" ht="17.25" customHeight="1">
      <c r="A1177" s="32">
        <v>45255.0</v>
      </c>
      <c r="B1177" s="5" t="s">
        <v>309</v>
      </c>
      <c r="C1177" s="5" t="s">
        <v>68</v>
      </c>
      <c r="D1177" s="5" t="s">
        <v>11</v>
      </c>
      <c r="E1177" s="5">
        <v>1.0</v>
      </c>
      <c r="F1177" s="5" t="s">
        <v>1215</v>
      </c>
      <c r="G1177" s="5" t="s">
        <v>224</v>
      </c>
      <c r="H1177" s="5">
        <v>1.0</v>
      </c>
      <c r="J1177" s="5">
        <v>2.0</v>
      </c>
      <c r="N1177" s="5" t="b">
        <v>0</v>
      </c>
      <c r="R1177" s="5">
        <v>0.0</v>
      </c>
      <c r="T1177" s="5">
        <v>10.0</v>
      </c>
      <c r="U1177" s="5">
        <v>8.0</v>
      </c>
      <c r="V1177" s="5" t="s">
        <v>1220</v>
      </c>
      <c r="W1177" s="81" t="s">
        <v>311</v>
      </c>
      <c r="X1177" s="78" t="s">
        <v>1217</v>
      </c>
      <c r="Y1177" s="5">
        <v>3.0</v>
      </c>
      <c r="Z1177" s="5">
        <v>2.0</v>
      </c>
      <c r="AA1177" s="3">
        <f>2+ (P1177*'Scoring System'!$B$3)+ (IF(OR(D1177="DEF",D1177="GK"),N1177*'Scoring System'!$B$4,IF(D1177="MID",N1177*'Scoring System'!$B$5,0)))+ (IF(OR(D1177="DEF",D1177="GK"),H1177*'Scoring System'!$B$6,IF(D1177="MID",H1177*'Scoring System'!$B$7,IF(D1177="ATT",H1177*'Scoring System'!$B$8,0))))+ IF(AND(OR(D1177="GK",D1177="DEF"),J1177&gt;=3),1*'Scoring System'!$B$9,0)+ (I1177*'Scoring System'!$B$10)+ (K1177*'Scoring System'!$B$11)+ (M1177*'Scoring System'!$B$12)+ (L1177*'Scoring System'!$B$13)+ (O1177*'Scoring System'!$B$14)+ (Q1177*'Scoring System'!$B$15)+ (R1177*'Scoring System'!$B$16)</f>
        <v>8</v>
      </c>
      <c r="AB1177" s="3" t="b">
        <f>IFERROR(match(C1177,'Match Day Fees'!$B$2:$B$999,0),0)=0</f>
        <v>0</v>
      </c>
      <c r="AC1177" s="3">
        <f t="shared" si="2"/>
        <v>0</v>
      </c>
      <c r="AD1177" s="3" t="str">
        <f>VLOOKUP(D1177,'Position Lookup'!A:B,1,FALSE)</f>
        <v>DEF</v>
      </c>
    </row>
    <row r="1178" ht="17.25" customHeight="1">
      <c r="A1178" s="32">
        <v>45255.0</v>
      </c>
      <c r="B1178" s="5" t="s">
        <v>309</v>
      </c>
      <c r="C1178" s="5" t="s">
        <v>77</v>
      </c>
      <c r="D1178" s="5" t="s">
        <v>11</v>
      </c>
      <c r="E1178" s="5">
        <v>1.0</v>
      </c>
      <c r="F1178" s="5" t="s">
        <v>1215</v>
      </c>
      <c r="G1178" s="5" t="s">
        <v>224</v>
      </c>
      <c r="I1178" s="5">
        <v>1.0</v>
      </c>
      <c r="J1178" s="5">
        <v>2.0</v>
      </c>
      <c r="N1178" s="5" t="b">
        <v>0</v>
      </c>
      <c r="R1178" s="5">
        <v>0.0</v>
      </c>
      <c r="T1178" s="5">
        <v>10.0</v>
      </c>
      <c r="U1178" s="5">
        <v>8.5</v>
      </c>
      <c r="V1178" s="5" t="s">
        <v>1221</v>
      </c>
      <c r="W1178" s="81" t="s">
        <v>311</v>
      </c>
      <c r="X1178" s="78" t="s">
        <v>1217</v>
      </c>
      <c r="Y1178" s="5">
        <v>3.0</v>
      </c>
      <c r="Z1178" s="5">
        <v>2.0</v>
      </c>
      <c r="AA1178" s="3">
        <f>2+ (P1178*'Scoring System'!$B$3)+ (IF(OR(D1178="DEF",D1178="GK"),N1178*'Scoring System'!$B$4,IF(D1178="MID",N1178*'Scoring System'!$B$5,0)))+ (IF(OR(D1178="DEF",D1178="GK"),H1178*'Scoring System'!$B$6,IF(D1178="MID",H1178*'Scoring System'!$B$7,IF(D1178="ATT",H1178*'Scoring System'!$B$8,0))))+ IF(AND(OR(D1178="GK",D1178="DEF"),J1178&gt;=3),1*'Scoring System'!$B$9,0)+ (I1178*'Scoring System'!$B$10)+ (K1178*'Scoring System'!$B$11)+ (M1178*'Scoring System'!$B$12)+ (L1178*'Scoring System'!$B$13)+ (O1178*'Scoring System'!$B$14)+ (Q1178*'Scoring System'!$B$15)+ (R1178*'Scoring System'!$B$16)</f>
        <v>5</v>
      </c>
      <c r="AB1178" s="3" t="b">
        <f>IFERROR(match(C1178,'Match Day Fees'!$B$2:$B$999,0),0)=0</f>
        <v>0</v>
      </c>
      <c r="AC1178" s="3">
        <f t="shared" si="2"/>
        <v>0</v>
      </c>
      <c r="AD1178" s="3" t="str">
        <f>VLOOKUP(D1178,'Position Lookup'!A:B,1,FALSE)</f>
        <v>DEF</v>
      </c>
    </row>
    <row r="1179" ht="17.25" customHeight="1">
      <c r="A1179" s="32">
        <v>45255.0</v>
      </c>
      <c r="B1179" s="5" t="s">
        <v>309</v>
      </c>
      <c r="C1179" s="5" t="s">
        <v>137</v>
      </c>
      <c r="D1179" s="5" t="s">
        <v>11</v>
      </c>
      <c r="E1179" s="5">
        <v>1.0</v>
      </c>
      <c r="F1179" s="5" t="s">
        <v>1215</v>
      </c>
      <c r="G1179" s="5" t="s">
        <v>224</v>
      </c>
      <c r="J1179" s="5">
        <v>2.0</v>
      </c>
      <c r="N1179" s="5" t="b">
        <v>0</v>
      </c>
      <c r="R1179" s="5">
        <v>0.0</v>
      </c>
      <c r="T1179" s="5">
        <v>10.0</v>
      </c>
      <c r="U1179" s="5">
        <v>8.0</v>
      </c>
      <c r="V1179" s="5" t="s">
        <v>1222</v>
      </c>
      <c r="W1179" s="81" t="s">
        <v>311</v>
      </c>
      <c r="X1179" s="78" t="s">
        <v>1217</v>
      </c>
      <c r="Y1179" s="5">
        <v>3.0</v>
      </c>
      <c r="Z1179" s="5">
        <v>2.0</v>
      </c>
      <c r="AA1179" s="3">
        <f>2+ (P1179*'Scoring System'!$B$3)+ (IF(OR(D1179="DEF",D1179="GK"),N1179*'Scoring System'!$B$4,IF(D1179="MID",N1179*'Scoring System'!$B$5,0)))+ (IF(OR(D1179="DEF",D1179="GK"),H1179*'Scoring System'!$B$6,IF(D1179="MID",H1179*'Scoring System'!$B$7,IF(D1179="ATT",H1179*'Scoring System'!$B$8,0))))+ IF(AND(OR(D1179="GK",D1179="DEF"),J1179&gt;=3),1*'Scoring System'!$B$9,0)+ (I1179*'Scoring System'!$B$10)+ (K1179*'Scoring System'!$B$11)+ (M1179*'Scoring System'!$B$12)+ (L1179*'Scoring System'!$B$13)+ (O1179*'Scoring System'!$B$14)+ (Q1179*'Scoring System'!$B$15)+ (R1179*'Scoring System'!$B$16)</f>
        <v>2</v>
      </c>
      <c r="AB1179" s="3" t="b">
        <f>IFERROR(match(C1179,'Match Day Fees'!$B$2:$B$999,0),0)=0</f>
        <v>0</v>
      </c>
      <c r="AC1179" s="3">
        <f t="shared" si="2"/>
        <v>0</v>
      </c>
      <c r="AD1179" s="3" t="str">
        <f>VLOOKUP(D1179,'Position Lookup'!A:B,1,FALSE)</f>
        <v>DEF</v>
      </c>
    </row>
    <row r="1180" ht="17.25" customHeight="1">
      <c r="A1180" s="32">
        <v>45255.0</v>
      </c>
      <c r="B1180" s="5" t="s">
        <v>309</v>
      </c>
      <c r="C1180" s="5" t="s">
        <v>85</v>
      </c>
      <c r="D1180" s="5" t="s">
        <v>10</v>
      </c>
      <c r="E1180" s="5">
        <v>1.0</v>
      </c>
      <c r="F1180" s="5" t="s">
        <v>1215</v>
      </c>
      <c r="G1180" s="5" t="s">
        <v>224</v>
      </c>
      <c r="J1180" s="5">
        <v>2.0</v>
      </c>
      <c r="N1180" s="5" t="b">
        <v>0</v>
      </c>
      <c r="R1180" s="5">
        <v>0.0</v>
      </c>
      <c r="T1180" s="5">
        <v>5.0</v>
      </c>
      <c r="U1180" s="5">
        <v>7.0</v>
      </c>
      <c r="V1180" s="5" t="s">
        <v>1223</v>
      </c>
      <c r="W1180" s="81" t="s">
        <v>311</v>
      </c>
      <c r="X1180" s="78" t="s">
        <v>1217</v>
      </c>
      <c r="Y1180" s="5">
        <v>3.0</v>
      </c>
      <c r="Z1180" s="5">
        <v>2.0</v>
      </c>
      <c r="AA1180" s="3">
        <f>2+ (P1180*'Scoring System'!$B$3)+ (IF(OR(D1180="DEF",D1180="GK"),N1180*'Scoring System'!$B$4,IF(D1180="MID",N1180*'Scoring System'!$B$5,0)))+ (IF(OR(D1180="DEF",D1180="GK"),H1180*'Scoring System'!$B$6,IF(D1180="MID",H1180*'Scoring System'!$B$7,IF(D1180="ATT",H1180*'Scoring System'!$B$8,0))))+ IF(AND(OR(D1180="GK",D1180="DEF"),J1180&gt;=3),1*'Scoring System'!$B$9,0)+ (I1180*'Scoring System'!$B$10)+ (K1180*'Scoring System'!$B$11)+ (M1180*'Scoring System'!$B$12)+ (L1180*'Scoring System'!$B$13)+ (O1180*'Scoring System'!$B$14)+ (Q1180*'Scoring System'!$B$15)+ (R1180*'Scoring System'!$B$16)</f>
        <v>2</v>
      </c>
      <c r="AB1180" s="3" t="b">
        <f>IFERROR(match(C1180,'Match Day Fees'!$B$2:$B$999,0),0)=0</f>
        <v>0</v>
      </c>
      <c r="AC1180" s="3">
        <f t="shared" si="2"/>
        <v>0</v>
      </c>
      <c r="AD1180" s="3" t="str">
        <f>VLOOKUP(D1180,'Position Lookup'!A:B,1,FALSE)</f>
        <v>MID</v>
      </c>
    </row>
    <row r="1181" ht="17.25" customHeight="1">
      <c r="A1181" s="32">
        <v>45255.0</v>
      </c>
      <c r="B1181" s="5" t="s">
        <v>309</v>
      </c>
      <c r="C1181" s="5" t="s">
        <v>93</v>
      </c>
      <c r="D1181" s="5" t="s">
        <v>10</v>
      </c>
      <c r="E1181" s="5">
        <v>1.0</v>
      </c>
      <c r="F1181" s="5" t="s">
        <v>1215</v>
      </c>
      <c r="G1181" s="5" t="s">
        <v>224</v>
      </c>
      <c r="J1181" s="5">
        <v>2.0</v>
      </c>
      <c r="N1181" s="5" t="b">
        <v>0</v>
      </c>
      <c r="R1181" s="5">
        <v>0.0</v>
      </c>
      <c r="T1181" s="5">
        <v>5.0</v>
      </c>
      <c r="U1181" s="5">
        <v>5.0</v>
      </c>
      <c r="V1181" s="5" t="s">
        <v>1224</v>
      </c>
      <c r="W1181" s="81" t="s">
        <v>311</v>
      </c>
      <c r="X1181" s="78" t="s">
        <v>1217</v>
      </c>
      <c r="Y1181" s="5">
        <v>3.0</v>
      </c>
      <c r="Z1181" s="5">
        <v>2.0</v>
      </c>
      <c r="AA1181" s="3">
        <f>2+ (P1181*'Scoring System'!$B$3)+ (IF(OR(D1181="DEF",D1181="GK"),N1181*'Scoring System'!$B$4,IF(D1181="MID",N1181*'Scoring System'!$B$5,0)))+ (IF(OR(D1181="DEF",D1181="GK"),H1181*'Scoring System'!$B$6,IF(D1181="MID",H1181*'Scoring System'!$B$7,IF(D1181="ATT",H1181*'Scoring System'!$B$8,0))))+ IF(AND(OR(D1181="GK",D1181="DEF"),J1181&gt;=3),1*'Scoring System'!$B$9,0)+ (I1181*'Scoring System'!$B$10)+ (K1181*'Scoring System'!$B$11)+ (M1181*'Scoring System'!$B$12)+ (L1181*'Scoring System'!$B$13)+ (O1181*'Scoring System'!$B$14)+ (Q1181*'Scoring System'!$B$15)+ (R1181*'Scoring System'!$B$16)</f>
        <v>2</v>
      </c>
      <c r="AB1181" s="3" t="b">
        <f>IFERROR(match(C1181,'Match Day Fees'!$B$2:$B$999,0),0)=0</f>
        <v>0</v>
      </c>
      <c r="AC1181" s="3">
        <f t="shared" si="2"/>
        <v>0</v>
      </c>
      <c r="AD1181" s="3" t="str">
        <f>VLOOKUP(D1181,'Position Lookup'!A:B,1,FALSE)</f>
        <v>MID</v>
      </c>
    </row>
    <row r="1182" ht="17.25" customHeight="1">
      <c r="A1182" s="32">
        <v>45255.0</v>
      </c>
      <c r="B1182" s="5" t="s">
        <v>309</v>
      </c>
      <c r="C1182" s="5" t="s">
        <v>60</v>
      </c>
      <c r="D1182" s="5" t="s">
        <v>10</v>
      </c>
      <c r="E1182" s="5">
        <v>1.0</v>
      </c>
      <c r="F1182" s="5" t="s">
        <v>1215</v>
      </c>
      <c r="G1182" s="5" t="s">
        <v>224</v>
      </c>
      <c r="H1182" s="5">
        <v>1.0</v>
      </c>
      <c r="J1182" s="5">
        <v>2.0</v>
      </c>
      <c r="N1182" s="5" t="b">
        <v>0</v>
      </c>
      <c r="R1182" s="5">
        <v>0.0</v>
      </c>
      <c r="T1182" s="5">
        <v>10.0</v>
      </c>
      <c r="U1182" s="5">
        <v>9.0</v>
      </c>
      <c r="V1182" s="5" t="s">
        <v>1225</v>
      </c>
      <c r="W1182" s="81" t="s">
        <v>311</v>
      </c>
      <c r="X1182" s="78" t="s">
        <v>1217</v>
      </c>
      <c r="Y1182" s="5">
        <v>3.0</v>
      </c>
      <c r="Z1182" s="5">
        <v>2.0</v>
      </c>
      <c r="AA1182" s="3">
        <f>2+ (P1182*'Scoring System'!$B$3)+ (IF(OR(D1182="DEF",D1182="GK"),N1182*'Scoring System'!$B$4,IF(D1182="MID",N1182*'Scoring System'!$B$5,0)))+ (IF(OR(D1182="DEF",D1182="GK"),H1182*'Scoring System'!$B$6,IF(D1182="MID",H1182*'Scoring System'!$B$7,IF(D1182="ATT",H1182*'Scoring System'!$B$8,0))))+ IF(AND(OR(D1182="GK",D1182="DEF"),J1182&gt;=3),1*'Scoring System'!$B$9,0)+ (I1182*'Scoring System'!$B$10)+ (K1182*'Scoring System'!$B$11)+ (M1182*'Scoring System'!$B$12)+ (L1182*'Scoring System'!$B$13)+ (O1182*'Scoring System'!$B$14)+ (Q1182*'Scoring System'!$B$15)+ (R1182*'Scoring System'!$B$16)</f>
        <v>7</v>
      </c>
      <c r="AB1182" s="3" t="b">
        <f>IFERROR(match(C1182,'Match Day Fees'!$B$2:$B$999,0),0)=0</f>
        <v>0</v>
      </c>
      <c r="AC1182" s="3">
        <f t="shared" si="2"/>
        <v>0</v>
      </c>
      <c r="AD1182" s="3" t="str">
        <f>VLOOKUP(D1182,'Position Lookup'!A:B,1,FALSE)</f>
        <v>MID</v>
      </c>
    </row>
    <row r="1183" ht="17.25" customHeight="1">
      <c r="A1183" s="32">
        <v>45255.0</v>
      </c>
      <c r="B1183" s="5" t="s">
        <v>309</v>
      </c>
      <c r="C1183" s="5" t="s">
        <v>47</v>
      </c>
      <c r="D1183" s="5" t="s">
        <v>9</v>
      </c>
      <c r="E1183" s="5">
        <v>1.0</v>
      </c>
      <c r="F1183" s="5" t="s">
        <v>1215</v>
      </c>
      <c r="G1183" s="5" t="s">
        <v>224</v>
      </c>
      <c r="I1183" s="5">
        <v>1.0</v>
      </c>
      <c r="J1183" s="5">
        <v>2.0</v>
      </c>
      <c r="N1183" s="5" t="b">
        <v>0</v>
      </c>
      <c r="R1183" s="5">
        <v>1.0</v>
      </c>
      <c r="T1183" s="5">
        <v>10.0</v>
      </c>
      <c r="U1183" s="5">
        <v>9.5</v>
      </c>
      <c r="V1183" s="5" t="s">
        <v>1226</v>
      </c>
      <c r="W1183" s="81" t="s">
        <v>311</v>
      </c>
      <c r="X1183" s="78" t="s">
        <v>1217</v>
      </c>
      <c r="Y1183" s="5">
        <v>3.0</v>
      </c>
      <c r="Z1183" s="5">
        <v>2.0</v>
      </c>
      <c r="AA1183" s="3">
        <f>2+ (P1183*'Scoring System'!$B$3)+ (IF(OR(D1183="DEF",D1183="GK"),N1183*'Scoring System'!$B$4,IF(D1183="MID",N1183*'Scoring System'!$B$5,0)))+ (IF(OR(D1183="DEF",D1183="GK"),H1183*'Scoring System'!$B$6,IF(D1183="MID",H1183*'Scoring System'!$B$7,IF(D1183="ATT",H1183*'Scoring System'!$B$8,0))))+ IF(AND(OR(D1183="GK",D1183="DEF"),J1183&gt;=3),1*'Scoring System'!$B$9,0)+ (I1183*'Scoring System'!$B$10)+ (K1183*'Scoring System'!$B$11)+ (M1183*'Scoring System'!$B$12)+ (L1183*'Scoring System'!$B$13)+ (O1183*'Scoring System'!$B$14)+ (Q1183*'Scoring System'!$B$15)+ (R1183*'Scoring System'!$B$16)</f>
        <v>10</v>
      </c>
      <c r="AB1183" s="3" t="b">
        <f>IFERROR(match(C1183,'Match Day Fees'!$B$2:$B$999,0),0)=0</f>
        <v>0</v>
      </c>
      <c r="AC1183" s="3">
        <f t="shared" si="2"/>
        <v>0</v>
      </c>
      <c r="AD1183" s="3" t="str">
        <f>VLOOKUP(D1183,'Position Lookup'!A:B,1,FALSE)</f>
        <v>ATT</v>
      </c>
    </row>
    <row r="1184" ht="17.25" customHeight="1">
      <c r="A1184" s="32">
        <v>45255.0</v>
      </c>
      <c r="B1184" s="5" t="s">
        <v>309</v>
      </c>
      <c r="C1184" s="5" t="s">
        <v>96</v>
      </c>
      <c r="D1184" s="5" t="s">
        <v>9</v>
      </c>
      <c r="E1184" s="5">
        <v>1.0</v>
      </c>
      <c r="F1184" s="5" t="s">
        <v>1215</v>
      </c>
      <c r="G1184" s="5" t="s">
        <v>224</v>
      </c>
      <c r="J1184" s="5">
        <v>2.0</v>
      </c>
      <c r="N1184" s="5" t="b">
        <v>0</v>
      </c>
      <c r="R1184" s="5">
        <v>0.0</v>
      </c>
      <c r="T1184" s="5">
        <v>7.0</v>
      </c>
      <c r="U1184" s="5">
        <v>7.5</v>
      </c>
      <c r="V1184" s="5" t="s">
        <v>1227</v>
      </c>
      <c r="W1184" s="81" t="s">
        <v>311</v>
      </c>
      <c r="X1184" s="78" t="s">
        <v>1217</v>
      </c>
      <c r="Y1184" s="5">
        <v>3.0</v>
      </c>
      <c r="Z1184" s="5">
        <v>2.0</v>
      </c>
      <c r="AA1184" s="3">
        <f>2+ (P1184*'Scoring System'!$B$3)+ (IF(OR(D1184="DEF",D1184="GK"),N1184*'Scoring System'!$B$4,IF(D1184="MID",N1184*'Scoring System'!$B$5,0)))+ (IF(OR(D1184="DEF",D1184="GK"),H1184*'Scoring System'!$B$6,IF(D1184="MID",H1184*'Scoring System'!$B$7,IF(D1184="ATT",H1184*'Scoring System'!$B$8,0))))+ IF(AND(OR(D1184="GK",D1184="DEF"),J1184&gt;=3),1*'Scoring System'!$B$9,0)+ (I1184*'Scoring System'!$B$10)+ (K1184*'Scoring System'!$B$11)+ (M1184*'Scoring System'!$B$12)+ (L1184*'Scoring System'!$B$13)+ (O1184*'Scoring System'!$B$14)+ (Q1184*'Scoring System'!$B$15)+ (R1184*'Scoring System'!$B$16)</f>
        <v>2</v>
      </c>
      <c r="AB1184" s="3" t="b">
        <f>IFERROR(match(C1184,'Match Day Fees'!$B$2:$B$999,0),0)=0</f>
        <v>0</v>
      </c>
      <c r="AC1184" s="3">
        <f t="shared" si="2"/>
        <v>0</v>
      </c>
      <c r="AD1184" s="3" t="str">
        <f>VLOOKUP(D1184,'Position Lookup'!A:B,1,FALSE)</f>
        <v>ATT</v>
      </c>
    </row>
    <row r="1185" ht="17.25" customHeight="1">
      <c r="A1185" s="32">
        <v>45255.0</v>
      </c>
      <c r="B1185" s="5" t="s">
        <v>309</v>
      </c>
      <c r="C1185" s="5" t="s">
        <v>110</v>
      </c>
      <c r="D1185" s="5" t="s">
        <v>9</v>
      </c>
      <c r="E1185" s="5">
        <v>1.0</v>
      </c>
      <c r="F1185" s="5" t="s">
        <v>1215</v>
      </c>
      <c r="G1185" s="5" t="s">
        <v>224</v>
      </c>
      <c r="H1185" s="5">
        <v>1.0</v>
      </c>
      <c r="I1185" s="5">
        <v>1.0</v>
      </c>
      <c r="J1185" s="5">
        <v>2.0</v>
      </c>
      <c r="N1185" s="5" t="b">
        <v>0</v>
      </c>
      <c r="R1185" s="5">
        <v>0.0</v>
      </c>
      <c r="T1185" s="5">
        <v>7.0</v>
      </c>
      <c r="U1185" s="5">
        <v>9.0</v>
      </c>
      <c r="V1185" s="5" t="s">
        <v>1228</v>
      </c>
      <c r="W1185" s="81" t="s">
        <v>311</v>
      </c>
      <c r="X1185" s="78" t="s">
        <v>1217</v>
      </c>
      <c r="Y1185" s="5">
        <v>3.0</v>
      </c>
      <c r="Z1185" s="5">
        <v>2.0</v>
      </c>
      <c r="AA1185" s="3">
        <f>2+ (P1185*'Scoring System'!$B$3)+ (IF(OR(D1185="DEF",D1185="GK"),N1185*'Scoring System'!$B$4,IF(D1185="MID",N1185*'Scoring System'!$B$5,0)))+ (IF(OR(D1185="DEF",D1185="GK"),H1185*'Scoring System'!$B$6,IF(D1185="MID",H1185*'Scoring System'!$B$7,IF(D1185="ATT",H1185*'Scoring System'!$B$8,0))))+ IF(AND(OR(D1185="GK",D1185="DEF"),J1185&gt;=3),1*'Scoring System'!$B$9,0)+ (I1185*'Scoring System'!$B$10)+ (K1185*'Scoring System'!$B$11)+ (M1185*'Scoring System'!$B$12)+ (L1185*'Scoring System'!$B$13)+ (O1185*'Scoring System'!$B$14)+ (Q1185*'Scoring System'!$B$15)+ (R1185*'Scoring System'!$B$16)</f>
        <v>9</v>
      </c>
      <c r="AB1185" s="3" t="b">
        <f>IFERROR(match(C1185,'Match Day Fees'!$B$2:$B$999,0),0)=0</f>
        <v>0</v>
      </c>
      <c r="AC1185" s="3">
        <f t="shared" si="2"/>
        <v>0</v>
      </c>
      <c r="AD1185" s="3" t="str">
        <f>VLOOKUP(D1185,'Position Lookup'!A:B,1,FALSE)</f>
        <v>ATT</v>
      </c>
    </row>
    <row r="1186" ht="17.25" customHeight="1">
      <c r="A1186" s="32">
        <v>45255.0</v>
      </c>
      <c r="B1186" s="5" t="s">
        <v>309</v>
      </c>
      <c r="C1186" s="5" t="s">
        <v>75</v>
      </c>
      <c r="D1186" s="5" t="s">
        <v>10</v>
      </c>
      <c r="E1186" s="5">
        <v>1.0</v>
      </c>
      <c r="F1186" s="5" t="s">
        <v>1215</v>
      </c>
      <c r="G1186" s="5" t="s">
        <v>224</v>
      </c>
      <c r="J1186" s="5">
        <v>2.0</v>
      </c>
      <c r="N1186" s="5" t="b">
        <v>0</v>
      </c>
      <c r="R1186" s="5">
        <v>0.0</v>
      </c>
      <c r="T1186" s="5">
        <v>5.0</v>
      </c>
      <c r="U1186" s="5">
        <v>9.0</v>
      </c>
      <c r="V1186" s="5" t="s">
        <v>1229</v>
      </c>
      <c r="W1186" s="81" t="s">
        <v>311</v>
      </c>
      <c r="X1186" s="78" t="s">
        <v>1217</v>
      </c>
      <c r="Y1186" s="5">
        <v>3.0</v>
      </c>
      <c r="Z1186" s="5">
        <v>2.0</v>
      </c>
      <c r="AA1186" s="3">
        <f>2+ (P1186*'Scoring System'!$B$3)+ (IF(OR(D1186="DEF",D1186="GK"),N1186*'Scoring System'!$B$4,IF(D1186="MID",N1186*'Scoring System'!$B$5,0)))+ (IF(OR(D1186="DEF",D1186="GK"),H1186*'Scoring System'!$B$6,IF(D1186="MID",H1186*'Scoring System'!$B$7,IF(D1186="ATT",H1186*'Scoring System'!$B$8,0))))+ IF(AND(OR(D1186="GK",D1186="DEF"),J1186&gt;=3),1*'Scoring System'!$B$9,0)+ (I1186*'Scoring System'!$B$10)+ (K1186*'Scoring System'!$B$11)+ (M1186*'Scoring System'!$B$12)+ (L1186*'Scoring System'!$B$13)+ (O1186*'Scoring System'!$B$14)+ (Q1186*'Scoring System'!$B$15)+ (R1186*'Scoring System'!$B$16)</f>
        <v>2</v>
      </c>
      <c r="AB1186" s="3" t="b">
        <f>IFERROR(match(C1186,'Match Day Fees'!$B$2:$B$999,0),0)=0</f>
        <v>0</v>
      </c>
      <c r="AC1186" s="3">
        <f t="shared" si="2"/>
        <v>0</v>
      </c>
      <c r="AD1186" s="3" t="str">
        <f>VLOOKUP(D1186,'Position Lookup'!A:B,1,FALSE)</f>
        <v>MID</v>
      </c>
    </row>
    <row r="1187" ht="17.25" customHeight="1">
      <c r="A1187" s="32">
        <v>45255.0</v>
      </c>
      <c r="B1187" s="5" t="s">
        <v>309</v>
      </c>
      <c r="C1187" s="5" t="s">
        <v>272</v>
      </c>
      <c r="D1187" s="5" t="s">
        <v>10</v>
      </c>
      <c r="E1187" s="5">
        <v>1.0</v>
      </c>
      <c r="F1187" s="5" t="s">
        <v>1215</v>
      </c>
      <c r="G1187" s="5" t="s">
        <v>224</v>
      </c>
      <c r="J1187" s="5">
        <v>2.0</v>
      </c>
      <c r="N1187" s="5" t="b">
        <v>0</v>
      </c>
      <c r="R1187" s="5">
        <v>0.0</v>
      </c>
      <c r="T1187" s="5">
        <v>5.0</v>
      </c>
      <c r="U1187" s="5">
        <v>9.0</v>
      </c>
      <c r="V1187" s="5" t="s">
        <v>1230</v>
      </c>
      <c r="W1187" s="81" t="s">
        <v>311</v>
      </c>
      <c r="X1187" s="78" t="s">
        <v>1217</v>
      </c>
      <c r="Y1187" s="5">
        <v>3.0</v>
      </c>
      <c r="Z1187" s="5">
        <v>2.0</v>
      </c>
      <c r="AA1187" s="3">
        <f>2+ (P1187*'Scoring System'!$B$3)+ (IF(OR(D1187="DEF",D1187="GK"),N1187*'Scoring System'!$B$4,IF(D1187="MID",N1187*'Scoring System'!$B$5,0)))+ (IF(OR(D1187="DEF",D1187="GK"),H1187*'Scoring System'!$B$6,IF(D1187="MID",H1187*'Scoring System'!$B$7,IF(D1187="ATT",H1187*'Scoring System'!$B$8,0))))+ IF(AND(OR(D1187="GK",D1187="DEF"),J1187&gt;=3),1*'Scoring System'!$B$9,0)+ (I1187*'Scoring System'!$B$10)+ (K1187*'Scoring System'!$B$11)+ (M1187*'Scoring System'!$B$12)+ (L1187*'Scoring System'!$B$13)+ (O1187*'Scoring System'!$B$14)+ (Q1187*'Scoring System'!$B$15)+ (R1187*'Scoring System'!$B$16)</f>
        <v>2</v>
      </c>
      <c r="AB1187" s="3" t="b">
        <f>IFERROR(match(C1187,'Match Day Fees'!$B$2:$B$999,0),0)=0</f>
        <v>0</v>
      </c>
      <c r="AC1187" s="3">
        <f t="shared" si="2"/>
        <v>0</v>
      </c>
      <c r="AD1187" s="3" t="str">
        <f>VLOOKUP(D1187,'Position Lookup'!A:B,1,FALSE)</f>
        <v>MID</v>
      </c>
    </row>
    <row r="1188" ht="17.25" customHeight="1">
      <c r="A1188" s="32">
        <v>45255.0</v>
      </c>
      <c r="B1188" s="5" t="s">
        <v>712</v>
      </c>
      <c r="C1188" s="5" t="s">
        <v>1231</v>
      </c>
      <c r="D1188" s="5" t="s">
        <v>8</v>
      </c>
      <c r="E1188" s="5">
        <v>2.0</v>
      </c>
      <c r="F1188" s="5" t="s">
        <v>1232</v>
      </c>
      <c r="G1188" s="5" t="s">
        <v>230</v>
      </c>
      <c r="J1188" s="5">
        <v>4.0</v>
      </c>
      <c r="N1188" s="5" t="b">
        <v>0</v>
      </c>
      <c r="R1188" s="5">
        <v>0.0</v>
      </c>
      <c r="T1188" s="5">
        <v>5.0</v>
      </c>
      <c r="U1188" s="3">
        <v>6.0</v>
      </c>
      <c r="V1188" s="3" t="s">
        <v>1233</v>
      </c>
      <c r="X1188" s="77" t="s">
        <v>1234</v>
      </c>
      <c r="Y1188" s="5">
        <v>1.0</v>
      </c>
      <c r="Z1188" s="5">
        <v>4.0</v>
      </c>
      <c r="AA1188" s="3">
        <f>2+ (P1188*'Scoring System'!$B$3)+ (IF(OR(D1188="DEF",D1188="GK"),N1188*'Scoring System'!$B$4,IF(D1188="MID",N1188*'Scoring System'!$B$5,0)))+ (IF(OR(D1188="DEF",D1188="GK"),H1188*'Scoring System'!$B$6,IF(D1188="MID",H1188*'Scoring System'!$B$7,IF(D1188="ATT",H1188*'Scoring System'!$B$8,0))))+ IF(AND(OR(D1188="GK",D1188="DEF"),J1188&gt;=3),1*'Scoring System'!$B$9,0)+ (I1188*'Scoring System'!$B$10)+ (K1188*'Scoring System'!$B$11)+ (M1188*'Scoring System'!$B$12)+ (L1188*'Scoring System'!$B$13)+ (O1188*'Scoring System'!$B$14)+ (Q1188*'Scoring System'!$B$15)+ (R1188*'Scoring System'!$B$16)</f>
        <v>1</v>
      </c>
      <c r="AB1188" s="3" t="b">
        <f>IFERROR(match(C1188,'Match Day Fees'!$B$2:$B$999,0),0)=0</f>
        <v>0</v>
      </c>
      <c r="AC1188" s="3">
        <f t="shared" si="2"/>
        <v>0</v>
      </c>
      <c r="AD1188" s="3" t="str">
        <f>VLOOKUP(D1188,'Position Lookup'!A:B,1,FALSE)</f>
        <v>GK</v>
      </c>
    </row>
    <row r="1189" ht="17.25" customHeight="1">
      <c r="A1189" s="32">
        <v>45255.0</v>
      </c>
      <c r="B1189" s="5" t="s">
        <v>712</v>
      </c>
      <c r="C1189" s="5" t="s">
        <v>40</v>
      </c>
      <c r="D1189" s="5" t="s">
        <v>11</v>
      </c>
      <c r="E1189" s="5">
        <v>2.0</v>
      </c>
      <c r="F1189" s="5" t="s">
        <v>1232</v>
      </c>
      <c r="G1189" s="5" t="s">
        <v>230</v>
      </c>
      <c r="J1189" s="5">
        <v>4.0</v>
      </c>
      <c r="N1189" s="5" t="b">
        <v>0</v>
      </c>
      <c r="R1189" s="5">
        <v>0.0</v>
      </c>
      <c r="T1189" s="5">
        <v>10.0</v>
      </c>
      <c r="U1189" s="3">
        <v>6.0</v>
      </c>
      <c r="V1189" s="3" t="s">
        <v>1235</v>
      </c>
      <c r="X1189" s="77" t="s">
        <v>1234</v>
      </c>
      <c r="Y1189" s="5">
        <v>1.0</v>
      </c>
      <c r="Z1189" s="5">
        <v>4.0</v>
      </c>
      <c r="AA1189" s="3">
        <f>2+ (P1189*'Scoring System'!$B$3)+ (IF(OR(D1189="DEF",D1189="GK"),N1189*'Scoring System'!$B$4,IF(D1189="MID",N1189*'Scoring System'!$B$5,0)))+ (IF(OR(D1189="DEF",D1189="GK"),H1189*'Scoring System'!$B$6,IF(D1189="MID",H1189*'Scoring System'!$B$7,IF(D1189="ATT",H1189*'Scoring System'!$B$8,0))))+ IF(AND(OR(D1189="GK",D1189="DEF"),J1189&gt;=3),1*'Scoring System'!$B$9,0)+ (I1189*'Scoring System'!$B$10)+ (K1189*'Scoring System'!$B$11)+ (M1189*'Scoring System'!$B$12)+ (L1189*'Scoring System'!$B$13)+ (O1189*'Scoring System'!$B$14)+ (Q1189*'Scoring System'!$B$15)+ (R1189*'Scoring System'!$B$16)</f>
        <v>1</v>
      </c>
      <c r="AB1189" s="3" t="b">
        <f>IFERROR(match(C1189,'Match Day Fees'!$B$2:$B$999,0),0)=0</f>
        <v>0</v>
      </c>
      <c r="AC1189" s="3">
        <f t="shared" si="2"/>
        <v>0</v>
      </c>
      <c r="AD1189" s="3" t="str">
        <f>VLOOKUP(D1189,'Position Lookup'!A:B,1,FALSE)</f>
        <v>DEF</v>
      </c>
    </row>
    <row r="1190" ht="17.25" customHeight="1">
      <c r="A1190" s="32">
        <v>45255.0</v>
      </c>
      <c r="B1190" s="5" t="s">
        <v>712</v>
      </c>
      <c r="C1190" s="5" t="s">
        <v>81</v>
      </c>
      <c r="D1190" s="5" t="s">
        <v>11</v>
      </c>
      <c r="E1190" s="5">
        <v>2.0</v>
      </c>
      <c r="F1190" s="5" t="s">
        <v>1232</v>
      </c>
      <c r="G1190" s="5" t="s">
        <v>230</v>
      </c>
      <c r="J1190" s="5">
        <v>4.0</v>
      </c>
      <c r="N1190" s="5" t="b">
        <v>0</v>
      </c>
      <c r="R1190" s="5">
        <v>0.0</v>
      </c>
      <c r="T1190" s="5">
        <v>10.0</v>
      </c>
      <c r="U1190" s="3">
        <v>7.0</v>
      </c>
      <c r="V1190" s="3" t="s">
        <v>1236</v>
      </c>
      <c r="X1190" s="77" t="s">
        <v>1234</v>
      </c>
      <c r="Y1190" s="5">
        <v>1.0</v>
      </c>
      <c r="Z1190" s="5">
        <v>4.0</v>
      </c>
      <c r="AA1190" s="3">
        <f>2+ (P1190*'Scoring System'!$B$3)+ (IF(OR(D1190="DEF",D1190="GK"),N1190*'Scoring System'!$B$4,IF(D1190="MID",N1190*'Scoring System'!$B$5,0)))+ (IF(OR(D1190="DEF",D1190="GK"),H1190*'Scoring System'!$B$6,IF(D1190="MID",H1190*'Scoring System'!$B$7,IF(D1190="ATT",H1190*'Scoring System'!$B$8,0))))+ IF(AND(OR(D1190="GK",D1190="DEF"),J1190&gt;=3),1*'Scoring System'!$B$9,0)+ (I1190*'Scoring System'!$B$10)+ (K1190*'Scoring System'!$B$11)+ (M1190*'Scoring System'!$B$12)+ (L1190*'Scoring System'!$B$13)+ (O1190*'Scoring System'!$B$14)+ (Q1190*'Scoring System'!$B$15)+ (R1190*'Scoring System'!$B$16)</f>
        <v>1</v>
      </c>
      <c r="AB1190" s="3" t="b">
        <f>IFERROR(match(C1190,'Match Day Fees'!$B$2:$B$999,0),0)=0</f>
        <v>0</v>
      </c>
      <c r="AC1190" s="3">
        <f t="shared" si="2"/>
        <v>0</v>
      </c>
      <c r="AD1190" s="3" t="str">
        <f>VLOOKUP(D1190,'Position Lookup'!A:B,1,FALSE)</f>
        <v>DEF</v>
      </c>
    </row>
    <row r="1191" ht="17.25" customHeight="1">
      <c r="A1191" s="32">
        <v>45255.0</v>
      </c>
      <c r="B1191" s="5" t="s">
        <v>712</v>
      </c>
      <c r="C1191" s="5" t="s">
        <v>43</v>
      </c>
      <c r="D1191" s="5" t="s">
        <v>11</v>
      </c>
      <c r="E1191" s="5">
        <v>2.0</v>
      </c>
      <c r="F1191" s="5" t="s">
        <v>1232</v>
      </c>
      <c r="G1191" s="5" t="s">
        <v>230</v>
      </c>
      <c r="J1191" s="5">
        <v>4.0</v>
      </c>
      <c r="N1191" s="5" t="b">
        <v>0</v>
      </c>
      <c r="R1191" s="5">
        <v>0.0</v>
      </c>
      <c r="T1191" s="5">
        <v>10.0</v>
      </c>
      <c r="U1191" s="3">
        <v>6.5</v>
      </c>
      <c r="V1191" s="3" t="s">
        <v>1237</v>
      </c>
      <c r="X1191" s="77" t="s">
        <v>1234</v>
      </c>
      <c r="Y1191" s="5">
        <v>1.0</v>
      </c>
      <c r="Z1191" s="5">
        <v>4.0</v>
      </c>
      <c r="AA1191" s="3">
        <f>2+ (P1191*'Scoring System'!$B$3)+ (IF(OR(D1191="DEF",D1191="GK"),N1191*'Scoring System'!$B$4,IF(D1191="MID",N1191*'Scoring System'!$B$5,0)))+ (IF(OR(D1191="DEF",D1191="GK"),H1191*'Scoring System'!$B$6,IF(D1191="MID",H1191*'Scoring System'!$B$7,IF(D1191="ATT",H1191*'Scoring System'!$B$8,0))))+ IF(AND(OR(D1191="GK",D1191="DEF"),J1191&gt;=3),1*'Scoring System'!$B$9,0)+ (I1191*'Scoring System'!$B$10)+ (K1191*'Scoring System'!$B$11)+ (M1191*'Scoring System'!$B$12)+ (L1191*'Scoring System'!$B$13)+ (O1191*'Scoring System'!$B$14)+ (Q1191*'Scoring System'!$B$15)+ (R1191*'Scoring System'!$B$16)</f>
        <v>1</v>
      </c>
      <c r="AB1191" s="3" t="b">
        <f>IFERROR(match(C1191,'Match Day Fees'!$B$2:$B$999,0),0)=0</f>
        <v>0</v>
      </c>
      <c r="AC1191" s="3">
        <f t="shared" si="2"/>
        <v>0</v>
      </c>
      <c r="AD1191" s="3" t="str">
        <f>VLOOKUP(D1191,'Position Lookup'!A:B,1,FALSE)</f>
        <v>DEF</v>
      </c>
    </row>
    <row r="1192" ht="17.25" customHeight="1">
      <c r="A1192" s="32">
        <v>45255.0</v>
      </c>
      <c r="B1192" s="5" t="s">
        <v>712</v>
      </c>
      <c r="C1192" s="5" t="s">
        <v>276</v>
      </c>
      <c r="D1192" s="5" t="s">
        <v>10</v>
      </c>
      <c r="E1192" s="5">
        <v>2.0</v>
      </c>
      <c r="F1192" s="5" t="s">
        <v>1232</v>
      </c>
      <c r="G1192" s="5" t="s">
        <v>230</v>
      </c>
      <c r="J1192" s="5">
        <v>4.0</v>
      </c>
      <c r="N1192" s="5" t="b">
        <v>0</v>
      </c>
      <c r="R1192" s="5">
        <v>0.0</v>
      </c>
      <c r="T1192" s="5">
        <v>10.0</v>
      </c>
      <c r="U1192" s="3">
        <v>7.0</v>
      </c>
      <c r="V1192" s="3" t="s">
        <v>1238</v>
      </c>
      <c r="X1192" s="77" t="s">
        <v>1234</v>
      </c>
      <c r="Y1192" s="5">
        <v>1.0</v>
      </c>
      <c r="Z1192" s="5">
        <v>4.0</v>
      </c>
      <c r="AA1192" s="3">
        <f>2+ (P1192*'Scoring System'!$B$3)+ (IF(OR(D1192="DEF",D1192="GK"),N1192*'Scoring System'!$B$4,IF(D1192="MID",N1192*'Scoring System'!$B$5,0)))+ (IF(OR(D1192="DEF",D1192="GK"),H1192*'Scoring System'!$B$6,IF(D1192="MID",H1192*'Scoring System'!$B$7,IF(D1192="ATT",H1192*'Scoring System'!$B$8,0))))+ IF(AND(OR(D1192="GK",D1192="DEF"),J1192&gt;=3),1*'Scoring System'!$B$9,0)+ (I1192*'Scoring System'!$B$10)+ (K1192*'Scoring System'!$B$11)+ (M1192*'Scoring System'!$B$12)+ (L1192*'Scoring System'!$B$13)+ (O1192*'Scoring System'!$B$14)+ (Q1192*'Scoring System'!$B$15)+ (R1192*'Scoring System'!$B$16)</f>
        <v>2</v>
      </c>
      <c r="AB1192" s="3" t="b">
        <f>IFERROR(match(C1192,'Match Day Fees'!$B$2:$B$999,0),0)=0</f>
        <v>0</v>
      </c>
      <c r="AC1192" s="3">
        <f t="shared" si="2"/>
        <v>0</v>
      </c>
      <c r="AD1192" s="3" t="str">
        <f>VLOOKUP(D1192,'Position Lookup'!A:B,1,FALSE)</f>
        <v>MID</v>
      </c>
    </row>
    <row r="1193" ht="17.25" customHeight="1">
      <c r="A1193" s="32">
        <v>45255.0</v>
      </c>
      <c r="B1193" s="5" t="s">
        <v>712</v>
      </c>
      <c r="C1193" s="5" t="s">
        <v>104</v>
      </c>
      <c r="D1193" s="5" t="s">
        <v>10</v>
      </c>
      <c r="E1193" s="5">
        <v>2.0</v>
      </c>
      <c r="F1193" s="5" t="s">
        <v>1232</v>
      </c>
      <c r="G1193" s="5" t="s">
        <v>230</v>
      </c>
      <c r="J1193" s="5">
        <v>4.0</v>
      </c>
      <c r="N1193" s="5" t="b">
        <v>0</v>
      </c>
      <c r="R1193" s="5">
        <v>0.0</v>
      </c>
      <c r="T1193" s="5">
        <v>5.0</v>
      </c>
      <c r="U1193" s="3">
        <v>7.0</v>
      </c>
      <c r="V1193" s="3" t="s">
        <v>1239</v>
      </c>
      <c r="X1193" s="77" t="s">
        <v>1234</v>
      </c>
      <c r="Y1193" s="5">
        <v>1.0</v>
      </c>
      <c r="Z1193" s="5">
        <v>4.0</v>
      </c>
      <c r="AA1193" s="3">
        <f>2+ (P1193*'Scoring System'!$B$3)+ (IF(OR(D1193="DEF",D1193="GK"),N1193*'Scoring System'!$B$4,IF(D1193="MID",N1193*'Scoring System'!$B$5,0)))+ (IF(OR(D1193="DEF",D1193="GK"),H1193*'Scoring System'!$B$6,IF(D1193="MID",H1193*'Scoring System'!$B$7,IF(D1193="ATT",H1193*'Scoring System'!$B$8,0))))+ IF(AND(OR(D1193="GK",D1193="DEF"),J1193&gt;=3),1*'Scoring System'!$B$9,0)+ (I1193*'Scoring System'!$B$10)+ (K1193*'Scoring System'!$B$11)+ (M1193*'Scoring System'!$B$12)+ (L1193*'Scoring System'!$B$13)+ (O1193*'Scoring System'!$B$14)+ (Q1193*'Scoring System'!$B$15)+ (R1193*'Scoring System'!$B$16)</f>
        <v>2</v>
      </c>
      <c r="AB1193" s="3" t="b">
        <f>IFERROR(match(C1193,'Match Day Fees'!$B$2:$B$999,0),0)=0</f>
        <v>0</v>
      </c>
      <c r="AC1193" s="3">
        <f t="shared" si="2"/>
        <v>0</v>
      </c>
      <c r="AD1193" s="3" t="str">
        <f>VLOOKUP(D1193,'Position Lookup'!A:B,1,FALSE)</f>
        <v>MID</v>
      </c>
    </row>
    <row r="1194" ht="17.25" customHeight="1">
      <c r="A1194" s="32">
        <v>45255.0</v>
      </c>
      <c r="B1194" s="5" t="s">
        <v>712</v>
      </c>
      <c r="C1194" s="5" t="s">
        <v>86</v>
      </c>
      <c r="D1194" s="5" t="s">
        <v>10</v>
      </c>
      <c r="E1194" s="5">
        <v>2.0</v>
      </c>
      <c r="F1194" s="5" t="s">
        <v>1232</v>
      </c>
      <c r="G1194" s="5" t="s">
        <v>230</v>
      </c>
      <c r="J1194" s="5">
        <v>4.0</v>
      </c>
      <c r="N1194" s="5" t="b">
        <v>0</v>
      </c>
      <c r="R1194" s="5">
        <v>1.0</v>
      </c>
      <c r="T1194" s="5">
        <v>10.0</v>
      </c>
      <c r="U1194" s="3">
        <v>7.5</v>
      </c>
      <c r="V1194" s="3" t="s">
        <v>1240</v>
      </c>
      <c r="X1194" s="77" t="s">
        <v>1234</v>
      </c>
      <c r="Y1194" s="5">
        <v>1.0</v>
      </c>
      <c r="Z1194" s="5">
        <v>4.0</v>
      </c>
      <c r="AA1194" s="3">
        <f>2+ (P1194*'Scoring System'!$B$3)+ (IF(OR(D1194="DEF",D1194="GK"),N1194*'Scoring System'!$B$4,IF(D1194="MID",N1194*'Scoring System'!$B$5,0)))+ (IF(OR(D1194="DEF",D1194="GK"),H1194*'Scoring System'!$B$6,IF(D1194="MID",H1194*'Scoring System'!$B$7,IF(D1194="ATT",H1194*'Scoring System'!$B$8,0))))+ IF(AND(OR(D1194="GK",D1194="DEF"),J1194&gt;=3),1*'Scoring System'!$B$9,0)+ (I1194*'Scoring System'!$B$10)+ (K1194*'Scoring System'!$B$11)+ (M1194*'Scoring System'!$B$12)+ (L1194*'Scoring System'!$B$13)+ (O1194*'Scoring System'!$B$14)+ (Q1194*'Scoring System'!$B$15)+ (R1194*'Scoring System'!$B$16)</f>
        <v>7</v>
      </c>
      <c r="AB1194" s="3" t="b">
        <f>IFERROR(match(C1194,'Match Day Fees'!$B$2:$B$999,0),0)=0</f>
        <v>0</v>
      </c>
      <c r="AC1194" s="3">
        <f t="shared" si="2"/>
        <v>0</v>
      </c>
      <c r="AD1194" s="3" t="str">
        <f>VLOOKUP(D1194,'Position Lookup'!A:B,1,FALSE)</f>
        <v>MID</v>
      </c>
    </row>
    <row r="1195" ht="17.25" customHeight="1">
      <c r="A1195" s="32">
        <v>45255.0</v>
      </c>
      <c r="B1195" s="5" t="s">
        <v>712</v>
      </c>
      <c r="C1195" s="5" t="s">
        <v>114</v>
      </c>
      <c r="D1195" s="5" t="s">
        <v>9</v>
      </c>
      <c r="E1195" s="5">
        <v>2.0</v>
      </c>
      <c r="F1195" s="5" t="s">
        <v>1232</v>
      </c>
      <c r="G1195" s="5" t="s">
        <v>230</v>
      </c>
      <c r="J1195" s="5">
        <v>4.0</v>
      </c>
      <c r="N1195" s="5" t="b">
        <v>0</v>
      </c>
      <c r="R1195" s="5">
        <v>0.0</v>
      </c>
      <c r="T1195" s="5">
        <v>10.0</v>
      </c>
      <c r="U1195" s="3">
        <v>7.0</v>
      </c>
      <c r="V1195" s="3" t="s">
        <v>1241</v>
      </c>
      <c r="X1195" s="77" t="s">
        <v>1234</v>
      </c>
      <c r="Y1195" s="5">
        <v>1.0</v>
      </c>
      <c r="Z1195" s="5">
        <v>4.0</v>
      </c>
      <c r="AA1195" s="3">
        <f>2+ (P1195*'Scoring System'!$B$3)+ (IF(OR(D1195="DEF",D1195="GK"),N1195*'Scoring System'!$B$4,IF(D1195="MID",N1195*'Scoring System'!$B$5,0)))+ (IF(OR(D1195="DEF",D1195="GK"),H1195*'Scoring System'!$B$6,IF(D1195="MID",H1195*'Scoring System'!$B$7,IF(D1195="ATT",H1195*'Scoring System'!$B$8,0))))+ IF(AND(OR(D1195="GK",D1195="DEF"),J1195&gt;=3),1*'Scoring System'!$B$9,0)+ (I1195*'Scoring System'!$B$10)+ (K1195*'Scoring System'!$B$11)+ (M1195*'Scoring System'!$B$12)+ (L1195*'Scoring System'!$B$13)+ (O1195*'Scoring System'!$B$14)+ (Q1195*'Scoring System'!$B$15)+ (R1195*'Scoring System'!$B$16)</f>
        <v>2</v>
      </c>
      <c r="AB1195" s="3" t="b">
        <f>IFERROR(match(C1195,'Match Day Fees'!$B$2:$B$999,0),0)=0</f>
        <v>0</v>
      </c>
      <c r="AC1195" s="3">
        <f t="shared" si="2"/>
        <v>0</v>
      </c>
      <c r="AD1195" s="3" t="str">
        <f>VLOOKUP(D1195,'Position Lookup'!A:B,1,FALSE)</f>
        <v>ATT</v>
      </c>
    </row>
    <row r="1196" ht="17.25" customHeight="1">
      <c r="A1196" s="32">
        <v>45255.0</v>
      </c>
      <c r="B1196" s="5" t="s">
        <v>712</v>
      </c>
      <c r="C1196" s="5" t="s">
        <v>78</v>
      </c>
      <c r="D1196" s="5" t="s">
        <v>9</v>
      </c>
      <c r="E1196" s="5">
        <v>2.0</v>
      </c>
      <c r="F1196" s="5" t="s">
        <v>1232</v>
      </c>
      <c r="G1196" s="5" t="s">
        <v>230</v>
      </c>
      <c r="J1196" s="5">
        <v>4.0</v>
      </c>
      <c r="N1196" s="5" t="b">
        <v>0</v>
      </c>
      <c r="R1196" s="5">
        <v>0.0</v>
      </c>
      <c r="T1196" s="5">
        <v>10.0</v>
      </c>
      <c r="U1196" s="3">
        <v>6.5</v>
      </c>
      <c r="V1196" s="3" t="s">
        <v>1242</v>
      </c>
      <c r="X1196" s="77" t="s">
        <v>1234</v>
      </c>
      <c r="Y1196" s="5">
        <v>1.0</v>
      </c>
      <c r="Z1196" s="5">
        <v>4.0</v>
      </c>
      <c r="AA1196" s="3">
        <f>2+ (P1196*'Scoring System'!$B$3)+ (IF(OR(D1196="DEF",D1196="GK"),N1196*'Scoring System'!$B$4,IF(D1196="MID",N1196*'Scoring System'!$B$5,0)))+ (IF(OR(D1196="DEF",D1196="GK"),H1196*'Scoring System'!$B$6,IF(D1196="MID",H1196*'Scoring System'!$B$7,IF(D1196="ATT",H1196*'Scoring System'!$B$8,0))))+ IF(AND(OR(D1196="GK",D1196="DEF"),J1196&gt;=3),1*'Scoring System'!$B$9,0)+ (I1196*'Scoring System'!$B$10)+ (K1196*'Scoring System'!$B$11)+ (M1196*'Scoring System'!$B$12)+ (L1196*'Scoring System'!$B$13)+ (O1196*'Scoring System'!$B$14)+ (Q1196*'Scoring System'!$B$15)+ (R1196*'Scoring System'!$B$16)</f>
        <v>2</v>
      </c>
      <c r="AB1196" s="3" t="b">
        <f>IFERROR(match(C1196,'Match Day Fees'!$B$2:$B$999,0),0)=0</f>
        <v>0</v>
      </c>
      <c r="AC1196" s="3">
        <f t="shared" si="2"/>
        <v>0</v>
      </c>
      <c r="AD1196" s="3" t="str">
        <f>VLOOKUP(D1196,'Position Lookup'!A:B,1,FALSE)</f>
        <v>ATT</v>
      </c>
    </row>
    <row r="1197" ht="17.25" customHeight="1">
      <c r="A1197" s="32">
        <v>45255.0</v>
      </c>
      <c r="B1197" s="5" t="s">
        <v>712</v>
      </c>
      <c r="C1197" s="5" t="s">
        <v>123</v>
      </c>
      <c r="D1197" s="5" t="s">
        <v>9</v>
      </c>
      <c r="E1197" s="5">
        <v>2.0</v>
      </c>
      <c r="F1197" s="5" t="s">
        <v>1232</v>
      </c>
      <c r="G1197" s="5" t="s">
        <v>230</v>
      </c>
      <c r="J1197" s="5">
        <v>4.0</v>
      </c>
      <c r="N1197" s="5" t="b">
        <v>0</v>
      </c>
      <c r="R1197" s="5">
        <v>0.0</v>
      </c>
      <c r="T1197" s="5">
        <v>10.0</v>
      </c>
      <c r="U1197" s="3">
        <v>6.0</v>
      </c>
      <c r="V1197" s="3" t="s">
        <v>1243</v>
      </c>
      <c r="X1197" s="77" t="s">
        <v>1234</v>
      </c>
      <c r="Y1197" s="5">
        <v>1.0</v>
      </c>
      <c r="Z1197" s="5">
        <v>4.0</v>
      </c>
      <c r="AA1197" s="3">
        <f>2+ (P1197*'Scoring System'!$B$3)+ (IF(OR(D1197="DEF",D1197="GK"),N1197*'Scoring System'!$B$4,IF(D1197="MID",N1197*'Scoring System'!$B$5,0)))+ (IF(OR(D1197="DEF",D1197="GK"),H1197*'Scoring System'!$B$6,IF(D1197="MID",H1197*'Scoring System'!$B$7,IF(D1197="ATT",H1197*'Scoring System'!$B$8,0))))+ IF(AND(OR(D1197="GK",D1197="DEF"),J1197&gt;=3),1*'Scoring System'!$B$9,0)+ (I1197*'Scoring System'!$B$10)+ (K1197*'Scoring System'!$B$11)+ (M1197*'Scoring System'!$B$12)+ (L1197*'Scoring System'!$B$13)+ (O1197*'Scoring System'!$B$14)+ (Q1197*'Scoring System'!$B$15)+ (R1197*'Scoring System'!$B$16)</f>
        <v>2</v>
      </c>
      <c r="AB1197" s="3" t="b">
        <f>IFERROR(match(C1197,'Match Day Fees'!$B$2:$B$999,0),0)=0</f>
        <v>0</v>
      </c>
      <c r="AC1197" s="3">
        <f t="shared" si="2"/>
        <v>0</v>
      </c>
      <c r="AD1197" s="3" t="str">
        <f>VLOOKUP(D1197,'Position Lookup'!A:B,1,FALSE)</f>
        <v>ATT</v>
      </c>
    </row>
    <row r="1198" ht="17.25" customHeight="1">
      <c r="A1198" s="32">
        <v>45255.0</v>
      </c>
      <c r="B1198" s="5" t="s">
        <v>712</v>
      </c>
      <c r="C1198" s="5" t="s">
        <v>73</v>
      </c>
      <c r="D1198" s="5" t="s">
        <v>9</v>
      </c>
      <c r="E1198" s="5">
        <v>2.0</v>
      </c>
      <c r="F1198" s="5" t="s">
        <v>1232</v>
      </c>
      <c r="G1198" s="5" t="s">
        <v>230</v>
      </c>
      <c r="J1198" s="5">
        <v>4.0</v>
      </c>
      <c r="N1198" s="5" t="b">
        <v>0</v>
      </c>
      <c r="R1198" s="5">
        <v>0.0</v>
      </c>
      <c r="T1198" s="5">
        <v>10.0</v>
      </c>
      <c r="U1198" s="3">
        <v>7.0</v>
      </c>
      <c r="V1198" s="3" t="s">
        <v>1244</v>
      </c>
      <c r="X1198" s="77" t="s">
        <v>1234</v>
      </c>
      <c r="Y1198" s="5">
        <v>1.0</v>
      </c>
      <c r="Z1198" s="5">
        <v>4.0</v>
      </c>
      <c r="AA1198" s="3">
        <f>2+ (P1198*'Scoring System'!$B$3)+ (IF(OR(D1198="DEF",D1198="GK"),N1198*'Scoring System'!$B$4,IF(D1198="MID",N1198*'Scoring System'!$B$5,0)))+ (IF(OR(D1198="DEF",D1198="GK"),H1198*'Scoring System'!$B$6,IF(D1198="MID",H1198*'Scoring System'!$B$7,IF(D1198="ATT",H1198*'Scoring System'!$B$8,0))))+ IF(AND(OR(D1198="GK",D1198="DEF"),J1198&gt;=3),1*'Scoring System'!$B$9,0)+ (I1198*'Scoring System'!$B$10)+ (K1198*'Scoring System'!$B$11)+ (M1198*'Scoring System'!$B$12)+ (L1198*'Scoring System'!$B$13)+ (O1198*'Scoring System'!$B$14)+ (Q1198*'Scoring System'!$B$15)+ (R1198*'Scoring System'!$B$16)</f>
        <v>2</v>
      </c>
      <c r="AB1198" s="3" t="b">
        <f>IFERROR(match(C1198,'Match Day Fees'!$B$2:$B$999,0),0)=0</f>
        <v>0</v>
      </c>
      <c r="AC1198" s="3">
        <f t="shared" si="2"/>
        <v>0</v>
      </c>
      <c r="AD1198" s="3" t="str">
        <f>VLOOKUP(D1198,'Position Lookup'!A:B,1,FALSE)</f>
        <v>ATT</v>
      </c>
    </row>
    <row r="1199" ht="17.25" customHeight="1">
      <c r="A1199" s="32">
        <v>45255.0</v>
      </c>
      <c r="B1199" s="5" t="s">
        <v>712</v>
      </c>
      <c r="C1199" s="5" t="s">
        <v>148</v>
      </c>
      <c r="D1199" s="5" t="s">
        <v>9</v>
      </c>
      <c r="E1199" s="5">
        <v>2.0</v>
      </c>
      <c r="F1199" s="5" t="s">
        <v>1232</v>
      </c>
      <c r="G1199" s="5" t="s">
        <v>230</v>
      </c>
      <c r="H1199" s="5">
        <v>1.0</v>
      </c>
      <c r="J1199" s="5">
        <v>4.0</v>
      </c>
      <c r="N1199" s="5" t="b">
        <v>0</v>
      </c>
      <c r="R1199" s="5">
        <v>0.0</v>
      </c>
      <c r="T1199" s="5">
        <v>10.0</v>
      </c>
      <c r="U1199" s="3">
        <v>7.0</v>
      </c>
      <c r="V1199" s="3" t="s">
        <v>1245</v>
      </c>
      <c r="X1199" s="77" t="s">
        <v>1234</v>
      </c>
      <c r="Y1199" s="5">
        <v>1.0</v>
      </c>
      <c r="Z1199" s="5">
        <v>4.0</v>
      </c>
      <c r="AA1199" s="3">
        <f>2+ (P1199*'Scoring System'!$B$3)+ (IF(OR(D1199="DEF",D1199="GK"),N1199*'Scoring System'!$B$4,IF(D1199="MID",N1199*'Scoring System'!$B$5,0)))+ (IF(OR(D1199="DEF",D1199="GK"),H1199*'Scoring System'!$B$6,IF(D1199="MID",H1199*'Scoring System'!$B$7,IF(D1199="ATT",H1199*'Scoring System'!$B$8,0))))+ IF(AND(OR(D1199="GK",D1199="DEF"),J1199&gt;=3),1*'Scoring System'!$B$9,0)+ (I1199*'Scoring System'!$B$10)+ (K1199*'Scoring System'!$B$11)+ (M1199*'Scoring System'!$B$12)+ (L1199*'Scoring System'!$B$13)+ (O1199*'Scoring System'!$B$14)+ (Q1199*'Scoring System'!$B$15)+ (R1199*'Scoring System'!$B$16)</f>
        <v>6</v>
      </c>
      <c r="AB1199" s="3" t="b">
        <f>IFERROR(match(C1199,'Match Day Fees'!$B$2:$B$999,0),0)=0</f>
        <v>0</v>
      </c>
      <c r="AC1199" s="3">
        <f t="shared" si="2"/>
        <v>0</v>
      </c>
      <c r="AD1199" s="3" t="str">
        <f>VLOOKUP(D1199,'Position Lookup'!A:B,1,FALSE)</f>
        <v>ATT</v>
      </c>
    </row>
    <row r="1200" ht="17.25" customHeight="1">
      <c r="A1200" s="32">
        <v>45255.0</v>
      </c>
      <c r="B1200" s="5" t="s">
        <v>712</v>
      </c>
      <c r="C1200" s="5" t="s">
        <v>74</v>
      </c>
      <c r="D1200" s="5" t="s">
        <v>9</v>
      </c>
      <c r="E1200" s="5">
        <v>2.0</v>
      </c>
      <c r="F1200" s="5" t="s">
        <v>1232</v>
      </c>
      <c r="G1200" s="5" t="s">
        <v>230</v>
      </c>
      <c r="I1200" s="5">
        <v>1.0</v>
      </c>
      <c r="J1200" s="5">
        <v>4.0</v>
      </c>
      <c r="N1200" s="5" t="b">
        <v>0</v>
      </c>
      <c r="R1200" s="5">
        <v>0.0</v>
      </c>
      <c r="T1200" s="5">
        <v>10.0</v>
      </c>
      <c r="U1200" s="3">
        <v>7.0</v>
      </c>
      <c r="V1200" s="3" t="s">
        <v>1246</v>
      </c>
      <c r="X1200" s="77" t="s">
        <v>1234</v>
      </c>
      <c r="Y1200" s="5">
        <v>1.0</v>
      </c>
      <c r="Z1200" s="5">
        <v>4.0</v>
      </c>
      <c r="AA1200" s="3">
        <f>2+ (P1200*'Scoring System'!$B$3)+ (IF(OR(D1200="DEF",D1200="GK"),N1200*'Scoring System'!$B$4,IF(D1200="MID",N1200*'Scoring System'!$B$5,0)))+ (IF(OR(D1200="DEF",D1200="GK"),H1200*'Scoring System'!$B$6,IF(D1200="MID",H1200*'Scoring System'!$B$7,IF(D1200="ATT",H1200*'Scoring System'!$B$8,0))))+ IF(AND(OR(D1200="GK",D1200="DEF"),J1200&gt;=3),1*'Scoring System'!$B$9,0)+ (I1200*'Scoring System'!$B$10)+ (K1200*'Scoring System'!$B$11)+ (M1200*'Scoring System'!$B$12)+ (L1200*'Scoring System'!$B$13)+ (O1200*'Scoring System'!$B$14)+ (Q1200*'Scoring System'!$B$15)+ (R1200*'Scoring System'!$B$16)</f>
        <v>5</v>
      </c>
      <c r="AB1200" s="3" t="b">
        <f>IFERROR(match(C1200,'Match Day Fees'!$B$2:$B$999,0),0)=0</f>
        <v>0</v>
      </c>
      <c r="AC1200" s="3">
        <f t="shared" si="2"/>
        <v>0</v>
      </c>
      <c r="AD1200" s="3" t="str">
        <f>VLOOKUP(D1200,'Position Lookup'!A:B,1,FALSE)</f>
        <v>ATT</v>
      </c>
    </row>
    <row r="1201" ht="17.25" customHeight="1">
      <c r="A1201" s="32">
        <v>45255.0</v>
      </c>
      <c r="B1201" s="5" t="s">
        <v>712</v>
      </c>
      <c r="C1201" s="5" t="s">
        <v>273</v>
      </c>
      <c r="D1201" s="5" t="s">
        <v>11</v>
      </c>
      <c r="E1201" s="5">
        <v>2.0</v>
      </c>
      <c r="F1201" s="5" t="s">
        <v>1232</v>
      </c>
      <c r="G1201" s="5" t="s">
        <v>230</v>
      </c>
      <c r="J1201" s="5">
        <v>4.0</v>
      </c>
      <c r="N1201" s="5" t="b">
        <v>0</v>
      </c>
      <c r="R1201" s="5">
        <v>0.0</v>
      </c>
      <c r="T1201" s="5">
        <v>10.0</v>
      </c>
      <c r="U1201" s="3">
        <v>6.0</v>
      </c>
      <c r="V1201" s="3" t="s">
        <v>1247</v>
      </c>
      <c r="X1201" s="77" t="s">
        <v>1234</v>
      </c>
      <c r="Y1201" s="5">
        <v>1.0</v>
      </c>
      <c r="Z1201" s="5">
        <v>4.0</v>
      </c>
      <c r="AA1201" s="3">
        <f>2+ (P1201*'Scoring System'!$B$3)+ (IF(OR(D1201="DEF",D1201="GK"),N1201*'Scoring System'!$B$4,IF(D1201="MID",N1201*'Scoring System'!$B$5,0)))+ (IF(OR(D1201="DEF",D1201="GK"),H1201*'Scoring System'!$B$6,IF(D1201="MID",H1201*'Scoring System'!$B$7,IF(D1201="ATT",H1201*'Scoring System'!$B$8,0))))+ IF(AND(OR(D1201="GK",D1201="DEF"),J1201&gt;=3),1*'Scoring System'!$B$9,0)+ (I1201*'Scoring System'!$B$10)+ (K1201*'Scoring System'!$B$11)+ (M1201*'Scoring System'!$B$12)+ (L1201*'Scoring System'!$B$13)+ (O1201*'Scoring System'!$B$14)+ (Q1201*'Scoring System'!$B$15)+ (R1201*'Scoring System'!$B$16)</f>
        <v>1</v>
      </c>
      <c r="AB1201" s="3" t="b">
        <f>IFERROR(match(C1201,'Match Day Fees'!$B$2:$B$999,0),0)=0</f>
        <v>0</v>
      </c>
      <c r="AC1201" s="3">
        <f t="shared" si="2"/>
        <v>0</v>
      </c>
      <c r="AD1201" s="3" t="str">
        <f>VLOOKUP(D1201,'Position Lookup'!A:B,1,FALSE)</f>
        <v>DEF</v>
      </c>
    </row>
    <row r="1202" ht="17.25" customHeight="1">
      <c r="A1202" s="32">
        <v>45255.0</v>
      </c>
      <c r="B1202" s="5" t="s">
        <v>309</v>
      </c>
      <c r="C1202" s="5" t="s">
        <v>810</v>
      </c>
      <c r="D1202" s="5" t="s">
        <v>8</v>
      </c>
      <c r="E1202" s="5">
        <v>3.0</v>
      </c>
      <c r="F1202" s="5" t="s">
        <v>627</v>
      </c>
      <c r="G1202" s="5" t="s">
        <v>224</v>
      </c>
      <c r="J1202" s="5">
        <v>1.0</v>
      </c>
      <c r="N1202" s="5" t="b">
        <v>0</v>
      </c>
      <c r="R1202" s="5">
        <v>0.0</v>
      </c>
      <c r="T1202" s="5">
        <v>10.0</v>
      </c>
      <c r="U1202" s="5">
        <v>7.0</v>
      </c>
      <c r="V1202" s="5" t="s">
        <v>1248</v>
      </c>
      <c r="W1202" s="81" t="s">
        <v>344</v>
      </c>
      <c r="X1202" s="78" t="s">
        <v>1249</v>
      </c>
      <c r="Y1202" s="5">
        <v>3.0</v>
      </c>
      <c r="Z1202" s="5">
        <v>1.0</v>
      </c>
      <c r="AA1202" s="3">
        <f>2+ (P1202*'Scoring System'!$B$3)+ (IF(OR(D1202="DEF",D1202="GK"),N1202*'Scoring System'!$B$4,IF(D1202="MID",N1202*'Scoring System'!$B$5,0)))+ (IF(OR(D1202="DEF",D1202="GK"),H1202*'Scoring System'!$B$6,IF(D1202="MID",H1202*'Scoring System'!$B$7,IF(D1202="ATT",H1202*'Scoring System'!$B$8,0))))+ IF(AND(OR(D1202="GK",D1202="DEF"),J1202&gt;=3),1*'Scoring System'!$B$9,0)+ (I1202*'Scoring System'!$B$10)+ (K1202*'Scoring System'!$B$11)+ (M1202*'Scoring System'!$B$12)+ (L1202*'Scoring System'!$B$13)+ (O1202*'Scoring System'!$B$14)+ (Q1202*'Scoring System'!$B$15)+ (R1202*'Scoring System'!$B$16)</f>
        <v>2</v>
      </c>
      <c r="AB1202" s="3" t="b">
        <f>IFERROR(match(C1202,'Match Day Fees'!$B$2:$B$999,0),0)=0</f>
        <v>0</v>
      </c>
      <c r="AC1202" s="3">
        <f t="shared" si="2"/>
        <v>0</v>
      </c>
      <c r="AD1202" s="3" t="str">
        <f>VLOOKUP(D1202,'Position Lookup'!A:B,1,FALSE)</f>
        <v>GK</v>
      </c>
    </row>
    <row r="1203" ht="17.25" customHeight="1">
      <c r="A1203" s="32">
        <v>45255.0</v>
      </c>
      <c r="B1203" s="5" t="s">
        <v>309</v>
      </c>
      <c r="C1203" s="5" t="s">
        <v>333</v>
      </c>
      <c r="D1203" s="5" t="s">
        <v>11</v>
      </c>
      <c r="E1203" s="5">
        <v>3.0</v>
      </c>
      <c r="F1203" s="5" t="s">
        <v>627</v>
      </c>
      <c r="G1203" s="5" t="s">
        <v>224</v>
      </c>
      <c r="J1203" s="5">
        <v>1.0</v>
      </c>
      <c r="N1203" s="5" t="b">
        <v>0</v>
      </c>
      <c r="R1203" s="5">
        <v>0.0</v>
      </c>
      <c r="T1203" s="5">
        <v>10.0</v>
      </c>
      <c r="U1203" s="5">
        <v>8.0</v>
      </c>
      <c r="V1203" s="5" t="s">
        <v>1250</v>
      </c>
      <c r="W1203" s="81" t="s">
        <v>344</v>
      </c>
      <c r="X1203" s="78" t="s">
        <v>1249</v>
      </c>
      <c r="Y1203" s="5">
        <v>3.0</v>
      </c>
      <c r="Z1203" s="5">
        <v>1.0</v>
      </c>
      <c r="AA1203" s="3">
        <f>2+ (P1203*'Scoring System'!$B$3)+ (IF(OR(D1203="DEF",D1203="GK"),N1203*'Scoring System'!$B$4,IF(D1203="MID",N1203*'Scoring System'!$B$5,0)))+ (IF(OR(D1203="DEF",D1203="GK"),H1203*'Scoring System'!$B$6,IF(D1203="MID",H1203*'Scoring System'!$B$7,IF(D1203="ATT",H1203*'Scoring System'!$B$8,0))))+ IF(AND(OR(D1203="GK",D1203="DEF"),J1203&gt;=3),1*'Scoring System'!$B$9,0)+ (I1203*'Scoring System'!$B$10)+ (K1203*'Scoring System'!$B$11)+ (M1203*'Scoring System'!$B$12)+ (L1203*'Scoring System'!$B$13)+ (O1203*'Scoring System'!$B$14)+ (Q1203*'Scoring System'!$B$15)+ (R1203*'Scoring System'!$B$16)</f>
        <v>2</v>
      </c>
      <c r="AB1203" s="3" t="b">
        <f>IFERROR(match(C1203,'Match Day Fees'!$B$2:$B$999,0),0)=0</f>
        <v>0</v>
      </c>
      <c r="AC1203" s="3">
        <f t="shared" si="2"/>
        <v>0</v>
      </c>
      <c r="AD1203" s="3" t="str">
        <f>VLOOKUP(D1203,'Position Lookup'!A:B,1,FALSE)</f>
        <v>DEF</v>
      </c>
    </row>
    <row r="1204" ht="17.25" customHeight="1">
      <c r="A1204" s="32">
        <v>45255.0</v>
      </c>
      <c r="B1204" s="5" t="s">
        <v>309</v>
      </c>
      <c r="C1204" s="5" t="s">
        <v>91</v>
      </c>
      <c r="D1204" s="5" t="s">
        <v>11</v>
      </c>
      <c r="E1204" s="5">
        <v>3.0</v>
      </c>
      <c r="F1204" s="5" t="s">
        <v>627</v>
      </c>
      <c r="G1204" s="5" t="s">
        <v>224</v>
      </c>
      <c r="J1204" s="5">
        <v>1.0</v>
      </c>
      <c r="N1204" s="5" t="b">
        <v>0</v>
      </c>
      <c r="R1204" s="5">
        <v>0.0</v>
      </c>
      <c r="T1204" s="5">
        <v>5.0</v>
      </c>
      <c r="U1204" s="5">
        <v>7.0</v>
      </c>
      <c r="V1204" s="5" t="s">
        <v>1251</v>
      </c>
      <c r="W1204" s="81" t="s">
        <v>344</v>
      </c>
      <c r="X1204" s="78" t="s">
        <v>1249</v>
      </c>
      <c r="Y1204" s="5">
        <v>3.0</v>
      </c>
      <c r="Z1204" s="5">
        <v>1.0</v>
      </c>
      <c r="AA1204" s="3">
        <f>2+ (P1204*'Scoring System'!$B$3)+ (IF(OR(D1204="DEF",D1204="GK"),N1204*'Scoring System'!$B$4,IF(D1204="MID",N1204*'Scoring System'!$B$5,0)))+ (IF(OR(D1204="DEF",D1204="GK"),H1204*'Scoring System'!$B$6,IF(D1204="MID",H1204*'Scoring System'!$B$7,IF(D1204="ATT",H1204*'Scoring System'!$B$8,0))))+ IF(AND(OR(D1204="GK",D1204="DEF"),J1204&gt;=3),1*'Scoring System'!$B$9,0)+ (I1204*'Scoring System'!$B$10)+ (K1204*'Scoring System'!$B$11)+ (M1204*'Scoring System'!$B$12)+ (L1204*'Scoring System'!$B$13)+ (O1204*'Scoring System'!$B$14)+ (Q1204*'Scoring System'!$B$15)+ (R1204*'Scoring System'!$B$16)</f>
        <v>2</v>
      </c>
      <c r="AB1204" s="3" t="b">
        <f>IFERROR(match(C1204,'Match Day Fees'!$B$2:$B$999,0),0)=0</f>
        <v>0</v>
      </c>
      <c r="AC1204" s="3">
        <f t="shared" si="2"/>
        <v>0</v>
      </c>
      <c r="AD1204" s="3" t="str">
        <f>VLOOKUP(D1204,'Position Lookup'!A:B,1,FALSE)</f>
        <v>DEF</v>
      </c>
    </row>
    <row r="1205" ht="17.25" customHeight="1">
      <c r="A1205" s="32">
        <v>45255.0</v>
      </c>
      <c r="B1205" s="5" t="s">
        <v>309</v>
      </c>
      <c r="C1205" s="5" t="s">
        <v>42</v>
      </c>
      <c r="D1205" s="5" t="s">
        <v>11</v>
      </c>
      <c r="E1205" s="5">
        <v>3.0</v>
      </c>
      <c r="F1205" s="5" t="s">
        <v>627</v>
      </c>
      <c r="G1205" s="5" t="s">
        <v>224</v>
      </c>
      <c r="J1205" s="5">
        <v>1.0</v>
      </c>
      <c r="N1205" s="5" t="b">
        <v>0</v>
      </c>
      <c r="R1205" s="5">
        <v>0.0</v>
      </c>
      <c r="T1205" s="5">
        <v>10.0</v>
      </c>
      <c r="U1205" s="5">
        <v>8.0</v>
      </c>
      <c r="V1205" s="5" t="s">
        <v>1252</v>
      </c>
      <c r="W1205" s="81" t="s">
        <v>344</v>
      </c>
      <c r="X1205" s="78" t="s">
        <v>1249</v>
      </c>
      <c r="Y1205" s="5">
        <v>3.0</v>
      </c>
      <c r="Z1205" s="5">
        <v>1.0</v>
      </c>
      <c r="AA1205" s="3">
        <f>2+ (P1205*'Scoring System'!$B$3)+ (IF(OR(D1205="DEF",D1205="GK"),N1205*'Scoring System'!$B$4,IF(D1205="MID",N1205*'Scoring System'!$B$5,0)))+ (IF(OR(D1205="DEF",D1205="GK"),H1205*'Scoring System'!$B$6,IF(D1205="MID",H1205*'Scoring System'!$B$7,IF(D1205="ATT",H1205*'Scoring System'!$B$8,0))))+ IF(AND(OR(D1205="GK",D1205="DEF"),J1205&gt;=3),1*'Scoring System'!$B$9,0)+ (I1205*'Scoring System'!$B$10)+ (K1205*'Scoring System'!$B$11)+ (M1205*'Scoring System'!$B$12)+ (L1205*'Scoring System'!$B$13)+ (O1205*'Scoring System'!$B$14)+ (Q1205*'Scoring System'!$B$15)+ (R1205*'Scoring System'!$B$16)</f>
        <v>2</v>
      </c>
      <c r="AB1205" s="3" t="b">
        <f>IFERROR(match(C1205,'Match Day Fees'!$B$2:$B$999,0),0)=0</f>
        <v>0</v>
      </c>
      <c r="AC1205" s="3">
        <f t="shared" si="2"/>
        <v>0</v>
      </c>
      <c r="AD1205" s="3" t="str">
        <f>VLOOKUP(D1205,'Position Lookup'!A:B,1,FALSE)</f>
        <v>DEF</v>
      </c>
    </row>
    <row r="1206" ht="17.25" customHeight="1">
      <c r="A1206" s="32">
        <v>45255.0</v>
      </c>
      <c r="B1206" s="5" t="s">
        <v>309</v>
      </c>
      <c r="C1206" s="5" t="s">
        <v>1253</v>
      </c>
      <c r="D1206" s="5" t="s">
        <v>11</v>
      </c>
      <c r="E1206" s="5">
        <v>3.0</v>
      </c>
      <c r="F1206" s="5" t="s">
        <v>627</v>
      </c>
      <c r="G1206" s="5" t="s">
        <v>224</v>
      </c>
      <c r="J1206" s="5">
        <v>1.0</v>
      </c>
      <c r="N1206" s="5" t="b">
        <v>0</v>
      </c>
      <c r="R1206" s="5">
        <v>0.0</v>
      </c>
      <c r="T1206" s="5">
        <v>5.0</v>
      </c>
      <c r="U1206" s="5">
        <v>7.0</v>
      </c>
      <c r="V1206" s="5" t="s">
        <v>1254</v>
      </c>
      <c r="W1206" s="81" t="s">
        <v>344</v>
      </c>
      <c r="X1206" s="78" t="s">
        <v>1249</v>
      </c>
      <c r="Y1206" s="5">
        <v>3.0</v>
      </c>
      <c r="Z1206" s="5">
        <v>1.0</v>
      </c>
      <c r="AA1206" s="3">
        <f>2+ (P1206*'Scoring System'!$B$3)+ (IF(OR(D1206="DEF",D1206="GK"),N1206*'Scoring System'!$B$4,IF(D1206="MID",N1206*'Scoring System'!$B$5,0)))+ (IF(OR(D1206="DEF",D1206="GK"),H1206*'Scoring System'!$B$6,IF(D1206="MID",H1206*'Scoring System'!$B$7,IF(D1206="ATT",H1206*'Scoring System'!$B$8,0))))+ IF(AND(OR(D1206="GK",D1206="DEF"),J1206&gt;=3),1*'Scoring System'!$B$9,0)+ (I1206*'Scoring System'!$B$10)+ (K1206*'Scoring System'!$B$11)+ (M1206*'Scoring System'!$B$12)+ (L1206*'Scoring System'!$B$13)+ (O1206*'Scoring System'!$B$14)+ (Q1206*'Scoring System'!$B$15)+ (R1206*'Scoring System'!$B$16)</f>
        <v>2</v>
      </c>
      <c r="AB1206" s="3" t="b">
        <f>IFERROR(match(C1206,'Match Day Fees'!$B$2:$B$999,0),0)=0</f>
        <v>0</v>
      </c>
      <c r="AC1206" s="3">
        <f t="shared" si="2"/>
        <v>0</v>
      </c>
      <c r="AD1206" s="3" t="str">
        <f>VLOOKUP(D1206,'Position Lookup'!A:B,1,FALSE)</f>
        <v>DEF</v>
      </c>
    </row>
    <row r="1207" ht="17.25" customHeight="1">
      <c r="A1207" s="32">
        <v>45255.0</v>
      </c>
      <c r="B1207" s="5" t="s">
        <v>309</v>
      </c>
      <c r="C1207" s="5" t="s">
        <v>151</v>
      </c>
      <c r="D1207" s="5" t="s">
        <v>10</v>
      </c>
      <c r="E1207" s="5">
        <v>3.0</v>
      </c>
      <c r="F1207" s="5" t="s">
        <v>627</v>
      </c>
      <c r="G1207" s="5" t="s">
        <v>224</v>
      </c>
      <c r="I1207" s="5">
        <v>1.0</v>
      </c>
      <c r="J1207" s="5">
        <v>1.0</v>
      </c>
      <c r="N1207" s="5" t="b">
        <v>0</v>
      </c>
      <c r="R1207" s="5">
        <v>0.0</v>
      </c>
      <c r="T1207" s="5">
        <v>5.0</v>
      </c>
      <c r="U1207" s="5">
        <v>7.0</v>
      </c>
      <c r="V1207" s="5" t="s">
        <v>1255</v>
      </c>
      <c r="W1207" s="81" t="s">
        <v>344</v>
      </c>
      <c r="X1207" s="78" t="s">
        <v>1249</v>
      </c>
      <c r="Y1207" s="5">
        <v>3.0</v>
      </c>
      <c r="Z1207" s="5">
        <v>1.0</v>
      </c>
      <c r="AA1207" s="3">
        <f>2+ (P1207*'Scoring System'!$B$3)+ (IF(OR(D1207="DEF",D1207="GK"),N1207*'Scoring System'!$B$4,IF(D1207="MID",N1207*'Scoring System'!$B$5,0)))+ (IF(OR(D1207="DEF",D1207="GK"),H1207*'Scoring System'!$B$6,IF(D1207="MID",H1207*'Scoring System'!$B$7,IF(D1207="ATT",H1207*'Scoring System'!$B$8,0))))+ IF(AND(OR(D1207="GK",D1207="DEF"),J1207&gt;=3),1*'Scoring System'!$B$9,0)+ (I1207*'Scoring System'!$B$10)+ (K1207*'Scoring System'!$B$11)+ (M1207*'Scoring System'!$B$12)+ (L1207*'Scoring System'!$B$13)+ (O1207*'Scoring System'!$B$14)+ (Q1207*'Scoring System'!$B$15)+ (R1207*'Scoring System'!$B$16)</f>
        <v>5</v>
      </c>
      <c r="AB1207" s="3" t="b">
        <f>IFERROR(match(C1207,'Match Day Fees'!$B$2:$B$999,0),0)=0</f>
        <v>0</v>
      </c>
      <c r="AC1207" s="3">
        <f t="shared" si="2"/>
        <v>0</v>
      </c>
      <c r="AD1207" s="3" t="str">
        <f>VLOOKUP(D1207,'Position Lookup'!A:B,1,FALSE)</f>
        <v>MID</v>
      </c>
    </row>
    <row r="1208" ht="17.25" customHeight="1">
      <c r="A1208" s="32">
        <v>45255.0</v>
      </c>
      <c r="B1208" s="5" t="s">
        <v>309</v>
      </c>
      <c r="C1208" s="5" t="s">
        <v>39</v>
      </c>
      <c r="D1208" s="5" t="s">
        <v>10</v>
      </c>
      <c r="E1208" s="5">
        <v>3.0</v>
      </c>
      <c r="F1208" s="5" t="s">
        <v>627</v>
      </c>
      <c r="G1208" s="5" t="s">
        <v>224</v>
      </c>
      <c r="J1208" s="5">
        <v>1.0</v>
      </c>
      <c r="N1208" s="5" t="b">
        <v>0</v>
      </c>
      <c r="R1208" s="5">
        <v>0.0</v>
      </c>
      <c r="T1208" s="5">
        <v>10.0</v>
      </c>
      <c r="U1208" s="5">
        <v>7.0</v>
      </c>
      <c r="V1208" s="5" t="s">
        <v>1256</v>
      </c>
      <c r="W1208" s="81" t="s">
        <v>344</v>
      </c>
      <c r="X1208" s="78" t="s">
        <v>1249</v>
      </c>
      <c r="Y1208" s="5">
        <v>3.0</v>
      </c>
      <c r="Z1208" s="5">
        <v>1.0</v>
      </c>
      <c r="AA1208" s="3">
        <f>2+ (P1208*'Scoring System'!$B$3)+ (IF(OR(D1208="DEF",D1208="GK"),N1208*'Scoring System'!$B$4,IF(D1208="MID",N1208*'Scoring System'!$B$5,0)))+ (IF(OR(D1208="DEF",D1208="GK"),H1208*'Scoring System'!$B$6,IF(D1208="MID",H1208*'Scoring System'!$B$7,IF(D1208="ATT",H1208*'Scoring System'!$B$8,0))))+ IF(AND(OR(D1208="GK",D1208="DEF"),J1208&gt;=3),1*'Scoring System'!$B$9,0)+ (I1208*'Scoring System'!$B$10)+ (K1208*'Scoring System'!$B$11)+ (M1208*'Scoring System'!$B$12)+ (L1208*'Scoring System'!$B$13)+ (O1208*'Scoring System'!$B$14)+ (Q1208*'Scoring System'!$B$15)+ (R1208*'Scoring System'!$B$16)</f>
        <v>2</v>
      </c>
      <c r="AB1208" s="3" t="b">
        <f>IFERROR(match(C1208,'Match Day Fees'!$B$2:$B$999,0),0)=0</f>
        <v>0</v>
      </c>
      <c r="AC1208" s="3">
        <f t="shared" si="2"/>
        <v>0</v>
      </c>
      <c r="AD1208" s="3" t="str">
        <f>VLOOKUP(D1208,'Position Lookup'!A:B,1,FALSE)</f>
        <v>MID</v>
      </c>
    </row>
    <row r="1209" ht="17.25" customHeight="1">
      <c r="A1209" s="32">
        <v>45255.0</v>
      </c>
      <c r="B1209" s="5" t="s">
        <v>309</v>
      </c>
      <c r="C1209" s="5" t="s">
        <v>130</v>
      </c>
      <c r="D1209" s="5" t="s">
        <v>10</v>
      </c>
      <c r="E1209" s="5">
        <v>3.0</v>
      </c>
      <c r="F1209" s="5" t="s">
        <v>627</v>
      </c>
      <c r="G1209" s="5" t="s">
        <v>224</v>
      </c>
      <c r="H1209" s="5">
        <v>2.0</v>
      </c>
      <c r="J1209" s="5">
        <v>1.0</v>
      </c>
      <c r="N1209" s="5" t="b">
        <v>0</v>
      </c>
      <c r="R1209" s="5">
        <v>0.0</v>
      </c>
      <c r="T1209" s="5">
        <v>10.0</v>
      </c>
      <c r="U1209" s="5">
        <v>9.0</v>
      </c>
      <c r="V1209" s="5" t="s">
        <v>1257</v>
      </c>
      <c r="W1209" s="81" t="s">
        <v>344</v>
      </c>
      <c r="X1209" s="78" t="s">
        <v>1249</v>
      </c>
      <c r="Y1209" s="5">
        <v>3.0</v>
      </c>
      <c r="Z1209" s="5">
        <v>1.0</v>
      </c>
      <c r="AA1209" s="3">
        <f>2+ (P1209*'Scoring System'!$B$3)+ (IF(OR(D1209="DEF",D1209="GK"),N1209*'Scoring System'!$B$4,IF(D1209="MID",N1209*'Scoring System'!$B$5,0)))+ (IF(OR(D1209="DEF",D1209="GK"),H1209*'Scoring System'!$B$6,IF(D1209="MID",H1209*'Scoring System'!$B$7,IF(D1209="ATT",H1209*'Scoring System'!$B$8,0))))+ IF(AND(OR(D1209="GK",D1209="DEF"),J1209&gt;=3),1*'Scoring System'!$B$9,0)+ (I1209*'Scoring System'!$B$10)+ (K1209*'Scoring System'!$B$11)+ (M1209*'Scoring System'!$B$12)+ (L1209*'Scoring System'!$B$13)+ (O1209*'Scoring System'!$B$14)+ (Q1209*'Scoring System'!$B$15)+ (R1209*'Scoring System'!$B$16)</f>
        <v>12</v>
      </c>
      <c r="AB1209" s="3" t="b">
        <f>IFERROR(match(C1209,'Match Day Fees'!$B$2:$B$999,0),0)=0</f>
        <v>0</v>
      </c>
      <c r="AC1209" s="3">
        <f t="shared" si="2"/>
        <v>0</v>
      </c>
      <c r="AD1209" s="3" t="str">
        <f>VLOOKUP(D1209,'Position Lookup'!A:B,1,FALSE)</f>
        <v>MID</v>
      </c>
    </row>
    <row r="1210" ht="17.25" customHeight="1">
      <c r="A1210" s="32">
        <v>45255.0</v>
      </c>
      <c r="B1210" s="5" t="s">
        <v>309</v>
      </c>
      <c r="C1210" s="5" t="s">
        <v>254</v>
      </c>
      <c r="D1210" s="5" t="s">
        <v>9</v>
      </c>
      <c r="E1210" s="5">
        <v>3.0</v>
      </c>
      <c r="F1210" s="5" t="s">
        <v>627</v>
      </c>
      <c r="G1210" s="5" t="s">
        <v>224</v>
      </c>
      <c r="J1210" s="5">
        <v>1.0</v>
      </c>
      <c r="N1210" s="5" t="b">
        <v>0</v>
      </c>
      <c r="R1210" s="5">
        <v>0.0</v>
      </c>
      <c r="S1210" s="5" t="b">
        <v>1</v>
      </c>
      <c r="T1210" s="5">
        <v>0.0</v>
      </c>
      <c r="U1210" s="5">
        <v>7.5</v>
      </c>
      <c r="V1210" s="5" t="s">
        <v>1258</v>
      </c>
      <c r="W1210" s="81" t="s">
        <v>344</v>
      </c>
      <c r="X1210" s="78" t="s">
        <v>1249</v>
      </c>
      <c r="Y1210" s="5">
        <v>3.0</v>
      </c>
      <c r="Z1210" s="5">
        <v>1.0</v>
      </c>
      <c r="AA1210" s="3">
        <f>2+ (P1210*'Scoring System'!$B$3)+ (IF(OR(D1210="DEF",D1210="GK"),N1210*'Scoring System'!$B$4,IF(D1210="MID",N1210*'Scoring System'!$B$5,0)))+ (IF(OR(D1210="DEF",D1210="GK"),H1210*'Scoring System'!$B$6,IF(D1210="MID",H1210*'Scoring System'!$B$7,IF(D1210="ATT",H1210*'Scoring System'!$B$8,0))))+ IF(AND(OR(D1210="GK",D1210="DEF"),J1210&gt;=3),1*'Scoring System'!$B$9,0)+ (I1210*'Scoring System'!$B$10)+ (K1210*'Scoring System'!$B$11)+ (M1210*'Scoring System'!$B$12)+ (L1210*'Scoring System'!$B$13)+ (O1210*'Scoring System'!$B$14)+ (Q1210*'Scoring System'!$B$15)+ (R1210*'Scoring System'!$B$16)</f>
        <v>2</v>
      </c>
      <c r="AB1210" s="3" t="b">
        <f>IFERROR(match(C1210,'Match Day Fees'!$B$2:$B$999,0),0)=0</f>
        <v>0</v>
      </c>
      <c r="AC1210" s="3">
        <f t="shared" si="2"/>
        <v>0</v>
      </c>
      <c r="AD1210" s="3" t="str">
        <f>VLOOKUP(D1210,'Position Lookup'!A:B,1,FALSE)</f>
        <v>ATT</v>
      </c>
    </row>
    <row r="1211" ht="17.25" customHeight="1">
      <c r="A1211" s="32">
        <v>45255.0</v>
      </c>
      <c r="B1211" s="5" t="s">
        <v>309</v>
      </c>
      <c r="C1211" s="5" t="s">
        <v>893</v>
      </c>
      <c r="D1211" s="5" t="s">
        <v>9</v>
      </c>
      <c r="E1211" s="5">
        <v>3.0</v>
      </c>
      <c r="F1211" s="5" t="s">
        <v>627</v>
      </c>
      <c r="G1211" s="5" t="s">
        <v>224</v>
      </c>
      <c r="I1211" s="5">
        <v>1.0</v>
      </c>
      <c r="J1211" s="5">
        <v>1.0</v>
      </c>
      <c r="N1211" s="5" t="b">
        <v>0</v>
      </c>
      <c r="R1211" s="5">
        <v>0.0</v>
      </c>
      <c r="T1211" s="5">
        <v>10.0</v>
      </c>
      <c r="U1211" s="5">
        <v>7.0</v>
      </c>
      <c r="V1211" s="5" t="s">
        <v>1259</v>
      </c>
      <c r="W1211" s="81" t="s">
        <v>344</v>
      </c>
      <c r="X1211" s="78" t="s">
        <v>1249</v>
      </c>
      <c r="Y1211" s="5">
        <v>3.0</v>
      </c>
      <c r="Z1211" s="5">
        <v>1.0</v>
      </c>
      <c r="AA1211" s="3">
        <f>2+ (P1211*'Scoring System'!$B$3)+ (IF(OR(D1211="DEF",D1211="GK"),N1211*'Scoring System'!$B$4,IF(D1211="MID",N1211*'Scoring System'!$B$5,0)))+ (IF(OR(D1211="DEF",D1211="GK"),H1211*'Scoring System'!$B$6,IF(D1211="MID",H1211*'Scoring System'!$B$7,IF(D1211="ATT",H1211*'Scoring System'!$B$8,0))))+ IF(AND(OR(D1211="GK",D1211="DEF"),J1211&gt;=3),1*'Scoring System'!$B$9,0)+ (I1211*'Scoring System'!$B$10)+ (K1211*'Scoring System'!$B$11)+ (M1211*'Scoring System'!$B$12)+ (L1211*'Scoring System'!$B$13)+ (O1211*'Scoring System'!$B$14)+ (Q1211*'Scoring System'!$B$15)+ (R1211*'Scoring System'!$B$16)</f>
        <v>5</v>
      </c>
      <c r="AB1211" s="3" t="b">
        <f>IFERROR(match(C1211,'Match Day Fees'!$B$2:$B$999,0),0)=0</f>
        <v>0</v>
      </c>
      <c r="AC1211" s="3">
        <f t="shared" si="2"/>
        <v>0</v>
      </c>
      <c r="AD1211" s="3" t="str">
        <f>VLOOKUP(D1211,'Position Lookup'!A:B,1,FALSE)</f>
        <v>ATT</v>
      </c>
    </row>
    <row r="1212" ht="17.25" customHeight="1">
      <c r="A1212" s="32">
        <v>45255.0</v>
      </c>
      <c r="B1212" s="5" t="s">
        <v>309</v>
      </c>
      <c r="C1212" s="5" t="s">
        <v>46</v>
      </c>
      <c r="D1212" s="5" t="s">
        <v>9</v>
      </c>
      <c r="E1212" s="5">
        <v>3.0</v>
      </c>
      <c r="F1212" s="5" t="s">
        <v>627</v>
      </c>
      <c r="G1212" s="5" t="s">
        <v>224</v>
      </c>
      <c r="J1212" s="5">
        <v>1.0</v>
      </c>
      <c r="N1212" s="5" t="b">
        <v>0</v>
      </c>
      <c r="R1212" s="5">
        <v>0.0</v>
      </c>
      <c r="T1212" s="5">
        <v>10.0</v>
      </c>
      <c r="U1212" s="5">
        <v>7.5</v>
      </c>
      <c r="V1212" s="5" t="s">
        <v>1260</v>
      </c>
      <c r="W1212" s="81" t="s">
        <v>344</v>
      </c>
      <c r="X1212" s="78" t="s">
        <v>1249</v>
      </c>
      <c r="Y1212" s="5">
        <v>3.0</v>
      </c>
      <c r="Z1212" s="5">
        <v>1.0</v>
      </c>
      <c r="AA1212" s="3">
        <f>2+ (P1212*'Scoring System'!$B$3)+ (IF(OR(D1212="DEF",D1212="GK"),N1212*'Scoring System'!$B$4,IF(D1212="MID",N1212*'Scoring System'!$B$5,0)))+ (IF(OR(D1212="DEF",D1212="GK"),H1212*'Scoring System'!$B$6,IF(D1212="MID",H1212*'Scoring System'!$B$7,IF(D1212="ATT",H1212*'Scoring System'!$B$8,0))))+ IF(AND(OR(D1212="GK",D1212="DEF"),J1212&gt;=3),1*'Scoring System'!$B$9,0)+ (I1212*'Scoring System'!$B$10)+ (K1212*'Scoring System'!$B$11)+ (M1212*'Scoring System'!$B$12)+ (L1212*'Scoring System'!$B$13)+ (O1212*'Scoring System'!$B$14)+ (Q1212*'Scoring System'!$B$15)+ (R1212*'Scoring System'!$B$16)</f>
        <v>2</v>
      </c>
      <c r="AB1212" s="3" t="b">
        <f>IFERROR(match(C1212,'Match Day Fees'!$B$2:$B$999,0),0)=0</f>
        <v>0</v>
      </c>
      <c r="AC1212" s="3">
        <f t="shared" si="2"/>
        <v>0</v>
      </c>
      <c r="AD1212" s="3" t="str">
        <f>VLOOKUP(D1212,'Position Lookup'!A:B,1,FALSE)</f>
        <v>ATT</v>
      </c>
    </row>
    <row r="1213" ht="17.25" customHeight="1">
      <c r="A1213" s="32">
        <v>45255.0</v>
      </c>
      <c r="B1213" s="5" t="s">
        <v>309</v>
      </c>
      <c r="C1213" s="5" t="s">
        <v>125</v>
      </c>
      <c r="D1213" s="5" t="s">
        <v>10</v>
      </c>
      <c r="E1213" s="5">
        <v>3.0</v>
      </c>
      <c r="F1213" s="5" t="s">
        <v>627</v>
      </c>
      <c r="G1213" s="5" t="s">
        <v>224</v>
      </c>
      <c r="H1213" s="5">
        <v>1.0</v>
      </c>
      <c r="I1213" s="5">
        <v>1.0</v>
      </c>
      <c r="J1213" s="5">
        <v>1.0</v>
      </c>
      <c r="N1213" s="5" t="b">
        <v>0</v>
      </c>
      <c r="R1213" s="5">
        <v>1.0</v>
      </c>
      <c r="T1213" s="5">
        <v>10.0</v>
      </c>
      <c r="U1213" s="5">
        <v>8.0</v>
      </c>
      <c r="V1213" s="5" t="s">
        <v>1261</v>
      </c>
      <c r="W1213" s="81" t="s">
        <v>344</v>
      </c>
      <c r="X1213" s="78" t="s">
        <v>1249</v>
      </c>
      <c r="Y1213" s="5">
        <v>3.0</v>
      </c>
      <c r="Z1213" s="5">
        <v>1.0</v>
      </c>
      <c r="AA1213" s="3">
        <f>2+ (P1213*'Scoring System'!$B$3)+ (IF(OR(D1213="DEF",D1213="GK"),N1213*'Scoring System'!$B$4,IF(D1213="MID",N1213*'Scoring System'!$B$5,0)))+ (IF(OR(D1213="DEF",D1213="GK"),H1213*'Scoring System'!$B$6,IF(D1213="MID",H1213*'Scoring System'!$B$7,IF(D1213="ATT",H1213*'Scoring System'!$B$8,0))))+ IF(AND(OR(D1213="GK",D1213="DEF"),J1213&gt;=3),1*'Scoring System'!$B$9,0)+ (I1213*'Scoring System'!$B$10)+ (K1213*'Scoring System'!$B$11)+ (M1213*'Scoring System'!$B$12)+ (L1213*'Scoring System'!$B$13)+ (O1213*'Scoring System'!$B$14)+ (Q1213*'Scoring System'!$B$15)+ (R1213*'Scoring System'!$B$16)</f>
        <v>15</v>
      </c>
      <c r="AB1213" s="3" t="b">
        <f>IFERROR(match(C1213,'Match Day Fees'!$B$2:$B$999,0),0)=0</f>
        <v>0</v>
      </c>
      <c r="AC1213" s="3">
        <f t="shared" si="2"/>
        <v>0</v>
      </c>
      <c r="AD1213" s="3" t="str">
        <f>VLOOKUP(D1213,'Position Lookup'!A:B,1,FALSE)</f>
        <v>MID</v>
      </c>
    </row>
    <row r="1214" ht="17.25" customHeight="1">
      <c r="A1214" s="32">
        <v>45255.0</v>
      </c>
      <c r="B1214" s="5" t="s">
        <v>309</v>
      </c>
      <c r="C1214" s="5" t="s">
        <v>1262</v>
      </c>
      <c r="D1214" s="5" t="s">
        <v>11</v>
      </c>
      <c r="E1214" s="5">
        <v>3.0</v>
      </c>
      <c r="F1214" s="5" t="s">
        <v>627</v>
      </c>
      <c r="G1214" s="5" t="s">
        <v>224</v>
      </c>
      <c r="J1214" s="5">
        <v>1.0</v>
      </c>
      <c r="N1214" s="5" t="b">
        <v>0</v>
      </c>
      <c r="R1214" s="5">
        <v>0.0</v>
      </c>
      <c r="S1214" s="5" t="b">
        <v>1</v>
      </c>
      <c r="T1214" s="5">
        <v>0.0</v>
      </c>
      <c r="W1214" s="81" t="s">
        <v>344</v>
      </c>
      <c r="X1214" s="78" t="s">
        <v>1249</v>
      </c>
      <c r="Y1214" s="5">
        <v>3.0</v>
      </c>
      <c r="Z1214" s="5">
        <v>1.0</v>
      </c>
      <c r="AA1214" s="3">
        <f>2+ (P1214*'Scoring System'!$B$3)+ (IF(OR(D1214="DEF",D1214="GK"),N1214*'Scoring System'!$B$4,IF(D1214="MID",N1214*'Scoring System'!$B$5,0)))+ (IF(OR(D1214="DEF",D1214="GK"),H1214*'Scoring System'!$B$6,IF(D1214="MID",H1214*'Scoring System'!$B$7,IF(D1214="ATT",H1214*'Scoring System'!$B$8,0))))+ IF(AND(OR(D1214="GK",D1214="DEF"),J1214&gt;=3),1*'Scoring System'!$B$9,0)+ (I1214*'Scoring System'!$B$10)+ (K1214*'Scoring System'!$B$11)+ (M1214*'Scoring System'!$B$12)+ (L1214*'Scoring System'!$B$13)+ (O1214*'Scoring System'!$B$14)+ (Q1214*'Scoring System'!$B$15)+ (R1214*'Scoring System'!$B$16)</f>
        <v>2</v>
      </c>
      <c r="AB1214" s="3" t="b">
        <f>IFERROR(match(C1214,'Match Day Fees'!$B$2:$B$999,0),0)=0</f>
        <v>0</v>
      </c>
      <c r="AC1214" s="3">
        <f t="shared" si="2"/>
        <v>0</v>
      </c>
      <c r="AD1214" s="3" t="str">
        <f>VLOOKUP(D1214,'Position Lookup'!A:B,1,FALSE)</f>
        <v>DEF</v>
      </c>
    </row>
    <row r="1215" ht="17.25" customHeight="1">
      <c r="A1215" s="32">
        <v>45255.0</v>
      </c>
      <c r="B1215" s="5" t="s">
        <v>309</v>
      </c>
      <c r="C1215" s="5" t="s">
        <v>124</v>
      </c>
      <c r="D1215" s="5" t="s">
        <v>8</v>
      </c>
      <c r="E1215" s="5">
        <v>4.0</v>
      </c>
      <c r="F1215" s="5" t="s">
        <v>1263</v>
      </c>
      <c r="G1215" s="5" t="s">
        <v>230</v>
      </c>
      <c r="J1215" s="5">
        <v>3.0</v>
      </c>
      <c r="N1215" s="5" t="b">
        <v>0</v>
      </c>
      <c r="R1215" s="5">
        <v>0.0</v>
      </c>
      <c r="T1215" s="5">
        <v>0.0</v>
      </c>
      <c r="U1215" s="3">
        <v>5.5</v>
      </c>
      <c r="V1215" s="3" t="s">
        <v>1264</v>
      </c>
      <c r="W1215" s="3" t="s">
        <v>1067</v>
      </c>
      <c r="X1215" s="77" t="s">
        <v>1265</v>
      </c>
      <c r="Y1215" s="5">
        <v>1.0</v>
      </c>
      <c r="Z1215" s="5">
        <v>3.0</v>
      </c>
      <c r="AA1215" s="3">
        <f>2+ (P1215*'Scoring System'!$B$3)+ (IF(OR(D1215="DEF",D1215="GK"),N1215*'Scoring System'!$B$4,IF(D1215="MID",N1215*'Scoring System'!$B$5,0)))+ (IF(OR(D1215="DEF",D1215="GK"),H1215*'Scoring System'!$B$6,IF(D1215="MID",H1215*'Scoring System'!$B$7,IF(D1215="ATT",H1215*'Scoring System'!$B$8,0))))+ IF(AND(OR(D1215="GK",D1215="DEF"),J1215&gt;=3),1*'Scoring System'!$B$9,0)+ (I1215*'Scoring System'!$B$10)+ (K1215*'Scoring System'!$B$11)+ (M1215*'Scoring System'!$B$12)+ (L1215*'Scoring System'!$B$13)+ (O1215*'Scoring System'!$B$14)+ (Q1215*'Scoring System'!$B$15)+ (R1215*'Scoring System'!$B$16)</f>
        <v>1</v>
      </c>
      <c r="AB1215" s="3" t="b">
        <f>IFERROR(match(C1215,'Match Day Fees'!$B$2:$B$999,0),0)=0</f>
        <v>0</v>
      </c>
      <c r="AC1215" s="3">
        <f t="shared" si="2"/>
        <v>0</v>
      </c>
      <c r="AD1215" s="3" t="str">
        <f>VLOOKUP(D1215,'Position Lookup'!A:B,1,FALSE)</f>
        <v>GK</v>
      </c>
    </row>
    <row r="1216" ht="17.25" customHeight="1">
      <c r="A1216" s="32">
        <v>45255.0</v>
      </c>
      <c r="B1216" s="5" t="s">
        <v>309</v>
      </c>
      <c r="C1216" s="5" t="s">
        <v>126</v>
      </c>
      <c r="D1216" s="5" t="s">
        <v>11</v>
      </c>
      <c r="E1216" s="5">
        <v>4.0</v>
      </c>
      <c r="F1216" s="5" t="s">
        <v>1263</v>
      </c>
      <c r="G1216" s="5" t="s">
        <v>230</v>
      </c>
      <c r="I1216" s="5">
        <v>1.0</v>
      </c>
      <c r="J1216" s="5">
        <v>3.0</v>
      </c>
      <c r="N1216" s="5" t="b">
        <v>0</v>
      </c>
      <c r="R1216" s="5">
        <v>0.0</v>
      </c>
      <c r="T1216" s="5">
        <v>5.0</v>
      </c>
      <c r="U1216" s="3">
        <v>6.5</v>
      </c>
      <c r="V1216" s="3" t="s">
        <v>1266</v>
      </c>
      <c r="W1216" s="3" t="s">
        <v>1067</v>
      </c>
      <c r="X1216" s="77" t="s">
        <v>1265</v>
      </c>
      <c r="Y1216" s="5">
        <v>1.0</v>
      </c>
      <c r="Z1216" s="5">
        <v>3.0</v>
      </c>
      <c r="AA1216" s="3">
        <f>2+ (P1216*'Scoring System'!$B$3)+ (IF(OR(D1216="DEF",D1216="GK"),N1216*'Scoring System'!$B$4,IF(D1216="MID",N1216*'Scoring System'!$B$5,0)))+ (IF(OR(D1216="DEF",D1216="GK"),H1216*'Scoring System'!$B$6,IF(D1216="MID",H1216*'Scoring System'!$B$7,IF(D1216="ATT",H1216*'Scoring System'!$B$8,0))))+ IF(AND(OR(D1216="GK",D1216="DEF"),J1216&gt;=3),1*'Scoring System'!$B$9,0)+ (I1216*'Scoring System'!$B$10)+ (K1216*'Scoring System'!$B$11)+ (M1216*'Scoring System'!$B$12)+ (L1216*'Scoring System'!$B$13)+ (O1216*'Scoring System'!$B$14)+ (Q1216*'Scoring System'!$B$15)+ (R1216*'Scoring System'!$B$16)</f>
        <v>4</v>
      </c>
      <c r="AB1216" s="3" t="b">
        <f>IFERROR(match(C1216,'Match Day Fees'!$B$2:$B$999,0),0)=0</f>
        <v>0</v>
      </c>
      <c r="AC1216" s="3">
        <f t="shared" si="2"/>
        <v>0</v>
      </c>
      <c r="AD1216" s="3" t="str">
        <f>VLOOKUP(D1216,'Position Lookup'!A:B,1,FALSE)</f>
        <v>DEF</v>
      </c>
    </row>
    <row r="1217" ht="17.25" customHeight="1">
      <c r="A1217" s="32">
        <v>45255.0</v>
      </c>
      <c r="B1217" s="5" t="s">
        <v>309</v>
      </c>
      <c r="C1217" s="5" t="s">
        <v>1153</v>
      </c>
      <c r="D1217" s="5" t="s">
        <v>11</v>
      </c>
      <c r="E1217" s="5">
        <v>4.0</v>
      </c>
      <c r="F1217" s="5" t="s">
        <v>1263</v>
      </c>
      <c r="G1217" s="5" t="s">
        <v>230</v>
      </c>
      <c r="J1217" s="5">
        <v>3.0</v>
      </c>
      <c r="N1217" s="5" t="b">
        <v>0</v>
      </c>
      <c r="R1217" s="5">
        <v>0.0</v>
      </c>
      <c r="T1217" s="5">
        <v>10.0</v>
      </c>
      <c r="U1217" s="3">
        <v>6.0</v>
      </c>
      <c r="V1217" s="3" t="s">
        <v>1267</v>
      </c>
      <c r="W1217" s="3" t="s">
        <v>1067</v>
      </c>
      <c r="X1217" s="77" t="s">
        <v>1265</v>
      </c>
      <c r="Y1217" s="5">
        <v>1.0</v>
      </c>
      <c r="Z1217" s="5">
        <v>3.0</v>
      </c>
      <c r="AA1217" s="3">
        <f>2+ (P1217*'Scoring System'!$B$3)+ (IF(OR(D1217="DEF",D1217="GK"),N1217*'Scoring System'!$B$4,IF(D1217="MID",N1217*'Scoring System'!$B$5,0)))+ (IF(OR(D1217="DEF",D1217="GK"),H1217*'Scoring System'!$B$6,IF(D1217="MID",H1217*'Scoring System'!$B$7,IF(D1217="ATT",H1217*'Scoring System'!$B$8,0))))+ IF(AND(OR(D1217="GK",D1217="DEF"),J1217&gt;=3),1*'Scoring System'!$B$9,0)+ (I1217*'Scoring System'!$B$10)+ (K1217*'Scoring System'!$B$11)+ (M1217*'Scoring System'!$B$12)+ (L1217*'Scoring System'!$B$13)+ (O1217*'Scoring System'!$B$14)+ (Q1217*'Scoring System'!$B$15)+ (R1217*'Scoring System'!$B$16)</f>
        <v>1</v>
      </c>
      <c r="AB1217" s="3" t="b">
        <f>IFERROR(match(C1217,'Match Day Fees'!$B$2:$B$999,0),0)=0</f>
        <v>0</v>
      </c>
      <c r="AC1217" s="3">
        <f t="shared" si="2"/>
        <v>0</v>
      </c>
      <c r="AD1217" s="3" t="str">
        <f>VLOOKUP(D1217,'Position Lookup'!A:B,1,FALSE)</f>
        <v>DEF</v>
      </c>
    </row>
    <row r="1218" ht="17.25" customHeight="1">
      <c r="A1218" s="32">
        <v>45255.0</v>
      </c>
      <c r="B1218" s="5" t="s">
        <v>309</v>
      </c>
      <c r="C1218" s="5" t="s">
        <v>127</v>
      </c>
      <c r="D1218" s="5" t="s">
        <v>11</v>
      </c>
      <c r="E1218" s="5">
        <v>4.0</v>
      </c>
      <c r="F1218" s="5" t="s">
        <v>1263</v>
      </c>
      <c r="G1218" s="5" t="s">
        <v>230</v>
      </c>
      <c r="J1218" s="5">
        <v>3.0</v>
      </c>
      <c r="N1218" s="5" t="b">
        <v>0</v>
      </c>
      <c r="R1218" s="5">
        <v>0.0</v>
      </c>
      <c r="T1218" s="5">
        <v>10.0</v>
      </c>
      <c r="U1218" s="3">
        <v>6.0</v>
      </c>
      <c r="V1218" s="3" t="s">
        <v>1268</v>
      </c>
      <c r="W1218" s="3" t="s">
        <v>1067</v>
      </c>
      <c r="X1218" s="77" t="s">
        <v>1265</v>
      </c>
      <c r="Y1218" s="5">
        <v>1.0</v>
      </c>
      <c r="Z1218" s="5">
        <v>3.0</v>
      </c>
      <c r="AA1218" s="3">
        <f>2+ (P1218*'Scoring System'!$B$3)+ (IF(OR(D1218="DEF",D1218="GK"),N1218*'Scoring System'!$B$4,IF(D1218="MID",N1218*'Scoring System'!$B$5,0)))+ (IF(OR(D1218="DEF",D1218="GK"),H1218*'Scoring System'!$B$6,IF(D1218="MID",H1218*'Scoring System'!$B$7,IF(D1218="ATT",H1218*'Scoring System'!$B$8,0))))+ IF(AND(OR(D1218="GK",D1218="DEF"),J1218&gt;=3),1*'Scoring System'!$B$9,0)+ (I1218*'Scoring System'!$B$10)+ (K1218*'Scoring System'!$B$11)+ (M1218*'Scoring System'!$B$12)+ (L1218*'Scoring System'!$B$13)+ (O1218*'Scoring System'!$B$14)+ (Q1218*'Scoring System'!$B$15)+ (R1218*'Scoring System'!$B$16)</f>
        <v>1</v>
      </c>
      <c r="AB1218" s="3" t="b">
        <f>IFERROR(match(C1218,'Match Day Fees'!$B$2:$B$999,0),0)=0</f>
        <v>0</v>
      </c>
      <c r="AC1218" s="3">
        <f t="shared" si="2"/>
        <v>0</v>
      </c>
      <c r="AD1218" s="3" t="str">
        <f>VLOOKUP(D1218,'Position Lookup'!A:B,1,FALSE)</f>
        <v>DEF</v>
      </c>
    </row>
    <row r="1219" ht="17.25" customHeight="1">
      <c r="A1219" s="32">
        <v>45255.0</v>
      </c>
      <c r="B1219" s="5" t="s">
        <v>309</v>
      </c>
      <c r="C1219" s="5" t="s">
        <v>149</v>
      </c>
      <c r="D1219" s="5" t="s">
        <v>11</v>
      </c>
      <c r="E1219" s="5">
        <v>4.0</v>
      </c>
      <c r="F1219" s="5" t="s">
        <v>1263</v>
      </c>
      <c r="G1219" s="5" t="s">
        <v>230</v>
      </c>
      <c r="J1219" s="5">
        <v>3.0</v>
      </c>
      <c r="N1219" s="5" t="b">
        <v>0</v>
      </c>
      <c r="R1219" s="5">
        <v>0.0</v>
      </c>
      <c r="T1219" s="5">
        <v>10.0</v>
      </c>
      <c r="U1219" s="3">
        <v>6.0</v>
      </c>
      <c r="V1219" s="3" t="s">
        <v>1269</v>
      </c>
      <c r="W1219" s="3" t="s">
        <v>1067</v>
      </c>
      <c r="X1219" s="77" t="s">
        <v>1265</v>
      </c>
      <c r="Y1219" s="5">
        <v>1.0</v>
      </c>
      <c r="Z1219" s="5">
        <v>3.0</v>
      </c>
      <c r="AA1219" s="3">
        <f>2+ (P1219*'Scoring System'!$B$3)+ (IF(OR(D1219="DEF",D1219="GK"),N1219*'Scoring System'!$B$4,IF(D1219="MID",N1219*'Scoring System'!$B$5,0)))+ (IF(OR(D1219="DEF",D1219="GK"),H1219*'Scoring System'!$B$6,IF(D1219="MID",H1219*'Scoring System'!$B$7,IF(D1219="ATT",H1219*'Scoring System'!$B$8,0))))+ IF(AND(OR(D1219="GK",D1219="DEF"),J1219&gt;=3),1*'Scoring System'!$B$9,0)+ (I1219*'Scoring System'!$B$10)+ (K1219*'Scoring System'!$B$11)+ (M1219*'Scoring System'!$B$12)+ (L1219*'Scoring System'!$B$13)+ (O1219*'Scoring System'!$B$14)+ (Q1219*'Scoring System'!$B$15)+ (R1219*'Scoring System'!$B$16)</f>
        <v>1</v>
      </c>
      <c r="AB1219" s="3" t="b">
        <f>IFERROR(match(C1219,'Match Day Fees'!$B$2:$B$999,0),0)=0</f>
        <v>0</v>
      </c>
      <c r="AC1219" s="3">
        <f t="shared" si="2"/>
        <v>0</v>
      </c>
      <c r="AD1219" s="3" t="str">
        <f>VLOOKUP(D1219,'Position Lookup'!A:B,1,FALSE)</f>
        <v>DEF</v>
      </c>
    </row>
    <row r="1220" ht="17.25" customHeight="1">
      <c r="A1220" s="32">
        <v>45255.0</v>
      </c>
      <c r="B1220" s="5" t="s">
        <v>309</v>
      </c>
      <c r="C1220" s="5" t="s">
        <v>44</v>
      </c>
      <c r="D1220" s="5" t="s">
        <v>10</v>
      </c>
      <c r="E1220" s="5">
        <v>4.0</v>
      </c>
      <c r="F1220" s="5" t="s">
        <v>1263</v>
      </c>
      <c r="G1220" s="5" t="s">
        <v>230</v>
      </c>
      <c r="J1220" s="5">
        <v>3.0</v>
      </c>
      <c r="N1220" s="5" t="b">
        <v>0</v>
      </c>
      <c r="R1220" s="5">
        <v>0.0</v>
      </c>
      <c r="T1220" s="5">
        <v>5.0</v>
      </c>
      <c r="U1220" s="3">
        <v>6.5</v>
      </c>
      <c r="V1220" s="3" t="s">
        <v>1270</v>
      </c>
      <c r="W1220" s="3" t="s">
        <v>1067</v>
      </c>
      <c r="X1220" s="77" t="s">
        <v>1265</v>
      </c>
      <c r="Y1220" s="5">
        <v>1.0</v>
      </c>
      <c r="Z1220" s="5">
        <v>3.0</v>
      </c>
      <c r="AA1220" s="3">
        <f>2+ (P1220*'Scoring System'!$B$3)+ (IF(OR(D1220="DEF",D1220="GK"),N1220*'Scoring System'!$B$4,IF(D1220="MID",N1220*'Scoring System'!$B$5,0)))+ (IF(OR(D1220="DEF",D1220="GK"),H1220*'Scoring System'!$B$6,IF(D1220="MID",H1220*'Scoring System'!$B$7,IF(D1220="ATT",H1220*'Scoring System'!$B$8,0))))+ IF(AND(OR(D1220="GK",D1220="DEF"),J1220&gt;=3),1*'Scoring System'!$B$9,0)+ (I1220*'Scoring System'!$B$10)+ (K1220*'Scoring System'!$B$11)+ (M1220*'Scoring System'!$B$12)+ (L1220*'Scoring System'!$B$13)+ (O1220*'Scoring System'!$B$14)+ (Q1220*'Scoring System'!$B$15)+ (R1220*'Scoring System'!$B$16)</f>
        <v>2</v>
      </c>
      <c r="AB1220" s="3" t="b">
        <f>IFERROR(match(C1220,'Match Day Fees'!$B$2:$B$999,0),0)=0</f>
        <v>0</v>
      </c>
      <c r="AC1220" s="3">
        <f t="shared" si="2"/>
        <v>0</v>
      </c>
      <c r="AD1220" s="3" t="str">
        <f>VLOOKUP(D1220,'Position Lookup'!A:B,1,FALSE)</f>
        <v>MID</v>
      </c>
    </row>
    <row r="1221" ht="17.25" customHeight="1">
      <c r="A1221" s="32">
        <v>45255.0</v>
      </c>
      <c r="B1221" s="5" t="s">
        <v>309</v>
      </c>
      <c r="C1221" s="5" t="s">
        <v>103</v>
      </c>
      <c r="D1221" s="5" t="s">
        <v>10</v>
      </c>
      <c r="E1221" s="5">
        <v>4.0</v>
      </c>
      <c r="F1221" s="5" t="s">
        <v>1263</v>
      </c>
      <c r="G1221" s="5" t="s">
        <v>230</v>
      </c>
      <c r="J1221" s="5">
        <v>3.0</v>
      </c>
      <c r="N1221" s="5" t="b">
        <v>0</v>
      </c>
      <c r="R1221" s="5">
        <v>0.0</v>
      </c>
      <c r="T1221" s="5">
        <v>10.0</v>
      </c>
      <c r="U1221" s="3">
        <v>6.5</v>
      </c>
      <c r="V1221" s="3" t="s">
        <v>1271</v>
      </c>
      <c r="W1221" s="3" t="s">
        <v>1067</v>
      </c>
      <c r="X1221" s="77" t="s">
        <v>1265</v>
      </c>
      <c r="Y1221" s="5">
        <v>1.0</v>
      </c>
      <c r="Z1221" s="5">
        <v>3.0</v>
      </c>
      <c r="AA1221" s="3">
        <f>2+ (P1221*'Scoring System'!$B$3)+ (IF(OR(D1221="DEF",D1221="GK"),N1221*'Scoring System'!$B$4,IF(D1221="MID",N1221*'Scoring System'!$B$5,0)))+ (IF(OR(D1221="DEF",D1221="GK"),H1221*'Scoring System'!$B$6,IF(D1221="MID",H1221*'Scoring System'!$B$7,IF(D1221="ATT",H1221*'Scoring System'!$B$8,0))))+ IF(AND(OR(D1221="GK",D1221="DEF"),J1221&gt;=3),1*'Scoring System'!$B$9,0)+ (I1221*'Scoring System'!$B$10)+ (K1221*'Scoring System'!$B$11)+ (M1221*'Scoring System'!$B$12)+ (L1221*'Scoring System'!$B$13)+ (O1221*'Scoring System'!$B$14)+ (Q1221*'Scoring System'!$B$15)+ (R1221*'Scoring System'!$B$16)</f>
        <v>2</v>
      </c>
      <c r="AB1221" s="3" t="b">
        <f>IFERROR(match(C1221,'Match Day Fees'!$B$2:$B$999,0),0)=0</f>
        <v>0</v>
      </c>
      <c r="AC1221" s="3">
        <f t="shared" si="2"/>
        <v>0</v>
      </c>
      <c r="AD1221" s="3" t="str">
        <f>VLOOKUP(D1221,'Position Lookup'!A:B,1,FALSE)</f>
        <v>MID</v>
      </c>
    </row>
    <row r="1222" ht="17.25" customHeight="1">
      <c r="A1222" s="32">
        <v>45255.0</v>
      </c>
      <c r="B1222" s="5" t="s">
        <v>309</v>
      </c>
      <c r="C1222" s="5" t="s">
        <v>136</v>
      </c>
      <c r="D1222" s="5" t="s">
        <v>10</v>
      </c>
      <c r="E1222" s="5">
        <v>4.0</v>
      </c>
      <c r="F1222" s="5" t="s">
        <v>1263</v>
      </c>
      <c r="G1222" s="5" t="s">
        <v>230</v>
      </c>
      <c r="J1222" s="5">
        <v>3.0</v>
      </c>
      <c r="N1222" s="5" t="b">
        <v>0</v>
      </c>
      <c r="R1222" s="5">
        <v>0.0</v>
      </c>
      <c r="S1222" s="5" t="b">
        <v>1</v>
      </c>
      <c r="T1222" s="5">
        <v>0.0</v>
      </c>
      <c r="U1222" s="3">
        <v>6.5</v>
      </c>
      <c r="V1222" s="3" t="s">
        <v>1272</v>
      </c>
      <c r="W1222" s="3" t="s">
        <v>1067</v>
      </c>
      <c r="X1222" s="77" t="s">
        <v>1265</v>
      </c>
      <c r="Y1222" s="5">
        <v>1.0</v>
      </c>
      <c r="Z1222" s="5">
        <v>3.0</v>
      </c>
      <c r="AA1222" s="3">
        <f>2+ (P1222*'Scoring System'!$B$3)+ (IF(OR(D1222="DEF",D1222="GK"),N1222*'Scoring System'!$B$4,IF(D1222="MID",N1222*'Scoring System'!$B$5,0)))+ (IF(OR(D1222="DEF",D1222="GK"),H1222*'Scoring System'!$B$6,IF(D1222="MID",H1222*'Scoring System'!$B$7,IF(D1222="ATT",H1222*'Scoring System'!$B$8,0))))+ IF(AND(OR(D1222="GK",D1222="DEF"),J1222&gt;=3),1*'Scoring System'!$B$9,0)+ (I1222*'Scoring System'!$B$10)+ (K1222*'Scoring System'!$B$11)+ (M1222*'Scoring System'!$B$12)+ (L1222*'Scoring System'!$B$13)+ (O1222*'Scoring System'!$B$14)+ (Q1222*'Scoring System'!$B$15)+ (R1222*'Scoring System'!$B$16)</f>
        <v>2</v>
      </c>
      <c r="AB1222" s="3" t="b">
        <f>IFERROR(match(C1222,'Match Day Fees'!$B$2:$B$999,0),0)=0</f>
        <v>0</v>
      </c>
      <c r="AC1222" s="3">
        <f t="shared" si="2"/>
        <v>0</v>
      </c>
      <c r="AD1222" s="3" t="str">
        <f>VLOOKUP(D1222,'Position Lookup'!A:B,1,FALSE)</f>
        <v>MID</v>
      </c>
    </row>
    <row r="1223" ht="17.25" customHeight="1">
      <c r="A1223" s="32">
        <v>45255.0</v>
      </c>
      <c r="B1223" s="5" t="s">
        <v>309</v>
      </c>
      <c r="C1223" s="5" t="s">
        <v>45</v>
      </c>
      <c r="D1223" s="5" t="s">
        <v>9</v>
      </c>
      <c r="E1223" s="5">
        <v>4.0</v>
      </c>
      <c r="F1223" s="5" t="s">
        <v>1263</v>
      </c>
      <c r="G1223" s="5" t="s">
        <v>230</v>
      </c>
      <c r="J1223" s="5">
        <v>3.0</v>
      </c>
      <c r="N1223" s="5" t="b">
        <v>0</v>
      </c>
      <c r="R1223" s="5">
        <v>0.0</v>
      </c>
      <c r="T1223" s="5">
        <v>10.0</v>
      </c>
      <c r="U1223" s="3">
        <v>6.0</v>
      </c>
      <c r="V1223" s="3" t="s">
        <v>1273</v>
      </c>
      <c r="W1223" s="3" t="s">
        <v>1067</v>
      </c>
      <c r="X1223" s="77" t="s">
        <v>1265</v>
      </c>
      <c r="Y1223" s="5">
        <v>1.0</v>
      </c>
      <c r="Z1223" s="5">
        <v>3.0</v>
      </c>
      <c r="AA1223" s="3">
        <f>2+ (P1223*'Scoring System'!$B$3)+ (IF(OR(D1223="DEF",D1223="GK"),N1223*'Scoring System'!$B$4,IF(D1223="MID",N1223*'Scoring System'!$B$5,0)))+ (IF(OR(D1223="DEF",D1223="GK"),H1223*'Scoring System'!$B$6,IF(D1223="MID",H1223*'Scoring System'!$B$7,IF(D1223="ATT",H1223*'Scoring System'!$B$8,0))))+ IF(AND(OR(D1223="GK",D1223="DEF"),J1223&gt;=3),1*'Scoring System'!$B$9,0)+ (I1223*'Scoring System'!$B$10)+ (K1223*'Scoring System'!$B$11)+ (M1223*'Scoring System'!$B$12)+ (L1223*'Scoring System'!$B$13)+ (O1223*'Scoring System'!$B$14)+ (Q1223*'Scoring System'!$B$15)+ (R1223*'Scoring System'!$B$16)</f>
        <v>2</v>
      </c>
      <c r="AB1223" s="3" t="b">
        <f>IFERROR(match(C1223,'Match Day Fees'!$B$2:$B$999,0),0)=0</f>
        <v>0</v>
      </c>
      <c r="AC1223" s="3">
        <f t="shared" si="2"/>
        <v>0</v>
      </c>
      <c r="AD1223" s="3" t="str">
        <f>VLOOKUP(D1223,'Position Lookup'!A:B,1,FALSE)</f>
        <v>ATT</v>
      </c>
    </row>
    <row r="1224" ht="17.25" customHeight="1">
      <c r="A1224" s="32">
        <v>45255.0</v>
      </c>
      <c r="B1224" s="5" t="s">
        <v>309</v>
      </c>
      <c r="C1224" s="5" t="s">
        <v>262</v>
      </c>
      <c r="D1224" s="5" t="s">
        <v>9</v>
      </c>
      <c r="E1224" s="5">
        <v>4.0</v>
      </c>
      <c r="F1224" s="5" t="s">
        <v>1263</v>
      </c>
      <c r="G1224" s="5" t="s">
        <v>230</v>
      </c>
      <c r="J1224" s="5">
        <v>3.0</v>
      </c>
      <c r="N1224" s="5" t="b">
        <v>0</v>
      </c>
      <c r="R1224" s="5">
        <v>0.0</v>
      </c>
      <c r="T1224" s="5">
        <v>5.0</v>
      </c>
      <c r="U1224" s="3">
        <v>6.0</v>
      </c>
      <c r="V1224" s="3" t="s">
        <v>1274</v>
      </c>
      <c r="W1224" s="3" t="s">
        <v>1067</v>
      </c>
      <c r="X1224" s="77" t="s">
        <v>1265</v>
      </c>
      <c r="Y1224" s="5">
        <v>1.0</v>
      </c>
      <c r="Z1224" s="5">
        <v>3.0</v>
      </c>
      <c r="AA1224" s="3">
        <f>2+ (P1224*'Scoring System'!$B$3)+ (IF(OR(D1224="DEF",D1224="GK"),N1224*'Scoring System'!$B$4,IF(D1224="MID",N1224*'Scoring System'!$B$5,0)))+ (IF(OR(D1224="DEF",D1224="GK"),H1224*'Scoring System'!$B$6,IF(D1224="MID",H1224*'Scoring System'!$B$7,IF(D1224="ATT",H1224*'Scoring System'!$B$8,0))))+ IF(AND(OR(D1224="GK",D1224="DEF"),J1224&gt;=3),1*'Scoring System'!$B$9,0)+ (I1224*'Scoring System'!$B$10)+ (K1224*'Scoring System'!$B$11)+ (M1224*'Scoring System'!$B$12)+ (L1224*'Scoring System'!$B$13)+ (O1224*'Scoring System'!$B$14)+ (Q1224*'Scoring System'!$B$15)+ (R1224*'Scoring System'!$B$16)</f>
        <v>2</v>
      </c>
      <c r="AB1224" s="3" t="b">
        <f>IFERROR(match(C1224,'Match Day Fees'!$B$2:$B$999,0),0)=0</f>
        <v>0</v>
      </c>
      <c r="AC1224" s="3">
        <f t="shared" si="2"/>
        <v>0</v>
      </c>
      <c r="AD1224" s="3" t="str">
        <f>VLOOKUP(D1224,'Position Lookup'!A:B,1,FALSE)</f>
        <v>ATT</v>
      </c>
    </row>
    <row r="1225" ht="17.25" customHeight="1">
      <c r="A1225" s="32">
        <v>45255.0</v>
      </c>
      <c r="B1225" s="5" t="s">
        <v>309</v>
      </c>
      <c r="C1225" s="5" t="s">
        <v>109</v>
      </c>
      <c r="D1225" s="5" t="s">
        <v>9</v>
      </c>
      <c r="E1225" s="5">
        <v>4.0</v>
      </c>
      <c r="F1225" s="5" t="s">
        <v>1263</v>
      </c>
      <c r="G1225" s="5" t="s">
        <v>230</v>
      </c>
      <c r="J1225" s="5">
        <v>3.0</v>
      </c>
      <c r="N1225" s="5" t="b">
        <v>0</v>
      </c>
      <c r="R1225" s="5">
        <v>0.0</v>
      </c>
      <c r="T1225" s="5">
        <v>5.0</v>
      </c>
      <c r="U1225" s="3">
        <v>6.5</v>
      </c>
      <c r="V1225" s="3" t="s">
        <v>1275</v>
      </c>
      <c r="W1225" s="3" t="s">
        <v>1067</v>
      </c>
      <c r="X1225" s="77" t="s">
        <v>1265</v>
      </c>
      <c r="Y1225" s="5">
        <v>1.0</v>
      </c>
      <c r="Z1225" s="5">
        <v>3.0</v>
      </c>
      <c r="AA1225" s="3">
        <f>2+ (P1225*'Scoring System'!$B$3)+ (IF(OR(D1225="DEF",D1225="GK"),N1225*'Scoring System'!$B$4,IF(D1225="MID",N1225*'Scoring System'!$B$5,0)))+ (IF(OR(D1225="DEF",D1225="GK"),H1225*'Scoring System'!$B$6,IF(D1225="MID",H1225*'Scoring System'!$B$7,IF(D1225="ATT",H1225*'Scoring System'!$B$8,0))))+ IF(AND(OR(D1225="GK",D1225="DEF"),J1225&gt;=3),1*'Scoring System'!$B$9,0)+ (I1225*'Scoring System'!$B$10)+ (K1225*'Scoring System'!$B$11)+ (M1225*'Scoring System'!$B$12)+ (L1225*'Scoring System'!$B$13)+ (O1225*'Scoring System'!$B$14)+ (Q1225*'Scoring System'!$B$15)+ (R1225*'Scoring System'!$B$16)</f>
        <v>2</v>
      </c>
      <c r="AB1225" s="3" t="b">
        <f>IFERROR(match(C1225,'Match Day Fees'!$B$2:$B$999,0),0)=0</f>
        <v>0</v>
      </c>
      <c r="AC1225" s="3">
        <f t="shared" si="2"/>
        <v>0</v>
      </c>
      <c r="AD1225" s="3" t="str">
        <f>VLOOKUP(D1225,'Position Lookup'!A:B,1,FALSE)</f>
        <v>ATT</v>
      </c>
    </row>
    <row r="1226" ht="17.25" customHeight="1">
      <c r="A1226" s="32">
        <v>45255.0</v>
      </c>
      <c r="B1226" s="5" t="s">
        <v>309</v>
      </c>
      <c r="C1226" s="5" t="s">
        <v>132</v>
      </c>
      <c r="D1226" s="5" t="s">
        <v>9</v>
      </c>
      <c r="E1226" s="5">
        <v>4.0</v>
      </c>
      <c r="F1226" s="5" t="s">
        <v>1263</v>
      </c>
      <c r="G1226" s="5" t="s">
        <v>230</v>
      </c>
      <c r="H1226" s="5">
        <v>1.0</v>
      </c>
      <c r="J1226" s="5">
        <v>3.0</v>
      </c>
      <c r="N1226" s="5" t="b">
        <v>0</v>
      </c>
      <c r="R1226" s="5">
        <v>1.0</v>
      </c>
      <c r="T1226" s="5">
        <v>10.0</v>
      </c>
      <c r="U1226" s="3">
        <v>7.0</v>
      </c>
      <c r="V1226" s="3" t="s">
        <v>1276</v>
      </c>
      <c r="W1226" s="3" t="s">
        <v>1067</v>
      </c>
      <c r="X1226" s="77" t="s">
        <v>1265</v>
      </c>
      <c r="Y1226" s="5">
        <v>1.0</v>
      </c>
      <c r="Z1226" s="5">
        <v>3.0</v>
      </c>
      <c r="AA1226" s="3">
        <f>2+ (P1226*'Scoring System'!$B$3)+ (IF(OR(D1226="DEF",D1226="GK"),N1226*'Scoring System'!$B$4,IF(D1226="MID",N1226*'Scoring System'!$B$5,0)))+ (IF(OR(D1226="DEF",D1226="GK"),H1226*'Scoring System'!$B$6,IF(D1226="MID",H1226*'Scoring System'!$B$7,IF(D1226="ATT",H1226*'Scoring System'!$B$8,0))))+ IF(AND(OR(D1226="GK",D1226="DEF"),J1226&gt;=3),1*'Scoring System'!$B$9,0)+ (I1226*'Scoring System'!$B$10)+ (K1226*'Scoring System'!$B$11)+ (M1226*'Scoring System'!$B$12)+ (L1226*'Scoring System'!$B$13)+ (O1226*'Scoring System'!$B$14)+ (Q1226*'Scoring System'!$B$15)+ (R1226*'Scoring System'!$B$16)</f>
        <v>11</v>
      </c>
      <c r="AB1226" s="3" t="b">
        <f>IFERROR(match(C1226,'Match Day Fees'!$B$2:$B$999,0),0)=0</f>
        <v>0</v>
      </c>
      <c r="AC1226" s="3">
        <f t="shared" si="2"/>
        <v>0</v>
      </c>
      <c r="AD1226" s="3" t="str">
        <f>VLOOKUP(D1226,'Position Lookup'!A:B,1,FALSE)</f>
        <v>ATT</v>
      </c>
    </row>
    <row r="1227" ht="17.25" customHeight="1">
      <c r="A1227" s="32">
        <v>45255.0</v>
      </c>
      <c r="B1227" s="5" t="s">
        <v>309</v>
      </c>
      <c r="C1227" s="5" t="s">
        <v>296</v>
      </c>
      <c r="D1227" s="5" t="s">
        <v>10</v>
      </c>
      <c r="E1227" s="5">
        <v>4.0</v>
      </c>
      <c r="F1227" s="5" t="s">
        <v>1263</v>
      </c>
      <c r="G1227" s="5" t="s">
        <v>230</v>
      </c>
      <c r="J1227" s="5">
        <v>3.0</v>
      </c>
      <c r="N1227" s="5" t="b">
        <v>0</v>
      </c>
      <c r="R1227" s="5">
        <v>0.0</v>
      </c>
      <c r="T1227" s="5">
        <v>5.0</v>
      </c>
      <c r="U1227" s="3">
        <v>6.0</v>
      </c>
      <c r="V1227" s="3" t="s">
        <v>1277</v>
      </c>
      <c r="W1227" s="3" t="s">
        <v>1067</v>
      </c>
      <c r="X1227" s="77" t="s">
        <v>1265</v>
      </c>
      <c r="Y1227" s="5">
        <v>1.0</v>
      </c>
      <c r="Z1227" s="5">
        <v>3.0</v>
      </c>
      <c r="AA1227" s="3">
        <f>2+ (P1227*'Scoring System'!$B$3)+ (IF(OR(D1227="DEF",D1227="GK"),N1227*'Scoring System'!$B$4,IF(D1227="MID",N1227*'Scoring System'!$B$5,0)))+ (IF(OR(D1227="DEF",D1227="GK"),H1227*'Scoring System'!$B$6,IF(D1227="MID",H1227*'Scoring System'!$B$7,IF(D1227="ATT",H1227*'Scoring System'!$B$8,0))))+ IF(AND(OR(D1227="GK",D1227="DEF"),J1227&gt;=3),1*'Scoring System'!$B$9,0)+ (I1227*'Scoring System'!$B$10)+ (K1227*'Scoring System'!$B$11)+ (M1227*'Scoring System'!$B$12)+ (L1227*'Scoring System'!$B$13)+ (O1227*'Scoring System'!$B$14)+ (Q1227*'Scoring System'!$B$15)+ (R1227*'Scoring System'!$B$16)</f>
        <v>2</v>
      </c>
      <c r="AB1227" s="3" t="b">
        <f>IFERROR(match(C1227,'Match Day Fees'!$B$2:$B$999,0),0)=0</f>
        <v>0</v>
      </c>
      <c r="AC1227" s="3">
        <f t="shared" si="2"/>
        <v>0</v>
      </c>
      <c r="AD1227" s="3" t="str">
        <f>VLOOKUP(D1227,'Position Lookup'!A:B,1,FALSE)</f>
        <v>MID</v>
      </c>
    </row>
    <row r="1228" ht="17.25" customHeight="1">
      <c r="A1228" s="32">
        <v>45255.0</v>
      </c>
      <c r="B1228" s="5" t="s">
        <v>309</v>
      </c>
      <c r="C1228" s="3" t="s">
        <v>116</v>
      </c>
      <c r="D1228" s="5" t="s">
        <v>11</v>
      </c>
      <c r="E1228" s="5">
        <v>5.0</v>
      </c>
      <c r="F1228" s="3" t="s">
        <v>1278</v>
      </c>
      <c r="G1228" s="3" t="s">
        <v>230</v>
      </c>
      <c r="J1228" s="5">
        <v>2.0</v>
      </c>
      <c r="N1228" s="3" t="b">
        <v>0</v>
      </c>
      <c r="R1228" s="3">
        <v>0.0</v>
      </c>
      <c r="T1228" s="3">
        <v>10.0</v>
      </c>
      <c r="U1228" s="3">
        <v>7.0</v>
      </c>
      <c r="V1228" s="3" t="s">
        <v>1279</v>
      </c>
      <c r="W1228" s="3" t="s">
        <v>344</v>
      </c>
      <c r="X1228" s="77" t="s">
        <v>1280</v>
      </c>
      <c r="Y1228" s="3">
        <v>1.0</v>
      </c>
      <c r="Z1228" s="3">
        <v>2.0</v>
      </c>
      <c r="AA1228" s="3">
        <f>2+ (P1228*'Scoring System'!$B$3)+ (IF(OR(D1228="DEF",D1228="GK"),N1228*'Scoring System'!$B$4,IF(D1228="MID",N1228*'Scoring System'!$B$5,0)))+ (IF(OR(D1228="DEF",D1228="GK"),H1228*'Scoring System'!$B$6,IF(D1228="MID",H1228*'Scoring System'!$B$7,IF(D1228="ATT",H1228*'Scoring System'!$B$8,0))))+ IF(AND(OR(D1228="GK",D1228="DEF"),J1228&gt;=3),1*'Scoring System'!$B$9,0)+ (I1228*'Scoring System'!$B$10)+ (K1228*'Scoring System'!$B$11)+ (M1228*'Scoring System'!$B$12)+ (L1228*'Scoring System'!$B$13)+ (O1228*'Scoring System'!$B$14)+ (Q1228*'Scoring System'!$B$15)+ (R1228*'Scoring System'!$B$16)</f>
        <v>2</v>
      </c>
      <c r="AB1228" s="3" t="b">
        <f>IFERROR(match(C1228,'Match Day Fees'!$B$2:$B$999,0),0)=0</f>
        <v>0</v>
      </c>
      <c r="AC1228" s="3">
        <f t="shared" si="2"/>
        <v>0</v>
      </c>
      <c r="AD1228" s="3" t="str">
        <f>VLOOKUP(D1228,'Position Lookup'!A:B,1,FALSE)</f>
        <v>DEF</v>
      </c>
    </row>
    <row r="1229" ht="17.25" customHeight="1">
      <c r="A1229" s="32">
        <v>45255.0</v>
      </c>
      <c r="B1229" s="5" t="s">
        <v>309</v>
      </c>
      <c r="C1229" s="3" t="s">
        <v>106</v>
      </c>
      <c r="D1229" s="3" t="s">
        <v>8</v>
      </c>
      <c r="E1229" s="5">
        <v>5.0</v>
      </c>
      <c r="F1229" s="3" t="s">
        <v>1278</v>
      </c>
      <c r="G1229" s="3" t="s">
        <v>230</v>
      </c>
      <c r="J1229" s="5">
        <v>2.0</v>
      </c>
      <c r="N1229" s="3" t="b">
        <v>0</v>
      </c>
      <c r="R1229" s="3">
        <v>0.0</v>
      </c>
      <c r="S1229" s="3" t="b">
        <v>1</v>
      </c>
      <c r="T1229" s="3">
        <v>0.0</v>
      </c>
      <c r="U1229" s="3">
        <v>6.5</v>
      </c>
      <c r="V1229" s="3" t="s">
        <v>1281</v>
      </c>
      <c r="W1229" s="3" t="s">
        <v>344</v>
      </c>
      <c r="X1229" s="77" t="s">
        <v>1280</v>
      </c>
      <c r="Y1229" s="3">
        <v>1.0</v>
      </c>
      <c r="Z1229" s="3">
        <v>2.0</v>
      </c>
      <c r="AA1229" s="3">
        <f>2+ (P1229*'Scoring System'!$B$3)+ (IF(OR(D1229="DEF",D1229="GK"),N1229*'Scoring System'!$B$4,IF(D1229="MID",N1229*'Scoring System'!$B$5,0)))+ (IF(OR(D1229="DEF",D1229="GK"),H1229*'Scoring System'!$B$6,IF(D1229="MID",H1229*'Scoring System'!$B$7,IF(D1229="ATT",H1229*'Scoring System'!$B$8,0))))+ IF(AND(OR(D1229="GK",D1229="DEF"),J1229&gt;=3),1*'Scoring System'!$B$9,0)+ (I1229*'Scoring System'!$B$10)+ (K1229*'Scoring System'!$B$11)+ (M1229*'Scoring System'!$B$12)+ (L1229*'Scoring System'!$B$13)+ (O1229*'Scoring System'!$B$14)+ (Q1229*'Scoring System'!$B$15)+ (R1229*'Scoring System'!$B$16)</f>
        <v>2</v>
      </c>
      <c r="AB1229" s="3" t="b">
        <f>IFERROR(match(C1229,'Match Day Fees'!$B$2:$B$999,0),0)=0</f>
        <v>0</v>
      </c>
      <c r="AC1229" s="3">
        <f t="shared" si="2"/>
        <v>0</v>
      </c>
      <c r="AD1229" s="3" t="str">
        <f>VLOOKUP(D1229,'Position Lookup'!A:B,1,FALSE)</f>
        <v>GK</v>
      </c>
    </row>
    <row r="1230" ht="17.25" customHeight="1">
      <c r="A1230" s="32">
        <v>45255.0</v>
      </c>
      <c r="B1230" s="5" t="s">
        <v>309</v>
      </c>
      <c r="C1230" s="3" t="s">
        <v>71</v>
      </c>
      <c r="D1230" s="5" t="s">
        <v>10</v>
      </c>
      <c r="E1230" s="5">
        <v>5.0</v>
      </c>
      <c r="F1230" s="3" t="s">
        <v>1278</v>
      </c>
      <c r="G1230" s="3" t="s">
        <v>230</v>
      </c>
      <c r="J1230" s="5">
        <v>2.0</v>
      </c>
      <c r="N1230" s="3" t="b">
        <v>0</v>
      </c>
      <c r="R1230" s="3">
        <v>0.0</v>
      </c>
      <c r="T1230" s="3">
        <v>10.0</v>
      </c>
      <c r="U1230" s="3">
        <v>7.0</v>
      </c>
      <c r="V1230" s="3" t="s">
        <v>1282</v>
      </c>
      <c r="W1230" s="3" t="s">
        <v>344</v>
      </c>
      <c r="X1230" s="77" t="s">
        <v>1280</v>
      </c>
      <c r="Y1230" s="3">
        <v>1.0</v>
      </c>
      <c r="Z1230" s="3">
        <v>2.0</v>
      </c>
      <c r="AA1230" s="3">
        <f>2+ (P1230*'Scoring System'!$B$3)+ (IF(OR(D1230="DEF",D1230="GK"),N1230*'Scoring System'!$B$4,IF(D1230="MID",N1230*'Scoring System'!$B$5,0)))+ (IF(OR(D1230="DEF",D1230="GK"),H1230*'Scoring System'!$B$6,IF(D1230="MID",H1230*'Scoring System'!$B$7,IF(D1230="ATT",H1230*'Scoring System'!$B$8,0))))+ IF(AND(OR(D1230="GK",D1230="DEF"),J1230&gt;=3),1*'Scoring System'!$B$9,0)+ (I1230*'Scoring System'!$B$10)+ (K1230*'Scoring System'!$B$11)+ (M1230*'Scoring System'!$B$12)+ (L1230*'Scoring System'!$B$13)+ (O1230*'Scoring System'!$B$14)+ (Q1230*'Scoring System'!$B$15)+ (R1230*'Scoring System'!$B$16)</f>
        <v>2</v>
      </c>
      <c r="AB1230" s="3" t="b">
        <f>IFERROR(match(C1230,'Match Day Fees'!$B$2:$B$999,0),0)=0</f>
        <v>0</v>
      </c>
      <c r="AC1230" s="3">
        <f t="shared" si="2"/>
        <v>0</v>
      </c>
      <c r="AD1230" s="3" t="str">
        <f>VLOOKUP(D1230,'Position Lookup'!A:B,1,FALSE)</f>
        <v>MID</v>
      </c>
    </row>
    <row r="1231" ht="17.25" customHeight="1">
      <c r="A1231" s="32">
        <v>45255.0</v>
      </c>
      <c r="B1231" s="5" t="s">
        <v>309</v>
      </c>
      <c r="C1231" s="3" t="s">
        <v>105</v>
      </c>
      <c r="D1231" s="5" t="s">
        <v>9</v>
      </c>
      <c r="E1231" s="5">
        <v>5.0</v>
      </c>
      <c r="F1231" s="3" t="s">
        <v>1278</v>
      </c>
      <c r="G1231" s="3" t="s">
        <v>230</v>
      </c>
      <c r="J1231" s="5">
        <v>2.0</v>
      </c>
      <c r="N1231" s="3" t="b">
        <v>0</v>
      </c>
      <c r="R1231" s="3">
        <v>0.0</v>
      </c>
      <c r="T1231" s="3">
        <v>10.0</v>
      </c>
      <c r="U1231" s="3">
        <v>7.0</v>
      </c>
      <c r="V1231" s="3" t="s">
        <v>1283</v>
      </c>
      <c r="W1231" s="3" t="s">
        <v>344</v>
      </c>
      <c r="X1231" s="77" t="s">
        <v>1280</v>
      </c>
      <c r="Y1231" s="3">
        <v>1.0</v>
      </c>
      <c r="Z1231" s="3">
        <v>2.0</v>
      </c>
      <c r="AA1231" s="3">
        <f>2+ (P1231*'Scoring System'!$B$3)+ (IF(OR(D1231="DEF",D1231="GK"),N1231*'Scoring System'!$B$4,IF(D1231="MID",N1231*'Scoring System'!$B$5,0)))+ (IF(OR(D1231="DEF",D1231="GK"),H1231*'Scoring System'!$B$6,IF(D1231="MID",H1231*'Scoring System'!$B$7,IF(D1231="ATT",H1231*'Scoring System'!$B$8,0))))+ IF(AND(OR(D1231="GK",D1231="DEF"),J1231&gt;=3),1*'Scoring System'!$B$9,0)+ (I1231*'Scoring System'!$B$10)+ (K1231*'Scoring System'!$B$11)+ (M1231*'Scoring System'!$B$12)+ (L1231*'Scoring System'!$B$13)+ (O1231*'Scoring System'!$B$14)+ (Q1231*'Scoring System'!$B$15)+ (R1231*'Scoring System'!$B$16)</f>
        <v>2</v>
      </c>
      <c r="AB1231" s="3" t="b">
        <f>IFERROR(match(C1231,'Match Day Fees'!$B$2:$B$999,0),0)=0</f>
        <v>0</v>
      </c>
      <c r="AC1231" s="3">
        <f t="shared" si="2"/>
        <v>0</v>
      </c>
      <c r="AD1231" s="3" t="str">
        <f>VLOOKUP(D1231,'Position Lookup'!A:B,1,FALSE)</f>
        <v>ATT</v>
      </c>
    </row>
    <row r="1232" ht="17.25" customHeight="1">
      <c r="A1232" s="32">
        <v>45255.0</v>
      </c>
      <c r="B1232" s="5" t="s">
        <v>309</v>
      </c>
      <c r="C1232" s="3" t="s">
        <v>154</v>
      </c>
      <c r="D1232" s="5" t="s">
        <v>11</v>
      </c>
      <c r="E1232" s="5">
        <v>5.0</v>
      </c>
      <c r="F1232" s="3" t="s">
        <v>1278</v>
      </c>
      <c r="G1232" s="3" t="s">
        <v>230</v>
      </c>
      <c r="I1232" s="3">
        <v>1.0</v>
      </c>
      <c r="J1232" s="5">
        <v>2.0</v>
      </c>
      <c r="N1232" s="3" t="b">
        <v>0</v>
      </c>
      <c r="R1232" s="3">
        <v>0.0</v>
      </c>
      <c r="T1232" s="3">
        <v>10.0</v>
      </c>
      <c r="U1232" s="3">
        <v>7.0</v>
      </c>
      <c r="V1232" s="3" t="s">
        <v>1284</v>
      </c>
      <c r="W1232" s="3" t="s">
        <v>344</v>
      </c>
      <c r="X1232" s="77" t="s">
        <v>1280</v>
      </c>
      <c r="Y1232" s="3">
        <v>1.0</v>
      </c>
      <c r="Z1232" s="3">
        <v>2.0</v>
      </c>
      <c r="AA1232" s="3">
        <f>2+ (P1232*'Scoring System'!$B$3)+ (IF(OR(D1232="DEF",D1232="GK"),N1232*'Scoring System'!$B$4,IF(D1232="MID",N1232*'Scoring System'!$B$5,0)))+ (IF(OR(D1232="DEF",D1232="GK"),H1232*'Scoring System'!$B$6,IF(D1232="MID",H1232*'Scoring System'!$B$7,IF(D1232="ATT",H1232*'Scoring System'!$B$8,0))))+ IF(AND(OR(D1232="GK",D1232="DEF"),J1232&gt;=3),1*'Scoring System'!$B$9,0)+ (I1232*'Scoring System'!$B$10)+ (K1232*'Scoring System'!$B$11)+ (M1232*'Scoring System'!$B$12)+ (L1232*'Scoring System'!$B$13)+ (O1232*'Scoring System'!$B$14)+ (Q1232*'Scoring System'!$B$15)+ (R1232*'Scoring System'!$B$16)</f>
        <v>5</v>
      </c>
      <c r="AB1232" s="3" t="b">
        <f>IFERROR(match(C1232,'Match Day Fees'!$B$2:$B$999,0),0)=0</f>
        <v>0</v>
      </c>
      <c r="AC1232" s="3">
        <f t="shared" si="2"/>
        <v>0</v>
      </c>
      <c r="AD1232" s="3" t="str">
        <f>VLOOKUP(D1232,'Position Lookup'!A:B,1,FALSE)</f>
        <v>DEF</v>
      </c>
    </row>
    <row r="1233" ht="17.25" customHeight="1">
      <c r="A1233" s="32">
        <v>45255.0</v>
      </c>
      <c r="B1233" s="5" t="s">
        <v>309</v>
      </c>
      <c r="C1233" s="3" t="s">
        <v>139</v>
      </c>
      <c r="D1233" s="5" t="s">
        <v>9</v>
      </c>
      <c r="E1233" s="5">
        <v>5.0</v>
      </c>
      <c r="F1233" s="3" t="s">
        <v>1278</v>
      </c>
      <c r="G1233" s="3" t="s">
        <v>230</v>
      </c>
      <c r="J1233" s="5">
        <v>2.0</v>
      </c>
      <c r="N1233" s="3" t="b">
        <v>0</v>
      </c>
      <c r="R1233" s="3">
        <v>0.0</v>
      </c>
      <c r="T1233" s="3">
        <v>10.0</v>
      </c>
      <c r="U1233" s="3">
        <v>6.5</v>
      </c>
      <c r="V1233" s="3" t="s">
        <v>1285</v>
      </c>
      <c r="W1233" s="3" t="s">
        <v>344</v>
      </c>
      <c r="X1233" s="77" t="s">
        <v>1280</v>
      </c>
      <c r="Y1233" s="3">
        <v>1.0</v>
      </c>
      <c r="Z1233" s="3">
        <v>2.0</v>
      </c>
      <c r="AA1233" s="3">
        <f>2+ (P1233*'Scoring System'!$B$3)+ (IF(OR(D1233="DEF",D1233="GK"),N1233*'Scoring System'!$B$4,IF(D1233="MID",N1233*'Scoring System'!$B$5,0)))+ (IF(OR(D1233="DEF",D1233="GK"),H1233*'Scoring System'!$B$6,IF(D1233="MID",H1233*'Scoring System'!$B$7,IF(D1233="ATT",H1233*'Scoring System'!$B$8,0))))+ IF(AND(OR(D1233="GK",D1233="DEF"),J1233&gt;=3),1*'Scoring System'!$B$9,0)+ (I1233*'Scoring System'!$B$10)+ (K1233*'Scoring System'!$B$11)+ (M1233*'Scoring System'!$B$12)+ (L1233*'Scoring System'!$B$13)+ (O1233*'Scoring System'!$B$14)+ (Q1233*'Scoring System'!$B$15)+ (R1233*'Scoring System'!$B$16)</f>
        <v>2</v>
      </c>
      <c r="AB1233" s="3" t="b">
        <f>IFERROR(match(C1233,'Match Day Fees'!$B$2:$B$999,0),0)=0</f>
        <v>0</v>
      </c>
      <c r="AC1233" s="3">
        <f t="shared" si="2"/>
        <v>0</v>
      </c>
      <c r="AD1233" s="3" t="str">
        <f>VLOOKUP(D1233,'Position Lookup'!A:B,1,FALSE)</f>
        <v>ATT</v>
      </c>
    </row>
    <row r="1234" ht="17.25" customHeight="1">
      <c r="A1234" s="32">
        <v>45255.0</v>
      </c>
      <c r="B1234" s="5" t="s">
        <v>309</v>
      </c>
      <c r="C1234" s="3" t="s">
        <v>1286</v>
      </c>
      <c r="D1234" s="5" t="s">
        <v>10</v>
      </c>
      <c r="E1234" s="5">
        <v>5.0</v>
      </c>
      <c r="F1234" s="3" t="s">
        <v>1278</v>
      </c>
      <c r="G1234" s="3" t="s">
        <v>230</v>
      </c>
      <c r="J1234" s="5">
        <v>2.0</v>
      </c>
      <c r="N1234" s="3" t="b">
        <v>0</v>
      </c>
      <c r="R1234" s="3">
        <v>0.0</v>
      </c>
      <c r="T1234" s="3">
        <v>0.0</v>
      </c>
      <c r="U1234" s="3">
        <v>6.0</v>
      </c>
      <c r="V1234" s="3" t="s">
        <v>1287</v>
      </c>
      <c r="W1234" s="3" t="s">
        <v>344</v>
      </c>
      <c r="X1234" s="77" t="s">
        <v>1280</v>
      </c>
      <c r="Y1234" s="3">
        <v>1.0</v>
      </c>
      <c r="Z1234" s="3">
        <v>2.0</v>
      </c>
      <c r="AA1234" s="3">
        <f>2+ (P1234*'Scoring System'!$B$3)+ (IF(OR(D1234="DEF",D1234="GK"),N1234*'Scoring System'!$B$4,IF(D1234="MID",N1234*'Scoring System'!$B$5,0)))+ (IF(OR(D1234="DEF",D1234="GK"),H1234*'Scoring System'!$B$6,IF(D1234="MID",H1234*'Scoring System'!$B$7,IF(D1234="ATT",H1234*'Scoring System'!$B$8,0))))+ IF(AND(OR(D1234="GK",D1234="DEF"),J1234&gt;=3),1*'Scoring System'!$B$9,0)+ (I1234*'Scoring System'!$B$10)+ (K1234*'Scoring System'!$B$11)+ (M1234*'Scoring System'!$B$12)+ (L1234*'Scoring System'!$B$13)+ (O1234*'Scoring System'!$B$14)+ (Q1234*'Scoring System'!$B$15)+ (R1234*'Scoring System'!$B$16)</f>
        <v>2</v>
      </c>
      <c r="AB1234" s="3" t="b">
        <f>IFERROR(match(C1234,'Match Day Fees'!$B$2:$B$999,0),0)=0</f>
        <v>0</v>
      </c>
      <c r="AC1234" s="3">
        <f t="shared" si="2"/>
        <v>0</v>
      </c>
      <c r="AD1234" s="3" t="str">
        <f>VLOOKUP(D1234,'Position Lookup'!A:B,1,FALSE)</f>
        <v>MID</v>
      </c>
    </row>
    <row r="1235" ht="17.25" customHeight="1">
      <c r="A1235" s="32">
        <v>45255.0</v>
      </c>
      <c r="B1235" s="5" t="s">
        <v>309</v>
      </c>
      <c r="C1235" s="3" t="s">
        <v>95</v>
      </c>
      <c r="D1235" s="5" t="s">
        <v>9</v>
      </c>
      <c r="E1235" s="5">
        <v>5.0</v>
      </c>
      <c r="F1235" s="3" t="s">
        <v>1278</v>
      </c>
      <c r="G1235" s="3" t="s">
        <v>230</v>
      </c>
      <c r="J1235" s="5">
        <v>2.0</v>
      </c>
      <c r="N1235" s="3" t="b">
        <v>0</v>
      </c>
      <c r="R1235" s="3">
        <v>0.0</v>
      </c>
      <c r="T1235" s="3">
        <v>10.0</v>
      </c>
      <c r="U1235" s="3">
        <v>6.5</v>
      </c>
      <c r="V1235" s="3" t="s">
        <v>1288</v>
      </c>
      <c r="W1235" s="3" t="s">
        <v>344</v>
      </c>
      <c r="X1235" s="77" t="s">
        <v>1280</v>
      </c>
      <c r="Y1235" s="3">
        <v>1.0</v>
      </c>
      <c r="Z1235" s="3">
        <v>2.0</v>
      </c>
      <c r="AA1235" s="3">
        <f>2+ (P1235*'Scoring System'!$B$3)+ (IF(OR(D1235="DEF",D1235="GK"),N1235*'Scoring System'!$B$4,IF(D1235="MID",N1235*'Scoring System'!$B$5,0)))+ (IF(OR(D1235="DEF",D1235="GK"),H1235*'Scoring System'!$B$6,IF(D1235="MID",H1235*'Scoring System'!$B$7,IF(D1235="ATT",H1235*'Scoring System'!$B$8,0))))+ IF(AND(OR(D1235="GK",D1235="DEF"),J1235&gt;=3),1*'Scoring System'!$B$9,0)+ (I1235*'Scoring System'!$B$10)+ (K1235*'Scoring System'!$B$11)+ (M1235*'Scoring System'!$B$12)+ (L1235*'Scoring System'!$B$13)+ (O1235*'Scoring System'!$B$14)+ (Q1235*'Scoring System'!$B$15)+ (R1235*'Scoring System'!$B$16)</f>
        <v>2</v>
      </c>
      <c r="AB1235" s="3" t="b">
        <f>IFERROR(match(C1235,'Match Day Fees'!$B$2:$B$999,0),0)=0</f>
        <v>0</v>
      </c>
      <c r="AC1235" s="3">
        <f t="shared" si="2"/>
        <v>0</v>
      </c>
      <c r="AD1235" s="3" t="str">
        <f>VLOOKUP(D1235,'Position Lookup'!A:B,1,FALSE)</f>
        <v>ATT</v>
      </c>
    </row>
    <row r="1236" ht="17.25" customHeight="1">
      <c r="A1236" s="32">
        <v>45255.0</v>
      </c>
      <c r="B1236" s="5" t="s">
        <v>309</v>
      </c>
      <c r="C1236" s="3" t="s">
        <v>140</v>
      </c>
      <c r="D1236" s="5" t="s">
        <v>9</v>
      </c>
      <c r="E1236" s="5">
        <v>5.0</v>
      </c>
      <c r="F1236" s="3" t="s">
        <v>1278</v>
      </c>
      <c r="G1236" s="3" t="s">
        <v>230</v>
      </c>
      <c r="J1236" s="5">
        <v>2.0</v>
      </c>
      <c r="N1236" s="3" t="b">
        <v>0</v>
      </c>
      <c r="R1236" s="3">
        <v>0.0</v>
      </c>
      <c r="T1236" s="3">
        <v>10.0</v>
      </c>
      <c r="U1236" s="3">
        <v>6.5</v>
      </c>
      <c r="V1236" s="3" t="s">
        <v>1289</v>
      </c>
      <c r="W1236" s="3" t="s">
        <v>344</v>
      </c>
      <c r="X1236" s="77" t="s">
        <v>1280</v>
      </c>
      <c r="Y1236" s="3">
        <v>1.0</v>
      </c>
      <c r="Z1236" s="3">
        <v>2.0</v>
      </c>
      <c r="AA1236" s="3">
        <f>2+ (P1236*'Scoring System'!$B$3)+ (IF(OR(D1236="DEF",D1236="GK"),N1236*'Scoring System'!$B$4,IF(D1236="MID",N1236*'Scoring System'!$B$5,0)))+ (IF(OR(D1236="DEF",D1236="GK"),H1236*'Scoring System'!$B$6,IF(D1236="MID",H1236*'Scoring System'!$B$7,IF(D1236="ATT",H1236*'Scoring System'!$B$8,0))))+ IF(AND(OR(D1236="GK",D1236="DEF"),J1236&gt;=3),1*'Scoring System'!$B$9,0)+ (I1236*'Scoring System'!$B$10)+ (K1236*'Scoring System'!$B$11)+ (M1236*'Scoring System'!$B$12)+ (L1236*'Scoring System'!$B$13)+ (O1236*'Scoring System'!$B$14)+ (Q1236*'Scoring System'!$B$15)+ (R1236*'Scoring System'!$B$16)</f>
        <v>2</v>
      </c>
      <c r="AB1236" s="3" t="b">
        <f>IFERROR(match(C1236,'Match Day Fees'!$B$2:$B$999,0),0)=0</f>
        <v>0</v>
      </c>
      <c r="AC1236" s="3">
        <f t="shared" si="2"/>
        <v>0</v>
      </c>
      <c r="AD1236" s="3" t="str">
        <f>VLOOKUP(D1236,'Position Lookup'!A:B,1,FALSE)</f>
        <v>ATT</v>
      </c>
    </row>
    <row r="1237" ht="17.25" customHeight="1">
      <c r="A1237" s="32">
        <v>45255.0</v>
      </c>
      <c r="B1237" s="5" t="s">
        <v>309</v>
      </c>
      <c r="C1237" s="3" t="s">
        <v>94</v>
      </c>
      <c r="D1237" s="5" t="s">
        <v>10</v>
      </c>
      <c r="E1237" s="5">
        <v>5.0</v>
      </c>
      <c r="F1237" s="3" t="s">
        <v>1278</v>
      </c>
      <c r="G1237" s="3" t="s">
        <v>230</v>
      </c>
      <c r="H1237" s="3">
        <v>1.0</v>
      </c>
      <c r="J1237" s="5">
        <v>2.0</v>
      </c>
      <c r="N1237" s="3" t="b">
        <v>0</v>
      </c>
      <c r="R1237" s="3">
        <v>1.0</v>
      </c>
      <c r="T1237" s="3">
        <v>10.0</v>
      </c>
      <c r="U1237" s="3">
        <v>8.0</v>
      </c>
      <c r="V1237" s="3" t="s">
        <v>1290</v>
      </c>
      <c r="W1237" s="3" t="s">
        <v>344</v>
      </c>
      <c r="X1237" s="77" t="s">
        <v>1280</v>
      </c>
      <c r="Y1237" s="3">
        <v>1.0</v>
      </c>
      <c r="Z1237" s="3">
        <v>2.0</v>
      </c>
      <c r="AA1237" s="3">
        <f>2+ (P1237*'Scoring System'!$B$3)+ (IF(OR(D1237="DEF",D1237="GK"),N1237*'Scoring System'!$B$4,IF(D1237="MID",N1237*'Scoring System'!$B$5,0)))+ (IF(OR(D1237="DEF",D1237="GK"),H1237*'Scoring System'!$B$6,IF(D1237="MID",H1237*'Scoring System'!$B$7,IF(D1237="ATT",H1237*'Scoring System'!$B$8,0))))+ IF(AND(OR(D1237="GK",D1237="DEF"),J1237&gt;=3),1*'Scoring System'!$B$9,0)+ (I1237*'Scoring System'!$B$10)+ (K1237*'Scoring System'!$B$11)+ (M1237*'Scoring System'!$B$12)+ (L1237*'Scoring System'!$B$13)+ (O1237*'Scoring System'!$B$14)+ (Q1237*'Scoring System'!$B$15)+ (R1237*'Scoring System'!$B$16)</f>
        <v>12</v>
      </c>
      <c r="AB1237" s="3" t="b">
        <f>IFERROR(match(C1237,'Match Day Fees'!$B$2:$B$999,0),0)=0</f>
        <v>0</v>
      </c>
      <c r="AC1237" s="3">
        <f t="shared" si="2"/>
        <v>0</v>
      </c>
      <c r="AD1237" s="3" t="str">
        <f>VLOOKUP(D1237,'Position Lookup'!A:B,1,FALSE)</f>
        <v>MID</v>
      </c>
    </row>
    <row r="1238" ht="17.25" customHeight="1">
      <c r="A1238" s="32">
        <v>45255.0</v>
      </c>
      <c r="B1238" s="5" t="s">
        <v>309</v>
      </c>
      <c r="C1238" s="3" t="s">
        <v>58</v>
      </c>
      <c r="D1238" s="5" t="s">
        <v>10</v>
      </c>
      <c r="E1238" s="5">
        <v>5.0</v>
      </c>
      <c r="F1238" s="3" t="s">
        <v>1278</v>
      </c>
      <c r="G1238" s="3" t="s">
        <v>230</v>
      </c>
      <c r="J1238" s="5">
        <v>2.0</v>
      </c>
      <c r="N1238" s="3" t="b">
        <v>0</v>
      </c>
      <c r="R1238" s="3">
        <v>0.0</v>
      </c>
      <c r="T1238" s="3">
        <v>10.0</v>
      </c>
      <c r="U1238" s="3">
        <v>7.5</v>
      </c>
      <c r="V1238" s="3" t="s">
        <v>1291</v>
      </c>
      <c r="W1238" s="3" t="s">
        <v>344</v>
      </c>
      <c r="X1238" s="77" t="s">
        <v>1280</v>
      </c>
      <c r="Y1238" s="3">
        <v>1.0</v>
      </c>
      <c r="Z1238" s="3">
        <v>2.0</v>
      </c>
      <c r="AA1238" s="3">
        <f>2+ (P1238*'Scoring System'!$B$3)+ (IF(OR(D1238="DEF",D1238="GK"),N1238*'Scoring System'!$B$4,IF(D1238="MID",N1238*'Scoring System'!$B$5,0)))+ (IF(OR(D1238="DEF",D1238="GK"),H1238*'Scoring System'!$B$6,IF(D1238="MID",H1238*'Scoring System'!$B$7,IF(D1238="ATT",H1238*'Scoring System'!$B$8,0))))+ IF(AND(OR(D1238="GK",D1238="DEF"),J1238&gt;=3),1*'Scoring System'!$B$9,0)+ (I1238*'Scoring System'!$B$10)+ (K1238*'Scoring System'!$B$11)+ (M1238*'Scoring System'!$B$12)+ (L1238*'Scoring System'!$B$13)+ (O1238*'Scoring System'!$B$14)+ (Q1238*'Scoring System'!$B$15)+ (R1238*'Scoring System'!$B$16)</f>
        <v>2</v>
      </c>
      <c r="AB1238" s="3" t="b">
        <f>IFERROR(match(C1238,'Match Day Fees'!$B$2:$B$999,0),0)=0</f>
        <v>0</v>
      </c>
      <c r="AC1238" s="3">
        <f t="shared" si="2"/>
        <v>0</v>
      </c>
      <c r="AD1238" s="3" t="str">
        <f>VLOOKUP(D1238,'Position Lookup'!A:B,1,FALSE)</f>
        <v>MID</v>
      </c>
    </row>
    <row r="1239" ht="17.25" customHeight="1">
      <c r="A1239" s="32">
        <v>45255.0</v>
      </c>
      <c r="B1239" s="5" t="s">
        <v>309</v>
      </c>
      <c r="C1239" s="3" t="s">
        <v>133</v>
      </c>
      <c r="D1239" s="5" t="s">
        <v>11</v>
      </c>
      <c r="E1239" s="5">
        <v>5.0</v>
      </c>
      <c r="F1239" s="3" t="s">
        <v>1278</v>
      </c>
      <c r="G1239" s="3" t="s">
        <v>230</v>
      </c>
      <c r="J1239" s="5">
        <v>2.0</v>
      </c>
      <c r="N1239" s="3" t="b">
        <v>0</v>
      </c>
      <c r="R1239" s="3">
        <v>0.0</v>
      </c>
      <c r="T1239" s="3">
        <v>10.0</v>
      </c>
      <c r="U1239" s="3">
        <v>6.5</v>
      </c>
      <c r="V1239" s="3" t="s">
        <v>1292</v>
      </c>
      <c r="W1239" s="3" t="s">
        <v>344</v>
      </c>
      <c r="X1239" s="77" t="s">
        <v>1280</v>
      </c>
      <c r="Y1239" s="3">
        <v>1.0</v>
      </c>
      <c r="Z1239" s="3">
        <v>2.0</v>
      </c>
      <c r="AA1239" s="3">
        <f>2+ (P1239*'Scoring System'!$B$3)+ (IF(OR(D1239="DEF",D1239="GK"),N1239*'Scoring System'!$B$4,IF(D1239="MID",N1239*'Scoring System'!$B$5,0)))+ (IF(OR(D1239="DEF",D1239="GK"),H1239*'Scoring System'!$B$6,IF(D1239="MID",H1239*'Scoring System'!$B$7,IF(D1239="ATT",H1239*'Scoring System'!$B$8,0))))+ IF(AND(OR(D1239="GK",D1239="DEF"),J1239&gt;=3),1*'Scoring System'!$B$9,0)+ (I1239*'Scoring System'!$B$10)+ (K1239*'Scoring System'!$B$11)+ (M1239*'Scoring System'!$B$12)+ (L1239*'Scoring System'!$B$13)+ (O1239*'Scoring System'!$B$14)+ (Q1239*'Scoring System'!$B$15)+ (R1239*'Scoring System'!$B$16)</f>
        <v>2</v>
      </c>
      <c r="AB1239" s="3" t="b">
        <f>IFERROR(match(C1239,'Match Day Fees'!$B$2:$B$999,0),0)=0</f>
        <v>0</v>
      </c>
      <c r="AC1239" s="3">
        <f t="shared" si="2"/>
        <v>0</v>
      </c>
      <c r="AD1239" s="3" t="str">
        <f>VLOOKUP(D1239,'Position Lookup'!A:B,1,FALSE)</f>
        <v>DEF</v>
      </c>
    </row>
    <row r="1240" ht="17.25" customHeight="1">
      <c r="A1240" s="32">
        <v>45255.0</v>
      </c>
      <c r="B1240" s="5" t="s">
        <v>309</v>
      </c>
      <c r="C1240" s="3" t="s">
        <v>135</v>
      </c>
      <c r="D1240" s="5" t="s">
        <v>11</v>
      </c>
      <c r="E1240" s="5">
        <v>5.0</v>
      </c>
      <c r="F1240" s="3" t="s">
        <v>1278</v>
      </c>
      <c r="G1240" s="3" t="s">
        <v>230</v>
      </c>
      <c r="J1240" s="5">
        <v>2.0</v>
      </c>
      <c r="N1240" s="3" t="b">
        <v>0</v>
      </c>
      <c r="R1240" s="3">
        <v>0.0</v>
      </c>
      <c r="T1240" s="3">
        <v>10.0</v>
      </c>
      <c r="U1240" s="3">
        <v>6.5</v>
      </c>
      <c r="V1240" s="3" t="s">
        <v>1293</v>
      </c>
      <c r="W1240" s="3" t="s">
        <v>344</v>
      </c>
      <c r="X1240" s="77" t="s">
        <v>1280</v>
      </c>
      <c r="Y1240" s="3">
        <v>1.0</v>
      </c>
      <c r="Z1240" s="3">
        <v>2.0</v>
      </c>
      <c r="AA1240" s="3">
        <f>2+ (P1240*'Scoring System'!$B$3)+ (IF(OR(D1240="DEF",D1240="GK"),N1240*'Scoring System'!$B$4,IF(D1240="MID",N1240*'Scoring System'!$B$5,0)))+ (IF(OR(D1240="DEF",D1240="GK"),H1240*'Scoring System'!$B$6,IF(D1240="MID",H1240*'Scoring System'!$B$7,IF(D1240="ATT",H1240*'Scoring System'!$B$8,0))))+ IF(AND(OR(D1240="GK",D1240="DEF"),J1240&gt;=3),1*'Scoring System'!$B$9,0)+ (I1240*'Scoring System'!$B$10)+ (K1240*'Scoring System'!$B$11)+ (M1240*'Scoring System'!$B$12)+ (L1240*'Scoring System'!$B$13)+ (O1240*'Scoring System'!$B$14)+ (Q1240*'Scoring System'!$B$15)+ (R1240*'Scoring System'!$B$16)</f>
        <v>2</v>
      </c>
      <c r="AB1240" s="3" t="b">
        <f>IFERROR(match(C1240,'Match Day Fees'!$B$2:$B$999,0),0)=0</f>
        <v>0</v>
      </c>
      <c r="AC1240" s="3">
        <f t="shared" si="2"/>
        <v>0</v>
      </c>
      <c r="AD1240" s="3" t="str">
        <f>VLOOKUP(D1240,'Position Lookup'!A:B,1,FALSE)</f>
        <v>DEF</v>
      </c>
    </row>
    <row r="1241" ht="17.25" customHeight="1">
      <c r="A1241" s="32">
        <v>45255.0</v>
      </c>
      <c r="B1241" s="5" t="s">
        <v>309</v>
      </c>
      <c r="C1241" s="3" t="s">
        <v>138</v>
      </c>
      <c r="D1241" s="5" t="s">
        <v>11</v>
      </c>
      <c r="E1241" s="5">
        <v>5.0</v>
      </c>
      <c r="F1241" s="3" t="s">
        <v>1278</v>
      </c>
      <c r="G1241" s="3" t="s">
        <v>230</v>
      </c>
      <c r="J1241" s="5">
        <v>2.0</v>
      </c>
      <c r="N1241" s="3" t="b">
        <v>0</v>
      </c>
      <c r="R1241" s="3">
        <v>0.0</v>
      </c>
      <c r="T1241" s="3">
        <v>10.0</v>
      </c>
      <c r="U1241" s="3">
        <v>6.5</v>
      </c>
      <c r="V1241" s="3" t="s">
        <v>1294</v>
      </c>
      <c r="W1241" s="3" t="s">
        <v>344</v>
      </c>
      <c r="X1241" s="77" t="s">
        <v>1280</v>
      </c>
      <c r="Y1241" s="3">
        <v>1.0</v>
      </c>
      <c r="Z1241" s="3">
        <v>2.0</v>
      </c>
      <c r="AA1241" s="3">
        <f>2+ (P1241*'Scoring System'!$B$3)+ (IF(OR(D1241="DEF",D1241="GK"),N1241*'Scoring System'!$B$4,IF(D1241="MID",N1241*'Scoring System'!$B$5,0)))+ (IF(OR(D1241="DEF",D1241="GK"),H1241*'Scoring System'!$B$6,IF(D1241="MID",H1241*'Scoring System'!$B$7,IF(D1241="ATT",H1241*'Scoring System'!$B$8,0))))+ IF(AND(OR(D1241="GK",D1241="DEF"),J1241&gt;=3),1*'Scoring System'!$B$9,0)+ (I1241*'Scoring System'!$B$10)+ (K1241*'Scoring System'!$B$11)+ (M1241*'Scoring System'!$B$12)+ (L1241*'Scoring System'!$B$13)+ (O1241*'Scoring System'!$B$14)+ (Q1241*'Scoring System'!$B$15)+ (R1241*'Scoring System'!$B$16)</f>
        <v>2</v>
      </c>
      <c r="AB1241" s="3" t="b">
        <f>IFERROR(match(C1241,'Match Day Fees'!$B$2:$B$999,0),0)=0</f>
        <v>0</v>
      </c>
      <c r="AC1241" s="3">
        <f t="shared" si="2"/>
        <v>0</v>
      </c>
      <c r="AD1241" s="3" t="str">
        <f>VLOOKUP(D1241,'Position Lookup'!A:B,1,FALSE)</f>
        <v>DEF</v>
      </c>
    </row>
    <row r="1242" ht="17.25" customHeight="1">
      <c r="A1242" s="32">
        <v>45255.0</v>
      </c>
      <c r="B1242" s="5" t="s">
        <v>712</v>
      </c>
      <c r="C1242" s="5" t="s">
        <v>259</v>
      </c>
      <c r="D1242" s="5" t="s">
        <v>8</v>
      </c>
      <c r="E1242" s="5">
        <v>6.0</v>
      </c>
      <c r="F1242" s="5" t="s">
        <v>1295</v>
      </c>
      <c r="G1242" s="5" t="s">
        <v>230</v>
      </c>
      <c r="J1242" s="5">
        <v>4.0</v>
      </c>
      <c r="N1242" s="5" t="b">
        <v>0</v>
      </c>
      <c r="R1242" s="5">
        <v>0.0</v>
      </c>
      <c r="S1242" s="5" t="b">
        <v>1</v>
      </c>
      <c r="T1242" s="5">
        <v>0.0</v>
      </c>
      <c r="U1242" s="5">
        <v>6.0</v>
      </c>
      <c r="V1242" s="5" t="s">
        <v>1296</v>
      </c>
      <c r="W1242" s="81" t="s">
        <v>845</v>
      </c>
      <c r="X1242" s="78" t="s">
        <v>1297</v>
      </c>
      <c r="Y1242" s="5">
        <v>0.0</v>
      </c>
      <c r="Z1242" s="5">
        <v>4.0</v>
      </c>
      <c r="AA1242" s="3">
        <f>2+ (P1242*'Scoring System'!$B$3)+ (IF(OR(D1242="DEF",D1242="GK"),N1242*'Scoring System'!$B$4,IF(D1242="MID",N1242*'Scoring System'!$B$5,0)))+ (IF(OR(D1242="DEF",D1242="GK"),H1242*'Scoring System'!$B$6,IF(D1242="MID",H1242*'Scoring System'!$B$7,IF(D1242="ATT",H1242*'Scoring System'!$B$8,0))))+ IF(AND(OR(D1242="GK",D1242="DEF"),J1242&gt;=3),1*'Scoring System'!$B$9,0)+ (I1242*'Scoring System'!$B$10)+ (K1242*'Scoring System'!$B$11)+ (M1242*'Scoring System'!$B$12)+ (L1242*'Scoring System'!$B$13)+ (O1242*'Scoring System'!$B$14)+ (Q1242*'Scoring System'!$B$15)+ (R1242*'Scoring System'!$B$16)</f>
        <v>1</v>
      </c>
      <c r="AB1242" s="3" t="b">
        <f>IFERROR(match(C1242,'Match Day Fees'!$B$2:$B$999,0),0)=0</f>
        <v>0</v>
      </c>
      <c r="AC1242" s="3">
        <f t="shared" si="2"/>
        <v>0</v>
      </c>
      <c r="AD1242" s="3" t="str">
        <f>VLOOKUP(D1242,'Position Lookup'!A:B,1,FALSE)</f>
        <v>GK</v>
      </c>
    </row>
    <row r="1243" ht="17.25" customHeight="1">
      <c r="A1243" s="32">
        <v>45255.0</v>
      </c>
      <c r="B1243" s="5" t="s">
        <v>712</v>
      </c>
      <c r="C1243" s="5" t="s">
        <v>588</v>
      </c>
      <c r="D1243" s="5" t="s">
        <v>11</v>
      </c>
      <c r="E1243" s="5">
        <v>6.0</v>
      </c>
      <c r="F1243" s="5" t="s">
        <v>1295</v>
      </c>
      <c r="G1243" s="5" t="s">
        <v>230</v>
      </c>
      <c r="J1243" s="5">
        <v>4.0</v>
      </c>
      <c r="N1243" s="5" t="b">
        <v>0</v>
      </c>
      <c r="R1243" s="5">
        <v>0.0</v>
      </c>
      <c r="T1243" s="5">
        <v>10.0</v>
      </c>
      <c r="U1243" s="5">
        <v>6.5</v>
      </c>
      <c r="V1243" s="5" t="s">
        <v>1298</v>
      </c>
      <c r="W1243" s="81" t="s">
        <v>845</v>
      </c>
      <c r="X1243" s="78" t="s">
        <v>1297</v>
      </c>
      <c r="Y1243" s="5">
        <v>0.0</v>
      </c>
      <c r="Z1243" s="5">
        <v>4.0</v>
      </c>
      <c r="AA1243" s="3">
        <f>2+ (P1243*'Scoring System'!$B$3)+ (IF(OR(D1243="DEF",D1243="GK"),N1243*'Scoring System'!$B$4,IF(D1243="MID",N1243*'Scoring System'!$B$5,0)))+ (IF(OR(D1243="DEF",D1243="GK"),H1243*'Scoring System'!$B$6,IF(D1243="MID",H1243*'Scoring System'!$B$7,IF(D1243="ATT",H1243*'Scoring System'!$B$8,0))))+ IF(AND(OR(D1243="GK",D1243="DEF"),J1243&gt;=3),1*'Scoring System'!$B$9,0)+ (I1243*'Scoring System'!$B$10)+ (K1243*'Scoring System'!$B$11)+ (M1243*'Scoring System'!$B$12)+ (L1243*'Scoring System'!$B$13)+ (O1243*'Scoring System'!$B$14)+ (Q1243*'Scoring System'!$B$15)+ (R1243*'Scoring System'!$B$16)</f>
        <v>1</v>
      </c>
      <c r="AB1243" s="3" t="b">
        <f>IFERROR(match(C1243,'Match Day Fees'!$B$2:$B$999,0),0)=0</f>
        <v>0</v>
      </c>
      <c r="AC1243" s="3">
        <f t="shared" si="2"/>
        <v>0</v>
      </c>
      <c r="AD1243" s="3" t="str">
        <f>VLOOKUP(D1243,'Position Lookup'!A:B,1,FALSE)</f>
        <v>DEF</v>
      </c>
    </row>
    <row r="1244" ht="17.25" customHeight="1">
      <c r="A1244" s="32">
        <v>45255.0</v>
      </c>
      <c r="B1244" s="5" t="s">
        <v>712</v>
      </c>
      <c r="C1244" s="5" t="s">
        <v>248</v>
      </c>
      <c r="D1244" s="5" t="s">
        <v>10</v>
      </c>
      <c r="E1244" s="5">
        <v>6.0</v>
      </c>
      <c r="F1244" s="5" t="s">
        <v>1295</v>
      </c>
      <c r="G1244" s="5" t="s">
        <v>230</v>
      </c>
      <c r="J1244" s="5">
        <v>4.0</v>
      </c>
      <c r="N1244" s="5" t="b">
        <v>0</v>
      </c>
      <c r="R1244" s="5">
        <v>0.0</v>
      </c>
      <c r="T1244" s="5">
        <v>5.0</v>
      </c>
      <c r="U1244" s="5">
        <v>6.5</v>
      </c>
      <c r="V1244" s="5" t="s">
        <v>1299</v>
      </c>
      <c r="W1244" s="81" t="s">
        <v>845</v>
      </c>
      <c r="X1244" s="78" t="s">
        <v>1297</v>
      </c>
      <c r="Y1244" s="5">
        <v>0.0</v>
      </c>
      <c r="Z1244" s="5">
        <v>4.0</v>
      </c>
      <c r="AA1244" s="3">
        <f>2+ (P1244*'Scoring System'!$B$3)+ (IF(OR(D1244="DEF",D1244="GK"),N1244*'Scoring System'!$B$4,IF(D1244="MID",N1244*'Scoring System'!$B$5,0)))+ (IF(OR(D1244="DEF",D1244="GK"),H1244*'Scoring System'!$B$6,IF(D1244="MID",H1244*'Scoring System'!$B$7,IF(D1244="ATT",H1244*'Scoring System'!$B$8,0))))+ IF(AND(OR(D1244="GK",D1244="DEF"),J1244&gt;=3),1*'Scoring System'!$B$9,0)+ (I1244*'Scoring System'!$B$10)+ (K1244*'Scoring System'!$B$11)+ (M1244*'Scoring System'!$B$12)+ (L1244*'Scoring System'!$B$13)+ (O1244*'Scoring System'!$B$14)+ (Q1244*'Scoring System'!$B$15)+ (R1244*'Scoring System'!$B$16)</f>
        <v>2</v>
      </c>
      <c r="AB1244" s="3" t="b">
        <f>IFERROR(match(C1244,'Match Day Fees'!$B$2:$B$999,0),0)=0</f>
        <v>0</v>
      </c>
      <c r="AC1244" s="3">
        <f t="shared" si="2"/>
        <v>0</v>
      </c>
      <c r="AD1244" s="3" t="str">
        <f>VLOOKUP(D1244,'Position Lookup'!A:B,1,FALSE)</f>
        <v>MID</v>
      </c>
    </row>
    <row r="1245" ht="17.25" customHeight="1">
      <c r="A1245" s="32">
        <v>45255.0</v>
      </c>
      <c r="B1245" s="5" t="s">
        <v>712</v>
      </c>
      <c r="C1245" s="5" t="s">
        <v>97</v>
      </c>
      <c r="D1245" s="5" t="s">
        <v>11</v>
      </c>
      <c r="E1245" s="5">
        <v>6.0</v>
      </c>
      <c r="F1245" s="5" t="s">
        <v>1295</v>
      </c>
      <c r="G1245" s="5" t="s">
        <v>230</v>
      </c>
      <c r="J1245" s="5">
        <v>4.0</v>
      </c>
      <c r="N1245" s="5" t="b">
        <v>0</v>
      </c>
      <c r="R1245" s="5">
        <v>0.0</v>
      </c>
      <c r="T1245" s="5">
        <v>5.0</v>
      </c>
      <c r="U1245" s="5">
        <v>6.0</v>
      </c>
      <c r="V1245" s="5" t="s">
        <v>1300</v>
      </c>
      <c r="W1245" s="81" t="s">
        <v>845</v>
      </c>
      <c r="X1245" s="78" t="s">
        <v>1297</v>
      </c>
      <c r="Y1245" s="5">
        <v>0.0</v>
      </c>
      <c r="Z1245" s="5">
        <v>4.0</v>
      </c>
      <c r="AA1245" s="3">
        <f>2+ (P1245*'Scoring System'!$B$3)+ (IF(OR(D1245="DEF",D1245="GK"),N1245*'Scoring System'!$B$4,IF(D1245="MID",N1245*'Scoring System'!$B$5,0)))+ (IF(OR(D1245="DEF",D1245="GK"),H1245*'Scoring System'!$B$6,IF(D1245="MID",H1245*'Scoring System'!$B$7,IF(D1245="ATT",H1245*'Scoring System'!$B$8,0))))+ IF(AND(OR(D1245="GK",D1245="DEF"),J1245&gt;=3),1*'Scoring System'!$B$9,0)+ (I1245*'Scoring System'!$B$10)+ (K1245*'Scoring System'!$B$11)+ (M1245*'Scoring System'!$B$12)+ (L1245*'Scoring System'!$B$13)+ (O1245*'Scoring System'!$B$14)+ (Q1245*'Scoring System'!$B$15)+ (R1245*'Scoring System'!$B$16)</f>
        <v>1</v>
      </c>
      <c r="AB1245" s="3" t="b">
        <f>IFERROR(match(C1245,'Match Day Fees'!$B$2:$B$999,0),0)=0</f>
        <v>0</v>
      </c>
      <c r="AC1245" s="3">
        <f t="shared" si="2"/>
        <v>0</v>
      </c>
      <c r="AD1245" s="3" t="str">
        <f>VLOOKUP(D1245,'Position Lookup'!A:B,1,FALSE)</f>
        <v>DEF</v>
      </c>
    </row>
    <row r="1246" ht="17.25" customHeight="1">
      <c r="A1246" s="32">
        <v>45255.0</v>
      </c>
      <c r="B1246" s="5" t="s">
        <v>712</v>
      </c>
      <c r="C1246" s="5" t="s">
        <v>287</v>
      </c>
      <c r="D1246" s="5" t="s">
        <v>11</v>
      </c>
      <c r="E1246" s="5">
        <v>6.0</v>
      </c>
      <c r="F1246" s="5" t="s">
        <v>1295</v>
      </c>
      <c r="G1246" s="5" t="s">
        <v>230</v>
      </c>
      <c r="J1246" s="5">
        <v>4.0</v>
      </c>
      <c r="N1246" s="5" t="b">
        <v>0</v>
      </c>
      <c r="R1246" s="5">
        <v>0.0</v>
      </c>
      <c r="T1246" s="5">
        <v>10.0</v>
      </c>
      <c r="U1246" s="5">
        <v>6.5</v>
      </c>
      <c r="V1246" s="5" t="s">
        <v>1301</v>
      </c>
      <c r="W1246" s="81" t="s">
        <v>845</v>
      </c>
      <c r="X1246" s="78" t="s">
        <v>1297</v>
      </c>
      <c r="Y1246" s="5">
        <v>0.0</v>
      </c>
      <c r="Z1246" s="5">
        <v>4.0</v>
      </c>
      <c r="AA1246" s="3">
        <f>2+ (P1246*'Scoring System'!$B$3)+ (IF(OR(D1246="DEF",D1246="GK"),N1246*'Scoring System'!$B$4,IF(D1246="MID",N1246*'Scoring System'!$B$5,0)))+ (IF(OR(D1246="DEF",D1246="GK"),H1246*'Scoring System'!$B$6,IF(D1246="MID",H1246*'Scoring System'!$B$7,IF(D1246="ATT",H1246*'Scoring System'!$B$8,0))))+ IF(AND(OR(D1246="GK",D1246="DEF"),J1246&gt;=3),1*'Scoring System'!$B$9,0)+ (I1246*'Scoring System'!$B$10)+ (K1246*'Scoring System'!$B$11)+ (M1246*'Scoring System'!$B$12)+ (L1246*'Scoring System'!$B$13)+ (O1246*'Scoring System'!$B$14)+ (Q1246*'Scoring System'!$B$15)+ (R1246*'Scoring System'!$B$16)</f>
        <v>1</v>
      </c>
      <c r="AB1246" s="3" t="b">
        <f>IFERROR(match(C1246,'Match Day Fees'!$B$2:$B$999,0),0)=0</f>
        <v>0</v>
      </c>
      <c r="AC1246" s="3">
        <f t="shared" si="2"/>
        <v>0</v>
      </c>
      <c r="AD1246" s="3" t="str">
        <f>VLOOKUP(D1246,'Position Lookup'!A:B,1,FALSE)</f>
        <v>DEF</v>
      </c>
    </row>
    <row r="1247" ht="17.25" customHeight="1">
      <c r="A1247" s="32">
        <v>45255.0</v>
      </c>
      <c r="B1247" s="5" t="s">
        <v>712</v>
      </c>
      <c r="C1247" s="5" t="s">
        <v>117</v>
      </c>
      <c r="D1247" s="5" t="s">
        <v>10</v>
      </c>
      <c r="E1247" s="5">
        <v>6.0</v>
      </c>
      <c r="F1247" s="5" t="s">
        <v>1295</v>
      </c>
      <c r="G1247" s="5" t="s">
        <v>230</v>
      </c>
      <c r="J1247" s="5">
        <v>4.0</v>
      </c>
      <c r="N1247" s="5" t="b">
        <v>0</v>
      </c>
      <c r="R1247" s="5">
        <v>0.0</v>
      </c>
      <c r="T1247" s="5">
        <v>10.0</v>
      </c>
      <c r="U1247" s="5">
        <v>6.5</v>
      </c>
      <c r="V1247" s="5" t="s">
        <v>1302</v>
      </c>
      <c r="W1247" s="81" t="s">
        <v>845</v>
      </c>
      <c r="X1247" s="78" t="s">
        <v>1297</v>
      </c>
      <c r="Y1247" s="5">
        <v>0.0</v>
      </c>
      <c r="Z1247" s="5">
        <v>4.0</v>
      </c>
      <c r="AA1247" s="3">
        <f>2+ (P1247*'Scoring System'!$B$3)+ (IF(OR(D1247="DEF",D1247="GK"),N1247*'Scoring System'!$B$4,IF(D1247="MID",N1247*'Scoring System'!$B$5,0)))+ (IF(OR(D1247="DEF",D1247="GK"),H1247*'Scoring System'!$B$6,IF(D1247="MID",H1247*'Scoring System'!$B$7,IF(D1247="ATT",H1247*'Scoring System'!$B$8,0))))+ IF(AND(OR(D1247="GK",D1247="DEF"),J1247&gt;=3),1*'Scoring System'!$B$9,0)+ (I1247*'Scoring System'!$B$10)+ (K1247*'Scoring System'!$B$11)+ (M1247*'Scoring System'!$B$12)+ (L1247*'Scoring System'!$B$13)+ (O1247*'Scoring System'!$B$14)+ (Q1247*'Scoring System'!$B$15)+ (R1247*'Scoring System'!$B$16)</f>
        <v>2</v>
      </c>
      <c r="AB1247" s="3" t="b">
        <f>IFERROR(match(C1247,'Match Day Fees'!$B$2:$B$999,0),0)=0</f>
        <v>0</v>
      </c>
      <c r="AC1247" s="3">
        <f t="shared" si="2"/>
        <v>0</v>
      </c>
      <c r="AD1247" s="3" t="str">
        <f>VLOOKUP(D1247,'Position Lookup'!A:B,1,FALSE)</f>
        <v>MID</v>
      </c>
    </row>
    <row r="1248" ht="17.25" customHeight="1">
      <c r="A1248" s="32">
        <v>45255.0</v>
      </c>
      <c r="B1248" s="5" t="s">
        <v>712</v>
      </c>
      <c r="C1248" s="5" t="s">
        <v>808</v>
      </c>
      <c r="D1248" s="5" t="s">
        <v>9</v>
      </c>
      <c r="E1248" s="5">
        <v>6.0</v>
      </c>
      <c r="F1248" s="5" t="s">
        <v>1295</v>
      </c>
      <c r="G1248" s="5" t="s">
        <v>230</v>
      </c>
      <c r="J1248" s="5">
        <v>4.0</v>
      </c>
      <c r="N1248" s="5" t="b">
        <v>0</v>
      </c>
      <c r="R1248" s="5">
        <v>0.0</v>
      </c>
      <c r="T1248" s="5">
        <v>10.0</v>
      </c>
      <c r="U1248" s="5">
        <v>7.0</v>
      </c>
      <c r="V1248" s="5" t="s">
        <v>1303</v>
      </c>
      <c r="W1248" s="81" t="s">
        <v>845</v>
      </c>
      <c r="X1248" s="78" t="s">
        <v>1297</v>
      </c>
      <c r="Y1248" s="5">
        <v>0.0</v>
      </c>
      <c r="Z1248" s="5">
        <v>4.0</v>
      </c>
      <c r="AA1248" s="3">
        <f>2+ (P1248*'Scoring System'!$B$3)+ (IF(OR(D1248="DEF",D1248="GK"),N1248*'Scoring System'!$B$4,IF(D1248="MID",N1248*'Scoring System'!$B$5,0)))+ (IF(OR(D1248="DEF",D1248="GK"),H1248*'Scoring System'!$B$6,IF(D1248="MID",H1248*'Scoring System'!$B$7,IF(D1248="ATT",H1248*'Scoring System'!$B$8,0))))+ IF(AND(OR(D1248="GK",D1248="DEF"),J1248&gt;=3),1*'Scoring System'!$B$9,0)+ (I1248*'Scoring System'!$B$10)+ (K1248*'Scoring System'!$B$11)+ (M1248*'Scoring System'!$B$12)+ (L1248*'Scoring System'!$B$13)+ (O1248*'Scoring System'!$B$14)+ (Q1248*'Scoring System'!$B$15)+ (R1248*'Scoring System'!$B$16)</f>
        <v>2</v>
      </c>
      <c r="AB1248" s="3" t="b">
        <f>IFERROR(match(C1248,'Match Day Fees'!$B$2:$B$999,0),0)=0</f>
        <v>0</v>
      </c>
      <c r="AC1248" s="3">
        <f t="shared" si="2"/>
        <v>0</v>
      </c>
      <c r="AD1248" s="3" t="str">
        <f>VLOOKUP(D1248,'Position Lookup'!A:B,1,FALSE)</f>
        <v>ATT</v>
      </c>
    </row>
    <row r="1249" ht="17.25" customHeight="1">
      <c r="A1249" s="32">
        <v>45255.0</v>
      </c>
      <c r="B1249" s="5" t="s">
        <v>712</v>
      </c>
      <c r="C1249" s="5" t="s">
        <v>128</v>
      </c>
      <c r="D1249" s="5" t="s">
        <v>11</v>
      </c>
      <c r="E1249" s="5">
        <v>6.0</v>
      </c>
      <c r="F1249" s="5" t="s">
        <v>1295</v>
      </c>
      <c r="G1249" s="5" t="s">
        <v>230</v>
      </c>
      <c r="J1249" s="5">
        <v>4.0</v>
      </c>
      <c r="N1249" s="5" t="b">
        <v>0</v>
      </c>
      <c r="R1249" s="5">
        <v>1.0</v>
      </c>
      <c r="T1249" s="5">
        <v>10.0</v>
      </c>
      <c r="U1249" s="5">
        <v>7.5</v>
      </c>
      <c r="V1249" s="5" t="s">
        <v>1304</v>
      </c>
      <c r="W1249" s="81" t="s">
        <v>845</v>
      </c>
      <c r="X1249" s="78" t="s">
        <v>1297</v>
      </c>
      <c r="Y1249" s="5">
        <v>0.0</v>
      </c>
      <c r="Z1249" s="5">
        <v>4.0</v>
      </c>
      <c r="AA1249" s="3">
        <f>2+ (P1249*'Scoring System'!$B$3)+ (IF(OR(D1249="DEF",D1249="GK"),N1249*'Scoring System'!$B$4,IF(D1249="MID",N1249*'Scoring System'!$B$5,0)))+ (IF(OR(D1249="DEF",D1249="GK"),H1249*'Scoring System'!$B$6,IF(D1249="MID",H1249*'Scoring System'!$B$7,IF(D1249="ATT",H1249*'Scoring System'!$B$8,0))))+ IF(AND(OR(D1249="GK",D1249="DEF"),J1249&gt;=3),1*'Scoring System'!$B$9,0)+ (I1249*'Scoring System'!$B$10)+ (K1249*'Scoring System'!$B$11)+ (M1249*'Scoring System'!$B$12)+ (L1249*'Scoring System'!$B$13)+ (O1249*'Scoring System'!$B$14)+ (Q1249*'Scoring System'!$B$15)+ (R1249*'Scoring System'!$B$16)</f>
        <v>6</v>
      </c>
      <c r="AB1249" s="3" t="b">
        <f>IFERROR(match(C1249,'Match Day Fees'!$B$2:$B$999,0),0)=0</f>
        <v>0</v>
      </c>
      <c r="AC1249" s="3">
        <f t="shared" si="2"/>
        <v>0</v>
      </c>
      <c r="AD1249" s="3" t="str">
        <f>VLOOKUP(D1249,'Position Lookup'!A:B,1,FALSE)</f>
        <v>DEF</v>
      </c>
    </row>
    <row r="1250" ht="17.25" customHeight="1">
      <c r="A1250" s="32">
        <v>45255.0</v>
      </c>
      <c r="B1250" s="5" t="s">
        <v>712</v>
      </c>
      <c r="C1250" s="5" t="s">
        <v>266</v>
      </c>
      <c r="D1250" s="5" t="s">
        <v>10</v>
      </c>
      <c r="E1250" s="5">
        <v>6.0</v>
      </c>
      <c r="F1250" s="5" t="s">
        <v>1295</v>
      </c>
      <c r="G1250" s="5" t="s">
        <v>230</v>
      </c>
      <c r="J1250" s="5">
        <v>4.0</v>
      </c>
      <c r="N1250" s="5" t="b">
        <v>0</v>
      </c>
      <c r="R1250" s="5">
        <v>0.0</v>
      </c>
      <c r="T1250" s="5">
        <v>10.0</v>
      </c>
      <c r="U1250" s="5">
        <v>6.0</v>
      </c>
      <c r="V1250" s="5" t="s">
        <v>1305</v>
      </c>
      <c r="W1250" s="81" t="s">
        <v>845</v>
      </c>
      <c r="X1250" s="78" t="s">
        <v>1297</v>
      </c>
      <c r="Y1250" s="5">
        <v>0.0</v>
      </c>
      <c r="Z1250" s="5">
        <v>4.0</v>
      </c>
      <c r="AA1250" s="3">
        <f>2+ (P1250*'Scoring System'!$B$3)+ (IF(OR(D1250="DEF",D1250="GK"),N1250*'Scoring System'!$B$4,IF(D1250="MID",N1250*'Scoring System'!$B$5,0)))+ (IF(OR(D1250="DEF",D1250="GK"),H1250*'Scoring System'!$B$6,IF(D1250="MID",H1250*'Scoring System'!$B$7,IF(D1250="ATT",H1250*'Scoring System'!$B$8,0))))+ IF(AND(OR(D1250="GK",D1250="DEF"),J1250&gt;=3),1*'Scoring System'!$B$9,0)+ (I1250*'Scoring System'!$B$10)+ (K1250*'Scoring System'!$B$11)+ (M1250*'Scoring System'!$B$12)+ (L1250*'Scoring System'!$B$13)+ (O1250*'Scoring System'!$B$14)+ (Q1250*'Scoring System'!$B$15)+ (R1250*'Scoring System'!$B$16)</f>
        <v>2</v>
      </c>
      <c r="AB1250" s="3" t="b">
        <f>IFERROR(match(C1250,'Match Day Fees'!$B$2:$B$999,0),0)=0</f>
        <v>0</v>
      </c>
      <c r="AC1250" s="3">
        <f t="shared" si="2"/>
        <v>0</v>
      </c>
      <c r="AD1250" s="3" t="str">
        <f>VLOOKUP(D1250,'Position Lookup'!A:B,1,FALSE)</f>
        <v>MID</v>
      </c>
    </row>
    <row r="1251" ht="17.25" customHeight="1">
      <c r="A1251" s="32">
        <v>45255.0</v>
      </c>
      <c r="B1251" s="5" t="s">
        <v>712</v>
      </c>
      <c r="C1251" s="5" t="s">
        <v>576</v>
      </c>
      <c r="D1251" s="5" t="s">
        <v>10</v>
      </c>
      <c r="E1251" s="5">
        <v>6.0</v>
      </c>
      <c r="F1251" s="5" t="s">
        <v>1295</v>
      </c>
      <c r="G1251" s="5" t="s">
        <v>230</v>
      </c>
      <c r="J1251" s="5">
        <v>4.0</v>
      </c>
      <c r="N1251" s="5" t="b">
        <v>0</v>
      </c>
      <c r="R1251" s="5">
        <v>0.0</v>
      </c>
      <c r="T1251" s="5">
        <v>10.0</v>
      </c>
      <c r="U1251" s="5">
        <v>5.0</v>
      </c>
      <c r="V1251" s="5" t="s">
        <v>1306</v>
      </c>
      <c r="W1251" s="81" t="s">
        <v>845</v>
      </c>
      <c r="X1251" s="78" t="s">
        <v>1297</v>
      </c>
      <c r="Y1251" s="5">
        <v>0.0</v>
      </c>
      <c r="Z1251" s="5">
        <v>4.0</v>
      </c>
      <c r="AA1251" s="3">
        <f>2+ (P1251*'Scoring System'!$B$3)+ (IF(OR(D1251="DEF",D1251="GK"),N1251*'Scoring System'!$B$4,IF(D1251="MID",N1251*'Scoring System'!$B$5,0)))+ (IF(OR(D1251="DEF",D1251="GK"),H1251*'Scoring System'!$B$6,IF(D1251="MID",H1251*'Scoring System'!$B$7,IF(D1251="ATT",H1251*'Scoring System'!$B$8,0))))+ IF(AND(OR(D1251="GK",D1251="DEF"),J1251&gt;=3),1*'Scoring System'!$B$9,0)+ (I1251*'Scoring System'!$B$10)+ (K1251*'Scoring System'!$B$11)+ (M1251*'Scoring System'!$B$12)+ (L1251*'Scoring System'!$B$13)+ (O1251*'Scoring System'!$B$14)+ (Q1251*'Scoring System'!$B$15)+ (R1251*'Scoring System'!$B$16)</f>
        <v>2</v>
      </c>
      <c r="AB1251" s="3" t="b">
        <f>IFERROR(match(C1251,'Match Day Fees'!$B$2:$B$999,0),0)=0</f>
        <v>0</v>
      </c>
      <c r="AC1251" s="3">
        <f t="shared" si="2"/>
        <v>0</v>
      </c>
      <c r="AD1251" s="3" t="str">
        <f>VLOOKUP(D1251,'Position Lookup'!A:B,1,FALSE)</f>
        <v>MID</v>
      </c>
    </row>
    <row r="1252" ht="17.25" customHeight="1">
      <c r="A1252" s="32">
        <v>45255.0</v>
      </c>
      <c r="B1252" s="5" t="s">
        <v>712</v>
      </c>
      <c r="C1252" s="5" t="s">
        <v>392</v>
      </c>
      <c r="D1252" s="5" t="s">
        <v>9</v>
      </c>
      <c r="E1252" s="5">
        <v>6.0</v>
      </c>
      <c r="F1252" s="5" t="s">
        <v>1295</v>
      </c>
      <c r="G1252" s="5" t="s">
        <v>230</v>
      </c>
      <c r="J1252" s="5">
        <v>4.0</v>
      </c>
      <c r="N1252" s="5" t="b">
        <v>0</v>
      </c>
      <c r="R1252" s="5">
        <v>0.0</v>
      </c>
      <c r="T1252" s="5">
        <v>10.0</v>
      </c>
      <c r="U1252" s="5">
        <v>7.0</v>
      </c>
      <c r="V1252" s="5" t="s">
        <v>1307</v>
      </c>
      <c r="W1252" s="81" t="s">
        <v>845</v>
      </c>
      <c r="X1252" s="78" t="s">
        <v>1297</v>
      </c>
      <c r="Y1252" s="5">
        <v>0.0</v>
      </c>
      <c r="Z1252" s="5">
        <v>4.0</v>
      </c>
      <c r="AA1252" s="3">
        <f>2+ (P1252*'Scoring System'!$B$3)+ (IF(OR(D1252="DEF",D1252="GK"),N1252*'Scoring System'!$B$4,IF(D1252="MID",N1252*'Scoring System'!$B$5,0)))+ (IF(OR(D1252="DEF",D1252="GK"),H1252*'Scoring System'!$B$6,IF(D1252="MID",H1252*'Scoring System'!$B$7,IF(D1252="ATT",H1252*'Scoring System'!$B$8,0))))+ IF(AND(OR(D1252="GK",D1252="DEF"),J1252&gt;=3),1*'Scoring System'!$B$9,0)+ (I1252*'Scoring System'!$B$10)+ (K1252*'Scoring System'!$B$11)+ (M1252*'Scoring System'!$B$12)+ (L1252*'Scoring System'!$B$13)+ (O1252*'Scoring System'!$B$14)+ (Q1252*'Scoring System'!$B$15)+ (R1252*'Scoring System'!$B$16)</f>
        <v>2</v>
      </c>
      <c r="AB1252" s="3" t="b">
        <f>IFERROR(match(C1252,'Match Day Fees'!$B$2:$B$999,0),0)=0</f>
        <v>0</v>
      </c>
      <c r="AC1252" s="3">
        <f t="shared" si="2"/>
        <v>0</v>
      </c>
      <c r="AD1252" s="3" t="str">
        <f>VLOOKUP(D1252,'Position Lookup'!A:B,1,FALSE)</f>
        <v>ATT</v>
      </c>
    </row>
    <row r="1253" ht="17.25" customHeight="1">
      <c r="A1253" s="32">
        <v>45255.0</v>
      </c>
      <c r="B1253" s="5" t="s">
        <v>712</v>
      </c>
      <c r="C1253" s="5" t="s">
        <v>235</v>
      </c>
      <c r="D1253" s="5" t="s">
        <v>9</v>
      </c>
      <c r="E1253" s="5">
        <v>6.0</v>
      </c>
      <c r="F1253" s="5" t="s">
        <v>1295</v>
      </c>
      <c r="G1253" s="5" t="s">
        <v>230</v>
      </c>
      <c r="J1253" s="5">
        <v>4.0</v>
      </c>
      <c r="N1253" s="5" t="b">
        <v>0</v>
      </c>
      <c r="R1253" s="5">
        <v>0.0</v>
      </c>
      <c r="T1253" s="5">
        <v>10.0</v>
      </c>
      <c r="U1253" s="5">
        <v>7.0</v>
      </c>
      <c r="V1253" s="5" t="s">
        <v>1308</v>
      </c>
      <c r="W1253" s="81" t="s">
        <v>845</v>
      </c>
      <c r="X1253" s="78" t="s">
        <v>1297</v>
      </c>
      <c r="Y1253" s="5">
        <v>0.0</v>
      </c>
      <c r="Z1253" s="5">
        <v>4.0</v>
      </c>
      <c r="AA1253" s="3">
        <f>2+ (P1253*'Scoring System'!$B$3)+ (IF(OR(D1253="DEF",D1253="GK"),N1253*'Scoring System'!$B$4,IF(D1253="MID",N1253*'Scoring System'!$B$5,0)))+ (IF(OR(D1253="DEF",D1253="GK"),H1253*'Scoring System'!$B$6,IF(D1253="MID",H1253*'Scoring System'!$B$7,IF(D1253="ATT",H1253*'Scoring System'!$B$8,0))))+ IF(AND(OR(D1253="GK",D1253="DEF"),J1253&gt;=3),1*'Scoring System'!$B$9,0)+ (I1253*'Scoring System'!$B$10)+ (K1253*'Scoring System'!$B$11)+ (M1253*'Scoring System'!$B$12)+ (L1253*'Scoring System'!$B$13)+ (O1253*'Scoring System'!$B$14)+ (Q1253*'Scoring System'!$B$15)+ (R1253*'Scoring System'!$B$16)</f>
        <v>2</v>
      </c>
      <c r="AB1253" s="3" t="b">
        <f>IFERROR(match(C1253,'Match Day Fees'!$B$2:$B$999,0),0)=0</f>
        <v>0</v>
      </c>
      <c r="AC1253" s="3">
        <f t="shared" si="2"/>
        <v>0</v>
      </c>
      <c r="AD1253" s="3" t="str">
        <f>VLOOKUP(D1253,'Position Lookup'!A:B,1,FALSE)</f>
        <v>ATT</v>
      </c>
    </row>
    <row r="1254" ht="17.25" customHeight="1">
      <c r="A1254" s="32">
        <v>45255.0</v>
      </c>
      <c r="B1254" s="5" t="s">
        <v>712</v>
      </c>
      <c r="C1254" s="5" t="s">
        <v>147</v>
      </c>
      <c r="D1254" s="5" t="s">
        <v>9</v>
      </c>
      <c r="E1254" s="5">
        <v>6.0</v>
      </c>
      <c r="F1254" s="5" t="s">
        <v>1295</v>
      </c>
      <c r="G1254" s="5" t="s">
        <v>230</v>
      </c>
      <c r="J1254" s="5">
        <v>4.0</v>
      </c>
      <c r="N1254" s="5" t="b">
        <v>0</v>
      </c>
      <c r="R1254" s="5">
        <v>0.0</v>
      </c>
      <c r="T1254" s="5">
        <v>0.0</v>
      </c>
      <c r="V1254" s="5" t="s">
        <v>1309</v>
      </c>
      <c r="W1254" s="81" t="s">
        <v>845</v>
      </c>
      <c r="X1254" s="78" t="s">
        <v>1297</v>
      </c>
      <c r="Y1254" s="5">
        <v>0.0</v>
      </c>
      <c r="Z1254" s="5">
        <v>4.0</v>
      </c>
      <c r="AA1254" s="3">
        <f>2+ (P1254*'Scoring System'!$B$3)+ (IF(OR(D1254="DEF",D1254="GK"),N1254*'Scoring System'!$B$4,IF(D1254="MID",N1254*'Scoring System'!$B$5,0)))+ (IF(OR(D1254="DEF",D1254="GK"),H1254*'Scoring System'!$B$6,IF(D1254="MID",H1254*'Scoring System'!$B$7,IF(D1254="ATT",H1254*'Scoring System'!$B$8,0))))+ IF(AND(OR(D1254="GK",D1254="DEF"),J1254&gt;=3),1*'Scoring System'!$B$9,0)+ (I1254*'Scoring System'!$B$10)+ (K1254*'Scoring System'!$B$11)+ (M1254*'Scoring System'!$B$12)+ (L1254*'Scoring System'!$B$13)+ (O1254*'Scoring System'!$B$14)+ (Q1254*'Scoring System'!$B$15)+ (R1254*'Scoring System'!$B$16)</f>
        <v>2</v>
      </c>
      <c r="AB1254" s="3" t="b">
        <f>IFERROR(match(C1254,'Match Day Fees'!$B$2:$B$999,0),0)=0</f>
        <v>0</v>
      </c>
      <c r="AC1254" s="3">
        <f t="shared" si="2"/>
        <v>0</v>
      </c>
      <c r="AD1254" s="3" t="str">
        <f>VLOOKUP(D1254,'Position Lookup'!A:B,1,FALSE)</f>
        <v>ATT</v>
      </c>
    </row>
    <row r="1255" ht="17.25" customHeight="1">
      <c r="A1255" s="31">
        <v>45262.0</v>
      </c>
      <c r="B1255" s="5" t="s">
        <v>309</v>
      </c>
      <c r="C1255" s="5" t="s">
        <v>53</v>
      </c>
      <c r="D1255" s="5" t="s">
        <v>8</v>
      </c>
      <c r="E1255" s="5">
        <v>1.0</v>
      </c>
      <c r="F1255" s="5" t="s">
        <v>1310</v>
      </c>
      <c r="G1255" s="5" t="s">
        <v>224</v>
      </c>
      <c r="J1255" s="5">
        <v>1.0</v>
      </c>
      <c r="N1255" s="5" t="b">
        <v>0</v>
      </c>
      <c r="R1255" s="5">
        <v>0.0</v>
      </c>
      <c r="T1255" s="5">
        <v>10.0</v>
      </c>
      <c r="U1255" s="5">
        <v>8.5</v>
      </c>
      <c r="V1255" s="5" t="s">
        <v>1311</v>
      </c>
      <c r="W1255" s="81" t="s">
        <v>311</v>
      </c>
      <c r="X1255" s="78" t="s">
        <v>1312</v>
      </c>
      <c r="Y1255" s="5">
        <v>4.0</v>
      </c>
      <c r="Z1255" s="5">
        <v>1.0</v>
      </c>
      <c r="AA1255" s="3">
        <f>2+ (P1255*'Scoring System'!$B$3)+ (IF(OR(D1255="DEF",D1255="GK"),N1255*'Scoring System'!$B$4,IF(D1255="MID",N1255*'Scoring System'!$B$5,0)))+ (IF(OR(D1255="DEF",D1255="GK"),H1255*'Scoring System'!$B$6,IF(D1255="MID",H1255*'Scoring System'!$B$7,IF(D1255="ATT",H1255*'Scoring System'!$B$8,0))))+ IF(AND(OR(D1255="GK",D1255="DEF"),J1255&gt;=3),1*'Scoring System'!$B$9,0)+ (I1255*'Scoring System'!$B$10)+ (K1255*'Scoring System'!$B$11)+ (M1255*'Scoring System'!$B$12)+ (L1255*'Scoring System'!$B$13)+ (O1255*'Scoring System'!$B$14)+ (Q1255*'Scoring System'!$B$15)+ (R1255*'Scoring System'!$B$16)</f>
        <v>2</v>
      </c>
      <c r="AB1255" s="3" t="b">
        <f>IFERROR(match(C1255,'Match Day Fees'!$B$2:$B$999,0),0)=0</f>
        <v>0</v>
      </c>
      <c r="AC1255" s="3">
        <f t="shared" si="2"/>
        <v>0</v>
      </c>
      <c r="AD1255" s="3" t="str">
        <f>VLOOKUP(D1255,'Position Lookup'!A:B,1,FALSE)</f>
        <v>GK</v>
      </c>
    </row>
    <row r="1256" ht="17.25" customHeight="1">
      <c r="A1256" s="31">
        <v>45262.0</v>
      </c>
      <c r="B1256" s="5" t="s">
        <v>309</v>
      </c>
      <c r="C1256" s="5" t="s">
        <v>107</v>
      </c>
      <c r="D1256" s="5" t="s">
        <v>11</v>
      </c>
      <c r="E1256" s="5">
        <v>1.0</v>
      </c>
      <c r="F1256" s="5" t="s">
        <v>1310</v>
      </c>
      <c r="G1256" s="5" t="s">
        <v>224</v>
      </c>
      <c r="J1256" s="5">
        <v>1.0</v>
      </c>
      <c r="N1256" s="5" t="b">
        <v>0</v>
      </c>
      <c r="R1256" s="5">
        <v>1.0</v>
      </c>
      <c r="T1256" s="5">
        <v>10.0</v>
      </c>
      <c r="U1256" s="5">
        <v>9.0</v>
      </c>
      <c r="V1256" s="5" t="s">
        <v>1313</v>
      </c>
      <c r="W1256" s="81" t="s">
        <v>311</v>
      </c>
      <c r="X1256" s="78" t="s">
        <v>1312</v>
      </c>
      <c r="Y1256" s="5">
        <v>4.0</v>
      </c>
      <c r="Z1256" s="5">
        <v>1.0</v>
      </c>
      <c r="AA1256" s="3">
        <f>2+ (P1256*'Scoring System'!$B$3)+ (IF(OR(D1256="DEF",D1256="GK"),N1256*'Scoring System'!$B$4,IF(D1256="MID",N1256*'Scoring System'!$B$5,0)))+ (IF(OR(D1256="DEF",D1256="GK"),H1256*'Scoring System'!$B$6,IF(D1256="MID",H1256*'Scoring System'!$B$7,IF(D1256="ATT",H1256*'Scoring System'!$B$8,0))))+ IF(AND(OR(D1256="GK",D1256="DEF"),J1256&gt;=3),1*'Scoring System'!$B$9,0)+ (I1256*'Scoring System'!$B$10)+ (K1256*'Scoring System'!$B$11)+ (M1256*'Scoring System'!$B$12)+ (L1256*'Scoring System'!$B$13)+ (O1256*'Scoring System'!$B$14)+ (Q1256*'Scoring System'!$B$15)+ (R1256*'Scoring System'!$B$16)</f>
        <v>7</v>
      </c>
      <c r="AB1256" s="3" t="b">
        <f>IFERROR(match(C1256,'Match Day Fees'!$B$2:$B$999,0),0)=0</f>
        <v>0</v>
      </c>
      <c r="AC1256" s="3">
        <f t="shared" si="2"/>
        <v>0</v>
      </c>
      <c r="AD1256" s="3" t="str">
        <f>VLOOKUP(D1256,'Position Lookup'!A:B,1,FALSE)</f>
        <v>DEF</v>
      </c>
    </row>
    <row r="1257" ht="17.25" customHeight="1">
      <c r="A1257" s="31">
        <v>45262.0</v>
      </c>
      <c r="B1257" s="5" t="s">
        <v>309</v>
      </c>
      <c r="C1257" s="5" t="s">
        <v>76</v>
      </c>
      <c r="D1257" s="5" t="s">
        <v>11</v>
      </c>
      <c r="E1257" s="5">
        <v>1.0</v>
      </c>
      <c r="F1257" s="5" t="s">
        <v>1310</v>
      </c>
      <c r="G1257" s="5" t="s">
        <v>224</v>
      </c>
      <c r="J1257" s="5">
        <v>1.0</v>
      </c>
      <c r="K1257" s="5">
        <v>2.0</v>
      </c>
      <c r="M1257" s="5" t="b">
        <v>1</v>
      </c>
      <c r="N1257" s="5" t="b">
        <v>0</v>
      </c>
      <c r="R1257" s="5">
        <v>0.0</v>
      </c>
      <c r="T1257" s="5">
        <v>10.0</v>
      </c>
      <c r="U1257" s="5">
        <v>6.0</v>
      </c>
      <c r="V1257" s="5" t="s">
        <v>1314</v>
      </c>
      <c r="W1257" s="81" t="s">
        <v>311</v>
      </c>
      <c r="X1257" s="78" t="s">
        <v>1312</v>
      </c>
      <c r="Y1257" s="5">
        <v>4.0</v>
      </c>
      <c r="Z1257" s="5">
        <v>1.0</v>
      </c>
      <c r="AA1257" s="3">
        <f>2+ (P1257*'Scoring System'!$B$3)+ (IF(OR(D1257="DEF",D1257="GK"),N1257*'Scoring System'!$B$4,IF(D1257="MID",N1257*'Scoring System'!$B$5,0)))+ (IF(OR(D1257="DEF",D1257="GK"),H1257*'Scoring System'!$B$6,IF(D1257="MID",H1257*'Scoring System'!$B$7,IF(D1257="ATT",H1257*'Scoring System'!$B$8,0))))+ IF(AND(OR(D1257="GK",D1257="DEF"),J1257&gt;=3),1*'Scoring System'!$B$9,0)+ (I1257*'Scoring System'!$B$10)+ (K1257*'Scoring System'!$B$11)+ (M1257*'Scoring System'!$B$12)+ (L1257*'Scoring System'!$B$13)+ (O1257*'Scoring System'!$B$14)+ (Q1257*'Scoring System'!$B$15)+ (R1257*'Scoring System'!$B$16)</f>
        <v>-3</v>
      </c>
      <c r="AB1257" s="3" t="b">
        <f>IFERROR(match(C1257,'Match Day Fees'!$B$2:$B$999,0),0)=0</f>
        <v>0</v>
      </c>
      <c r="AC1257" s="3">
        <f t="shared" si="2"/>
        <v>0</v>
      </c>
      <c r="AD1257" s="3" t="str">
        <f>VLOOKUP(D1257,'Position Lookup'!A:B,1,FALSE)</f>
        <v>DEF</v>
      </c>
    </row>
    <row r="1258" ht="17.25" customHeight="1">
      <c r="A1258" s="31">
        <v>45262.0</v>
      </c>
      <c r="B1258" s="5" t="s">
        <v>309</v>
      </c>
      <c r="C1258" s="5" t="s">
        <v>68</v>
      </c>
      <c r="D1258" s="5" t="s">
        <v>11</v>
      </c>
      <c r="E1258" s="5">
        <v>1.0</v>
      </c>
      <c r="F1258" s="5" t="s">
        <v>1310</v>
      </c>
      <c r="G1258" s="5" t="s">
        <v>224</v>
      </c>
      <c r="I1258" s="5">
        <v>1.0</v>
      </c>
      <c r="J1258" s="5">
        <v>1.0</v>
      </c>
      <c r="N1258" s="5" t="b">
        <v>0</v>
      </c>
      <c r="R1258" s="5">
        <v>0.0</v>
      </c>
      <c r="T1258" s="5">
        <v>10.0</v>
      </c>
      <c r="U1258" s="5">
        <v>7.0</v>
      </c>
      <c r="V1258" s="5" t="s">
        <v>1315</v>
      </c>
      <c r="W1258" s="81" t="s">
        <v>311</v>
      </c>
      <c r="X1258" s="78" t="s">
        <v>1312</v>
      </c>
      <c r="Y1258" s="5">
        <v>4.0</v>
      </c>
      <c r="Z1258" s="5">
        <v>1.0</v>
      </c>
      <c r="AA1258" s="3">
        <f>2+ (P1258*'Scoring System'!$B$3)+ (IF(OR(D1258="DEF",D1258="GK"),N1258*'Scoring System'!$B$4,IF(D1258="MID",N1258*'Scoring System'!$B$5,0)))+ (IF(OR(D1258="DEF",D1258="GK"),H1258*'Scoring System'!$B$6,IF(D1258="MID",H1258*'Scoring System'!$B$7,IF(D1258="ATT",H1258*'Scoring System'!$B$8,0))))+ IF(AND(OR(D1258="GK",D1258="DEF"),J1258&gt;=3),1*'Scoring System'!$B$9,0)+ (I1258*'Scoring System'!$B$10)+ (K1258*'Scoring System'!$B$11)+ (M1258*'Scoring System'!$B$12)+ (L1258*'Scoring System'!$B$13)+ (O1258*'Scoring System'!$B$14)+ (Q1258*'Scoring System'!$B$15)+ (R1258*'Scoring System'!$B$16)</f>
        <v>5</v>
      </c>
      <c r="AB1258" s="3" t="b">
        <f>IFERROR(match(C1258,'Match Day Fees'!$B$2:$B$999,0),0)=0</f>
        <v>0</v>
      </c>
      <c r="AC1258" s="3">
        <f t="shared" si="2"/>
        <v>0</v>
      </c>
      <c r="AD1258" s="3" t="str">
        <f>VLOOKUP(D1258,'Position Lookup'!A:B,1,FALSE)</f>
        <v>DEF</v>
      </c>
    </row>
    <row r="1259" ht="17.25" customHeight="1">
      <c r="A1259" s="31">
        <v>45262.0</v>
      </c>
      <c r="B1259" s="5" t="s">
        <v>309</v>
      </c>
      <c r="C1259" s="5" t="s">
        <v>57</v>
      </c>
      <c r="D1259" s="5" t="s">
        <v>11</v>
      </c>
      <c r="E1259" s="5">
        <v>1.0</v>
      </c>
      <c r="F1259" s="5" t="s">
        <v>1310</v>
      </c>
      <c r="G1259" s="5" t="s">
        <v>224</v>
      </c>
      <c r="H1259" s="5">
        <v>1.0</v>
      </c>
      <c r="J1259" s="5">
        <v>1.0</v>
      </c>
      <c r="N1259" s="5" t="b">
        <v>0</v>
      </c>
      <c r="R1259" s="5">
        <v>0.0</v>
      </c>
      <c r="T1259" s="5">
        <v>5.0</v>
      </c>
      <c r="U1259" s="5">
        <v>5.0</v>
      </c>
      <c r="V1259" s="5" t="s">
        <v>1316</v>
      </c>
      <c r="W1259" s="81" t="s">
        <v>311</v>
      </c>
      <c r="X1259" s="78" t="s">
        <v>1312</v>
      </c>
      <c r="Y1259" s="5">
        <v>4.0</v>
      </c>
      <c r="Z1259" s="5">
        <v>1.0</v>
      </c>
      <c r="AA1259" s="3">
        <f>2+ (P1259*'Scoring System'!$B$3)+ (IF(OR(D1259="DEF",D1259="GK"),N1259*'Scoring System'!$B$4,IF(D1259="MID",N1259*'Scoring System'!$B$5,0)))+ (IF(OR(D1259="DEF",D1259="GK"),H1259*'Scoring System'!$B$6,IF(D1259="MID",H1259*'Scoring System'!$B$7,IF(D1259="ATT",H1259*'Scoring System'!$B$8,0))))+ IF(AND(OR(D1259="GK",D1259="DEF"),J1259&gt;=3),1*'Scoring System'!$B$9,0)+ (I1259*'Scoring System'!$B$10)+ (K1259*'Scoring System'!$B$11)+ (M1259*'Scoring System'!$B$12)+ (L1259*'Scoring System'!$B$13)+ (O1259*'Scoring System'!$B$14)+ (Q1259*'Scoring System'!$B$15)+ (R1259*'Scoring System'!$B$16)</f>
        <v>8</v>
      </c>
      <c r="AB1259" s="3" t="b">
        <f>IFERROR(match(C1259,'Match Day Fees'!$B$2:$B$999,0),0)=0</f>
        <v>0</v>
      </c>
      <c r="AC1259" s="3">
        <f t="shared" si="2"/>
        <v>0</v>
      </c>
      <c r="AD1259" s="3" t="str">
        <f>VLOOKUP(D1259,'Position Lookup'!A:B,1,FALSE)</f>
        <v>DEF</v>
      </c>
    </row>
    <row r="1260" ht="17.25" customHeight="1">
      <c r="A1260" s="31">
        <v>45262.0</v>
      </c>
      <c r="B1260" s="5" t="s">
        <v>309</v>
      </c>
      <c r="C1260" s="5" t="s">
        <v>137</v>
      </c>
      <c r="D1260" s="5" t="s">
        <v>11</v>
      </c>
      <c r="E1260" s="5">
        <v>1.0</v>
      </c>
      <c r="F1260" s="5" t="s">
        <v>1310</v>
      </c>
      <c r="G1260" s="5" t="s">
        <v>224</v>
      </c>
      <c r="J1260" s="5">
        <v>1.0</v>
      </c>
      <c r="N1260" s="5" t="b">
        <v>0</v>
      </c>
      <c r="R1260" s="5">
        <v>0.0</v>
      </c>
      <c r="T1260" s="5">
        <v>7.0</v>
      </c>
      <c r="U1260" s="5">
        <v>7.5</v>
      </c>
      <c r="V1260" s="5" t="s">
        <v>1317</v>
      </c>
      <c r="W1260" s="81" t="s">
        <v>311</v>
      </c>
      <c r="X1260" s="78" t="s">
        <v>1312</v>
      </c>
      <c r="Y1260" s="5">
        <v>4.0</v>
      </c>
      <c r="Z1260" s="5">
        <v>1.0</v>
      </c>
      <c r="AA1260" s="3">
        <f>2+ (P1260*'Scoring System'!$B$3)+ (IF(OR(D1260="DEF",D1260="GK"),N1260*'Scoring System'!$B$4,IF(D1260="MID",N1260*'Scoring System'!$B$5,0)))+ (IF(OR(D1260="DEF",D1260="GK"),H1260*'Scoring System'!$B$6,IF(D1260="MID",H1260*'Scoring System'!$B$7,IF(D1260="ATT",H1260*'Scoring System'!$B$8,0))))+ IF(AND(OR(D1260="GK",D1260="DEF"),J1260&gt;=3),1*'Scoring System'!$B$9,0)+ (I1260*'Scoring System'!$B$10)+ (K1260*'Scoring System'!$B$11)+ (M1260*'Scoring System'!$B$12)+ (L1260*'Scoring System'!$B$13)+ (O1260*'Scoring System'!$B$14)+ (Q1260*'Scoring System'!$B$15)+ (R1260*'Scoring System'!$B$16)</f>
        <v>2</v>
      </c>
      <c r="AB1260" s="3" t="b">
        <f>IFERROR(match(C1260,'Match Day Fees'!$B$2:$B$999,0),0)=0</f>
        <v>0</v>
      </c>
      <c r="AC1260" s="3">
        <f t="shared" si="2"/>
        <v>0</v>
      </c>
      <c r="AD1260" s="3" t="str">
        <f>VLOOKUP(D1260,'Position Lookup'!A:B,1,FALSE)</f>
        <v>DEF</v>
      </c>
    </row>
    <row r="1261" ht="17.25" customHeight="1">
      <c r="A1261" s="31">
        <v>45262.0</v>
      </c>
      <c r="B1261" s="5" t="s">
        <v>309</v>
      </c>
      <c r="C1261" s="5" t="s">
        <v>75</v>
      </c>
      <c r="D1261" s="5" t="s">
        <v>10</v>
      </c>
      <c r="E1261" s="5">
        <v>1.0</v>
      </c>
      <c r="F1261" s="5" t="s">
        <v>1310</v>
      </c>
      <c r="G1261" s="5" t="s">
        <v>224</v>
      </c>
      <c r="J1261" s="5">
        <v>1.0</v>
      </c>
      <c r="N1261" s="5" t="b">
        <v>0</v>
      </c>
      <c r="R1261" s="5">
        <v>0.0</v>
      </c>
      <c r="T1261" s="5">
        <v>10.0</v>
      </c>
      <c r="U1261" s="5">
        <v>8.5</v>
      </c>
      <c r="V1261" s="5" t="s">
        <v>1318</v>
      </c>
      <c r="W1261" s="81" t="s">
        <v>311</v>
      </c>
      <c r="X1261" s="78" t="s">
        <v>1312</v>
      </c>
      <c r="Y1261" s="5">
        <v>4.0</v>
      </c>
      <c r="Z1261" s="5">
        <v>1.0</v>
      </c>
      <c r="AA1261" s="3">
        <f>2+ (P1261*'Scoring System'!$B$3)+ (IF(OR(D1261="DEF",D1261="GK"),N1261*'Scoring System'!$B$4,IF(D1261="MID",N1261*'Scoring System'!$B$5,0)))+ (IF(OR(D1261="DEF",D1261="GK"),H1261*'Scoring System'!$B$6,IF(D1261="MID",H1261*'Scoring System'!$B$7,IF(D1261="ATT",H1261*'Scoring System'!$B$8,0))))+ IF(AND(OR(D1261="GK",D1261="DEF"),J1261&gt;=3),1*'Scoring System'!$B$9,0)+ (I1261*'Scoring System'!$B$10)+ (K1261*'Scoring System'!$B$11)+ (M1261*'Scoring System'!$B$12)+ (L1261*'Scoring System'!$B$13)+ (O1261*'Scoring System'!$B$14)+ (Q1261*'Scoring System'!$B$15)+ (R1261*'Scoring System'!$B$16)</f>
        <v>2</v>
      </c>
      <c r="AB1261" s="3" t="b">
        <f>IFERROR(match(C1261,'Match Day Fees'!$B$2:$B$999,0),0)=0</f>
        <v>0</v>
      </c>
      <c r="AC1261" s="3">
        <f t="shared" si="2"/>
        <v>0</v>
      </c>
      <c r="AD1261" s="3" t="str">
        <f>VLOOKUP(D1261,'Position Lookup'!A:B,1,FALSE)</f>
        <v>MID</v>
      </c>
    </row>
    <row r="1262" ht="17.25" customHeight="1">
      <c r="A1262" s="31">
        <v>45262.0</v>
      </c>
      <c r="B1262" s="5" t="s">
        <v>309</v>
      </c>
      <c r="C1262" s="5" t="s">
        <v>272</v>
      </c>
      <c r="D1262" s="5" t="s">
        <v>10</v>
      </c>
      <c r="E1262" s="5">
        <v>1.0</v>
      </c>
      <c r="F1262" s="5" t="s">
        <v>1310</v>
      </c>
      <c r="G1262" s="5" t="s">
        <v>224</v>
      </c>
      <c r="J1262" s="5">
        <v>1.0</v>
      </c>
      <c r="N1262" s="5" t="b">
        <v>0</v>
      </c>
      <c r="R1262" s="5">
        <v>0.0</v>
      </c>
      <c r="T1262" s="5">
        <v>7.0</v>
      </c>
      <c r="U1262" s="5">
        <v>8.0</v>
      </c>
      <c r="V1262" s="5" t="s">
        <v>1319</v>
      </c>
      <c r="W1262" s="81" t="s">
        <v>311</v>
      </c>
      <c r="X1262" s="78" t="s">
        <v>1312</v>
      </c>
      <c r="Y1262" s="5">
        <v>4.0</v>
      </c>
      <c r="Z1262" s="5">
        <v>1.0</v>
      </c>
      <c r="AA1262" s="3">
        <f>2+ (P1262*'Scoring System'!$B$3)+ (IF(OR(D1262="DEF",D1262="GK"),N1262*'Scoring System'!$B$4,IF(D1262="MID",N1262*'Scoring System'!$B$5,0)))+ (IF(OR(D1262="DEF",D1262="GK"),H1262*'Scoring System'!$B$6,IF(D1262="MID",H1262*'Scoring System'!$B$7,IF(D1262="ATT",H1262*'Scoring System'!$B$8,0))))+ IF(AND(OR(D1262="GK",D1262="DEF"),J1262&gt;=3),1*'Scoring System'!$B$9,0)+ (I1262*'Scoring System'!$B$10)+ (K1262*'Scoring System'!$B$11)+ (M1262*'Scoring System'!$B$12)+ (L1262*'Scoring System'!$B$13)+ (O1262*'Scoring System'!$B$14)+ (Q1262*'Scoring System'!$B$15)+ (R1262*'Scoring System'!$B$16)</f>
        <v>2</v>
      </c>
      <c r="AB1262" s="3" t="b">
        <f>IFERROR(match(C1262,'Match Day Fees'!$B$2:$B$999,0),0)=0</f>
        <v>0</v>
      </c>
      <c r="AC1262" s="3">
        <f t="shared" si="2"/>
        <v>0</v>
      </c>
      <c r="AD1262" s="3" t="str">
        <f>VLOOKUP(D1262,'Position Lookup'!A:B,1,FALSE)</f>
        <v>MID</v>
      </c>
    </row>
    <row r="1263" ht="17.25" customHeight="1">
      <c r="A1263" s="31">
        <v>45262.0</v>
      </c>
      <c r="B1263" s="5" t="s">
        <v>309</v>
      </c>
      <c r="C1263" s="5" t="s">
        <v>60</v>
      </c>
      <c r="D1263" s="5" t="s">
        <v>10</v>
      </c>
      <c r="E1263" s="5">
        <v>1.0</v>
      </c>
      <c r="F1263" s="5" t="s">
        <v>1310</v>
      </c>
      <c r="G1263" s="5" t="s">
        <v>224</v>
      </c>
      <c r="H1263" s="5">
        <v>1.0</v>
      </c>
      <c r="I1263" s="5">
        <v>1.0</v>
      </c>
      <c r="J1263" s="5">
        <v>1.0</v>
      </c>
      <c r="N1263" s="5" t="b">
        <v>0</v>
      </c>
      <c r="R1263" s="5">
        <v>0.0</v>
      </c>
      <c r="T1263" s="5">
        <v>10.0</v>
      </c>
      <c r="U1263" s="5">
        <v>8.0</v>
      </c>
      <c r="V1263" s="5" t="s">
        <v>1320</v>
      </c>
      <c r="W1263" s="81" t="s">
        <v>311</v>
      </c>
      <c r="X1263" s="78" t="s">
        <v>1312</v>
      </c>
      <c r="Y1263" s="5">
        <v>4.0</v>
      </c>
      <c r="Z1263" s="5">
        <v>1.0</v>
      </c>
      <c r="AA1263" s="3">
        <f>2+ (P1263*'Scoring System'!$B$3)+ (IF(OR(D1263="DEF",D1263="GK"),N1263*'Scoring System'!$B$4,IF(D1263="MID",N1263*'Scoring System'!$B$5,0)))+ (IF(OR(D1263="DEF",D1263="GK"),H1263*'Scoring System'!$B$6,IF(D1263="MID",H1263*'Scoring System'!$B$7,IF(D1263="ATT",H1263*'Scoring System'!$B$8,0))))+ IF(AND(OR(D1263="GK",D1263="DEF"),J1263&gt;=3),1*'Scoring System'!$B$9,0)+ (I1263*'Scoring System'!$B$10)+ (K1263*'Scoring System'!$B$11)+ (M1263*'Scoring System'!$B$12)+ (L1263*'Scoring System'!$B$13)+ (O1263*'Scoring System'!$B$14)+ (Q1263*'Scoring System'!$B$15)+ (R1263*'Scoring System'!$B$16)</f>
        <v>10</v>
      </c>
      <c r="AB1263" s="3" t="b">
        <f>IFERROR(match(C1263,'Match Day Fees'!$B$2:$B$999,0),0)=0</f>
        <v>0</v>
      </c>
      <c r="AC1263" s="3">
        <f t="shared" si="2"/>
        <v>0</v>
      </c>
      <c r="AD1263" s="3" t="str">
        <f>VLOOKUP(D1263,'Position Lookup'!A:B,1,FALSE)</f>
        <v>MID</v>
      </c>
    </row>
    <row r="1264" ht="17.25" customHeight="1">
      <c r="A1264" s="31">
        <v>45262.0</v>
      </c>
      <c r="B1264" s="5" t="s">
        <v>309</v>
      </c>
      <c r="C1264" s="5" t="s">
        <v>110</v>
      </c>
      <c r="D1264" s="5" t="s">
        <v>9</v>
      </c>
      <c r="E1264" s="5">
        <v>1.0</v>
      </c>
      <c r="F1264" s="5" t="s">
        <v>1310</v>
      </c>
      <c r="G1264" s="5" t="s">
        <v>224</v>
      </c>
      <c r="H1264" s="5">
        <v>1.0</v>
      </c>
      <c r="I1264" s="5">
        <v>1.0</v>
      </c>
      <c r="J1264" s="5">
        <v>1.0</v>
      </c>
      <c r="N1264" s="5" t="b">
        <v>0</v>
      </c>
      <c r="R1264" s="5">
        <v>0.0</v>
      </c>
      <c r="T1264" s="5">
        <v>10.0</v>
      </c>
      <c r="U1264" s="5">
        <v>8.5</v>
      </c>
      <c r="V1264" s="5" t="s">
        <v>1321</v>
      </c>
      <c r="W1264" s="81" t="s">
        <v>311</v>
      </c>
      <c r="X1264" s="78" t="s">
        <v>1312</v>
      </c>
      <c r="Y1264" s="5">
        <v>4.0</v>
      </c>
      <c r="Z1264" s="5">
        <v>1.0</v>
      </c>
      <c r="AA1264" s="3">
        <f>2+ (P1264*'Scoring System'!$B$3)+ (IF(OR(D1264="DEF",D1264="GK"),N1264*'Scoring System'!$B$4,IF(D1264="MID",N1264*'Scoring System'!$B$5,0)))+ (IF(OR(D1264="DEF",D1264="GK"),H1264*'Scoring System'!$B$6,IF(D1264="MID",H1264*'Scoring System'!$B$7,IF(D1264="ATT",H1264*'Scoring System'!$B$8,0))))+ IF(AND(OR(D1264="GK",D1264="DEF"),J1264&gt;=3),1*'Scoring System'!$B$9,0)+ (I1264*'Scoring System'!$B$10)+ (K1264*'Scoring System'!$B$11)+ (M1264*'Scoring System'!$B$12)+ (L1264*'Scoring System'!$B$13)+ (O1264*'Scoring System'!$B$14)+ (Q1264*'Scoring System'!$B$15)+ (R1264*'Scoring System'!$B$16)</f>
        <v>9</v>
      </c>
      <c r="AB1264" s="3" t="b">
        <f>IFERROR(match(C1264,'Match Day Fees'!$B$2:$B$999,0),0)=0</f>
        <v>0</v>
      </c>
      <c r="AC1264" s="3">
        <f t="shared" si="2"/>
        <v>0</v>
      </c>
      <c r="AD1264" s="3" t="str">
        <f>VLOOKUP(D1264,'Position Lookup'!A:B,1,FALSE)</f>
        <v>ATT</v>
      </c>
    </row>
    <row r="1265" ht="17.25" customHeight="1">
      <c r="A1265" s="31">
        <v>45262.0</v>
      </c>
      <c r="B1265" s="5" t="s">
        <v>309</v>
      </c>
      <c r="C1265" s="5" t="s">
        <v>47</v>
      </c>
      <c r="D1265" s="5" t="s">
        <v>9</v>
      </c>
      <c r="E1265" s="5">
        <v>1.0</v>
      </c>
      <c r="F1265" s="5" t="s">
        <v>1310</v>
      </c>
      <c r="G1265" s="5" t="s">
        <v>224</v>
      </c>
      <c r="H1265" s="5">
        <v>1.0</v>
      </c>
      <c r="I1265" s="5">
        <v>1.0</v>
      </c>
      <c r="J1265" s="5">
        <v>1.0</v>
      </c>
      <c r="N1265" s="5" t="b">
        <v>0</v>
      </c>
      <c r="R1265" s="5">
        <v>0.0</v>
      </c>
      <c r="T1265" s="5">
        <v>10.0</v>
      </c>
      <c r="U1265" s="5">
        <v>9.5</v>
      </c>
      <c r="V1265" s="5" t="s">
        <v>1322</v>
      </c>
      <c r="W1265" s="81" t="s">
        <v>311</v>
      </c>
      <c r="X1265" s="78" t="s">
        <v>1312</v>
      </c>
      <c r="Y1265" s="5">
        <v>4.0</v>
      </c>
      <c r="Z1265" s="5">
        <v>1.0</v>
      </c>
      <c r="AA1265" s="3">
        <f>2+ (P1265*'Scoring System'!$B$3)+ (IF(OR(D1265="DEF",D1265="GK"),N1265*'Scoring System'!$B$4,IF(D1265="MID",N1265*'Scoring System'!$B$5,0)))+ (IF(OR(D1265="DEF",D1265="GK"),H1265*'Scoring System'!$B$6,IF(D1265="MID",H1265*'Scoring System'!$B$7,IF(D1265="ATT",H1265*'Scoring System'!$B$8,0))))+ IF(AND(OR(D1265="GK",D1265="DEF"),J1265&gt;=3),1*'Scoring System'!$B$9,0)+ (I1265*'Scoring System'!$B$10)+ (K1265*'Scoring System'!$B$11)+ (M1265*'Scoring System'!$B$12)+ (L1265*'Scoring System'!$B$13)+ (O1265*'Scoring System'!$B$14)+ (Q1265*'Scoring System'!$B$15)+ (R1265*'Scoring System'!$B$16)</f>
        <v>9</v>
      </c>
      <c r="AB1265" s="3" t="b">
        <f>IFERROR(match(C1265,'Match Day Fees'!$B$2:$B$999,0),0)=0</f>
        <v>0</v>
      </c>
      <c r="AC1265" s="3">
        <f t="shared" si="2"/>
        <v>0</v>
      </c>
      <c r="AD1265" s="3" t="str">
        <f>VLOOKUP(D1265,'Position Lookup'!A:B,1,FALSE)</f>
        <v>ATT</v>
      </c>
    </row>
    <row r="1266" ht="17.25" customHeight="1">
      <c r="A1266" s="31">
        <v>45262.0</v>
      </c>
      <c r="B1266" s="5" t="s">
        <v>309</v>
      </c>
      <c r="C1266" s="5" t="s">
        <v>96</v>
      </c>
      <c r="D1266" s="5" t="s">
        <v>9</v>
      </c>
      <c r="E1266" s="5">
        <v>1.0</v>
      </c>
      <c r="F1266" s="5" t="s">
        <v>1310</v>
      </c>
      <c r="G1266" s="5" t="s">
        <v>224</v>
      </c>
      <c r="J1266" s="5">
        <v>1.0</v>
      </c>
      <c r="K1266" s="5">
        <v>1.0</v>
      </c>
      <c r="N1266" s="5" t="b">
        <v>0</v>
      </c>
      <c r="R1266" s="5">
        <v>0.0</v>
      </c>
      <c r="T1266" s="5">
        <v>3.0</v>
      </c>
      <c r="U1266" s="5">
        <v>6.5</v>
      </c>
      <c r="V1266" s="5" t="s">
        <v>1323</v>
      </c>
      <c r="W1266" s="81" t="s">
        <v>311</v>
      </c>
      <c r="X1266" s="78" t="s">
        <v>1312</v>
      </c>
      <c r="Y1266" s="5">
        <v>4.0</v>
      </c>
      <c r="Z1266" s="5">
        <v>1.0</v>
      </c>
      <c r="AA1266" s="3">
        <f>2+ (P1266*'Scoring System'!$B$3)+ (IF(OR(D1266="DEF",D1266="GK"),N1266*'Scoring System'!$B$4,IF(D1266="MID",N1266*'Scoring System'!$B$5,0)))+ (IF(OR(D1266="DEF",D1266="GK"),H1266*'Scoring System'!$B$6,IF(D1266="MID",H1266*'Scoring System'!$B$7,IF(D1266="ATT",H1266*'Scoring System'!$B$8,0))))+ IF(AND(OR(D1266="GK",D1266="DEF"),J1266&gt;=3),1*'Scoring System'!$B$9,0)+ (I1266*'Scoring System'!$B$10)+ (K1266*'Scoring System'!$B$11)+ (M1266*'Scoring System'!$B$12)+ (L1266*'Scoring System'!$B$13)+ (O1266*'Scoring System'!$B$14)+ (Q1266*'Scoring System'!$B$15)+ (R1266*'Scoring System'!$B$16)</f>
        <v>1</v>
      </c>
      <c r="AB1266" s="3" t="b">
        <f>IFERROR(match(C1266,'Match Day Fees'!$B$2:$B$999,0),0)=0</f>
        <v>0</v>
      </c>
      <c r="AC1266" s="3">
        <f t="shared" si="2"/>
        <v>0</v>
      </c>
      <c r="AD1266" s="3" t="str">
        <f>VLOOKUP(D1266,'Position Lookup'!A:B,1,FALSE)</f>
        <v>ATT</v>
      </c>
    </row>
    <row r="1267" ht="17.25" customHeight="1">
      <c r="A1267" s="31">
        <v>45262.0</v>
      </c>
      <c r="B1267" s="5" t="s">
        <v>309</v>
      </c>
      <c r="C1267" s="5" t="s">
        <v>85</v>
      </c>
      <c r="D1267" s="5" t="s">
        <v>10</v>
      </c>
      <c r="E1267" s="5">
        <v>1.0</v>
      </c>
      <c r="F1267" s="5" t="s">
        <v>1310</v>
      </c>
      <c r="G1267" s="5" t="s">
        <v>224</v>
      </c>
      <c r="J1267" s="5">
        <v>1.0</v>
      </c>
      <c r="K1267" s="5">
        <v>1.0</v>
      </c>
      <c r="N1267" s="5" t="b">
        <v>0</v>
      </c>
      <c r="R1267" s="5">
        <v>0.0</v>
      </c>
      <c r="T1267" s="5">
        <v>5.0</v>
      </c>
      <c r="U1267" s="5">
        <v>5.5</v>
      </c>
      <c r="V1267" s="5" t="s">
        <v>1324</v>
      </c>
      <c r="W1267" s="81" t="s">
        <v>311</v>
      </c>
      <c r="X1267" s="78" t="s">
        <v>1312</v>
      </c>
      <c r="Y1267" s="5">
        <v>4.0</v>
      </c>
      <c r="Z1267" s="5">
        <v>1.0</v>
      </c>
      <c r="AA1267" s="3">
        <f>2+ (P1267*'Scoring System'!$B$3)+ (IF(OR(D1267="DEF",D1267="GK"),N1267*'Scoring System'!$B$4,IF(D1267="MID",N1267*'Scoring System'!$B$5,0)))+ (IF(OR(D1267="DEF",D1267="GK"),H1267*'Scoring System'!$B$6,IF(D1267="MID",H1267*'Scoring System'!$B$7,IF(D1267="ATT",H1267*'Scoring System'!$B$8,0))))+ IF(AND(OR(D1267="GK",D1267="DEF"),J1267&gt;=3),1*'Scoring System'!$B$9,0)+ (I1267*'Scoring System'!$B$10)+ (K1267*'Scoring System'!$B$11)+ (M1267*'Scoring System'!$B$12)+ (L1267*'Scoring System'!$B$13)+ (O1267*'Scoring System'!$B$14)+ (Q1267*'Scoring System'!$B$15)+ (R1267*'Scoring System'!$B$16)</f>
        <v>1</v>
      </c>
      <c r="AB1267" s="3" t="b">
        <f>IFERROR(match(C1267,'Match Day Fees'!$B$2:$B$999,0),0)=0</f>
        <v>0</v>
      </c>
      <c r="AC1267" s="3">
        <f t="shared" si="2"/>
        <v>0</v>
      </c>
      <c r="AD1267" s="3" t="str">
        <f>VLOOKUP(D1267,'Position Lookup'!A:B,1,FALSE)</f>
        <v>MID</v>
      </c>
    </row>
    <row r="1268" ht="17.25" customHeight="1">
      <c r="A1268" s="31">
        <v>45262.0</v>
      </c>
      <c r="B1268" s="5" t="s">
        <v>309</v>
      </c>
      <c r="C1268" s="5" t="s">
        <v>69</v>
      </c>
      <c r="D1268" s="5" t="s">
        <v>11</v>
      </c>
      <c r="E1268" s="5">
        <v>1.0</v>
      </c>
      <c r="F1268" s="5" t="s">
        <v>1310</v>
      </c>
      <c r="G1268" s="5" t="s">
        <v>224</v>
      </c>
      <c r="J1268" s="5">
        <v>1.0</v>
      </c>
      <c r="N1268" s="5" t="b">
        <v>0</v>
      </c>
      <c r="R1268" s="5">
        <v>0.0</v>
      </c>
      <c r="T1268" s="5">
        <v>5.0</v>
      </c>
      <c r="U1268" s="5">
        <v>8.5</v>
      </c>
      <c r="V1268" s="5" t="s">
        <v>1325</v>
      </c>
      <c r="W1268" s="81" t="s">
        <v>311</v>
      </c>
      <c r="X1268" s="78" t="s">
        <v>1312</v>
      </c>
      <c r="Y1268" s="5">
        <v>4.0</v>
      </c>
      <c r="Z1268" s="5">
        <v>1.0</v>
      </c>
      <c r="AA1268" s="3">
        <f>2+ (P1268*'Scoring System'!$B$3)+ (IF(OR(D1268="DEF",D1268="GK"),N1268*'Scoring System'!$B$4,IF(D1268="MID",N1268*'Scoring System'!$B$5,0)))+ (IF(OR(D1268="DEF",D1268="GK"),H1268*'Scoring System'!$B$6,IF(D1268="MID",H1268*'Scoring System'!$B$7,IF(D1268="ATT",H1268*'Scoring System'!$B$8,0))))+ IF(AND(OR(D1268="GK",D1268="DEF"),J1268&gt;=3),1*'Scoring System'!$B$9,0)+ (I1268*'Scoring System'!$B$10)+ (K1268*'Scoring System'!$B$11)+ (M1268*'Scoring System'!$B$12)+ (L1268*'Scoring System'!$B$13)+ (O1268*'Scoring System'!$B$14)+ (Q1268*'Scoring System'!$B$15)+ (R1268*'Scoring System'!$B$16)</f>
        <v>2</v>
      </c>
      <c r="AB1268" s="3" t="b">
        <f>IFERROR(match(C1268,'Match Day Fees'!$B$2:$B$999,0),0)=0</f>
        <v>0</v>
      </c>
      <c r="AC1268" s="3">
        <f t="shared" si="2"/>
        <v>0</v>
      </c>
      <c r="AD1268" s="3" t="str">
        <f>VLOOKUP(D1268,'Position Lookup'!A:B,1,FALSE)</f>
        <v>DEF</v>
      </c>
    </row>
    <row r="1269" ht="17.25" customHeight="1">
      <c r="A1269" s="31">
        <v>45262.0</v>
      </c>
      <c r="B1269" s="5" t="s">
        <v>309</v>
      </c>
      <c r="C1269" s="5" t="s">
        <v>38</v>
      </c>
      <c r="D1269" s="5" t="s">
        <v>8</v>
      </c>
      <c r="E1269" s="5">
        <v>2.0</v>
      </c>
      <c r="F1269" s="5" t="s">
        <v>1326</v>
      </c>
      <c r="G1269" s="5" t="s">
        <v>230</v>
      </c>
      <c r="J1269" s="5">
        <v>3.0</v>
      </c>
      <c r="N1269" s="5" t="b">
        <v>0</v>
      </c>
      <c r="R1269" s="5">
        <v>0.0</v>
      </c>
      <c r="T1269" s="5">
        <v>10.0</v>
      </c>
      <c r="U1269" s="5">
        <v>5.0</v>
      </c>
      <c r="V1269" s="5" t="s">
        <v>1327</v>
      </c>
      <c r="W1269" s="81" t="s">
        <v>344</v>
      </c>
      <c r="X1269" s="78" t="s">
        <v>1328</v>
      </c>
      <c r="Y1269" s="5">
        <v>1.0</v>
      </c>
      <c r="Z1269" s="5">
        <v>3.0</v>
      </c>
      <c r="AA1269" s="3">
        <f>2+ (P1269*'Scoring System'!$B$3)+ (IF(OR(D1269="DEF",D1269="GK"),N1269*'Scoring System'!$B$4,IF(D1269="MID",N1269*'Scoring System'!$B$5,0)))+ (IF(OR(D1269="DEF",D1269="GK"),H1269*'Scoring System'!$B$6,IF(D1269="MID",H1269*'Scoring System'!$B$7,IF(D1269="ATT",H1269*'Scoring System'!$B$8,0))))+ IF(AND(OR(D1269="GK",D1269="DEF"),J1269&gt;=3),1*'Scoring System'!$B$9,0)+ (I1269*'Scoring System'!$B$10)+ (K1269*'Scoring System'!$B$11)+ (M1269*'Scoring System'!$B$12)+ (L1269*'Scoring System'!$B$13)+ (O1269*'Scoring System'!$B$14)+ (Q1269*'Scoring System'!$B$15)+ (R1269*'Scoring System'!$B$16)</f>
        <v>1</v>
      </c>
      <c r="AB1269" s="3" t="b">
        <f>IFERROR(match(C1269,'Match Day Fees'!$B$2:$B$999,0),0)=0</f>
        <v>0</v>
      </c>
      <c r="AC1269" s="3">
        <f t="shared" si="2"/>
        <v>0</v>
      </c>
      <c r="AD1269" s="3" t="str">
        <f>VLOOKUP(D1269,'Position Lookup'!A:B,1,FALSE)</f>
        <v>GK</v>
      </c>
    </row>
    <row r="1270" ht="17.25" customHeight="1">
      <c r="A1270" s="31">
        <v>45262.0</v>
      </c>
      <c r="B1270" s="5" t="s">
        <v>309</v>
      </c>
      <c r="C1270" s="5" t="s">
        <v>40</v>
      </c>
      <c r="D1270" s="5" t="s">
        <v>11</v>
      </c>
      <c r="E1270" s="5">
        <v>2.0</v>
      </c>
      <c r="F1270" s="5" t="s">
        <v>1326</v>
      </c>
      <c r="G1270" s="5" t="s">
        <v>230</v>
      </c>
      <c r="J1270" s="5">
        <v>3.0</v>
      </c>
      <c r="N1270" s="5" t="b">
        <v>0</v>
      </c>
      <c r="R1270" s="5">
        <v>0.0</v>
      </c>
      <c r="T1270" s="5">
        <v>10.0</v>
      </c>
      <c r="U1270" s="5">
        <v>6.0</v>
      </c>
      <c r="V1270" s="5" t="s">
        <v>1329</v>
      </c>
      <c r="W1270" s="81" t="s">
        <v>344</v>
      </c>
      <c r="X1270" s="78" t="s">
        <v>1328</v>
      </c>
      <c r="Y1270" s="5">
        <v>1.0</v>
      </c>
      <c r="Z1270" s="5">
        <v>3.0</v>
      </c>
      <c r="AA1270" s="3">
        <f>2+ (P1270*'Scoring System'!$B$3)+ (IF(OR(D1270="DEF",D1270="GK"),N1270*'Scoring System'!$B$4,IF(D1270="MID",N1270*'Scoring System'!$B$5,0)))+ (IF(OR(D1270="DEF",D1270="GK"),H1270*'Scoring System'!$B$6,IF(D1270="MID",H1270*'Scoring System'!$B$7,IF(D1270="ATT",H1270*'Scoring System'!$B$8,0))))+ IF(AND(OR(D1270="GK",D1270="DEF"),J1270&gt;=3),1*'Scoring System'!$B$9,0)+ (I1270*'Scoring System'!$B$10)+ (K1270*'Scoring System'!$B$11)+ (M1270*'Scoring System'!$B$12)+ (L1270*'Scoring System'!$B$13)+ (O1270*'Scoring System'!$B$14)+ (Q1270*'Scoring System'!$B$15)+ (R1270*'Scoring System'!$B$16)</f>
        <v>1</v>
      </c>
      <c r="AB1270" s="3" t="b">
        <f>IFERROR(match(C1270,'Match Day Fees'!$B$2:$B$999,0),0)=0</f>
        <v>0</v>
      </c>
      <c r="AC1270" s="3">
        <f t="shared" si="2"/>
        <v>0</v>
      </c>
      <c r="AD1270" s="3" t="str">
        <f>VLOOKUP(D1270,'Position Lookup'!A:B,1,FALSE)</f>
        <v>DEF</v>
      </c>
    </row>
    <row r="1271" ht="17.25" customHeight="1">
      <c r="A1271" s="31">
        <v>45262.0</v>
      </c>
      <c r="B1271" s="5" t="s">
        <v>309</v>
      </c>
      <c r="C1271" s="5" t="s">
        <v>120</v>
      </c>
      <c r="D1271" s="5" t="s">
        <v>11</v>
      </c>
      <c r="E1271" s="5">
        <v>2.0</v>
      </c>
      <c r="F1271" s="5" t="s">
        <v>1326</v>
      </c>
      <c r="G1271" s="5" t="s">
        <v>230</v>
      </c>
      <c r="J1271" s="5">
        <v>3.0</v>
      </c>
      <c r="N1271" s="5" t="b">
        <v>0</v>
      </c>
      <c r="R1271" s="5">
        <v>1.0</v>
      </c>
      <c r="T1271" s="5">
        <v>10.0</v>
      </c>
      <c r="U1271" s="5">
        <v>6.0</v>
      </c>
      <c r="V1271" s="5" t="s">
        <v>1330</v>
      </c>
      <c r="W1271" s="81" t="s">
        <v>344</v>
      </c>
      <c r="X1271" s="78" t="s">
        <v>1328</v>
      </c>
      <c r="Y1271" s="5">
        <v>1.0</v>
      </c>
      <c r="Z1271" s="5">
        <v>3.0</v>
      </c>
      <c r="AA1271" s="3">
        <f>2+ (P1271*'Scoring System'!$B$3)+ (IF(OR(D1271="DEF",D1271="GK"),N1271*'Scoring System'!$B$4,IF(D1271="MID",N1271*'Scoring System'!$B$5,0)))+ (IF(OR(D1271="DEF",D1271="GK"),H1271*'Scoring System'!$B$6,IF(D1271="MID",H1271*'Scoring System'!$B$7,IF(D1271="ATT",H1271*'Scoring System'!$B$8,0))))+ IF(AND(OR(D1271="GK",D1271="DEF"),J1271&gt;=3),1*'Scoring System'!$B$9,0)+ (I1271*'Scoring System'!$B$10)+ (K1271*'Scoring System'!$B$11)+ (M1271*'Scoring System'!$B$12)+ (L1271*'Scoring System'!$B$13)+ (O1271*'Scoring System'!$B$14)+ (Q1271*'Scoring System'!$B$15)+ (R1271*'Scoring System'!$B$16)</f>
        <v>6</v>
      </c>
      <c r="AB1271" s="3" t="b">
        <f>IFERROR(match(C1271,'Match Day Fees'!$B$2:$B$999,0),0)=0</f>
        <v>0</v>
      </c>
      <c r="AC1271" s="3">
        <f t="shared" si="2"/>
        <v>0</v>
      </c>
      <c r="AD1271" s="3" t="str">
        <f>VLOOKUP(D1271,'Position Lookup'!A:B,1,FALSE)</f>
        <v>DEF</v>
      </c>
    </row>
    <row r="1272" ht="17.25" customHeight="1">
      <c r="A1272" s="31">
        <v>45262.0</v>
      </c>
      <c r="B1272" s="5" t="s">
        <v>309</v>
      </c>
      <c r="C1272" s="5" t="s">
        <v>81</v>
      </c>
      <c r="D1272" s="5" t="s">
        <v>11</v>
      </c>
      <c r="E1272" s="5">
        <v>2.0</v>
      </c>
      <c r="F1272" s="5" t="s">
        <v>1326</v>
      </c>
      <c r="G1272" s="5" t="s">
        <v>230</v>
      </c>
      <c r="I1272" s="5">
        <v>1.0</v>
      </c>
      <c r="J1272" s="5">
        <v>3.0</v>
      </c>
      <c r="N1272" s="5" t="b">
        <v>0</v>
      </c>
      <c r="R1272" s="5">
        <v>0.0</v>
      </c>
      <c r="T1272" s="5">
        <v>5.0</v>
      </c>
      <c r="U1272" s="5">
        <v>6.5</v>
      </c>
      <c r="V1272" s="5" t="s">
        <v>1331</v>
      </c>
      <c r="W1272" s="81" t="s">
        <v>344</v>
      </c>
      <c r="X1272" s="78" t="s">
        <v>1328</v>
      </c>
      <c r="Y1272" s="5">
        <v>1.0</v>
      </c>
      <c r="Z1272" s="5">
        <v>3.0</v>
      </c>
      <c r="AA1272" s="3">
        <f>2+ (P1272*'Scoring System'!$B$3)+ (IF(OR(D1272="DEF",D1272="GK"),N1272*'Scoring System'!$B$4,IF(D1272="MID",N1272*'Scoring System'!$B$5,0)))+ (IF(OR(D1272="DEF",D1272="GK"),H1272*'Scoring System'!$B$6,IF(D1272="MID",H1272*'Scoring System'!$B$7,IF(D1272="ATT",H1272*'Scoring System'!$B$8,0))))+ IF(AND(OR(D1272="GK",D1272="DEF"),J1272&gt;=3),1*'Scoring System'!$B$9,0)+ (I1272*'Scoring System'!$B$10)+ (K1272*'Scoring System'!$B$11)+ (M1272*'Scoring System'!$B$12)+ (L1272*'Scoring System'!$B$13)+ (O1272*'Scoring System'!$B$14)+ (Q1272*'Scoring System'!$B$15)+ (R1272*'Scoring System'!$B$16)</f>
        <v>4</v>
      </c>
      <c r="AB1272" s="3" t="b">
        <f>IFERROR(match(C1272,'Match Day Fees'!$B$2:$B$999,0),0)=0</f>
        <v>0</v>
      </c>
      <c r="AC1272" s="3">
        <f t="shared" si="2"/>
        <v>0</v>
      </c>
      <c r="AD1272" s="3" t="str">
        <f>VLOOKUP(D1272,'Position Lookup'!A:B,1,FALSE)</f>
        <v>DEF</v>
      </c>
    </row>
    <row r="1273" ht="17.25" customHeight="1">
      <c r="A1273" s="31">
        <v>45262.0</v>
      </c>
      <c r="B1273" s="5" t="s">
        <v>309</v>
      </c>
      <c r="C1273" s="5" t="s">
        <v>43</v>
      </c>
      <c r="D1273" s="5" t="s">
        <v>11</v>
      </c>
      <c r="E1273" s="5">
        <v>2.0</v>
      </c>
      <c r="F1273" s="5" t="s">
        <v>1326</v>
      </c>
      <c r="G1273" s="5" t="s">
        <v>230</v>
      </c>
      <c r="J1273" s="5">
        <v>3.0</v>
      </c>
      <c r="N1273" s="5" t="b">
        <v>0</v>
      </c>
      <c r="R1273" s="5">
        <v>0.0</v>
      </c>
      <c r="T1273" s="5">
        <v>10.0</v>
      </c>
      <c r="U1273" s="5">
        <v>5.5</v>
      </c>
      <c r="V1273" s="5" t="s">
        <v>1332</v>
      </c>
      <c r="W1273" s="81" t="s">
        <v>344</v>
      </c>
      <c r="X1273" s="78" t="s">
        <v>1328</v>
      </c>
      <c r="Y1273" s="5">
        <v>1.0</v>
      </c>
      <c r="Z1273" s="5">
        <v>3.0</v>
      </c>
      <c r="AA1273" s="3">
        <f>2+ (P1273*'Scoring System'!$B$3)+ (IF(OR(D1273="DEF",D1273="GK"),N1273*'Scoring System'!$B$4,IF(D1273="MID",N1273*'Scoring System'!$B$5,0)))+ (IF(OR(D1273="DEF",D1273="GK"),H1273*'Scoring System'!$B$6,IF(D1273="MID",H1273*'Scoring System'!$B$7,IF(D1273="ATT",H1273*'Scoring System'!$B$8,0))))+ IF(AND(OR(D1273="GK",D1273="DEF"),J1273&gt;=3),1*'Scoring System'!$B$9,0)+ (I1273*'Scoring System'!$B$10)+ (K1273*'Scoring System'!$B$11)+ (M1273*'Scoring System'!$B$12)+ (L1273*'Scoring System'!$B$13)+ (O1273*'Scoring System'!$B$14)+ (Q1273*'Scoring System'!$B$15)+ (R1273*'Scoring System'!$B$16)</f>
        <v>1</v>
      </c>
      <c r="AB1273" s="3" t="b">
        <f>IFERROR(match(C1273,'Match Day Fees'!$B$2:$B$999,0),0)=0</f>
        <v>0</v>
      </c>
      <c r="AC1273" s="3">
        <f t="shared" si="2"/>
        <v>0</v>
      </c>
      <c r="AD1273" s="3" t="str">
        <f>VLOOKUP(D1273,'Position Lookup'!A:B,1,FALSE)</f>
        <v>DEF</v>
      </c>
    </row>
    <row r="1274" ht="17.25" customHeight="1">
      <c r="A1274" s="31">
        <v>45262.0</v>
      </c>
      <c r="B1274" s="5" t="s">
        <v>309</v>
      </c>
      <c r="C1274" s="5" t="s">
        <v>104</v>
      </c>
      <c r="D1274" s="5" t="s">
        <v>10</v>
      </c>
      <c r="E1274" s="5">
        <v>2.0</v>
      </c>
      <c r="F1274" s="5" t="s">
        <v>1326</v>
      </c>
      <c r="G1274" s="5" t="s">
        <v>230</v>
      </c>
      <c r="J1274" s="5">
        <v>3.0</v>
      </c>
      <c r="N1274" s="5" t="b">
        <v>0</v>
      </c>
      <c r="R1274" s="5">
        <v>0.0</v>
      </c>
      <c r="T1274" s="5">
        <v>5.0</v>
      </c>
      <c r="U1274" s="5">
        <v>6.0</v>
      </c>
      <c r="V1274" s="5" t="s">
        <v>1333</v>
      </c>
      <c r="W1274" s="81" t="s">
        <v>344</v>
      </c>
      <c r="X1274" s="78" t="s">
        <v>1328</v>
      </c>
      <c r="Y1274" s="5">
        <v>1.0</v>
      </c>
      <c r="Z1274" s="5">
        <v>3.0</v>
      </c>
      <c r="AA1274" s="3">
        <f>2+ (P1274*'Scoring System'!$B$3)+ (IF(OR(D1274="DEF",D1274="GK"),N1274*'Scoring System'!$B$4,IF(D1274="MID",N1274*'Scoring System'!$B$5,0)))+ (IF(OR(D1274="DEF",D1274="GK"),H1274*'Scoring System'!$B$6,IF(D1274="MID",H1274*'Scoring System'!$B$7,IF(D1274="ATT",H1274*'Scoring System'!$B$8,0))))+ IF(AND(OR(D1274="GK",D1274="DEF"),J1274&gt;=3),1*'Scoring System'!$B$9,0)+ (I1274*'Scoring System'!$B$10)+ (K1274*'Scoring System'!$B$11)+ (M1274*'Scoring System'!$B$12)+ (L1274*'Scoring System'!$B$13)+ (O1274*'Scoring System'!$B$14)+ (Q1274*'Scoring System'!$B$15)+ (R1274*'Scoring System'!$B$16)</f>
        <v>2</v>
      </c>
      <c r="AB1274" s="3" t="b">
        <f>IFERROR(match(C1274,'Match Day Fees'!$B$2:$B$999,0),0)=0</f>
        <v>0</v>
      </c>
      <c r="AC1274" s="3">
        <f t="shared" si="2"/>
        <v>0</v>
      </c>
      <c r="AD1274" s="3" t="str">
        <f>VLOOKUP(D1274,'Position Lookup'!A:B,1,FALSE)</f>
        <v>MID</v>
      </c>
    </row>
    <row r="1275" ht="17.25" customHeight="1">
      <c r="A1275" s="31">
        <v>45262.0</v>
      </c>
      <c r="B1275" s="5" t="s">
        <v>309</v>
      </c>
      <c r="C1275" s="5" t="s">
        <v>243</v>
      </c>
      <c r="D1275" s="5" t="s">
        <v>10</v>
      </c>
      <c r="E1275" s="5">
        <v>2.0</v>
      </c>
      <c r="F1275" s="5" t="s">
        <v>1326</v>
      </c>
      <c r="G1275" s="5" t="s">
        <v>230</v>
      </c>
      <c r="J1275" s="5">
        <v>3.0</v>
      </c>
      <c r="N1275" s="5" t="b">
        <v>0</v>
      </c>
      <c r="R1275" s="5">
        <v>0.0</v>
      </c>
      <c r="T1275" s="5">
        <v>10.0</v>
      </c>
      <c r="U1275" s="5">
        <v>6.5</v>
      </c>
      <c r="V1275" s="5" t="s">
        <v>1334</v>
      </c>
      <c r="W1275" s="81" t="s">
        <v>344</v>
      </c>
      <c r="X1275" s="78" t="s">
        <v>1328</v>
      </c>
      <c r="Y1275" s="5">
        <v>1.0</v>
      </c>
      <c r="Z1275" s="5">
        <v>3.0</v>
      </c>
      <c r="AA1275" s="3">
        <f>2+ (P1275*'Scoring System'!$B$3)+ (IF(OR(D1275="DEF",D1275="GK"),N1275*'Scoring System'!$B$4,IF(D1275="MID",N1275*'Scoring System'!$B$5,0)))+ (IF(OR(D1275="DEF",D1275="GK"),H1275*'Scoring System'!$B$6,IF(D1275="MID",H1275*'Scoring System'!$B$7,IF(D1275="ATT",H1275*'Scoring System'!$B$8,0))))+ IF(AND(OR(D1275="GK",D1275="DEF"),J1275&gt;=3),1*'Scoring System'!$B$9,0)+ (I1275*'Scoring System'!$B$10)+ (K1275*'Scoring System'!$B$11)+ (M1275*'Scoring System'!$B$12)+ (L1275*'Scoring System'!$B$13)+ (O1275*'Scoring System'!$B$14)+ (Q1275*'Scoring System'!$B$15)+ (R1275*'Scoring System'!$B$16)</f>
        <v>2</v>
      </c>
      <c r="AB1275" s="3" t="b">
        <f>IFERROR(match(C1275,'Match Day Fees'!$B$2:$B$999,0),0)=0</f>
        <v>0</v>
      </c>
      <c r="AC1275" s="3">
        <f t="shared" si="2"/>
        <v>0</v>
      </c>
      <c r="AD1275" s="3" t="str">
        <f>VLOOKUP(D1275,'Position Lookup'!A:B,1,FALSE)</f>
        <v>MID</v>
      </c>
    </row>
    <row r="1276" ht="17.25" customHeight="1">
      <c r="A1276" s="31">
        <v>45262.0</v>
      </c>
      <c r="B1276" s="5" t="s">
        <v>309</v>
      </c>
      <c r="C1276" s="5" t="s">
        <v>78</v>
      </c>
      <c r="D1276" s="5" t="s">
        <v>10</v>
      </c>
      <c r="E1276" s="5">
        <v>2.0</v>
      </c>
      <c r="F1276" s="5" t="s">
        <v>1326</v>
      </c>
      <c r="G1276" s="5" t="s">
        <v>230</v>
      </c>
      <c r="J1276" s="5">
        <v>3.0</v>
      </c>
      <c r="N1276" s="5" t="b">
        <v>0</v>
      </c>
      <c r="R1276" s="5">
        <v>0.0</v>
      </c>
      <c r="T1276" s="5">
        <v>10.0</v>
      </c>
      <c r="U1276" s="5">
        <v>5.5</v>
      </c>
      <c r="V1276" s="5" t="s">
        <v>1335</v>
      </c>
      <c r="W1276" s="81" t="s">
        <v>344</v>
      </c>
      <c r="X1276" s="78" t="s">
        <v>1328</v>
      </c>
      <c r="Y1276" s="5">
        <v>1.0</v>
      </c>
      <c r="Z1276" s="5">
        <v>3.0</v>
      </c>
      <c r="AA1276" s="3">
        <f>2+ (P1276*'Scoring System'!$B$3)+ (IF(OR(D1276="DEF",D1276="GK"),N1276*'Scoring System'!$B$4,IF(D1276="MID",N1276*'Scoring System'!$B$5,0)))+ (IF(OR(D1276="DEF",D1276="GK"),H1276*'Scoring System'!$B$6,IF(D1276="MID",H1276*'Scoring System'!$B$7,IF(D1276="ATT",H1276*'Scoring System'!$B$8,0))))+ IF(AND(OR(D1276="GK",D1276="DEF"),J1276&gt;=3),1*'Scoring System'!$B$9,0)+ (I1276*'Scoring System'!$B$10)+ (K1276*'Scoring System'!$B$11)+ (M1276*'Scoring System'!$B$12)+ (L1276*'Scoring System'!$B$13)+ (O1276*'Scoring System'!$B$14)+ (Q1276*'Scoring System'!$B$15)+ (R1276*'Scoring System'!$B$16)</f>
        <v>2</v>
      </c>
      <c r="AB1276" s="3" t="b">
        <f>IFERROR(match(C1276,'Match Day Fees'!$B$2:$B$999,0),0)=0</f>
        <v>0</v>
      </c>
      <c r="AC1276" s="3">
        <f t="shared" si="2"/>
        <v>0</v>
      </c>
      <c r="AD1276" s="3" t="str">
        <f>VLOOKUP(D1276,'Position Lookup'!A:B,1,FALSE)</f>
        <v>MID</v>
      </c>
    </row>
    <row r="1277" ht="17.25" customHeight="1">
      <c r="A1277" s="31">
        <v>45262.0</v>
      </c>
      <c r="B1277" s="5" t="s">
        <v>309</v>
      </c>
      <c r="C1277" s="5" t="s">
        <v>114</v>
      </c>
      <c r="D1277" s="5" t="s">
        <v>9</v>
      </c>
      <c r="E1277" s="5">
        <v>2.0</v>
      </c>
      <c r="F1277" s="5" t="s">
        <v>1326</v>
      </c>
      <c r="G1277" s="5" t="s">
        <v>230</v>
      </c>
      <c r="J1277" s="5">
        <v>3.0</v>
      </c>
      <c r="N1277" s="5" t="b">
        <v>0</v>
      </c>
      <c r="R1277" s="5">
        <v>0.0</v>
      </c>
      <c r="T1277" s="5">
        <v>10.0</v>
      </c>
      <c r="U1277" s="5">
        <v>7.5</v>
      </c>
      <c r="V1277" s="5" t="s">
        <v>1336</v>
      </c>
      <c r="W1277" s="81" t="s">
        <v>344</v>
      </c>
      <c r="X1277" s="78" t="s">
        <v>1328</v>
      </c>
      <c r="Y1277" s="5">
        <v>1.0</v>
      </c>
      <c r="Z1277" s="5">
        <v>3.0</v>
      </c>
      <c r="AA1277" s="3">
        <f>2+ (P1277*'Scoring System'!$B$3)+ (IF(OR(D1277="DEF",D1277="GK"),N1277*'Scoring System'!$B$4,IF(D1277="MID",N1277*'Scoring System'!$B$5,0)))+ (IF(OR(D1277="DEF",D1277="GK"),H1278*'Scoring System'!$B$6,IF(D1277="MID",H1278*'Scoring System'!$B$7,IF(D1277="ATT",H1278*'Scoring System'!$B$8,0))))+ IF(AND(OR(D1277="GK",D1277="DEF"),J1277&gt;=3),1*'Scoring System'!$B$9,0)+ (I1277*'Scoring System'!$B$10)+ (K1277*'Scoring System'!$B$11)+ (M1277*'Scoring System'!$B$12)+ (L1277*'Scoring System'!$B$13)+ (O1277*'Scoring System'!$B$14)+ (Q1277*'Scoring System'!$B$15)+ (R1277*'Scoring System'!$B$16)</f>
        <v>6</v>
      </c>
      <c r="AB1277" s="3" t="b">
        <f>IFERROR(match(C1277,'Match Day Fees'!$B$2:$B$999,0),0)=0</f>
        <v>0</v>
      </c>
      <c r="AC1277" s="3">
        <f t="shared" si="2"/>
        <v>0</v>
      </c>
      <c r="AD1277" s="3" t="str">
        <f>VLOOKUP(D1277,'Position Lookup'!A:B,1,FALSE)</f>
        <v>ATT</v>
      </c>
    </row>
    <row r="1278" ht="17.25" customHeight="1">
      <c r="A1278" s="31">
        <v>45262.0</v>
      </c>
      <c r="B1278" s="5" t="s">
        <v>309</v>
      </c>
      <c r="C1278" s="5" t="s">
        <v>73</v>
      </c>
      <c r="D1278" s="5" t="s">
        <v>9</v>
      </c>
      <c r="E1278" s="5">
        <v>2.0</v>
      </c>
      <c r="F1278" s="5" t="s">
        <v>1326</v>
      </c>
      <c r="G1278" s="5" t="s">
        <v>230</v>
      </c>
      <c r="H1278" s="5">
        <v>1.0</v>
      </c>
      <c r="J1278" s="5">
        <v>3.0</v>
      </c>
      <c r="N1278" s="5" t="b">
        <v>0</v>
      </c>
      <c r="R1278" s="5">
        <v>0.0</v>
      </c>
      <c r="T1278" s="5">
        <v>10.0</v>
      </c>
      <c r="U1278" s="5">
        <v>6.5</v>
      </c>
      <c r="V1278" s="5" t="s">
        <v>1337</v>
      </c>
      <c r="W1278" s="81" t="s">
        <v>344</v>
      </c>
      <c r="X1278" s="78" t="s">
        <v>1328</v>
      </c>
      <c r="Y1278" s="5">
        <v>1.0</v>
      </c>
      <c r="Z1278" s="5">
        <v>3.0</v>
      </c>
      <c r="AA1278" s="3" t="str">
        <f>2+ (P1278*'Scoring System'!$B$3)+ (IF(OR(D1278="DEF",D1278="GK"),N1278*'Scoring System'!$B$4,IF(D1278="MID",N1278*'Scoring System'!$B$5,0)))+ (IF(OR(D1278="DEF",D1278="GK"),#REF!*'Scoring System'!$B$6,IF(D1278="MID",#REF!*'Scoring System'!$B$7,IF(D1278="ATT",#REF!*'Scoring System'!$B$8,0))))+ IF(AND(OR(D1278="GK",D1278="DEF"),J1278&gt;=3),1*'Scoring System'!$B$9,0)+ (I1278*'Scoring System'!$B$10)+ (K1278*'Scoring System'!$B$11)+ (M1278*'Scoring System'!$B$12)+ (L1278*'Scoring System'!$B$13)+ (O1278*'Scoring System'!$B$14)+ (Q1278*'Scoring System'!$B$15)+ (R1278*'Scoring System'!$B$16)</f>
        <v>#REF!</v>
      </c>
      <c r="AB1278" s="3" t="b">
        <f>IFERROR(match(C1278,'Match Day Fees'!$B$2:$B$999,0),0)=0</f>
        <v>0</v>
      </c>
      <c r="AC1278" s="3">
        <f t="shared" si="2"/>
        <v>0</v>
      </c>
      <c r="AD1278" s="3" t="str">
        <f>VLOOKUP(D1278,'Position Lookup'!A:B,1,FALSE)</f>
        <v>ATT</v>
      </c>
    </row>
    <row r="1279" ht="17.25" customHeight="1">
      <c r="A1279" s="31">
        <v>45262.0</v>
      </c>
      <c r="B1279" s="5" t="s">
        <v>309</v>
      </c>
      <c r="C1279" s="5" t="s">
        <v>148</v>
      </c>
      <c r="D1279" s="5" t="s">
        <v>9</v>
      </c>
      <c r="E1279" s="5">
        <v>2.0</v>
      </c>
      <c r="F1279" s="5" t="s">
        <v>1326</v>
      </c>
      <c r="G1279" s="5" t="s">
        <v>230</v>
      </c>
      <c r="J1279" s="5">
        <v>3.0</v>
      </c>
      <c r="N1279" s="5" t="b">
        <v>0</v>
      </c>
      <c r="R1279" s="5">
        <v>0.0</v>
      </c>
      <c r="T1279" s="5">
        <v>5.0</v>
      </c>
      <c r="U1279" s="5">
        <v>5.5</v>
      </c>
      <c r="V1279" s="5" t="s">
        <v>1338</v>
      </c>
      <c r="W1279" s="81" t="s">
        <v>344</v>
      </c>
      <c r="X1279" s="78" t="s">
        <v>1328</v>
      </c>
      <c r="Y1279" s="5">
        <v>1.0</v>
      </c>
      <c r="Z1279" s="5">
        <v>3.0</v>
      </c>
      <c r="AA1279" s="3">
        <f>2+ (P1279*'Scoring System'!$B$3)+ (IF(OR(D1279="DEF",D1279="GK"),N1279*'Scoring System'!$B$4,IF(D1279="MID",N1279*'Scoring System'!$B$5,0)))+ (IF(OR(D1279="DEF",D1279="GK"),H1279*'Scoring System'!$B$6,IF(D1279="MID",H1279*'Scoring System'!$B$7,IF(D1279="ATT",H1279*'Scoring System'!$B$8,0))))+ IF(AND(OR(D1279="GK",D1279="DEF"),J1279&gt;=3),1*'Scoring System'!$B$9,0)+ (I1279*'Scoring System'!$B$10)+ (K1279*'Scoring System'!$B$11)+ (M1279*'Scoring System'!$B$12)+ (L1279*'Scoring System'!$B$13)+ (O1279*'Scoring System'!$B$14)+ (Q1279*'Scoring System'!$B$15)+ (R1279*'Scoring System'!$B$16)</f>
        <v>2</v>
      </c>
      <c r="AB1279" s="3" t="b">
        <f>IFERROR(match(C1279,'Match Day Fees'!$B$2:$B$999,0),0)=0</f>
        <v>0</v>
      </c>
      <c r="AC1279" s="3">
        <f t="shared" si="2"/>
        <v>0</v>
      </c>
      <c r="AD1279" s="3" t="str">
        <f>VLOOKUP(D1279,'Position Lookup'!A:B,1,FALSE)</f>
        <v>ATT</v>
      </c>
    </row>
    <row r="1280" ht="17.25" customHeight="1">
      <c r="A1280" s="31">
        <v>45262.0</v>
      </c>
      <c r="B1280" s="5" t="s">
        <v>309</v>
      </c>
      <c r="C1280" s="5" t="s">
        <v>61</v>
      </c>
      <c r="D1280" s="5" t="s">
        <v>9</v>
      </c>
      <c r="E1280" s="5">
        <v>2.0</v>
      </c>
      <c r="F1280" s="5" t="s">
        <v>1326</v>
      </c>
      <c r="G1280" s="5" t="s">
        <v>230</v>
      </c>
      <c r="J1280" s="5">
        <v>3.0</v>
      </c>
      <c r="K1280" s="5">
        <v>1.0</v>
      </c>
      <c r="N1280" s="5" t="b">
        <v>0</v>
      </c>
      <c r="R1280" s="5">
        <v>0.0</v>
      </c>
      <c r="T1280" s="5">
        <v>5.0</v>
      </c>
      <c r="U1280" s="5">
        <v>6.5</v>
      </c>
      <c r="V1280" s="5" t="s">
        <v>1339</v>
      </c>
      <c r="W1280" s="81" t="s">
        <v>344</v>
      </c>
      <c r="X1280" s="78" t="s">
        <v>1328</v>
      </c>
      <c r="Y1280" s="5">
        <v>1.0</v>
      </c>
      <c r="Z1280" s="5">
        <v>3.0</v>
      </c>
      <c r="AA1280" s="3">
        <f>2+ (P1280*'Scoring System'!$B$3)+ (IF(OR(D1280="DEF",D1280="GK"),N1280*'Scoring System'!$B$4,IF(D1280="MID",N1280*'Scoring System'!$B$5,0)))+ (IF(OR(D1280="DEF",D1280="GK"),H1280*'Scoring System'!$B$6,IF(D1280="MID",H1280*'Scoring System'!$B$7,IF(D1280="ATT",H1280*'Scoring System'!$B$8,0))))+ IF(AND(OR(D1280="GK",D1280="DEF"),J1280&gt;=3),1*'Scoring System'!$B$9,0)+ (I1280*'Scoring System'!$B$10)+ (K1280*'Scoring System'!$B$11)+ (M1280*'Scoring System'!$B$12)+ (L1280*'Scoring System'!$B$13)+ (O1280*'Scoring System'!$B$14)+ (Q1280*'Scoring System'!$B$15)+ (R1280*'Scoring System'!$B$16)</f>
        <v>1</v>
      </c>
      <c r="AB1280" s="3" t="b">
        <f>IFERROR(match(C1280,'Match Day Fees'!$B$2:$B$999,0),0)=0</f>
        <v>0</v>
      </c>
      <c r="AC1280" s="3">
        <f t="shared" si="2"/>
        <v>0</v>
      </c>
      <c r="AD1280" s="3" t="str">
        <f>VLOOKUP(D1280,'Position Lookup'!A:B,1,FALSE)</f>
        <v>ATT</v>
      </c>
    </row>
    <row r="1281" ht="17.25" customHeight="1">
      <c r="A1281" s="31">
        <v>45262.0</v>
      </c>
      <c r="B1281" s="5" t="s">
        <v>309</v>
      </c>
      <c r="C1281" s="5" t="s">
        <v>92</v>
      </c>
      <c r="D1281" s="5" t="s">
        <v>10</v>
      </c>
      <c r="E1281" s="5">
        <v>2.0</v>
      </c>
      <c r="F1281" s="5" t="s">
        <v>1326</v>
      </c>
      <c r="G1281" s="5" t="s">
        <v>230</v>
      </c>
      <c r="J1281" s="5">
        <v>3.0</v>
      </c>
      <c r="N1281" s="5" t="b">
        <v>0</v>
      </c>
      <c r="R1281" s="5">
        <v>0.0</v>
      </c>
      <c r="S1281" s="5" t="b">
        <v>1</v>
      </c>
      <c r="T1281" s="5">
        <v>0.0</v>
      </c>
      <c r="U1281" s="5">
        <v>5.5</v>
      </c>
      <c r="V1281" s="5" t="s">
        <v>1340</v>
      </c>
      <c r="W1281" s="81" t="s">
        <v>344</v>
      </c>
      <c r="X1281" s="78" t="s">
        <v>1328</v>
      </c>
      <c r="Y1281" s="5">
        <v>1.0</v>
      </c>
      <c r="Z1281" s="5">
        <v>3.0</v>
      </c>
      <c r="AA1281" s="3">
        <f>2+ (P1281*'Scoring System'!$B$3)+ (IF(OR(D1281="DEF",D1281="GK"),N1281*'Scoring System'!$B$4,IF(D1281="MID",N1281*'Scoring System'!$B$5,0)))+ (IF(OR(D1281="DEF",D1281="GK"),H1281*'Scoring System'!$B$6,IF(D1281="MID",H1281*'Scoring System'!$B$7,IF(D1281="ATT",H1281*'Scoring System'!$B$8,0))))+ IF(AND(OR(D1281="GK",D1281="DEF"),J1281&gt;=3),1*'Scoring System'!$B$9,0)+ (I1281*'Scoring System'!$B$10)+ (K1281*'Scoring System'!$B$11)+ (M1281*'Scoring System'!$B$12)+ (L1281*'Scoring System'!$B$13)+ (O1281*'Scoring System'!$B$14)+ (Q1281*'Scoring System'!$B$15)+ (R1281*'Scoring System'!$B$16)</f>
        <v>2</v>
      </c>
      <c r="AB1281" s="3" t="b">
        <f>IFERROR(match(C1281,'Match Day Fees'!$B$2:$B$999,0),0)=0</f>
        <v>0</v>
      </c>
      <c r="AC1281" s="3">
        <f t="shared" si="2"/>
        <v>0</v>
      </c>
      <c r="AD1281" s="3" t="str">
        <f>VLOOKUP(D1281,'Position Lookup'!A:B,1,FALSE)</f>
        <v>MID</v>
      </c>
    </row>
    <row r="1282" ht="17.25" customHeight="1">
      <c r="A1282" s="31">
        <v>45262.0</v>
      </c>
      <c r="B1282" s="5" t="s">
        <v>309</v>
      </c>
      <c r="C1282" s="5" t="s">
        <v>1231</v>
      </c>
      <c r="D1282" s="5" t="s">
        <v>8</v>
      </c>
      <c r="E1282" s="5">
        <v>3.0</v>
      </c>
      <c r="F1282" s="5" t="s">
        <v>1341</v>
      </c>
      <c r="G1282" s="5" t="s">
        <v>224</v>
      </c>
      <c r="J1282" s="5">
        <v>1.0</v>
      </c>
      <c r="N1282" s="5" t="b">
        <v>0</v>
      </c>
      <c r="R1282" s="5">
        <v>0.0</v>
      </c>
      <c r="T1282" s="5">
        <v>5.0</v>
      </c>
      <c r="U1282" s="5">
        <v>7.0</v>
      </c>
      <c r="V1282" s="5" t="s">
        <v>1342</v>
      </c>
      <c r="W1282" s="81" t="s">
        <v>344</v>
      </c>
      <c r="X1282" s="78" t="s">
        <v>1343</v>
      </c>
      <c r="Y1282" s="5">
        <v>4.0</v>
      </c>
      <c r="Z1282" s="5">
        <v>1.0</v>
      </c>
      <c r="AA1282" s="3">
        <f>2+ (P1282*'Scoring System'!$B$3)+ (IF(OR(D1282="DEF",D1282="GK"),N1282*'Scoring System'!$B$4,IF(D1282="MID",N1282*'Scoring System'!$B$5,0)))+ (IF(OR(D1282="DEF",D1282="GK"),H1282*'Scoring System'!$B$6,IF(D1282="MID",H1282*'Scoring System'!$B$7,IF(D1282="ATT",H1282*'Scoring System'!$B$8,0))))+ IF(AND(OR(D1282="GK",D1282="DEF"),J1282&gt;=3),1*'Scoring System'!$B$9,0)+ (I1282*'Scoring System'!$B$10)+ (K1282*'Scoring System'!$B$11)+ (M1282*'Scoring System'!$B$12)+ (L1282*'Scoring System'!$B$13)+ (O1282*'Scoring System'!$B$14)+ (Q1282*'Scoring System'!$B$15)+ (R1282*'Scoring System'!$B$16)</f>
        <v>2</v>
      </c>
      <c r="AB1282" s="3" t="b">
        <f>IFERROR(match(C1282,'Match Day Fees'!$B$2:$B$999,0),0)=0</f>
        <v>0</v>
      </c>
      <c r="AC1282" s="3">
        <f t="shared" si="2"/>
        <v>0</v>
      </c>
      <c r="AD1282" s="3" t="str">
        <f>VLOOKUP(D1282,'Position Lookup'!A:B,1,FALSE)</f>
        <v>GK</v>
      </c>
    </row>
    <row r="1283" ht="17.25" customHeight="1">
      <c r="A1283" s="31">
        <v>45262.0</v>
      </c>
      <c r="B1283" s="5" t="s">
        <v>309</v>
      </c>
      <c r="C1283" s="5" t="s">
        <v>1253</v>
      </c>
      <c r="D1283" s="5" t="s">
        <v>11</v>
      </c>
      <c r="E1283" s="5">
        <v>3.0</v>
      </c>
      <c r="F1283" s="5" t="s">
        <v>1341</v>
      </c>
      <c r="G1283" s="5" t="s">
        <v>224</v>
      </c>
      <c r="J1283" s="5">
        <v>1.0</v>
      </c>
      <c r="N1283" s="5" t="b">
        <v>0</v>
      </c>
      <c r="R1283" s="5">
        <v>0.0</v>
      </c>
      <c r="T1283" s="5">
        <v>5.0</v>
      </c>
      <c r="U1283" s="5">
        <v>7.0</v>
      </c>
      <c r="V1283" s="5" t="s">
        <v>1344</v>
      </c>
      <c r="W1283" s="81" t="s">
        <v>344</v>
      </c>
      <c r="X1283" s="78" t="s">
        <v>1343</v>
      </c>
      <c r="Y1283" s="5">
        <v>4.0</v>
      </c>
      <c r="Z1283" s="5">
        <v>1.0</v>
      </c>
      <c r="AA1283" s="3">
        <f>2+ (P1283*'Scoring System'!$B$3)+ (IF(OR(D1283="DEF",D1283="GK"),N1283*'Scoring System'!$B$4,IF(D1283="MID",N1283*'Scoring System'!$B$5,0)))+ (IF(OR(D1283="DEF",D1283="GK"),H1283*'Scoring System'!$B$6,IF(D1283="MID",H1283*'Scoring System'!$B$7,IF(D1283="ATT",H1283*'Scoring System'!$B$8,0))))+ IF(AND(OR(D1283="GK",D1283="DEF"),J1283&gt;=3),1*'Scoring System'!$B$9,0)+ (I1283*'Scoring System'!$B$10)+ (K1283*'Scoring System'!$B$11)+ (M1283*'Scoring System'!$B$12)+ (L1283*'Scoring System'!$B$13)+ (O1283*'Scoring System'!$B$14)+ (Q1283*'Scoring System'!$B$15)+ (R1283*'Scoring System'!$B$16)</f>
        <v>2</v>
      </c>
      <c r="AB1283" s="3" t="b">
        <f>IFERROR(match(C1283,'Match Day Fees'!$B$2:$B$999,0),0)=0</f>
        <v>0</v>
      </c>
      <c r="AC1283" s="3">
        <f t="shared" si="2"/>
        <v>0</v>
      </c>
      <c r="AD1283" s="3" t="str">
        <f>VLOOKUP(D1283,'Position Lookup'!A:B,1,FALSE)</f>
        <v>DEF</v>
      </c>
    </row>
    <row r="1284" ht="17.25" customHeight="1">
      <c r="A1284" s="31">
        <v>45262.0</v>
      </c>
      <c r="B1284" s="5" t="s">
        <v>309</v>
      </c>
      <c r="C1284" s="5" t="s">
        <v>91</v>
      </c>
      <c r="D1284" s="5" t="s">
        <v>11</v>
      </c>
      <c r="E1284" s="5">
        <v>3.0</v>
      </c>
      <c r="F1284" s="5" t="s">
        <v>1341</v>
      </c>
      <c r="G1284" s="5" t="s">
        <v>224</v>
      </c>
      <c r="J1284" s="5">
        <v>1.0</v>
      </c>
      <c r="N1284" s="5" t="b">
        <v>0</v>
      </c>
      <c r="R1284" s="5">
        <v>0.0</v>
      </c>
      <c r="T1284" s="5">
        <v>5.0</v>
      </c>
      <c r="U1284" s="5">
        <v>7.5</v>
      </c>
      <c r="V1284" s="5" t="s">
        <v>1345</v>
      </c>
      <c r="W1284" s="81" t="s">
        <v>344</v>
      </c>
      <c r="X1284" s="78" t="s">
        <v>1343</v>
      </c>
      <c r="Y1284" s="5">
        <v>4.0</v>
      </c>
      <c r="Z1284" s="5">
        <v>1.0</v>
      </c>
      <c r="AA1284" s="3">
        <f>2+ (P1284*'Scoring System'!$B$3)+ (IF(OR(D1284="DEF",D1284="GK"),N1284*'Scoring System'!$B$4,IF(D1284="MID",N1284*'Scoring System'!$B$5,0)))+ (IF(OR(D1284="DEF",D1284="GK"),H1284*'Scoring System'!$B$6,IF(D1284="MID",H1284*'Scoring System'!$B$7,IF(D1284="ATT",H1284*'Scoring System'!$B$8,0))))+ IF(AND(OR(D1284="GK",D1284="DEF"),J1284&gt;=3),1*'Scoring System'!$B$9,0)+ (I1284*'Scoring System'!$B$10)+ (K1284*'Scoring System'!$B$11)+ (M1284*'Scoring System'!$B$12)+ (L1284*'Scoring System'!$B$13)+ (O1284*'Scoring System'!$B$14)+ (Q1284*'Scoring System'!$B$15)+ (R1284*'Scoring System'!$B$16)</f>
        <v>2</v>
      </c>
      <c r="AB1284" s="3" t="b">
        <f>IFERROR(match(C1284,'Match Day Fees'!$B$2:$B$999,0),0)=0</f>
        <v>0</v>
      </c>
      <c r="AC1284" s="3">
        <f t="shared" si="2"/>
        <v>0</v>
      </c>
      <c r="AD1284" s="3" t="str">
        <f>VLOOKUP(D1284,'Position Lookup'!A:B,1,FALSE)</f>
        <v>DEF</v>
      </c>
    </row>
    <row r="1285" ht="17.25" customHeight="1">
      <c r="A1285" s="31">
        <v>45262.0</v>
      </c>
      <c r="B1285" s="5" t="s">
        <v>309</v>
      </c>
      <c r="C1285" s="5" t="s">
        <v>1072</v>
      </c>
      <c r="D1285" s="5" t="s">
        <v>11</v>
      </c>
      <c r="E1285" s="5">
        <v>3.0</v>
      </c>
      <c r="F1285" s="5" t="s">
        <v>1341</v>
      </c>
      <c r="G1285" s="5" t="s">
        <v>224</v>
      </c>
      <c r="J1285" s="5">
        <v>1.0</v>
      </c>
      <c r="N1285" s="5" t="b">
        <v>0</v>
      </c>
      <c r="R1285" s="5">
        <v>0.0</v>
      </c>
      <c r="T1285" s="5">
        <v>10.0</v>
      </c>
      <c r="U1285" s="5">
        <v>7.5</v>
      </c>
      <c r="V1285" s="5" t="s">
        <v>1346</v>
      </c>
      <c r="W1285" s="81" t="s">
        <v>344</v>
      </c>
      <c r="X1285" s="78" t="s">
        <v>1343</v>
      </c>
      <c r="Y1285" s="5">
        <v>4.0</v>
      </c>
      <c r="Z1285" s="5">
        <v>1.0</v>
      </c>
      <c r="AA1285" s="3">
        <f>2+ (P1285*'Scoring System'!$B$3)+ (IF(OR(D1285="DEF",D1285="GK"),N1285*'Scoring System'!$B$4,IF(D1285="MID",N1285*'Scoring System'!$B$5,0)))+ (IF(OR(D1285="DEF",D1285="GK"),H1285*'Scoring System'!$B$6,IF(D1285="MID",H1285*'Scoring System'!$B$7,IF(D1285="ATT",H1285*'Scoring System'!$B$8,0))))+ IF(AND(OR(D1285="GK",D1285="DEF"),J1285&gt;=3),1*'Scoring System'!$B$9,0)+ (I1285*'Scoring System'!$B$10)+ (K1285*'Scoring System'!$B$11)+ (M1285*'Scoring System'!$B$12)+ (L1285*'Scoring System'!$B$13)+ (O1285*'Scoring System'!$B$14)+ (Q1285*'Scoring System'!$B$15)+ (R1285*'Scoring System'!$B$16)</f>
        <v>2</v>
      </c>
      <c r="AB1285" s="3" t="b">
        <f>IFERROR(match(C1285,'Match Day Fees'!$B$2:$B$999,0),0)=0</f>
        <v>0</v>
      </c>
      <c r="AC1285" s="3">
        <f t="shared" si="2"/>
        <v>0</v>
      </c>
      <c r="AD1285" s="3" t="str">
        <f>VLOOKUP(D1285,'Position Lookup'!A:B,1,FALSE)</f>
        <v>DEF</v>
      </c>
    </row>
    <row r="1286" ht="17.25" customHeight="1">
      <c r="A1286" s="31">
        <v>45262.0</v>
      </c>
      <c r="B1286" s="5" t="s">
        <v>309</v>
      </c>
      <c r="C1286" s="5" t="s">
        <v>119</v>
      </c>
      <c r="D1286" s="5" t="s">
        <v>11</v>
      </c>
      <c r="E1286" s="5">
        <v>3.0</v>
      </c>
      <c r="F1286" s="5" t="s">
        <v>1341</v>
      </c>
      <c r="G1286" s="5" t="s">
        <v>224</v>
      </c>
      <c r="J1286" s="5">
        <v>1.0</v>
      </c>
      <c r="N1286" s="5" t="b">
        <v>0</v>
      </c>
      <c r="R1286" s="5">
        <v>0.0</v>
      </c>
      <c r="T1286" s="5">
        <v>10.0</v>
      </c>
      <c r="U1286" s="5">
        <v>7.5</v>
      </c>
      <c r="V1286" s="5" t="s">
        <v>1347</v>
      </c>
      <c r="W1286" s="81" t="s">
        <v>344</v>
      </c>
      <c r="X1286" s="78" t="s">
        <v>1343</v>
      </c>
      <c r="Y1286" s="5">
        <v>4.0</v>
      </c>
      <c r="Z1286" s="5">
        <v>1.0</v>
      </c>
      <c r="AA1286" s="3">
        <f>2+ (P1286*'Scoring System'!$B$3)+ (IF(OR(D1286="DEF",D1286="GK"),N1286*'Scoring System'!$B$4,IF(D1286="MID",N1286*'Scoring System'!$B$5,0)))+ (IF(OR(D1286="DEF",D1286="GK"),H1286*'Scoring System'!$B$6,IF(D1286="MID",H1286*'Scoring System'!$B$7,IF(D1286="ATT",H1286*'Scoring System'!$B$8,0))))+ IF(AND(OR(D1286="GK",D1286="DEF"),J1286&gt;=3),1*'Scoring System'!$B$9,0)+ (I1286*'Scoring System'!$B$10)+ (K1286*'Scoring System'!$B$11)+ (M1286*'Scoring System'!$B$12)+ (L1286*'Scoring System'!$B$13)+ (O1286*'Scoring System'!$B$14)+ (Q1286*'Scoring System'!$B$15)+ (R1286*'Scoring System'!$B$16)</f>
        <v>2</v>
      </c>
      <c r="AB1286" s="3" t="b">
        <f>IFERROR(match(C1286,'Match Day Fees'!$B$2:$B$999,0),0)=0</f>
        <v>0</v>
      </c>
      <c r="AC1286" s="3">
        <f t="shared" si="2"/>
        <v>0</v>
      </c>
      <c r="AD1286" s="3" t="str">
        <f>VLOOKUP(D1286,'Position Lookup'!A:B,1,FALSE)</f>
        <v>DEF</v>
      </c>
    </row>
    <row r="1287" ht="17.25" customHeight="1">
      <c r="A1287" s="31">
        <v>45262.0</v>
      </c>
      <c r="B1287" s="5" t="s">
        <v>309</v>
      </c>
      <c r="C1287" s="5" t="s">
        <v>151</v>
      </c>
      <c r="D1287" s="5" t="s">
        <v>10</v>
      </c>
      <c r="E1287" s="5">
        <v>3.0</v>
      </c>
      <c r="F1287" s="5" t="s">
        <v>1341</v>
      </c>
      <c r="G1287" s="5" t="s">
        <v>224</v>
      </c>
      <c r="J1287" s="5">
        <v>1.0</v>
      </c>
      <c r="N1287" s="5" t="b">
        <v>0</v>
      </c>
      <c r="O1287" s="5">
        <v>1.0</v>
      </c>
      <c r="R1287" s="5">
        <v>0.0</v>
      </c>
      <c r="T1287" s="5">
        <v>2.5</v>
      </c>
      <c r="U1287" s="5">
        <v>7.0</v>
      </c>
      <c r="V1287" s="5" t="s">
        <v>1348</v>
      </c>
      <c r="W1287" s="81" t="s">
        <v>344</v>
      </c>
      <c r="X1287" s="78" t="s">
        <v>1343</v>
      </c>
      <c r="Y1287" s="5">
        <v>4.0</v>
      </c>
      <c r="Z1287" s="5">
        <v>1.0</v>
      </c>
      <c r="AA1287" s="3">
        <f>2+ (P1287*'Scoring System'!$B$3)+ (IF(OR(D1287="DEF",D1287="GK"),N1287*'Scoring System'!$B$4,IF(D1287="MID",N1287*'Scoring System'!$B$5,0)))+ (IF(OR(D1287="DEF",D1287="GK"),H1287*'Scoring System'!$B$6,IF(D1287="MID",H1287*'Scoring System'!$B$7,IF(D1287="ATT",H1287*'Scoring System'!$B$8,0))))+ IF(AND(OR(D1287="GK",D1287="DEF"),J1287&gt;=3),1*'Scoring System'!$B$9,0)+ (I1287*'Scoring System'!$B$10)+ (K1287*'Scoring System'!$B$11)+ (M1287*'Scoring System'!$B$12)+ (L1287*'Scoring System'!$B$13)+ (O1287*'Scoring System'!$B$14)+ (Q1287*'Scoring System'!$B$15)+ (R1287*'Scoring System'!$B$16)</f>
        <v>0</v>
      </c>
      <c r="AB1287" s="3" t="b">
        <f>IFERROR(match(C1287,'Match Day Fees'!$B$2:$B$999,0),0)=0</f>
        <v>0</v>
      </c>
      <c r="AC1287" s="3">
        <f t="shared" si="2"/>
        <v>0</v>
      </c>
      <c r="AD1287" s="3" t="str">
        <f>VLOOKUP(D1287,'Position Lookup'!A:B,1,FALSE)</f>
        <v>MID</v>
      </c>
    </row>
    <row r="1288" ht="17.25" customHeight="1">
      <c r="A1288" s="31">
        <v>45262.0</v>
      </c>
      <c r="B1288" s="5" t="s">
        <v>309</v>
      </c>
      <c r="C1288" s="5" t="s">
        <v>112</v>
      </c>
      <c r="D1288" s="5" t="s">
        <v>10</v>
      </c>
      <c r="E1288" s="5">
        <v>3.0</v>
      </c>
      <c r="F1288" s="5" t="s">
        <v>1341</v>
      </c>
      <c r="G1288" s="5" t="s">
        <v>224</v>
      </c>
      <c r="I1288" s="5">
        <v>1.0</v>
      </c>
      <c r="J1288" s="5">
        <v>1.0</v>
      </c>
      <c r="N1288" s="5" t="b">
        <v>0</v>
      </c>
      <c r="R1288" s="5">
        <v>0.0</v>
      </c>
      <c r="T1288" s="5">
        <v>10.0</v>
      </c>
      <c r="U1288" s="5">
        <v>8.0</v>
      </c>
      <c r="V1288" s="5" t="s">
        <v>1349</v>
      </c>
      <c r="W1288" s="81" t="s">
        <v>344</v>
      </c>
      <c r="X1288" s="78" t="s">
        <v>1343</v>
      </c>
      <c r="Y1288" s="5">
        <v>4.0</v>
      </c>
      <c r="Z1288" s="5">
        <v>1.0</v>
      </c>
      <c r="AA1288" s="3">
        <f>2+ (P1288*'Scoring System'!$B$3)+ (IF(OR(D1288="DEF",D1288="GK"),N1288*'Scoring System'!$B$4,IF(D1288="MID",N1288*'Scoring System'!$B$5,0)))+ (IF(OR(D1288="DEF",D1288="GK"),H1288*'Scoring System'!$B$6,IF(D1288="MID",H1288*'Scoring System'!$B$7,IF(D1288="ATT",H1288*'Scoring System'!$B$8,0))))+ IF(AND(OR(D1288="GK",D1288="DEF"),J1288&gt;=3),1*'Scoring System'!$B$9,0)+ (I1288*'Scoring System'!$B$10)+ (K1288*'Scoring System'!$B$11)+ (M1288*'Scoring System'!$B$12)+ (L1288*'Scoring System'!$B$13)+ (O1288*'Scoring System'!$B$14)+ (Q1288*'Scoring System'!$B$15)+ (R1288*'Scoring System'!$B$16)</f>
        <v>5</v>
      </c>
      <c r="AB1288" s="3" t="b">
        <f>IFERROR(match(C1288,'Match Day Fees'!$B$2:$B$999,0),0)=0</f>
        <v>0</v>
      </c>
      <c r="AC1288" s="3">
        <f t="shared" si="2"/>
        <v>0</v>
      </c>
      <c r="AD1288" s="3" t="str">
        <f>VLOOKUP(D1288,'Position Lookup'!A:B,1,FALSE)</f>
        <v>MID</v>
      </c>
    </row>
    <row r="1289" ht="17.25" customHeight="1">
      <c r="A1289" s="31">
        <v>45262.0</v>
      </c>
      <c r="B1289" s="5" t="s">
        <v>309</v>
      </c>
      <c r="C1289" s="5" t="s">
        <v>125</v>
      </c>
      <c r="D1289" s="5" t="s">
        <v>10</v>
      </c>
      <c r="E1289" s="5">
        <v>3.0</v>
      </c>
      <c r="F1289" s="5" t="s">
        <v>1341</v>
      </c>
      <c r="G1289" s="5" t="s">
        <v>224</v>
      </c>
      <c r="H1289" s="5">
        <v>1.0</v>
      </c>
      <c r="J1289" s="5">
        <v>1.0</v>
      </c>
      <c r="N1289" s="5" t="b">
        <v>0</v>
      </c>
      <c r="R1289" s="5">
        <v>0.0</v>
      </c>
      <c r="T1289" s="5">
        <v>10.0</v>
      </c>
      <c r="U1289" s="5">
        <v>7.5</v>
      </c>
      <c r="V1289" s="5" t="s">
        <v>1350</v>
      </c>
      <c r="W1289" s="81" t="s">
        <v>344</v>
      </c>
      <c r="X1289" s="78" t="s">
        <v>1343</v>
      </c>
      <c r="Y1289" s="5">
        <v>4.0</v>
      </c>
      <c r="Z1289" s="5">
        <v>1.0</v>
      </c>
      <c r="AA1289" s="3">
        <f>2+ (P1289*'Scoring System'!$B$3)+ (IF(OR(D1289="DEF",D1289="GK"),N1289*'Scoring System'!$B$4,IF(D1289="MID",N1289*'Scoring System'!$B$5,0)))+ (IF(OR(D1289="DEF",D1289="GK"),H1289*'Scoring System'!$B$6,IF(D1289="MID",H1289*'Scoring System'!$B$7,IF(D1289="ATT",H1289*'Scoring System'!$B$8,0))))+ IF(AND(OR(D1289="GK",D1289="DEF"),J1289&gt;=3),1*'Scoring System'!$B$9,0)+ (I1289*'Scoring System'!$B$10)+ (K1289*'Scoring System'!$B$11)+ (M1289*'Scoring System'!$B$12)+ (L1289*'Scoring System'!$B$13)+ (O1289*'Scoring System'!$B$14)+ (Q1289*'Scoring System'!$B$15)+ (R1289*'Scoring System'!$B$16)</f>
        <v>7</v>
      </c>
      <c r="AB1289" s="3" t="b">
        <f>IFERROR(match(C1289,'Match Day Fees'!$B$2:$B$999,0),0)=0</f>
        <v>0</v>
      </c>
      <c r="AC1289" s="3">
        <f t="shared" si="2"/>
        <v>0</v>
      </c>
      <c r="AD1289" s="3" t="str">
        <f>VLOOKUP(D1289,'Position Lookup'!A:B,1,FALSE)</f>
        <v>MID</v>
      </c>
    </row>
    <row r="1290" ht="17.25" customHeight="1">
      <c r="A1290" s="31">
        <v>45262.0</v>
      </c>
      <c r="B1290" s="5" t="s">
        <v>309</v>
      </c>
      <c r="C1290" s="5" t="s">
        <v>254</v>
      </c>
      <c r="D1290" s="5" t="s">
        <v>9</v>
      </c>
      <c r="E1290" s="5">
        <v>3.0</v>
      </c>
      <c r="F1290" s="5" t="s">
        <v>1341</v>
      </c>
      <c r="G1290" s="5" t="s">
        <v>224</v>
      </c>
      <c r="H1290" s="5">
        <v>1.0</v>
      </c>
      <c r="J1290" s="5">
        <v>1.0</v>
      </c>
      <c r="N1290" s="5" t="b">
        <v>0</v>
      </c>
      <c r="R1290" s="5">
        <v>0.0</v>
      </c>
      <c r="S1290" s="5" t="b">
        <v>1</v>
      </c>
      <c r="T1290" s="5">
        <v>0.0</v>
      </c>
      <c r="U1290" s="5">
        <v>7.5</v>
      </c>
      <c r="V1290" s="5" t="s">
        <v>1351</v>
      </c>
      <c r="W1290" s="81" t="s">
        <v>344</v>
      </c>
      <c r="X1290" s="78" t="s">
        <v>1343</v>
      </c>
      <c r="Y1290" s="5">
        <v>4.0</v>
      </c>
      <c r="Z1290" s="5">
        <v>1.0</v>
      </c>
      <c r="AA1290" s="3">
        <f>2+ (P1290*'Scoring System'!$B$3)+ (IF(OR(D1290="DEF",D1290="GK"),N1290*'Scoring System'!$B$4,IF(D1290="MID",N1290*'Scoring System'!$B$5,0)))+ (IF(OR(D1290="DEF",D1290="GK"),H1290*'Scoring System'!$B$6,IF(D1290="MID",H1290*'Scoring System'!$B$7,IF(D1290="ATT",H1290*'Scoring System'!$B$8,0))))+ IF(AND(OR(D1290="GK",D1290="DEF"),J1290&gt;=3),1*'Scoring System'!$B$9,0)+ (I1290*'Scoring System'!$B$10)+ (K1290*'Scoring System'!$B$11)+ (M1290*'Scoring System'!$B$12)+ (L1290*'Scoring System'!$B$13)+ (O1290*'Scoring System'!$B$14)+ (Q1290*'Scoring System'!$B$15)+ (R1290*'Scoring System'!$B$16)</f>
        <v>6</v>
      </c>
      <c r="AB1290" s="3" t="b">
        <f>IFERROR(match(C1290,'Match Day Fees'!$B$2:$B$999,0),0)=0</f>
        <v>0</v>
      </c>
      <c r="AC1290" s="3">
        <f t="shared" si="2"/>
        <v>0</v>
      </c>
      <c r="AD1290" s="3" t="str">
        <f>VLOOKUP(D1290,'Position Lookup'!A:B,1,FALSE)</f>
        <v>ATT</v>
      </c>
    </row>
    <row r="1291" ht="17.25" customHeight="1">
      <c r="A1291" s="31">
        <v>45262.0</v>
      </c>
      <c r="B1291" s="5" t="s">
        <v>309</v>
      </c>
      <c r="C1291" s="5" t="s">
        <v>123</v>
      </c>
      <c r="D1291" s="5" t="s">
        <v>9</v>
      </c>
      <c r="E1291" s="5">
        <v>3.0</v>
      </c>
      <c r="F1291" s="5" t="s">
        <v>1341</v>
      </c>
      <c r="G1291" s="5" t="s">
        <v>224</v>
      </c>
      <c r="H1291" s="5">
        <v>1.0</v>
      </c>
      <c r="J1291" s="5">
        <v>1.0</v>
      </c>
      <c r="N1291" s="5" t="b">
        <v>0</v>
      </c>
      <c r="R1291" s="5">
        <v>0.0</v>
      </c>
      <c r="T1291" s="5">
        <v>10.0</v>
      </c>
      <c r="U1291" s="5">
        <v>7.0</v>
      </c>
      <c r="V1291" s="5" t="s">
        <v>1352</v>
      </c>
      <c r="W1291" s="81" t="s">
        <v>344</v>
      </c>
      <c r="X1291" s="78" t="s">
        <v>1343</v>
      </c>
      <c r="Y1291" s="5">
        <v>4.0</v>
      </c>
      <c r="Z1291" s="5">
        <v>1.0</v>
      </c>
      <c r="AA1291" s="3">
        <f>2+ (P1291*'Scoring System'!$B$3)+ (IF(OR(D1291="DEF",D1291="GK"),N1291*'Scoring System'!$B$4,IF(D1291="MID",N1291*'Scoring System'!$B$5,0)))+ (IF(OR(D1291="DEF",D1291="GK"),H1291*'Scoring System'!$B$6,IF(D1291="MID",H1291*'Scoring System'!$B$7,IF(D1291="ATT",H1291*'Scoring System'!$B$8,0))))+ IF(AND(OR(D1291="GK",D1291="DEF"),J1291&gt;=3),1*'Scoring System'!$B$9,0)+ (I1291*'Scoring System'!$B$10)+ (K1291*'Scoring System'!$B$11)+ (M1291*'Scoring System'!$B$12)+ (L1291*'Scoring System'!$B$13)+ (O1291*'Scoring System'!$B$14)+ (Q1291*'Scoring System'!$B$15)+ (R1291*'Scoring System'!$B$16)</f>
        <v>6</v>
      </c>
      <c r="AB1291" s="3" t="b">
        <f>IFERROR(match(C1291,'Match Day Fees'!$B$2:$B$999,0),0)=0</f>
        <v>0</v>
      </c>
      <c r="AC1291" s="3">
        <f t="shared" si="2"/>
        <v>0</v>
      </c>
      <c r="AD1291" s="3" t="str">
        <f>VLOOKUP(D1291,'Position Lookup'!A:B,1,FALSE)</f>
        <v>ATT</v>
      </c>
    </row>
    <row r="1292" ht="17.25" customHeight="1">
      <c r="A1292" s="31">
        <v>45262.0</v>
      </c>
      <c r="B1292" s="5" t="s">
        <v>309</v>
      </c>
      <c r="C1292" s="5" t="s">
        <v>46</v>
      </c>
      <c r="D1292" s="5" t="s">
        <v>9</v>
      </c>
      <c r="E1292" s="5">
        <v>3.0</v>
      </c>
      <c r="F1292" s="5" t="s">
        <v>1341</v>
      </c>
      <c r="G1292" s="5" t="s">
        <v>224</v>
      </c>
      <c r="H1292" s="5">
        <v>1.0</v>
      </c>
      <c r="I1292" s="5">
        <v>2.0</v>
      </c>
      <c r="J1292" s="5">
        <v>1.0</v>
      </c>
      <c r="N1292" s="5" t="b">
        <v>0</v>
      </c>
      <c r="R1292" s="5">
        <v>1.0</v>
      </c>
      <c r="T1292" s="5">
        <v>10.0</v>
      </c>
      <c r="U1292" s="5">
        <v>9.0</v>
      </c>
      <c r="V1292" s="5" t="s">
        <v>1353</v>
      </c>
      <c r="W1292" s="81" t="s">
        <v>344</v>
      </c>
      <c r="X1292" s="78" t="s">
        <v>1343</v>
      </c>
      <c r="Y1292" s="5">
        <v>4.0</v>
      </c>
      <c r="Z1292" s="5">
        <v>1.0</v>
      </c>
      <c r="AA1292" s="3">
        <f>2+ (P1292*'Scoring System'!$B$3)+ (IF(OR(D1292="DEF",D1292="GK"),N1292*'Scoring System'!$B$4,IF(D1292="MID",N1292*'Scoring System'!$B$5,0)))+ (IF(OR(D1292="DEF",D1292="GK"),H1292*'Scoring System'!$B$6,IF(D1292="MID",H1292*'Scoring System'!$B$7,IF(D1292="ATT",H1292*'Scoring System'!$B$8,0))))+ IF(AND(OR(D1292="GK",D1292="DEF"),J1292&gt;=3),1*'Scoring System'!$B$9,0)+ (I1292*'Scoring System'!$B$10)+ (K1292*'Scoring System'!$B$11)+ (M1292*'Scoring System'!$B$12)+ (L1292*'Scoring System'!$B$13)+ (O1292*'Scoring System'!$B$14)+ (Q1292*'Scoring System'!$B$15)+ (R1292*'Scoring System'!$B$16)</f>
        <v>17</v>
      </c>
      <c r="AB1292" s="3" t="b">
        <f>IFERROR(match(C1292,'Match Day Fees'!$B$2:$B$999,0),0)=0</f>
        <v>0</v>
      </c>
      <c r="AC1292" s="3">
        <f t="shared" si="2"/>
        <v>0</v>
      </c>
      <c r="AD1292" s="3" t="str">
        <f>VLOOKUP(D1292,'Position Lookup'!A:B,1,FALSE)</f>
        <v>ATT</v>
      </c>
    </row>
    <row r="1293" ht="17.25" customHeight="1">
      <c r="A1293" s="31">
        <v>45262.0</v>
      </c>
      <c r="B1293" s="5" t="s">
        <v>309</v>
      </c>
      <c r="C1293" s="5" t="s">
        <v>55</v>
      </c>
      <c r="D1293" s="5" t="s">
        <v>9</v>
      </c>
      <c r="E1293" s="5">
        <v>3.0</v>
      </c>
      <c r="F1293" s="5" t="s">
        <v>1341</v>
      </c>
      <c r="G1293" s="5" t="s">
        <v>224</v>
      </c>
      <c r="I1293" s="5">
        <v>1.0</v>
      </c>
      <c r="J1293" s="5">
        <v>1.0</v>
      </c>
      <c r="N1293" s="5" t="b">
        <v>0</v>
      </c>
      <c r="R1293" s="5">
        <v>0.0</v>
      </c>
      <c r="T1293" s="5">
        <v>5.0</v>
      </c>
      <c r="U1293" s="5">
        <v>7.5</v>
      </c>
      <c r="V1293" s="5" t="s">
        <v>1354</v>
      </c>
      <c r="W1293" s="81" t="s">
        <v>344</v>
      </c>
      <c r="X1293" s="78" t="s">
        <v>1343</v>
      </c>
      <c r="Y1293" s="5">
        <v>4.0</v>
      </c>
      <c r="Z1293" s="5">
        <v>1.0</v>
      </c>
      <c r="AA1293" s="3">
        <f>2+ (P1293*'Scoring System'!$B$3)+ (IF(OR(D1293="DEF",D1293="GK"),N1293*'Scoring System'!$B$4,IF(D1293="MID",N1293*'Scoring System'!$B$5,0)))+ (IF(OR(D1293="DEF",D1293="GK"),H1293*'Scoring System'!$B$6,IF(D1293="MID",H1293*'Scoring System'!$B$7,IF(D1293="ATT",H1293*'Scoring System'!$B$8,0))))+ IF(AND(OR(D1293="GK",D1293="DEF"),J1293&gt;=3),1*'Scoring System'!$B$9,0)+ (I1293*'Scoring System'!$B$10)+ (K1293*'Scoring System'!$B$11)+ (M1293*'Scoring System'!$B$12)+ (L1293*'Scoring System'!$B$13)+ (O1293*'Scoring System'!$B$14)+ (Q1293*'Scoring System'!$B$15)+ (R1293*'Scoring System'!$B$16)</f>
        <v>5</v>
      </c>
      <c r="AB1293" s="3" t="b">
        <f>IFERROR(match(C1293,'Match Day Fees'!$B$2:$B$999,0),0)=0</f>
        <v>0</v>
      </c>
      <c r="AC1293" s="3">
        <f t="shared" si="2"/>
        <v>0</v>
      </c>
      <c r="AD1293" s="3" t="str">
        <f>VLOOKUP(D1293,'Position Lookup'!A:B,1,FALSE)</f>
        <v>ATT</v>
      </c>
    </row>
    <row r="1294" ht="17.25" customHeight="1">
      <c r="A1294" s="31">
        <v>45262.0</v>
      </c>
      <c r="B1294" s="5" t="s">
        <v>309</v>
      </c>
      <c r="C1294" s="5" t="s">
        <v>155</v>
      </c>
      <c r="D1294" s="5" t="s">
        <v>10</v>
      </c>
      <c r="E1294" s="5">
        <v>3.0</v>
      </c>
      <c r="F1294" s="5" t="s">
        <v>1341</v>
      </c>
      <c r="G1294" s="5" t="s">
        <v>224</v>
      </c>
      <c r="J1294" s="5">
        <v>1.0</v>
      </c>
      <c r="N1294" s="5" t="b">
        <v>0</v>
      </c>
      <c r="R1294" s="5">
        <v>0.0</v>
      </c>
      <c r="T1294" s="5">
        <v>10.0</v>
      </c>
      <c r="U1294" s="5">
        <v>7.0</v>
      </c>
      <c r="V1294" s="5" t="s">
        <v>1355</v>
      </c>
      <c r="W1294" s="81" t="s">
        <v>344</v>
      </c>
      <c r="X1294" s="78" t="s">
        <v>1343</v>
      </c>
      <c r="Y1294" s="5">
        <v>4.0</v>
      </c>
      <c r="Z1294" s="5">
        <v>1.0</v>
      </c>
      <c r="AA1294" s="3">
        <f>2+ (P1294*'Scoring System'!$B$3)+ (IF(OR(D1294="DEF",D1294="GK"),N1294*'Scoring System'!$B$4,IF(D1294="MID",N1294*'Scoring System'!$B$5,0)))+ (IF(OR(D1294="DEF",D1294="GK"),H1294*'Scoring System'!$B$6,IF(D1294="MID",H1294*'Scoring System'!$B$7,IF(D1294="ATT",H1294*'Scoring System'!$B$8,0))))+ IF(AND(OR(D1294="GK",D1294="DEF"),J1294&gt;=3),1*'Scoring System'!$B$9,0)+ (I1294*'Scoring System'!$B$10)+ (K1294*'Scoring System'!$B$11)+ (M1294*'Scoring System'!$B$12)+ (L1294*'Scoring System'!$B$13)+ (O1294*'Scoring System'!$B$14)+ (Q1294*'Scoring System'!$B$15)+ (R1294*'Scoring System'!$B$16)</f>
        <v>2</v>
      </c>
      <c r="AB1294" s="3" t="b">
        <f>IFERROR(match(C1294,'Match Day Fees'!$B$2:$B$999,0),0)=0</f>
        <v>0</v>
      </c>
      <c r="AC1294" s="3">
        <f t="shared" si="2"/>
        <v>0</v>
      </c>
      <c r="AD1294" s="3" t="str">
        <f>VLOOKUP(D1294,'Position Lookup'!A:B,1,FALSE)</f>
        <v>MID</v>
      </c>
    </row>
    <row r="1295" ht="17.25" customHeight="1">
      <c r="A1295" s="31">
        <v>45262.0</v>
      </c>
      <c r="B1295" s="5" t="s">
        <v>309</v>
      </c>
      <c r="C1295" s="5" t="s">
        <v>108</v>
      </c>
      <c r="D1295" s="5" t="s">
        <v>8</v>
      </c>
      <c r="E1295" s="5">
        <v>4.0</v>
      </c>
      <c r="F1295" s="5" t="s">
        <v>260</v>
      </c>
      <c r="G1295" s="5" t="s">
        <v>224</v>
      </c>
      <c r="J1295" s="5">
        <v>1.0</v>
      </c>
      <c r="N1295" s="5" t="b">
        <v>0</v>
      </c>
      <c r="R1295" s="5">
        <v>1.0</v>
      </c>
      <c r="T1295" s="5">
        <v>0.0</v>
      </c>
      <c r="V1295" s="5" t="s">
        <v>1356</v>
      </c>
      <c r="W1295" s="81" t="s">
        <v>730</v>
      </c>
      <c r="X1295" s="78" t="s">
        <v>1357</v>
      </c>
      <c r="Y1295" s="5">
        <v>3.0</v>
      </c>
      <c r="Z1295" s="5">
        <v>1.0</v>
      </c>
      <c r="AA1295" s="3">
        <f>2+ (P1295*'Scoring System'!$B$3)+ (IF(OR(D1295="DEF",D1295="GK"),N1295*'Scoring System'!$B$4,IF(D1295="MID",N1295*'Scoring System'!$B$5,0)))+ (IF(OR(D1295="DEF",D1295="GK"),H1295*'Scoring System'!$B$6,IF(D1295="MID",H1295*'Scoring System'!$B$7,IF(D1295="ATT",H1295*'Scoring System'!$B$8,0))))+ IF(AND(OR(D1295="GK",D1295="DEF"),J1295&gt;=3),1*'Scoring System'!$B$9,0)+ (I1295*'Scoring System'!$B$10)+ (K1295*'Scoring System'!$B$11)+ (M1295*'Scoring System'!$B$12)+ (L1295*'Scoring System'!$B$13)+ (O1295*'Scoring System'!$B$14)+ (Q1295*'Scoring System'!$B$15)+ (R1295*'Scoring System'!$B$16)</f>
        <v>7</v>
      </c>
      <c r="AB1295" s="3" t="b">
        <f>IFERROR(match(C1295,'Match Day Fees'!$B$2:$B$999,0),0)=0</f>
        <v>0</v>
      </c>
      <c r="AC1295" s="3">
        <f t="shared" si="2"/>
        <v>0</v>
      </c>
      <c r="AD1295" s="3" t="str">
        <f>VLOOKUP(D1295,'Position Lookup'!A:B,1,FALSE)</f>
        <v>GK</v>
      </c>
    </row>
    <row r="1296" ht="17.25" customHeight="1">
      <c r="A1296" s="31">
        <v>45262.0</v>
      </c>
      <c r="B1296" s="5" t="s">
        <v>309</v>
      </c>
      <c r="C1296" s="5" t="s">
        <v>126</v>
      </c>
      <c r="D1296" s="5" t="s">
        <v>11</v>
      </c>
      <c r="E1296" s="5">
        <v>4.0</v>
      </c>
      <c r="F1296" s="5" t="s">
        <v>260</v>
      </c>
      <c r="G1296" s="5" t="s">
        <v>224</v>
      </c>
      <c r="J1296" s="5">
        <v>1.0</v>
      </c>
      <c r="N1296" s="5" t="b">
        <v>0</v>
      </c>
      <c r="R1296" s="5">
        <v>0.0</v>
      </c>
      <c r="T1296" s="5">
        <v>5.0</v>
      </c>
      <c r="V1296" s="5" t="s">
        <v>1358</v>
      </c>
      <c r="W1296" s="81" t="s">
        <v>730</v>
      </c>
      <c r="X1296" s="78" t="s">
        <v>1357</v>
      </c>
      <c r="Y1296" s="5">
        <v>3.0</v>
      </c>
      <c r="Z1296" s="5">
        <v>1.0</v>
      </c>
      <c r="AA1296" s="3">
        <f>2+ (P1296*'Scoring System'!$B$3)+ (IF(OR(D1296="DEF",D1296="GK"),N1296*'Scoring System'!$B$4,IF(D1296="MID",N1296*'Scoring System'!$B$5,0)))+ (IF(OR(D1296="DEF",D1296="GK"),H1296*'Scoring System'!$B$6,IF(D1296="MID",H1296*'Scoring System'!$B$7,IF(D1296="ATT",H1296*'Scoring System'!$B$8,0))))+ IF(AND(OR(D1296="GK",D1296="DEF"),J1296&gt;=3),1*'Scoring System'!$B$9,0)+ (I1296*'Scoring System'!$B$10)+ (K1296*'Scoring System'!$B$11)+ (M1296*'Scoring System'!$B$12)+ (L1296*'Scoring System'!$B$13)+ (O1296*'Scoring System'!$B$14)+ (Q1296*'Scoring System'!$B$15)+ (R1296*'Scoring System'!$B$16)</f>
        <v>2</v>
      </c>
      <c r="AB1296" s="3" t="b">
        <f>IFERROR(match(C1296,'Match Day Fees'!$B$2:$B$999,0),0)=0</f>
        <v>0</v>
      </c>
      <c r="AC1296" s="3">
        <f t="shared" si="2"/>
        <v>0</v>
      </c>
      <c r="AD1296" s="3" t="str">
        <f>VLOOKUP(D1296,'Position Lookup'!A:B,1,FALSE)</f>
        <v>DEF</v>
      </c>
    </row>
    <row r="1297" ht="17.25" customHeight="1">
      <c r="A1297" s="31">
        <v>45262.0</v>
      </c>
      <c r="B1297" s="5" t="s">
        <v>309</v>
      </c>
      <c r="C1297" s="5" t="s">
        <v>1153</v>
      </c>
      <c r="D1297" s="5" t="s">
        <v>11</v>
      </c>
      <c r="E1297" s="5">
        <v>4.0</v>
      </c>
      <c r="F1297" s="5" t="s">
        <v>260</v>
      </c>
      <c r="G1297" s="5" t="s">
        <v>224</v>
      </c>
      <c r="J1297" s="5">
        <v>1.0</v>
      </c>
      <c r="K1297" s="5">
        <v>1.0</v>
      </c>
      <c r="N1297" s="5" t="b">
        <v>0</v>
      </c>
      <c r="R1297" s="5">
        <v>0.0</v>
      </c>
      <c r="T1297" s="5">
        <v>10.0</v>
      </c>
      <c r="V1297" s="5" t="s">
        <v>1359</v>
      </c>
      <c r="W1297" s="81" t="s">
        <v>730</v>
      </c>
      <c r="X1297" s="78" t="s">
        <v>1357</v>
      </c>
      <c r="Y1297" s="5">
        <v>3.0</v>
      </c>
      <c r="Z1297" s="5">
        <v>1.0</v>
      </c>
      <c r="AA1297" s="3">
        <f>2+ (P1297*'Scoring System'!$B$3)+ (IF(OR(D1297="DEF",D1297="GK"),N1297*'Scoring System'!$B$4,IF(D1297="MID",N1297*'Scoring System'!$B$5,0)))+ (IF(OR(D1297="DEF",D1297="GK"),H1297*'Scoring System'!$B$6,IF(D1297="MID",H1297*'Scoring System'!$B$7,IF(D1297="ATT",H1297*'Scoring System'!$B$8,0))))+ IF(AND(OR(D1297="GK",D1297="DEF"),J1297&gt;=3),1*'Scoring System'!$B$9,0)+ (I1297*'Scoring System'!$B$10)+ (K1297*'Scoring System'!$B$11)+ (M1297*'Scoring System'!$B$12)+ (L1297*'Scoring System'!$B$13)+ (O1297*'Scoring System'!$B$14)+ (Q1297*'Scoring System'!$B$15)+ (R1297*'Scoring System'!$B$16)</f>
        <v>1</v>
      </c>
      <c r="AB1297" s="3" t="b">
        <f>IFERROR(match(C1297,'Match Day Fees'!$B$2:$B$999,0),0)=0</f>
        <v>0</v>
      </c>
      <c r="AC1297" s="3">
        <f t="shared" si="2"/>
        <v>0</v>
      </c>
      <c r="AD1297" s="3" t="str">
        <f>VLOOKUP(D1297,'Position Lookup'!A:B,1,FALSE)</f>
        <v>DEF</v>
      </c>
    </row>
    <row r="1298" ht="17.25" customHeight="1">
      <c r="A1298" s="31">
        <v>45262.0</v>
      </c>
      <c r="B1298" s="5" t="s">
        <v>309</v>
      </c>
      <c r="C1298" s="5" t="s">
        <v>146</v>
      </c>
      <c r="D1298" s="5" t="s">
        <v>11</v>
      </c>
      <c r="E1298" s="5">
        <v>4.0</v>
      </c>
      <c r="F1298" s="5" t="s">
        <v>260</v>
      </c>
      <c r="G1298" s="5" t="s">
        <v>224</v>
      </c>
      <c r="J1298" s="5">
        <v>1.0</v>
      </c>
      <c r="N1298" s="5" t="b">
        <v>0</v>
      </c>
      <c r="R1298" s="5">
        <v>0.0</v>
      </c>
      <c r="T1298" s="5">
        <v>10.0</v>
      </c>
      <c r="V1298" s="5" t="s">
        <v>1360</v>
      </c>
      <c r="W1298" s="81" t="s">
        <v>730</v>
      </c>
      <c r="X1298" s="78" t="s">
        <v>1357</v>
      </c>
      <c r="Y1298" s="5">
        <v>3.0</v>
      </c>
      <c r="Z1298" s="5">
        <v>1.0</v>
      </c>
      <c r="AA1298" s="3">
        <f>2+ (P1298*'Scoring System'!$B$3)+ (IF(OR(D1298="DEF",D1298="GK"),N1298*'Scoring System'!$B$4,IF(D1298="MID",N1298*'Scoring System'!$B$5,0)))+ (IF(OR(D1298="DEF",D1298="GK"),H1298*'Scoring System'!$B$6,IF(D1298="MID",H1298*'Scoring System'!$B$7,IF(D1298="ATT",H1298*'Scoring System'!$B$8,0))))+ IF(AND(OR(D1298="GK",D1298="DEF"),J1298&gt;=3),1*'Scoring System'!$B$9,0)+ (I1298*'Scoring System'!$B$10)+ (K1298*'Scoring System'!$B$11)+ (M1298*'Scoring System'!$B$12)+ (L1298*'Scoring System'!$B$13)+ (O1298*'Scoring System'!$B$14)+ (Q1298*'Scoring System'!$B$15)+ (R1298*'Scoring System'!$B$16)</f>
        <v>2</v>
      </c>
      <c r="AB1298" s="3" t="b">
        <f>IFERROR(match(C1298,'Match Day Fees'!$B$2:$B$999,0),0)=0</f>
        <v>0</v>
      </c>
      <c r="AC1298" s="3">
        <f t="shared" si="2"/>
        <v>0</v>
      </c>
      <c r="AD1298" s="3" t="str">
        <f>VLOOKUP(D1298,'Position Lookup'!A:B,1,FALSE)</f>
        <v>DEF</v>
      </c>
    </row>
    <row r="1299" ht="17.25" customHeight="1">
      <c r="A1299" s="31">
        <v>45262.0</v>
      </c>
      <c r="B1299" s="5" t="s">
        <v>309</v>
      </c>
      <c r="C1299" s="5" t="s">
        <v>127</v>
      </c>
      <c r="D1299" s="5" t="s">
        <v>11</v>
      </c>
      <c r="E1299" s="5">
        <v>4.0</v>
      </c>
      <c r="F1299" s="5" t="s">
        <v>260</v>
      </c>
      <c r="G1299" s="5" t="s">
        <v>224</v>
      </c>
      <c r="J1299" s="5">
        <v>1.0</v>
      </c>
      <c r="K1299" s="5">
        <v>1.0</v>
      </c>
      <c r="N1299" s="5" t="b">
        <v>0</v>
      </c>
      <c r="R1299" s="5">
        <v>0.0</v>
      </c>
      <c r="T1299" s="5">
        <v>10.0</v>
      </c>
      <c r="V1299" s="5" t="s">
        <v>1361</v>
      </c>
      <c r="W1299" s="81" t="s">
        <v>730</v>
      </c>
      <c r="X1299" s="78" t="s">
        <v>1357</v>
      </c>
      <c r="Y1299" s="5">
        <v>3.0</v>
      </c>
      <c r="Z1299" s="5">
        <v>1.0</v>
      </c>
      <c r="AA1299" s="3">
        <f>2+ (P1299*'Scoring System'!$B$3)+ (IF(OR(D1299="DEF",D1299="GK"),N1299*'Scoring System'!$B$4,IF(D1299="MID",N1299*'Scoring System'!$B$5,0)))+ (IF(OR(D1299="DEF",D1299="GK"),H1299*'Scoring System'!$B$6,IF(D1299="MID",H1299*'Scoring System'!$B$7,IF(D1299="ATT",H1299*'Scoring System'!$B$8,0))))+ IF(AND(OR(D1299="GK",D1299="DEF"),J1299&gt;=3),1*'Scoring System'!$B$9,0)+ (I1299*'Scoring System'!$B$10)+ (K1299*'Scoring System'!$B$11)+ (M1299*'Scoring System'!$B$12)+ (L1299*'Scoring System'!$B$13)+ (O1299*'Scoring System'!$B$14)+ (Q1299*'Scoring System'!$B$15)+ (R1299*'Scoring System'!$B$16)</f>
        <v>1</v>
      </c>
      <c r="AB1299" s="3" t="b">
        <f>IFERROR(match(C1299,'Match Day Fees'!$B$2:$B$999,0),0)=0</f>
        <v>0</v>
      </c>
      <c r="AC1299" s="3">
        <f t="shared" si="2"/>
        <v>0</v>
      </c>
      <c r="AD1299" s="3" t="str">
        <f>VLOOKUP(D1299,'Position Lookup'!A:B,1,FALSE)</f>
        <v>DEF</v>
      </c>
    </row>
    <row r="1300" ht="17.25" customHeight="1">
      <c r="A1300" s="31">
        <v>45262.0</v>
      </c>
      <c r="B1300" s="5" t="s">
        <v>309</v>
      </c>
      <c r="C1300" s="5" t="s">
        <v>44</v>
      </c>
      <c r="D1300" s="5" t="s">
        <v>10</v>
      </c>
      <c r="E1300" s="5">
        <v>4.0</v>
      </c>
      <c r="F1300" s="5" t="s">
        <v>260</v>
      </c>
      <c r="G1300" s="5" t="s">
        <v>224</v>
      </c>
      <c r="J1300" s="5">
        <v>1.0</v>
      </c>
      <c r="K1300" s="5">
        <v>1.0</v>
      </c>
      <c r="N1300" s="5" t="b">
        <v>0</v>
      </c>
      <c r="R1300" s="5">
        <v>0.0</v>
      </c>
      <c r="T1300" s="5">
        <v>5.0</v>
      </c>
      <c r="V1300" s="5" t="s">
        <v>1362</v>
      </c>
      <c r="W1300" s="81" t="s">
        <v>730</v>
      </c>
      <c r="X1300" s="78" t="s">
        <v>1357</v>
      </c>
      <c r="Y1300" s="5">
        <v>3.0</v>
      </c>
      <c r="Z1300" s="5">
        <v>1.0</v>
      </c>
      <c r="AA1300" s="3">
        <f>2+ (P1300*'Scoring System'!$B$3)+ (IF(OR(D1300="DEF",D1300="GK"),N1300*'Scoring System'!$B$4,IF(D1300="MID",N1300*'Scoring System'!$B$5,0)))+ (IF(OR(D1300="DEF",D1300="GK"),H1300*'Scoring System'!$B$6,IF(D1300="MID",H1300*'Scoring System'!$B$7,IF(D1300="ATT",H1300*'Scoring System'!$B$8,0))))+ IF(AND(OR(D1300="GK",D1300="DEF"),J1300&gt;=3),1*'Scoring System'!$B$9,0)+ (I1300*'Scoring System'!$B$10)+ (K1300*'Scoring System'!$B$11)+ (M1300*'Scoring System'!$B$12)+ (L1300*'Scoring System'!$B$13)+ (O1300*'Scoring System'!$B$14)+ (Q1300*'Scoring System'!$B$15)+ (R1300*'Scoring System'!$B$16)</f>
        <v>1</v>
      </c>
      <c r="AB1300" s="3" t="b">
        <f>IFERROR(match(C1300,'Match Day Fees'!$B$2:$B$999,0),0)=0</f>
        <v>0</v>
      </c>
      <c r="AC1300" s="3">
        <f t="shared" si="2"/>
        <v>0</v>
      </c>
      <c r="AD1300" s="3" t="str">
        <f>VLOOKUP(D1300,'Position Lookup'!A:B,1,FALSE)</f>
        <v>MID</v>
      </c>
    </row>
    <row r="1301" ht="17.25" customHeight="1">
      <c r="A1301" s="31">
        <v>45262.0</v>
      </c>
      <c r="B1301" s="5" t="s">
        <v>309</v>
      </c>
      <c r="C1301" s="5" t="s">
        <v>144</v>
      </c>
      <c r="D1301" s="5" t="s">
        <v>10</v>
      </c>
      <c r="E1301" s="5">
        <v>4.0</v>
      </c>
      <c r="F1301" s="5" t="s">
        <v>260</v>
      </c>
      <c r="G1301" s="5" t="s">
        <v>224</v>
      </c>
      <c r="J1301" s="5">
        <v>1.0</v>
      </c>
      <c r="K1301" s="5">
        <v>1.0</v>
      </c>
      <c r="N1301" s="5" t="b">
        <v>0</v>
      </c>
      <c r="R1301" s="5">
        <v>0.0</v>
      </c>
      <c r="T1301" s="5">
        <v>10.0</v>
      </c>
      <c r="V1301" s="5" t="s">
        <v>1363</v>
      </c>
      <c r="W1301" s="81" t="s">
        <v>730</v>
      </c>
      <c r="X1301" s="78" t="s">
        <v>1357</v>
      </c>
      <c r="Y1301" s="5">
        <v>3.0</v>
      </c>
      <c r="Z1301" s="5">
        <v>1.0</v>
      </c>
      <c r="AA1301" s="3">
        <f>2+ (P1301*'Scoring System'!$B$3)+ (IF(OR(D1301="DEF",D1301="GK"),N1301*'Scoring System'!$B$4,IF(D1301="MID",N1301*'Scoring System'!$B$5,0)))+ (IF(OR(D1301="DEF",D1301="GK"),H1301*'Scoring System'!$B$6,IF(D1301="MID",H1301*'Scoring System'!$B$7,IF(D1301="ATT",H1301*'Scoring System'!$B$8,0))))+ IF(AND(OR(D1301="GK",D1301="DEF"),J1301&gt;=3),1*'Scoring System'!$B$9,0)+ (I1301*'Scoring System'!$B$10)+ (K1301*'Scoring System'!$B$11)+ (M1301*'Scoring System'!$B$12)+ (L1301*'Scoring System'!$B$13)+ (O1301*'Scoring System'!$B$14)+ (Q1301*'Scoring System'!$B$15)+ (R1301*'Scoring System'!$B$16)</f>
        <v>1</v>
      </c>
      <c r="AB1301" s="3" t="b">
        <f>IFERROR(match(C1301,'Match Day Fees'!$B$2:$B$999,0),0)=0</f>
        <v>0</v>
      </c>
      <c r="AC1301" s="3">
        <f t="shared" si="2"/>
        <v>0</v>
      </c>
      <c r="AD1301" s="3" t="str">
        <f>VLOOKUP(D1301,'Position Lookup'!A:B,1,FALSE)</f>
        <v>MID</v>
      </c>
    </row>
    <row r="1302" ht="17.25" customHeight="1">
      <c r="A1302" s="31">
        <v>45262.0</v>
      </c>
      <c r="B1302" s="5" t="s">
        <v>309</v>
      </c>
      <c r="C1302" s="5" t="s">
        <v>136</v>
      </c>
      <c r="D1302" s="5" t="s">
        <v>10</v>
      </c>
      <c r="E1302" s="5">
        <v>4.0</v>
      </c>
      <c r="F1302" s="5" t="s">
        <v>260</v>
      </c>
      <c r="G1302" s="5" t="s">
        <v>224</v>
      </c>
      <c r="H1302" s="5">
        <v>1.0</v>
      </c>
      <c r="I1302" s="5">
        <v>1.0</v>
      </c>
      <c r="J1302" s="5">
        <v>1.0</v>
      </c>
      <c r="N1302" s="5" t="b">
        <v>0</v>
      </c>
      <c r="R1302" s="5">
        <v>0.0</v>
      </c>
      <c r="S1302" s="5" t="b">
        <v>1</v>
      </c>
      <c r="T1302" s="5">
        <v>0.0</v>
      </c>
      <c r="V1302" s="5" t="s">
        <v>1364</v>
      </c>
      <c r="W1302" s="81" t="s">
        <v>730</v>
      </c>
      <c r="X1302" s="78" t="s">
        <v>1357</v>
      </c>
      <c r="Y1302" s="5">
        <v>3.0</v>
      </c>
      <c r="Z1302" s="5">
        <v>1.0</v>
      </c>
      <c r="AA1302" s="3">
        <f>2+ (P1302*'Scoring System'!$B$3)+ (IF(OR(D1302="DEF",D1302="GK"),N1302*'Scoring System'!$B$4,IF(D1302="MID",N1302*'Scoring System'!$B$5,0)))+ (IF(OR(D1302="DEF",D1302="GK"),H1302*'Scoring System'!$B$6,IF(D1302="MID",H1302*'Scoring System'!$B$7,IF(D1302="ATT",H1302*'Scoring System'!$B$8,0))))+ IF(AND(OR(D1302="GK",D1302="DEF"),J1302&gt;=3),1*'Scoring System'!$B$9,0)+ (I1302*'Scoring System'!$B$10)+ (K1302*'Scoring System'!$B$11)+ (M1302*'Scoring System'!$B$12)+ (L1302*'Scoring System'!$B$13)+ (O1302*'Scoring System'!$B$14)+ (Q1302*'Scoring System'!$B$15)+ (R1302*'Scoring System'!$B$16)</f>
        <v>10</v>
      </c>
      <c r="AB1302" s="3" t="b">
        <f>IFERROR(match(C1302,'Match Day Fees'!$B$2:$B$999,0),0)=0</f>
        <v>0</v>
      </c>
      <c r="AC1302" s="3">
        <f t="shared" si="2"/>
        <v>0</v>
      </c>
      <c r="AD1302" s="3" t="str">
        <f>VLOOKUP(D1302,'Position Lookup'!A:B,1,FALSE)</f>
        <v>MID</v>
      </c>
    </row>
    <row r="1303" ht="17.25" customHeight="1">
      <c r="A1303" s="31">
        <v>45262.0</v>
      </c>
      <c r="B1303" s="5" t="s">
        <v>309</v>
      </c>
      <c r="C1303" s="5" t="s">
        <v>45</v>
      </c>
      <c r="D1303" s="5" t="s">
        <v>9</v>
      </c>
      <c r="E1303" s="5">
        <v>4.0</v>
      </c>
      <c r="F1303" s="5" t="s">
        <v>260</v>
      </c>
      <c r="G1303" s="5" t="s">
        <v>224</v>
      </c>
      <c r="J1303" s="5">
        <v>1.0</v>
      </c>
      <c r="N1303" s="5" t="b">
        <v>0</v>
      </c>
      <c r="R1303" s="5">
        <v>0.0</v>
      </c>
      <c r="T1303" s="5">
        <v>10.0</v>
      </c>
      <c r="V1303" s="5" t="s">
        <v>1365</v>
      </c>
      <c r="W1303" s="81" t="s">
        <v>730</v>
      </c>
      <c r="X1303" s="78" t="s">
        <v>1357</v>
      </c>
      <c r="Y1303" s="5">
        <v>3.0</v>
      </c>
      <c r="Z1303" s="5">
        <v>1.0</v>
      </c>
      <c r="AA1303" s="3">
        <f>2+ (P1303*'Scoring System'!$B$3)+ (IF(OR(D1303="DEF",D1303="GK"),N1303*'Scoring System'!$B$4,IF(D1303="MID",N1303*'Scoring System'!$B$5,0)))+ (IF(OR(D1303="DEF",D1303="GK"),H1303*'Scoring System'!$B$6,IF(D1303="MID",H1303*'Scoring System'!$B$7,IF(D1303="ATT",H1303*'Scoring System'!$B$8,0))))+ IF(AND(OR(D1303="GK",D1303="DEF"),J1303&gt;=3),1*'Scoring System'!$B$9,0)+ (I1303*'Scoring System'!$B$10)+ (K1303*'Scoring System'!$B$11)+ (M1303*'Scoring System'!$B$12)+ (L1303*'Scoring System'!$B$13)+ (O1303*'Scoring System'!$B$14)+ (Q1303*'Scoring System'!$B$15)+ (R1303*'Scoring System'!$B$16)</f>
        <v>2</v>
      </c>
      <c r="AB1303" s="3" t="b">
        <f>IFERROR(match(C1303,'Match Day Fees'!$B$2:$B$999,0),0)=0</f>
        <v>0</v>
      </c>
      <c r="AC1303" s="3">
        <f t="shared" si="2"/>
        <v>0</v>
      </c>
      <c r="AD1303" s="3" t="str">
        <f>VLOOKUP(D1303,'Position Lookup'!A:B,1,FALSE)</f>
        <v>ATT</v>
      </c>
    </row>
    <row r="1304" ht="17.25" customHeight="1">
      <c r="A1304" s="31">
        <v>45262.0</v>
      </c>
      <c r="B1304" s="5" t="s">
        <v>309</v>
      </c>
      <c r="C1304" s="5" t="s">
        <v>132</v>
      </c>
      <c r="D1304" s="5" t="s">
        <v>9</v>
      </c>
      <c r="E1304" s="5">
        <v>4.0</v>
      </c>
      <c r="F1304" s="5" t="s">
        <v>260</v>
      </c>
      <c r="G1304" s="5" t="s">
        <v>224</v>
      </c>
      <c r="H1304" s="5">
        <v>1.0</v>
      </c>
      <c r="J1304" s="5">
        <v>1.0</v>
      </c>
      <c r="N1304" s="5" t="b">
        <v>0</v>
      </c>
      <c r="R1304" s="5">
        <v>0.0</v>
      </c>
      <c r="T1304" s="5">
        <v>10.0</v>
      </c>
      <c r="V1304" s="5" t="s">
        <v>1366</v>
      </c>
      <c r="W1304" s="81" t="s">
        <v>730</v>
      </c>
      <c r="X1304" s="78" t="s">
        <v>1357</v>
      </c>
      <c r="Y1304" s="5">
        <v>3.0</v>
      </c>
      <c r="Z1304" s="5">
        <v>1.0</v>
      </c>
      <c r="AA1304" s="3">
        <f>2+ (P1304*'Scoring System'!$B$3)+ (IF(OR(D1304="DEF",D1304="GK"),N1304*'Scoring System'!$B$4,IF(D1304="MID",N1304*'Scoring System'!$B$5,0)))+ (IF(OR(D1304="DEF",D1304="GK"),H1304*'Scoring System'!$B$6,IF(D1304="MID",H1304*'Scoring System'!$B$7,IF(D1304="ATT",H1304*'Scoring System'!$B$8,0))))+ IF(AND(OR(D1304="GK",D1304="DEF"),J1304&gt;=3),1*'Scoring System'!$B$9,0)+ (I1304*'Scoring System'!$B$10)+ (K1304*'Scoring System'!$B$11)+ (M1304*'Scoring System'!$B$12)+ (L1304*'Scoring System'!$B$13)+ (O1304*'Scoring System'!$B$14)+ (Q1304*'Scoring System'!$B$15)+ (R1304*'Scoring System'!$B$16)</f>
        <v>6</v>
      </c>
      <c r="AB1304" s="3" t="b">
        <f>IFERROR(match(C1304,'Match Day Fees'!$B$2:$B$999,0),0)=0</f>
        <v>0</v>
      </c>
      <c r="AC1304" s="3">
        <f t="shared" si="2"/>
        <v>0</v>
      </c>
      <c r="AD1304" s="3" t="str">
        <f>VLOOKUP(D1304,'Position Lookup'!A:B,1,FALSE)</f>
        <v>ATT</v>
      </c>
    </row>
    <row r="1305" ht="17.25" customHeight="1">
      <c r="A1305" s="31">
        <v>45262.0</v>
      </c>
      <c r="B1305" s="5" t="s">
        <v>309</v>
      </c>
      <c r="C1305" s="5" t="s">
        <v>109</v>
      </c>
      <c r="D1305" s="5" t="s">
        <v>9</v>
      </c>
      <c r="E1305" s="5">
        <v>4.0</v>
      </c>
      <c r="F1305" s="5" t="s">
        <v>260</v>
      </c>
      <c r="G1305" s="5" t="s">
        <v>224</v>
      </c>
      <c r="I1305" s="5">
        <v>2.0</v>
      </c>
      <c r="J1305" s="5">
        <v>1.0</v>
      </c>
      <c r="K1305" s="5">
        <v>1.0</v>
      </c>
      <c r="N1305" s="5" t="b">
        <v>0</v>
      </c>
      <c r="R1305" s="5">
        <v>0.0</v>
      </c>
      <c r="T1305" s="5">
        <v>5.0</v>
      </c>
      <c r="V1305" s="5" t="s">
        <v>1367</v>
      </c>
      <c r="W1305" s="81" t="s">
        <v>730</v>
      </c>
      <c r="X1305" s="78" t="s">
        <v>1357</v>
      </c>
      <c r="Y1305" s="5">
        <v>3.0</v>
      </c>
      <c r="Z1305" s="5">
        <v>1.0</v>
      </c>
      <c r="AA1305" s="3">
        <f>2+ (P1305*'Scoring System'!$B$3)+ (IF(OR(D1305="DEF",D1305="GK"),N1305*'Scoring System'!$B$4,IF(D1305="MID",N1305*'Scoring System'!$B$5,0)))+ (IF(OR(D1305="DEF",D1305="GK"),H1305*'Scoring System'!$B$6,IF(D1305="MID",H1305*'Scoring System'!$B$7,IF(D1305="ATT",H1305*'Scoring System'!$B$8,0))))+ IF(AND(OR(D1305="GK",D1305="DEF"),J1305&gt;=3),1*'Scoring System'!$B$9,0)+ (I1305*'Scoring System'!$B$10)+ (K1305*'Scoring System'!$B$11)+ (M1305*'Scoring System'!$B$12)+ (L1305*'Scoring System'!$B$13)+ (O1305*'Scoring System'!$B$14)+ (Q1305*'Scoring System'!$B$15)+ (R1305*'Scoring System'!$B$16)</f>
        <v>7</v>
      </c>
      <c r="AB1305" s="3" t="b">
        <f>IFERROR(match(C1305,'Match Day Fees'!$B$2:$B$999,0),0)=0</f>
        <v>0</v>
      </c>
      <c r="AC1305" s="3">
        <f t="shared" si="2"/>
        <v>0</v>
      </c>
      <c r="AD1305" s="3" t="str">
        <f>VLOOKUP(D1305,'Position Lookup'!A:B,1,FALSE)</f>
        <v>ATT</v>
      </c>
    </row>
    <row r="1306" ht="17.25" customHeight="1">
      <c r="A1306" s="31">
        <v>45262.0</v>
      </c>
      <c r="B1306" s="5" t="s">
        <v>309</v>
      </c>
      <c r="C1306" s="5" t="s">
        <v>122</v>
      </c>
      <c r="D1306" s="5" t="s">
        <v>10</v>
      </c>
      <c r="E1306" s="5">
        <v>4.0</v>
      </c>
      <c r="F1306" s="5" t="s">
        <v>260</v>
      </c>
      <c r="G1306" s="5" t="s">
        <v>224</v>
      </c>
      <c r="J1306" s="5">
        <v>1.0</v>
      </c>
      <c r="N1306" s="5" t="b">
        <v>0</v>
      </c>
      <c r="R1306" s="5">
        <v>0.0</v>
      </c>
      <c r="T1306" s="5">
        <v>5.0</v>
      </c>
      <c r="V1306" s="5" t="s">
        <v>1368</v>
      </c>
      <c r="W1306" s="81" t="s">
        <v>730</v>
      </c>
      <c r="X1306" s="78" t="s">
        <v>1357</v>
      </c>
      <c r="Y1306" s="5">
        <v>3.0</v>
      </c>
      <c r="Z1306" s="5">
        <v>1.0</v>
      </c>
      <c r="AA1306" s="3">
        <f>2+ (P1306*'Scoring System'!$B$3)+ (IF(OR(D1306="DEF",D1306="GK"),N1306*'Scoring System'!$B$4,IF(D1306="MID",N1306*'Scoring System'!$B$5,0)))+ (IF(OR(D1306="DEF",D1306="GK"),H1306*'Scoring System'!$B$6,IF(D1306="MID",H1306*'Scoring System'!$B$7,IF(D1306="ATT",H1306*'Scoring System'!$B$8,0))))+ IF(AND(OR(D1306="GK",D1306="DEF"),J1306&gt;=3),1*'Scoring System'!$B$9,0)+ (I1306*'Scoring System'!$B$10)+ (K1306*'Scoring System'!$B$11)+ (M1306*'Scoring System'!$B$12)+ (L1306*'Scoring System'!$B$13)+ (O1306*'Scoring System'!$B$14)+ (Q1306*'Scoring System'!$B$15)+ (R1306*'Scoring System'!$B$16)</f>
        <v>2</v>
      </c>
      <c r="AB1306" s="3" t="b">
        <f>IFERROR(match(C1306,'Match Day Fees'!$B$2:$B$999,0),0)=0</f>
        <v>0</v>
      </c>
      <c r="AC1306" s="3">
        <f t="shared" si="2"/>
        <v>0</v>
      </c>
      <c r="AD1306" s="3" t="str">
        <f>VLOOKUP(D1306,'Position Lookup'!A:B,1,FALSE)</f>
        <v>MID</v>
      </c>
    </row>
    <row r="1307" ht="17.25" customHeight="1">
      <c r="A1307" s="31">
        <v>45262.0</v>
      </c>
      <c r="B1307" s="5" t="s">
        <v>309</v>
      </c>
      <c r="C1307" s="5" t="s">
        <v>140</v>
      </c>
      <c r="D1307" s="5" t="s">
        <v>9</v>
      </c>
      <c r="E1307" s="5">
        <v>4.0</v>
      </c>
      <c r="F1307" s="5" t="s">
        <v>260</v>
      </c>
      <c r="G1307" s="5" t="s">
        <v>224</v>
      </c>
      <c r="J1307" s="5">
        <v>1.0</v>
      </c>
      <c r="N1307" s="5" t="b">
        <v>0</v>
      </c>
      <c r="R1307" s="5">
        <v>0.0</v>
      </c>
      <c r="T1307" s="5">
        <v>5.0</v>
      </c>
      <c r="V1307" s="5" t="s">
        <v>1369</v>
      </c>
      <c r="W1307" s="81" t="s">
        <v>730</v>
      </c>
      <c r="X1307" s="78" t="s">
        <v>1357</v>
      </c>
      <c r="Y1307" s="5">
        <v>3.0</v>
      </c>
      <c r="Z1307" s="5">
        <v>1.0</v>
      </c>
      <c r="AA1307" s="3">
        <f>2+ (P1307*'Scoring System'!$B$3)+ (IF(OR(D1307="DEF",D1307="GK"),N1307*'Scoring System'!$B$4,IF(D1307="MID",N1307*'Scoring System'!$B$5,0)))+ (IF(OR(D1307="DEF",D1307="GK"),H1307*'Scoring System'!$B$6,IF(D1307="MID",H1307*'Scoring System'!$B$7,IF(D1307="ATT",H1307*'Scoring System'!$B$8,0))))+ IF(AND(OR(D1307="GK",D1307="DEF"),J1307&gt;=3),1*'Scoring System'!$B$9,0)+ (I1307*'Scoring System'!$B$10)+ (K1307*'Scoring System'!$B$11)+ (M1307*'Scoring System'!$B$12)+ (L1307*'Scoring System'!$B$13)+ (O1307*'Scoring System'!$B$14)+ (Q1307*'Scoring System'!$B$15)+ (R1307*'Scoring System'!$B$16)</f>
        <v>2</v>
      </c>
      <c r="AB1307" s="3" t="b">
        <f>IFERROR(match(C1307,'Match Day Fees'!$B$2:$B$999,0),0)=0</f>
        <v>0</v>
      </c>
      <c r="AC1307" s="3">
        <f t="shared" si="2"/>
        <v>0</v>
      </c>
      <c r="AD1307" s="3" t="str">
        <f>VLOOKUP(D1307,'Position Lookup'!A:B,1,FALSE)</f>
        <v>ATT</v>
      </c>
    </row>
    <row r="1308" ht="17.25" customHeight="1">
      <c r="A1308" s="31">
        <v>45262.0</v>
      </c>
      <c r="B1308" s="5" t="s">
        <v>309</v>
      </c>
      <c r="C1308" s="5" t="s">
        <v>124</v>
      </c>
      <c r="D1308" s="5" t="s">
        <v>9</v>
      </c>
      <c r="E1308" s="5">
        <v>4.0</v>
      </c>
      <c r="F1308" s="5" t="s">
        <v>260</v>
      </c>
      <c r="G1308" s="5" t="s">
        <v>224</v>
      </c>
      <c r="H1308" s="5">
        <v>1.0</v>
      </c>
      <c r="J1308" s="5">
        <v>1.0</v>
      </c>
      <c r="K1308" s="5">
        <v>1.0</v>
      </c>
      <c r="N1308" s="5" t="b">
        <v>0</v>
      </c>
      <c r="R1308" s="5">
        <v>0.0</v>
      </c>
      <c r="T1308" s="5">
        <v>0.0</v>
      </c>
      <c r="V1308" s="5" t="s">
        <v>1370</v>
      </c>
      <c r="W1308" s="81" t="s">
        <v>730</v>
      </c>
      <c r="X1308" s="78" t="s">
        <v>1357</v>
      </c>
      <c r="Y1308" s="5">
        <v>3.0</v>
      </c>
      <c r="Z1308" s="5">
        <v>1.0</v>
      </c>
      <c r="AA1308" s="3">
        <f>2+ (P1308*'Scoring System'!$B$3)+ (IF(OR(D1308="DEF",D1308="GK"),N1308*'Scoring System'!$B$4,IF(D1308="MID",N1308*'Scoring System'!$B$5,0)))+ (IF(OR(D1308="DEF",D1308="GK"),H1308*'Scoring System'!$B$6,IF(D1308="MID",H1308*'Scoring System'!$B$7,IF(D1308="ATT",H1308*'Scoring System'!$B$8,0))))+ IF(AND(OR(D1308="GK",D1308="DEF"),J1308&gt;=3),1*'Scoring System'!$B$9,0)+ (I1308*'Scoring System'!$B$10)+ (K1308*'Scoring System'!$B$11)+ (M1308*'Scoring System'!$B$12)+ (L1308*'Scoring System'!$B$13)+ (O1308*'Scoring System'!$B$14)+ (Q1308*'Scoring System'!$B$15)+ (R1308*'Scoring System'!$B$16)</f>
        <v>5</v>
      </c>
      <c r="AB1308" s="3" t="b">
        <f>IFERROR(match(C1308,'Match Day Fees'!$B$2:$B$999,0),0)=0</f>
        <v>0</v>
      </c>
      <c r="AC1308" s="3">
        <f t="shared" si="2"/>
        <v>0</v>
      </c>
      <c r="AD1308" s="3" t="str">
        <f>VLOOKUP(D1308,'Position Lookup'!A:B,1,FALSE)</f>
        <v>ATT</v>
      </c>
    </row>
    <row r="1309" ht="17.25" customHeight="1">
      <c r="A1309" s="31">
        <v>45262.0</v>
      </c>
      <c r="B1309" s="5" t="s">
        <v>309</v>
      </c>
      <c r="C1309" s="5" t="s">
        <v>106</v>
      </c>
      <c r="D1309" s="5" t="s">
        <v>8</v>
      </c>
      <c r="E1309" s="5">
        <v>5.0</v>
      </c>
      <c r="F1309" s="5" t="s">
        <v>1371</v>
      </c>
      <c r="G1309" s="5" t="s">
        <v>224</v>
      </c>
      <c r="J1309" s="5">
        <v>0.0</v>
      </c>
      <c r="N1309" s="5" t="b">
        <v>1</v>
      </c>
      <c r="R1309" s="5">
        <v>0.0</v>
      </c>
      <c r="S1309" s="5" t="b">
        <v>1</v>
      </c>
      <c r="T1309" s="5">
        <v>0.0</v>
      </c>
      <c r="W1309" s="81" t="s">
        <v>311</v>
      </c>
      <c r="X1309" s="77"/>
      <c r="Y1309" s="5">
        <v>2.0</v>
      </c>
      <c r="Z1309" s="5">
        <v>0.0</v>
      </c>
      <c r="AA1309" s="3">
        <f>2+ (P1309*'Scoring System'!$B$3)+ (IF(OR(D1309="DEF",D1309="GK"),N1309*'Scoring System'!$B$4,IF(D1309="MID",N1309*'Scoring System'!$B$5,0)))+ (IF(OR(D1309="DEF",D1309="GK"),H1309*'Scoring System'!$B$6,IF(D1309="MID",H1309*'Scoring System'!$B$7,IF(D1309="ATT",H1309*'Scoring System'!$B$8,0))))+ IF(AND(OR(D1309="GK",D1309="DEF"),J1309&gt;=3),1*'Scoring System'!$B$9,0)+ (I1309*'Scoring System'!$B$10)+ (K1309*'Scoring System'!$B$11)+ (M1309*'Scoring System'!$B$12)+ (L1309*'Scoring System'!$B$13)+ (O1309*'Scoring System'!$B$14)+ (Q1309*'Scoring System'!$B$15)+ (R1309*'Scoring System'!$B$16)</f>
        <v>8</v>
      </c>
      <c r="AB1309" s="3" t="b">
        <f>IFERROR(match(C1309,'Match Day Fees'!$B$2:$B$999,0),0)=0</f>
        <v>0</v>
      </c>
      <c r="AC1309" s="3">
        <f t="shared" si="2"/>
        <v>0</v>
      </c>
      <c r="AD1309" s="3" t="str">
        <f>VLOOKUP(D1309,'Position Lookup'!A:B,1,FALSE)</f>
        <v>GK</v>
      </c>
    </row>
    <row r="1310" ht="17.25" customHeight="1">
      <c r="A1310" s="31">
        <v>45262.0</v>
      </c>
      <c r="B1310" s="5" t="s">
        <v>309</v>
      </c>
      <c r="C1310" s="5" t="s">
        <v>133</v>
      </c>
      <c r="D1310" s="5" t="s">
        <v>11</v>
      </c>
      <c r="E1310" s="5">
        <v>5.0</v>
      </c>
      <c r="F1310" s="5" t="s">
        <v>1371</v>
      </c>
      <c r="G1310" s="5" t="s">
        <v>224</v>
      </c>
      <c r="H1310" s="5">
        <v>1.0</v>
      </c>
      <c r="J1310" s="5">
        <v>0.0</v>
      </c>
      <c r="N1310" s="5" t="b">
        <v>1</v>
      </c>
      <c r="R1310" s="5">
        <v>1.0</v>
      </c>
      <c r="T1310" s="5">
        <v>10.0</v>
      </c>
      <c r="W1310" s="81" t="s">
        <v>311</v>
      </c>
      <c r="X1310" s="77"/>
      <c r="Y1310" s="5">
        <v>2.0</v>
      </c>
      <c r="Z1310" s="5">
        <v>0.0</v>
      </c>
      <c r="AA1310" s="3">
        <f>2+ (P1310*'Scoring System'!$B$3)+ (IF(OR(D1310="DEF",D1310="GK"),N1310*'Scoring System'!$B$4,IF(D1310="MID",N1310*'Scoring System'!$B$5,0)))+ (IF(OR(D1310="DEF",D1310="GK"),H1310*'Scoring System'!$B$6,IF(D1310="MID",H1310*'Scoring System'!$B$7,IF(D1310="ATT",H1310*'Scoring System'!$B$8,0))))+ IF(AND(OR(D1310="GK",D1310="DEF"),J1310&gt;=3),1*'Scoring System'!$B$9,0)+ (I1310*'Scoring System'!$B$10)+ (K1310*'Scoring System'!$B$11)+ (M1310*'Scoring System'!$B$12)+ (L1310*'Scoring System'!$B$13)+ (O1310*'Scoring System'!$B$14)+ (Q1310*'Scoring System'!$B$15)+ (R1310*'Scoring System'!$B$16)</f>
        <v>19</v>
      </c>
      <c r="AB1310" s="3" t="b">
        <f>IFERROR(match(C1310,'Match Day Fees'!$B$2:$B$999,0),0)=0</f>
        <v>0</v>
      </c>
      <c r="AC1310" s="3">
        <f t="shared" si="2"/>
        <v>0</v>
      </c>
      <c r="AD1310" s="3" t="str">
        <f>VLOOKUP(D1310,'Position Lookup'!A:B,1,FALSE)</f>
        <v>DEF</v>
      </c>
    </row>
    <row r="1311" ht="17.25" customHeight="1">
      <c r="A1311" s="31">
        <v>45262.0</v>
      </c>
      <c r="B1311" s="5" t="s">
        <v>309</v>
      </c>
      <c r="C1311" s="5" t="s">
        <v>116</v>
      </c>
      <c r="D1311" s="5" t="s">
        <v>11</v>
      </c>
      <c r="E1311" s="5">
        <v>5.0</v>
      </c>
      <c r="F1311" s="5" t="s">
        <v>1371</v>
      </c>
      <c r="G1311" s="5" t="s">
        <v>224</v>
      </c>
      <c r="J1311" s="5">
        <v>0.0</v>
      </c>
      <c r="N1311" s="5" t="b">
        <v>1</v>
      </c>
      <c r="R1311" s="5">
        <v>0.0</v>
      </c>
      <c r="T1311" s="5">
        <v>10.0</v>
      </c>
      <c r="W1311" s="81" t="s">
        <v>311</v>
      </c>
      <c r="X1311" s="77"/>
      <c r="Y1311" s="5">
        <v>2.0</v>
      </c>
      <c r="Z1311" s="5">
        <v>0.0</v>
      </c>
      <c r="AA1311" s="3">
        <f>2+ (P1311*'Scoring System'!$B$3)+ (IF(OR(D1311="DEF",D1311="GK"),N1311*'Scoring System'!$B$4,IF(D1311="MID",N1311*'Scoring System'!$B$5,0)))+ (IF(OR(D1311="DEF",D1311="GK"),H1311*'Scoring System'!$B$6,IF(D1311="MID",H1311*'Scoring System'!$B$7,IF(D1311="ATT",H1311*'Scoring System'!$B$8,0))))+ IF(AND(OR(D1311="GK",D1311="DEF"),J1311&gt;=3),1*'Scoring System'!$B$9,0)+ (I1311*'Scoring System'!$B$10)+ (K1311*'Scoring System'!$B$11)+ (M1311*'Scoring System'!$B$12)+ (L1311*'Scoring System'!$B$13)+ (O1311*'Scoring System'!$B$14)+ (Q1311*'Scoring System'!$B$15)+ (R1311*'Scoring System'!$B$16)</f>
        <v>8</v>
      </c>
      <c r="AB1311" s="3" t="b">
        <f>IFERROR(match(C1311,'Match Day Fees'!$B$2:$B$999,0),0)=0</f>
        <v>0</v>
      </c>
      <c r="AC1311" s="3">
        <f t="shared" si="2"/>
        <v>0</v>
      </c>
      <c r="AD1311" s="3" t="str">
        <f>VLOOKUP(D1311,'Position Lookup'!A:B,1,FALSE)</f>
        <v>DEF</v>
      </c>
    </row>
    <row r="1312" ht="17.25" customHeight="1">
      <c r="A1312" s="31">
        <v>45262.0</v>
      </c>
      <c r="B1312" s="5" t="s">
        <v>309</v>
      </c>
      <c r="C1312" s="5" t="s">
        <v>135</v>
      </c>
      <c r="D1312" s="5" t="s">
        <v>11</v>
      </c>
      <c r="E1312" s="5">
        <v>5.0</v>
      </c>
      <c r="F1312" s="5" t="s">
        <v>1371</v>
      </c>
      <c r="G1312" s="5" t="s">
        <v>224</v>
      </c>
      <c r="J1312" s="5">
        <v>0.0</v>
      </c>
      <c r="N1312" s="5" t="b">
        <v>1</v>
      </c>
      <c r="R1312" s="5">
        <v>0.0</v>
      </c>
      <c r="T1312" s="5">
        <v>10.0</v>
      </c>
      <c r="W1312" s="81" t="s">
        <v>311</v>
      </c>
      <c r="X1312" s="77"/>
      <c r="Y1312" s="5">
        <v>2.0</v>
      </c>
      <c r="Z1312" s="5">
        <v>0.0</v>
      </c>
      <c r="AA1312" s="3">
        <f>2+ (P1312*'Scoring System'!$B$3)+ (IF(OR(D1312="DEF",D1312="GK"),N1312*'Scoring System'!$B$4,IF(D1312="MID",N1312*'Scoring System'!$B$5,0)))+ (IF(OR(D1312="DEF",D1312="GK"),H1312*'Scoring System'!$B$6,IF(D1312="MID",H1312*'Scoring System'!$B$7,IF(D1312="ATT",H1312*'Scoring System'!$B$8,0))))+ IF(AND(OR(D1312="GK",D1312="DEF"),J1312&gt;=3),1*'Scoring System'!$B$9,0)+ (I1312*'Scoring System'!$B$10)+ (K1312*'Scoring System'!$B$11)+ (M1312*'Scoring System'!$B$12)+ (L1312*'Scoring System'!$B$13)+ (O1312*'Scoring System'!$B$14)+ (Q1312*'Scoring System'!$B$15)+ (R1312*'Scoring System'!$B$16)</f>
        <v>8</v>
      </c>
      <c r="AB1312" s="3" t="b">
        <f>IFERROR(match(C1312,'Match Day Fees'!$B$2:$B$999,0),0)=0</f>
        <v>0</v>
      </c>
      <c r="AC1312" s="3">
        <f t="shared" si="2"/>
        <v>0</v>
      </c>
      <c r="AD1312" s="3" t="str">
        <f>VLOOKUP(D1312,'Position Lookup'!A:B,1,FALSE)</f>
        <v>DEF</v>
      </c>
    </row>
    <row r="1313" ht="17.25" customHeight="1">
      <c r="A1313" s="31">
        <v>45262.0</v>
      </c>
      <c r="B1313" s="5" t="s">
        <v>309</v>
      </c>
      <c r="C1313" s="5" t="s">
        <v>138</v>
      </c>
      <c r="D1313" s="5" t="s">
        <v>11</v>
      </c>
      <c r="E1313" s="5">
        <v>5.0</v>
      </c>
      <c r="F1313" s="5" t="s">
        <v>1371</v>
      </c>
      <c r="G1313" s="5" t="s">
        <v>224</v>
      </c>
      <c r="J1313" s="5">
        <v>0.0</v>
      </c>
      <c r="N1313" s="5" t="b">
        <v>1</v>
      </c>
      <c r="R1313" s="5">
        <v>0.0</v>
      </c>
      <c r="T1313" s="5">
        <v>10.0</v>
      </c>
      <c r="W1313" s="81" t="s">
        <v>311</v>
      </c>
      <c r="X1313" s="77"/>
      <c r="Y1313" s="5">
        <v>2.0</v>
      </c>
      <c r="Z1313" s="5">
        <v>0.0</v>
      </c>
      <c r="AA1313" s="3">
        <f>2+ (P1313*'Scoring System'!$B$3)+ (IF(OR(D1313="DEF",D1313="GK"),N1313*'Scoring System'!$B$4,IF(D1313="MID",N1313*'Scoring System'!$B$5,0)))+ (IF(OR(D1313="DEF",D1313="GK"),H1313*'Scoring System'!$B$6,IF(D1313="MID",H1313*'Scoring System'!$B$7,IF(D1313="ATT",H1313*'Scoring System'!$B$8,0))))+ IF(AND(OR(D1313="GK",D1313="DEF"),J1313&gt;=3),1*'Scoring System'!$B$9,0)+ (I1313*'Scoring System'!$B$10)+ (K1313*'Scoring System'!$B$11)+ (M1313*'Scoring System'!$B$12)+ (L1313*'Scoring System'!$B$13)+ (O1313*'Scoring System'!$B$14)+ (Q1313*'Scoring System'!$B$15)+ (R1313*'Scoring System'!$B$16)</f>
        <v>8</v>
      </c>
      <c r="AB1313" s="3" t="b">
        <f>IFERROR(match(C1313,'Match Day Fees'!$B$2:$B$999,0),0)=0</f>
        <v>0</v>
      </c>
      <c r="AC1313" s="3">
        <f t="shared" si="2"/>
        <v>0</v>
      </c>
      <c r="AD1313" s="3" t="str">
        <f>VLOOKUP(D1313,'Position Lookup'!A:B,1,FALSE)</f>
        <v>DEF</v>
      </c>
    </row>
    <row r="1314" ht="17.25" customHeight="1">
      <c r="A1314" s="31">
        <v>45262.0</v>
      </c>
      <c r="B1314" s="5" t="s">
        <v>309</v>
      </c>
      <c r="C1314" s="5" t="s">
        <v>95</v>
      </c>
      <c r="D1314" s="5" t="s">
        <v>11</v>
      </c>
      <c r="E1314" s="5">
        <v>5.0</v>
      </c>
      <c r="F1314" s="5" t="s">
        <v>1371</v>
      </c>
      <c r="G1314" s="5" t="s">
        <v>224</v>
      </c>
      <c r="J1314" s="5">
        <v>0.0</v>
      </c>
      <c r="N1314" s="5" t="b">
        <v>1</v>
      </c>
      <c r="R1314" s="5">
        <v>0.0</v>
      </c>
      <c r="T1314" s="5">
        <v>10.0</v>
      </c>
      <c r="W1314" s="81" t="s">
        <v>311</v>
      </c>
      <c r="X1314" s="77"/>
      <c r="Y1314" s="5">
        <v>2.0</v>
      </c>
      <c r="Z1314" s="5">
        <v>0.0</v>
      </c>
      <c r="AA1314" s="3">
        <f>2+ (P1314*'Scoring System'!$B$3)+ (IF(OR(D1314="DEF",D1314="GK"),N1314*'Scoring System'!$B$4,IF(D1314="MID",N1314*'Scoring System'!$B$5,0)))+ (IF(OR(D1314="DEF",D1314="GK"),H1314*'Scoring System'!$B$6,IF(D1314="MID",H1314*'Scoring System'!$B$7,IF(D1314="ATT",H1314*'Scoring System'!$B$8,0))))+ IF(AND(OR(D1314="GK",D1314="DEF"),J1314&gt;=3),1*'Scoring System'!$B$9,0)+ (I1314*'Scoring System'!$B$10)+ (K1314*'Scoring System'!$B$11)+ (M1314*'Scoring System'!$B$12)+ (L1314*'Scoring System'!$B$13)+ (O1314*'Scoring System'!$B$14)+ (Q1314*'Scoring System'!$B$15)+ (R1314*'Scoring System'!$B$16)</f>
        <v>8</v>
      </c>
      <c r="AB1314" s="3" t="b">
        <f>IFERROR(match(C1314,'Match Day Fees'!$B$2:$B$999,0),0)=0</f>
        <v>0</v>
      </c>
      <c r="AC1314" s="3">
        <f t="shared" si="2"/>
        <v>0</v>
      </c>
      <c r="AD1314" s="3" t="str">
        <f>VLOOKUP(D1314,'Position Lookup'!A:B,1,FALSE)</f>
        <v>DEF</v>
      </c>
    </row>
    <row r="1315" ht="17.25" customHeight="1">
      <c r="A1315" s="31">
        <v>45262.0</v>
      </c>
      <c r="B1315" s="5" t="s">
        <v>309</v>
      </c>
      <c r="C1315" s="5" t="s">
        <v>71</v>
      </c>
      <c r="D1315" s="5" t="s">
        <v>10</v>
      </c>
      <c r="E1315" s="5">
        <v>5.0</v>
      </c>
      <c r="F1315" s="5" t="s">
        <v>1371</v>
      </c>
      <c r="G1315" s="5" t="s">
        <v>224</v>
      </c>
      <c r="I1315" s="5">
        <v>1.0</v>
      </c>
      <c r="J1315" s="5">
        <v>0.0</v>
      </c>
      <c r="N1315" s="5" t="b">
        <v>1</v>
      </c>
      <c r="R1315" s="5">
        <v>0.0</v>
      </c>
      <c r="T1315" s="5">
        <v>10.0</v>
      </c>
      <c r="W1315" s="81" t="s">
        <v>311</v>
      </c>
      <c r="X1315" s="77"/>
      <c r="Y1315" s="5">
        <v>2.0</v>
      </c>
      <c r="Z1315" s="5">
        <v>0.0</v>
      </c>
      <c r="AA1315" s="3">
        <f>2+ (P1315*'Scoring System'!$B$3)+ (IF(OR(D1315="DEF",D1315="GK"),N1315*'Scoring System'!$B$4,IF(D1315="MID",N1315*'Scoring System'!$B$5,0)))+ (IF(OR(D1315="DEF",D1315="GK"),H1315*'Scoring System'!$B$6,IF(D1315="MID",H1315*'Scoring System'!$B$7,IF(D1315="ATT",H1315*'Scoring System'!$B$8,0))))+ IF(AND(OR(D1315="GK",D1315="DEF"),J1315&gt;=3),1*'Scoring System'!$B$9,0)+ (I1315*'Scoring System'!$B$10)+ (K1315*'Scoring System'!$B$11)+ (M1315*'Scoring System'!$B$12)+ (L1315*'Scoring System'!$B$13)+ (O1315*'Scoring System'!$B$14)+ (Q1315*'Scoring System'!$B$15)+ (R1315*'Scoring System'!$B$16)</f>
        <v>7</v>
      </c>
      <c r="AB1315" s="3" t="b">
        <f>IFERROR(match(C1315,'Match Day Fees'!$B$2:$B$999,0),0)=0</f>
        <v>0</v>
      </c>
      <c r="AC1315" s="3">
        <f t="shared" si="2"/>
        <v>0</v>
      </c>
      <c r="AD1315" s="3" t="str">
        <f>VLOOKUP(D1315,'Position Lookup'!A:B,1,FALSE)</f>
        <v>MID</v>
      </c>
    </row>
    <row r="1316" ht="17.25" customHeight="1">
      <c r="A1316" s="31">
        <v>45262.0</v>
      </c>
      <c r="B1316" s="5" t="s">
        <v>309</v>
      </c>
      <c r="C1316" s="5" t="s">
        <v>237</v>
      </c>
      <c r="D1316" s="5" t="s">
        <v>10</v>
      </c>
      <c r="E1316" s="5">
        <v>5.0</v>
      </c>
      <c r="F1316" s="5" t="s">
        <v>1371</v>
      </c>
      <c r="G1316" s="5" t="s">
        <v>224</v>
      </c>
      <c r="J1316" s="5">
        <v>0.0</v>
      </c>
      <c r="N1316" s="5" t="b">
        <v>1</v>
      </c>
      <c r="R1316" s="5">
        <v>0.0</v>
      </c>
      <c r="T1316" s="5">
        <v>10.0</v>
      </c>
      <c r="W1316" s="81" t="s">
        <v>311</v>
      </c>
      <c r="X1316" s="77"/>
      <c r="Y1316" s="5">
        <v>2.0</v>
      </c>
      <c r="Z1316" s="5">
        <v>0.0</v>
      </c>
      <c r="AA1316" s="3">
        <f>2+ (P1316*'Scoring System'!$B$3)+ (IF(OR(D1316="DEF",D1316="GK"),N1316*'Scoring System'!$B$4,IF(D1316="MID",N1316*'Scoring System'!$B$5,0)))+ (IF(OR(D1316="DEF",D1316="GK"),H1316*'Scoring System'!$B$6,IF(D1316="MID",H1316*'Scoring System'!$B$7,IF(D1316="ATT",H1316*'Scoring System'!$B$8,0))))+ IF(AND(OR(D1316="GK",D1316="DEF"),J1316&gt;=3),1*'Scoring System'!$B$9,0)+ (I1316*'Scoring System'!$B$10)+ (K1316*'Scoring System'!$B$11)+ (M1316*'Scoring System'!$B$12)+ (L1316*'Scoring System'!$B$13)+ (O1316*'Scoring System'!$B$14)+ (Q1316*'Scoring System'!$B$15)+ (R1316*'Scoring System'!$B$16)</f>
        <v>4</v>
      </c>
      <c r="AB1316" s="3" t="b">
        <f>IFERROR(match(C1316,'Match Day Fees'!$B$2:$B$999,0),0)=0</f>
        <v>0</v>
      </c>
      <c r="AC1316" s="3">
        <f t="shared" si="2"/>
        <v>0</v>
      </c>
      <c r="AD1316" s="3" t="str">
        <f>VLOOKUP(D1316,'Position Lookup'!A:B,1,FALSE)</f>
        <v>MID</v>
      </c>
    </row>
    <row r="1317" ht="17.25" customHeight="1">
      <c r="A1317" s="31">
        <v>45262.0</v>
      </c>
      <c r="B1317" s="5" t="s">
        <v>309</v>
      </c>
      <c r="C1317" s="5" t="s">
        <v>131</v>
      </c>
      <c r="D1317" s="5" t="s">
        <v>9</v>
      </c>
      <c r="E1317" s="5">
        <v>5.0</v>
      </c>
      <c r="F1317" s="5" t="s">
        <v>1371</v>
      </c>
      <c r="G1317" s="5" t="s">
        <v>224</v>
      </c>
      <c r="J1317" s="5">
        <v>0.0</v>
      </c>
      <c r="K1317" s="5">
        <v>1.0</v>
      </c>
      <c r="N1317" s="5" t="b">
        <v>1</v>
      </c>
      <c r="R1317" s="5">
        <v>0.0</v>
      </c>
      <c r="T1317" s="5">
        <v>10.0</v>
      </c>
      <c r="W1317" s="81" t="s">
        <v>311</v>
      </c>
      <c r="X1317" s="77"/>
      <c r="Y1317" s="5">
        <v>2.0</v>
      </c>
      <c r="Z1317" s="5">
        <v>0.0</v>
      </c>
      <c r="AA1317" s="3">
        <f>2+ (P1317*'Scoring System'!$B$3)+ (IF(OR(D1317="DEF",D1317="GK"),N1317*'Scoring System'!$B$4,IF(D1317="MID",N1317*'Scoring System'!$B$5,0)))+ (IF(OR(D1317="DEF",D1317="GK"),H1317*'Scoring System'!$B$6,IF(D1317="MID",H1317*'Scoring System'!$B$7,IF(D1317="ATT",H1317*'Scoring System'!$B$8,0))))+ IF(AND(OR(D1317="GK",D1317="DEF"),J1317&gt;=3),1*'Scoring System'!$B$9,0)+ (I1317*'Scoring System'!$B$10)+ (K1317*'Scoring System'!$B$11)+ (M1317*'Scoring System'!$B$12)+ (L1317*'Scoring System'!$B$13)+ (O1317*'Scoring System'!$B$14)+ (Q1317*'Scoring System'!$B$15)+ (R1317*'Scoring System'!$B$16)</f>
        <v>1</v>
      </c>
      <c r="AB1317" s="3" t="b">
        <f>IFERROR(match(C1317,'Match Day Fees'!$B$2:$B$999,0),0)=0</f>
        <v>0</v>
      </c>
      <c r="AC1317" s="3">
        <f t="shared" si="2"/>
        <v>0</v>
      </c>
      <c r="AD1317" s="3" t="str">
        <f>VLOOKUP(D1317,'Position Lookup'!A:B,1,FALSE)</f>
        <v>ATT</v>
      </c>
    </row>
    <row r="1318" ht="17.25" customHeight="1">
      <c r="A1318" s="31">
        <v>45262.0</v>
      </c>
      <c r="B1318" s="5" t="s">
        <v>309</v>
      </c>
      <c r="C1318" s="5" t="s">
        <v>474</v>
      </c>
      <c r="D1318" s="5" t="s">
        <v>10</v>
      </c>
      <c r="E1318" s="5">
        <v>5.0</v>
      </c>
      <c r="F1318" s="5" t="s">
        <v>1371</v>
      </c>
      <c r="G1318" s="5" t="s">
        <v>224</v>
      </c>
      <c r="I1318" s="5">
        <v>1.0</v>
      </c>
      <c r="J1318" s="5">
        <v>0.0</v>
      </c>
      <c r="N1318" s="5" t="b">
        <v>1</v>
      </c>
      <c r="R1318" s="5">
        <v>0.0</v>
      </c>
      <c r="T1318" s="5">
        <v>10.0</v>
      </c>
      <c r="W1318" s="81" t="s">
        <v>311</v>
      </c>
      <c r="X1318" s="77"/>
      <c r="Y1318" s="5">
        <v>2.0</v>
      </c>
      <c r="Z1318" s="5">
        <v>0.0</v>
      </c>
      <c r="AA1318" s="3">
        <f>2+ (P1318*'Scoring System'!$B$3)+ (IF(OR(D1318="DEF",D1318="GK"),N1318*'Scoring System'!$B$4,IF(D1318="MID",N1318*'Scoring System'!$B$5,0)))+ (IF(OR(D1318="DEF",D1318="GK"),H1318*'Scoring System'!$B$6,IF(D1318="MID",H1318*'Scoring System'!$B$7,IF(D1318="ATT",H1318*'Scoring System'!$B$8,0))))+ IF(AND(OR(D1318="GK",D1318="DEF"),J1318&gt;=3),1*'Scoring System'!$B$9,0)+ (I1318*'Scoring System'!$B$10)+ (K1318*'Scoring System'!$B$11)+ (M1318*'Scoring System'!$B$12)+ (L1318*'Scoring System'!$B$13)+ (O1318*'Scoring System'!$B$14)+ (Q1318*'Scoring System'!$B$15)+ (R1318*'Scoring System'!$B$16)</f>
        <v>7</v>
      </c>
      <c r="AB1318" s="3" t="b">
        <f>IFERROR(match(C1318,'Match Day Fees'!$B$2:$B$999,0),0)=0</f>
        <v>0</v>
      </c>
      <c r="AC1318" s="3">
        <f t="shared" si="2"/>
        <v>0</v>
      </c>
      <c r="AD1318" s="3" t="str">
        <f>VLOOKUP(D1318,'Position Lookup'!A:B,1,FALSE)</f>
        <v>MID</v>
      </c>
    </row>
    <row r="1319" ht="17.25" customHeight="1">
      <c r="A1319" s="31">
        <v>45262.0</v>
      </c>
      <c r="B1319" s="5" t="s">
        <v>309</v>
      </c>
      <c r="C1319" s="5" t="s">
        <v>1372</v>
      </c>
      <c r="D1319" s="5" t="s">
        <v>9</v>
      </c>
      <c r="E1319" s="5">
        <v>5.0</v>
      </c>
      <c r="F1319" s="5" t="s">
        <v>1371</v>
      </c>
      <c r="G1319" s="5" t="s">
        <v>224</v>
      </c>
      <c r="J1319" s="5">
        <v>0.0</v>
      </c>
      <c r="N1319" s="5" t="b">
        <v>1</v>
      </c>
      <c r="R1319" s="5">
        <v>0.0</v>
      </c>
      <c r="T1319" s="5">
        <v>10.0</v>
      </c>
      <c r="W1319" s="81" t="s">
        <v>311</v>
      </c>
      <c r="X1319" s="77"/>
      <c r="Y1319" s="5">
        <v>2.0</v>
      </c>
      <c r="Z1319" s="5">
        <v>0.0</v>
      </c>
      <c r="AA1319" s="3">
        <f>2+ (P1319*'Scoring System'!$B$3)+ (IF(OR(D1319="DEF",D1319="GK"),N1319*'Scoring System'!$B$4,IF(D1319="MID",N1319*'Scoring System'!$B$5,0)))+ (IF(OR(D1319="DEF",D1319="GK"),H1319*'Scoring System'!$B$6,IF(D1319="MID",H1319*'Scoring System'!$B$7,IF(D1319="ATT",H1319*'Scoring System'!$B$8,0))))+ IF(AND(OR(D1319="GK",D1319="DEF"),J1319&gt;=3),1*'Scoring System'!$B$9,0)+ (I1319*'Scoring System'!$B$10)+ (K1319*'Scoring System'!$B$11)+ (M1319*'Scoring System'!$B$12)+ (L1319*'Scoring System'!$B$13)+ (O1319*'Scoring System'!$B$14)+ (Q1319*'Scoring System'!$B$15)+ (R1319*'Scoring System'!$B$16)</f>
        <v>2</v>
      </c>
      <c r="AB1319" s="3" t="b">
        <f>IFERROR(match(C1319,'Match Day Fees'!$B$2:$B$999,0),0)=0</f>
        <v>0</v>
      </c>
      <c r="AC1319" s="3">
        <f t="shared" si="2"/>
        <v>0</v>
      </c>
      <c r="AD1319" s="3" t="str">
        <f>VLOOKUP(D1319,'Position Lookup'!A:B,1,FALSE)</f>
        <v>ATT</v>
      </c>
    </row>
    <row r="1320" ht="17.25" customHeight="1">
      <c r="A1320" s="31">
        <v>45262.0</v>
      </c>
      <c r="B1320" s="5" t="s">
        <v>309</v>
      </c>
      <c r="C1320" s="5" t="s">
        <v>58</v>
      </c>
      <c r="D1320" s="5" t="s">
        <v>10</v>
      </c>
      <c r="E1320" s="5">
        <v>5.0</v>
      </c>
      <c r="F1320" s="5" t="s">
        <v>1371</v>
      </c>
      <c r="G1320" s="5" t="s">
        <v>224</v>
      </c>
      <c r="J1320" s="5">
        <v>0.0</v>
      </c>
      <c r="N1320" s="5" t="b">
        <v>1</v>
      </c>
      <c r="R1320" s="5">
        <v>0.0</v>
      </c>
      <c r="T1320" s="5">
        <v>10.0</v>
      </c>
      <c r="W1320" s="81" t="s">
        <v>311</v>
      </c>
      <c r="X1320" s="77"/>
      <c r="Y1320" s="5">
        <v>2.0</v>
      </c>
      <c r="Z1320" s="5">
        <v>0.0</v>
      </c>
      <c r="AA1320" s="3">
        <f>2+ (P1320*'Scoring System'!$B$3)+ (IF(OR(D1320="DEF",D1320="GK"),N1320*'Scoring System'!$B$4,IF(D1320="MID",N1320*'Scoring System'!$B$5,0)))+ (IF(OR(D1320="DEF",D1320="GK"),H1320*'Scoring System'!$B$6,IF(D1320="MID",H1320*'Scoring System'!$B$7,IF(D1320="ATT",H1320*'Scoring System'!$B$8,0))))+ IF(AND(OR(D1320="GK",D1320="DEF"),J1320&gt;=3),1*'Scoring System'!$B$9,0)+ (I1320*'Scoring System'!$B$10)+ (K1320*'Scoring System'!$B$11)+ (M1320*'Scoring System'!$B$12)+ (L1320*'Scoring System'!$B$13)+ (O1320*'Scoring System'!$B$14)+ (Q1320*'Scoring System'!$B$15)+ (R1320*'Scoring System'!$B$16)</f>
        <v>4</v>
      </c>
      <c r="AB1320" s="3" t="b">
        <f>IFERROR(match(C1320,'Match Day Fees'!$B$2:$B$999,0),0)=0</f>
        <v>0</v>
      </c>
      <c r="AC1320" s="3">
        <f t="shared" si="2"/>
        <v>0</v>
      </c>
      <c r="AD1320" s="3" t="str">
        <f>VLOOKUP(D1320,'Position Lookup'!A:B,1,FALSE)</f>
        <v>MID</v>
      </c>
    </row>
    <row r="1321" ht="17.25" customHeight="1">
      <c r="A1321" s="31">
        <v>45262.0</v>
      </c>
      <c r="B1321" s="5" t="s">
        <v>309</v>
      </c>
      <c r="C1321" s="5" t="s">
        <v>134</v>
      </c>
      <c r="D1321" s="5" t="s">
        <v>11</v>
      </c>
      <c r="E1321" s="5">
        <v>5.0</v>
      </c>
      <c r="F1321" s="5" t="s">
        <v>1371</v>
      </c>
      <c r="G1321" s="5" t="s">
        <v>224</v>
      </c>
      <c r="H1321" s="5">
        <v>1.0</v>
      </c>
      <c r="J1321" s="5">
        <v>0.0</v>
      </c>
      <c r="K1321" s="5">
        <v>1.0</v>
      </c>
      <c r="N1321" s="5" t="b">
        <v>1</v>
      </c>
      <c r="R1321" s="5">
        <v>0.0</v>
      </c>
      <c r="T1321" s="5">
        <v>2.5</v>
      </c>
      <c r="W1321" s="81" t="s">
        <v>311</v>
      </c>
      <c r="X1321" s="77"/>
      <c r="Y1321" s="5">
        <v>2.0</v>
      </c>
      <c r="Z1321" s="5">
        <v>0.0</v>
      </c>
      <c r="AA1321" s="3">
        <f>2+ (P1321*'Scoring System'!$B$3)+ (IF(OR(D1321="DEF",D1321="GK"),N1321*'Scoring System'!$B$4,IF(D1321="MID",N1321*'Scoring System'!$B$5,0)))+ (IF(OR(D1321="DEF",D1321="GK"),H1321*'Scoring System'!$B$6,IF(D1321="MID",H1321*'Scoring System'!$B$7,IF(D1321="ATT",H1321*'Scoring System'!$B$8,0))))+ IF(AND(OR(D1321="GK",D1321="DEF"),J1321&gt;=3),1*'Scoring System'!$B$9,0)+ (I1321*'Scoring System'!$B$10)+ (K1321*'Scoring System'!$B$11)+ (M1321*'Scoring System'!$B$12)+ (L1321*'Scoring System'!$B$13)+ (O1321*'Scoring System'!$B$14)+ (Q1321*'Scoring System'!$B$15)+ (R1321*'Scoring System'!$B$16)</f>
        <v>13</v>
      </c>
      <c r="AB1321" s="3" t="b">
        <f>IFERROR(match(C1321,'Match Day Fees'!$B$2:$B$999,0),0)=0</f>
        <v>0</v>
      </c>
      <c r="AC1321" s="3">
        <f t="shared" si="2"/>
        <v>0</v>
      </c>
      <c r="AD1321" s="3" t="str">
        <f>VLOOKUP(D1321,'Position Lookup'!A:B,1,FALSE)</f>
        <v>DEF</v>
      </c>
    </row>
    <row r="1322" ht="17.25" customHeight="1">
      <c r="A1322" s="31">
        <v>45262.0</v>
      </c>
      <c r="B1322" s="5" t="s">
        <v>309</v>
      </c>
      <c r="C1322" s="5" t="s">
        <v>139</v>
      </c>
      <c r="D1322" s="5" t="s">
        <v>9</v>
      </c>
      <c r="E1322" s="5">
        <v>5.0</v>
      </c>
      <c r="F1322" s="5" t="s">
        <v>1371</v>
      </c>
      <c r="G1322" s="5" t="s">
        <v>224</v>
      </c>
      <c r="J1322" s="5">
        <v>0.0</v>
      </c>
      <c r="N1322" s="5" t="b">
        <v>1</v>
      </c>
      <c r="R1322" s="5">
        <v>0.0</v>
      </c>
      <c r="T1322" s="5">
        <v>10.0</v>
      </c>
      <c r="W1322" s="81" t="s">
        <v>311</v>
      </c>
      <c r="X1322" s="77"/>
      <c r="Y1322" s="5">
        <v>2.0</v>
      </c>
      <c r="Z1322" s="5">
        <v>0.0</v>
      </c>
      <c r="AA1322" s="3">
        <f>2+ (P1322*'Scoring System'!$B$3)+ (IF(OR(D1322="DEF",D1322="GK"),N1322*'Scoring System'!$B$4,IF(D1322="MID",N1322*'Scoring System'!$B$5,0)))+ (IF(OR(D1322="DEF",D1322="GK"),H1322*'Scoring System'!$B$6,IF(D1322="MID",H1322*'Scoring System'!$B$7,IF(D1322="ATT",H1322*'Scoring System'!$B$8,0))))+ IF(AND(OR(D1322="GK",D1322="DEF"),J1322&gt;=3),1*'Scoring System'!$B$9,0)+ (I1322*'Scoring System'!$B$10)+ (K1322*'Scoring System'!$B$11)+ (M1322*'Scoring System'!$B$12)+ (L1322*'Scoring System'!$B$13)+ (O1322*'Scoring System'!$B$14)+ (Q1322*'Scoring System'!$B$15)+ (R1322*'Scoring System'!$B$16)</f>
        <v>2</v>
      </c>
      <c r="AB1322" s="3" t="b">
        <f>IFERROR(match(C1322,'Match Day Fees'!$B$2:$B$999,0),0)=0</f>
        <v>0</v>
      </c>
      <c r="AC1322" s="3">
        <f t="shared" si="2"/>
        <v>0</v>
      </c>
      <c r="AD1322" s="3" t="str">
        <f>VLOOKUP(D1322,'Position Lookup'!A:B,1,FALSE)</f>
        <v>ATT</v>
      </c>
    </row>
    <row r="1323" ht="17.25" customHeight="1">
      <c r="A1323" s="31">
        <v>45262.0</v>
      </c>
      <c r="B1323" s="5" t="s">
        <v>309</v>
      </c>
      <c r="C1323" s="5" t="s">
        <v>259</v>
      </c>
      <c r="D1323" s="5" t="s">
        <v>8</v>
      </c>
      <c r="E1323" s="5">
        <v>6.0</v>
      </c>
      <c r="F1323" s="5" t="s">
        <v>1373</v>
      </c>
      <c r="G1323" s="5" t="s">
        <v>230</v>
      </c>
      <c r="J1323" s="5">
        <v>2.0</v>
      </c>
      <c r="N1323" s="5" t="b">
        <v>0</v>
      </c>
      <c r="R1323" s="5">
        <v>0.0</v>
      </c>
      <c r="T1323" s="5">
        <v>10.0</v>
      </c>
      <c r="U1323" s="5">
        <v>7.0</v>
      </c>
      <c r="V1323" s="5" t="s">
        <v>1374</v>
      </c>
      <c r="W1323" s="81" t="s">
        <v>1375</v>
      </c>
      <c r="X1323" s="78" t="s">
        <v>1376</v>
      </c>
      <c r="Y1323" s="5">
        <v>1.0</v>
      </c>
      <c r="Z1323" s="5">
        <v>2.0</v>
      </c>
      <c r="AA1323" s="3">
        <f>2+ (P1323*'Scoring System'!$B$3)+ (IF(OR(D1323="DEF",D1323="GK"),N1323*'Scoring System'!$B$4,IF(D1323="MID",N1323*'Scoring System'!$B$5,0)))+ (IF(OR(D1323="DEF",D1323="GK"),H1323*'Scoring System'!$B$6,IF(D1323="MID",H1323*'Scoring System'!$B$7,IF(D1323="ATT",H1323*'Scoring System'!$B$8,0))))+ IF(AND(OR(D1323="GK",D1323="DEF"),J1323&gt;=3),1*'Scoring System'!$B$9,0)+ (I1323*'Scoring System'!$B$10)+ (K1323*'Scoring System'!$B$11)+ (M1323*'Scoring System'!$B$12)+ (L1323*'Scoring System'!$B$13)+ (O1323*'Scoring System'!$B$14)+ (Q1323*'Scoring System'!$B$15)+ (R1323*'Scoring System'!$B$16)</f>
        <v>2</v>
      </c>
      <c r="AB1323" s="3" t="b">
        <f>IFERROR(match(C1323,'Match Day Fees'!$B$2:$B$999,0),0)=0</f>
        <v>0</v>
      </c>
      <c r="AC1323" s="3">
        <f t="shared" si="2"/>
        <v>0</v>
      </c>
      <c r="AD1323" s="3" t="str">
        <f>VLOOKUP(D1323,'Position Lookup'!A:B,1,FALSE)</f>
        <v>GK</v>
      </c>
    </row>
    <row r="1324" ht="17.25" customHeight="1">
      <c r="A1324" s="31">
        <v>45262.0</v>
      </c>
      <c r="B1324" s="5" t="s">
        <v>309</v>
      </c>
      <c r="C1324" s="5" t="s">
        <v>98</v>
      </c>
      <c r="D1324" s="5" t="s">
        <v>11</v>
      </c>
      <c r="E1324" s="5">
        <v>6.0</v>
      </c>
      <c r="F1324" s="5" t="s">
        <v>1373</v>
      </c>
      <c r="G1324" s="5" t="s">
        <v>230</v>
      </c>
      <c r="J1324" s="5">
        <v>2.0</v>
      </c>
      <c r="N1324" s="5" t="b">
        <v>0</v>
      </c>
      <c r="R1324" s="5">
        <v>0.0</v>
      </c>
      <c r="T1324" s="5">
        <v>10.0</v>
      </c>
      <c r="U1324" s="5">
        <v>7.0</v>
      </c>
      <c r="V1324" s="5" t="s">
        <v>1377</v>
      </c>
      <c r="W1324" s="81" t="s">
        <v>1375</v>
      </c>
      <c r="X1324" s="78" t="s">
        <v>1376</v>
      </c>
      <c r="Y1324" s="5">
        <v>1.0</v>
      </c>
      <c r="Z1324" s="5">
        <v>2.0</v>
      </c>
      <c r="AA1324" s="3">
        <f>2+ (P1324*'Scoring System'!$B$3)+ (IF(OR(D1324="DEF",D1324="GK"),N1324*'Scoring System'!$B$4,IF(D1324="MID",N1324*'Scoring System'!$B$5,0)))+ (IF(OR(D1324="DEF",D1324="GK"),H1324*'Scoring System'!$B$6,IF(D1324="MID",H1324*'Scoring System'!$B$7,IF(D1324="ATT",H1324*'Scoring System'!$B$8,0))))+ IF(AND(OR(D1324="GK",D1324="DEF"),J1324&gt;=3),1*'Scoring System'!$B$9,0)+ (I1324*'Scoring System'!$B$10)+ (K1324*'Scoring System'!$B$11)+ (M1324*'Scoring System'!$B$12)+ (L1324*'Scoring System'!$B$13)+ (O1324*'Scoring System'!$B$14)+ (Q1324*'Scoring System'!$B$15)+ (R1324*'Scoring System'!$B$16)</f>
        <v>2</v>
      </c>
      <c r="AB1324" s="3" t="b">
        <f>IFERROR(match(C1324,'Match Day Fees'!$B$2:$B$999,0),0)=0</f>
        <v>0</v>
      </c>
      <c r="AC1324" s="3">
        <f t="shared" si="2"/>
        <v>0</v>
      </c>
      <c r="AD1324" s="3" t="str">
        <f>VLOOKUP(D1324,'Position Lookup'!A:B,1,FALSE)</f>
        <v>DEF</v>
      </c>
    </row>
    <row r="1325" ht="17.25" customHeight="1">
      <c r="A1325" s="31">
        <v>45262.0</v>
      </c>
      <c r="B1325" s="5" t="s">
        <v>309</v>
      </c>
      <c r="C1325" s="5" t="s">
        <v>99</v>
      </c>
      <c r="D1325" s="5" t="s">
        <v>11</v>
      </c>
      <c r="E1325" s="5">
        <v>6.0</v>
      </c>
      <c r="F1325" s="5" t="s">
        <v>1373</v>
      </c>
      <c r="G1325" s="5" t="s">
        <v>230</v>
      </c>
      <c r="J1325" s="5">
        <v>2.0</v>
      </c>
      <c r="N1325" s="5" t="b">
        <v>0</v>
      </c>
      <c r="R1325" s="5">
        <v>0.0</v>
      </c>
      <c r="T1325" s="5">
        <v>10.0</v>
      </c>
      <c r="U1325" s="5">
        <v>6.5</v>
      </c>
      <c r="V1325" s="5" t="s">
        <v>1378</v>
      </c>
      <c r="W1325" s="81" t="s">
        <v>1375</v>
      </c>
      <c r="X1325" s="78" t="s">
        <v>1376</v>
      </c>
      <c r="Y1325" s="5">
        <v>1.0</v>
      </c>
      <c r="Z1325" s="5">
        <v>2.0</v>
      </c>
      <c r="AA1325" s="3">
        <f>2+ (P1325*'Scoring System'!$B$3)+ (IF(OR(D1325="DEF",D1325="GK"),N1325*'Scoring System'!$B$4,IF(D1325="MID",N1325*'Scoring System'!$B$5,0)))+ (IF(OR(D1325="DEF",D1325="GK"),H1325*'Scoring System'!$B$6,IF(D1325="MID",H1325*'Scoring System'!$B$7,IF(D1325="ATT",H1325*'Scoring System'!$B$8,0))))+ IF(AND(OR(D1325="GK",D1325="DEF"),J1325&gt;=3),1*'Scoring System'!$B$9,0)+ (I1325*'Scoring System'!$B$10)+ (K1325*'Scoring System'!$B$11)+ (M1325*'Scoring System'!$B$12)+ (L1325*'Scoring System'!$B$13)+ (O1325*'Scoring System'!$B$14)+ (Q1325*'Scoring System'!$B$15)+ (R1325*'Scoring System'!$B$16)</f>
        <v>2</v>
      </c>
      <c r="AB1325" s="3" t="b">
        <f>IFERROR(match(C1325,'Match Day Fees'!$B$2:$B$999,0),0)=0</f>
        <v>0</v>
      </c>
      <c r="AC1325" s="3">
        <f t="shared" si="2"/>
        <v>0</v>
      </c>
      <c r="AD1325" s="3" t="str">
        <f>VLOOKUP(D1325,'Position Lookup'!A:B,1,FALSE)</f>
        <v>DEF</v>
      </c>
    </row>
    <row r="1326" ht="17.25" customHeight="1">
      <c r="A1326" s="31">
        <v>45262.0</v>
      </c>
      <c r="B1326" s="5" t="s">
        <v>309</v>
      </c>
      <c r="C1326" s="5" t="s">
        <v>97</v>
      </c>
      <c r="D1326" s="5" t="s">
        <v>11</v>
      </c>
      <c r="E1326" s="5">
        <v>6.0</v>
      </c>
      <c r="F1326" s="5" t="s">
        <v>1373</v>
      </c>
      <c r="G1326" s="5" t="s">
        <v>230</v>
      </c>
      <c r="J1326" s="5">
        <v>2.0</v>
      </c>
      <c r="N1326" s="5" t="b">
        <v>0</v>
      </c>
      <c r="R1326" s="5">
        <v>0.0</v>
      </c>
      <c r="T1326" s="5">
        <v>5.0</v>
      </c>
      <c r="U1326" s="5">
        <v>4.0</v>
      </c>
      <c r="V1326" s="5" t="s">
        <v>1379</v>
      </c>
      <c r="W1326" s="81" t="s">
        <v>1375</v>
      </c>
      <c r="X1326" s="78" t="s">
        <v>1376</v>
      </c>
      <c r="Y1326" s="5">
        <v>1.0</v>
      </c>
      <c r="Z1326" s="5">
        <v>2.0</v>
      </c>
      <c r="AA1326" s="3">
        <f>2+ (P1326*'Scoring System'!$B$3)+ (IF(OR(D1326="DEF",D1326="GK"),N1326*'Scoring System'!$B$4,IF(D1326="MID",N1326*'Scoring System'!$B$5,0)))+ (IF(OR(D1326="DEF",D1326="GK"),H1326*'Scoring System'!$B$6,IF(D1326="MID",H1326*'Scoring System'!$B$7,IF(D1326="ATT",H1326*'Scoring System'!$B$8,0))))+ IF(AND(OR(D1326="GK",D1326="DEF"),J1326&gt;=3),1*'Scoring System'!$B$9,0)+ (I1326*'Scoring System'!$B$10)+ (K1326*'Scoring System'!$B$11)+ (M1326*'Scoring System'!$B$12)+ (L1326*'Scoring System'!$B$13)+ (O1326*'Scoring System'!$B$14)+ (Q1326*'Scoring System'!$B$15)+ (R1326*'Scoring System'!$B$16)</f>
        <v>2</v>
      </c>
      <c r="AB1326" s="3" t="b">
        <f>IFERROR(match(C1326,'Match Day Fees'!$B$2:$B$999,0),0)=0</f>
        <v>0</v>
      </c>
      <c r="AC1326" s="3">
        <f t="shared" si="2"/>
        <v>0</v>
      </c>
      <c r="AD1326" s="3" t="str">
        <f>VLOOKUP(D1326,'Position Lookup'!A:B,1,FALSE)</f>
        <v>DEF</v>
      </c>
    </row>
    <row r="1327" ht="17.25" customHeight="1">
      <c r="A1327" s="31">
        <v>45262.0</v>
      </c>
      <c r="B1327" s="5" t="s">
        <v>309</v>
      </c>
      <c r="C1327" s="5" t="s">
        <v>142</v>
      </c>
      <c r="D1327" s="5" t="s">
        <v>11</v>
      </c>
      <c r="E1327" s="5">
        <v>6.0</v>
      </c>
      <c r="F1327" s="5" t="s">
        <v>1373</v>
      </c>
      <c r="G1327" s="5" t="s">
        <v>230</v>
      </c>
      <c r="J1327" s="5">
        <v>2.0</v>
      </c>
      <c r="N1327" s="5" t="b">
        <v>0</v>
      </c>
      <c r="R1327" s="5">
        <v>1.0</v>
      </c>
      <c r="T1327" s="5">
        <v>10.0</v>
      </c>
      <c r="U1327" s="5">
        <v>8.5</v>
      </c>
      <c r="V1327" s="5" t="s">
        <v>1380</v>
      </c>
      <c r="W1327" s="81" t="s">
        <v>1375</v>
      </c>
      <c r="X1327" s="78" t="s">
        <v>1376</v>
      </c>
      <c r="Y1327" s="5">
        <v>1.0</v>
      </c>
      <c r="Z1327" s="5">
        <v>2.0</v>
      </c>
      <c r="AA1327" s="3">
        <f>2+ (P1327*'Scoring System'!$B$3)+ (IF(OR(D1327="DEF",D1327="GK"),N1327*'Scoring System'!$B$4,IF(D1327="MID",N1327*'Scoring System'!$B$5,0)))+ (IF(OR(D1327="DEF",D1327="GK"),H1327*'Scoring System'!$B$6,IF(D1327="MID",H1327*'Scoring System'!$B$7,IF(D1327="ATT",H1327*'Scoring System'!$B$8,0))))+ IF(AND(OR(D1327="GK",D1327="DEF"),J1327&gt;=3),1*'Scoring System'!$B$9,0)+ (I1327*'Scoring System'!$B$10)+ (K1327*'Scoring System'!$B$11)+ (M1327*'Scoring System'!$B$12)+ (L1327*'Scoring System'!$B$13)+ (O1327*'Scoring System'!$B$14)+ (Q1327*'Scoring System'!$B$15)+ (R1327*'Scoring System'!$B$16)</f>
        <v>7</v>
      </c>
      <c r="AB1327" s="3" t="b">
        <f>IFERROR(match(C1327,'Match Day Fees'!$B$2:$B$999,0),0)=0</f>
        <v>0</v>
      </c>
      <c r="AC1327" s="3">
        <f t="shared" si="2"/>
        <v>0</v>
      </c>
      <c r="AD1327" s="3" t="str">
        <f>VLOOKUP(D1327,'Position Lookup'!A:B,1,FALSE)</f>
        <v>DEF</v>
      </c>
    </row>
    <row r="1328" ht="17.25" customHeight="1">
      <c r="A1328" s="31">
        <v>45262.0</v>
      </c>
      <c r="B1328" s="5" t="s">
        <v>309</v>
      </c>
      <c r="C1328" s="5" t="s">
        <v>233</v>
      </c>
      <c r="D1328" s="5" t="s">
        <v>10</v>
      </c>
      <c r="E1328" s="5">
        <v>6.0</v>
      </c>
      <c r="F1328" s="5" t="s">
        <v>1373</v>
      </c>
      <c r="G1328" s="5" t="s">
        <v>230</v>
      </c>
      <c r="J1328" s="5">
        <v>2.0</v>
      </c>
      <c r="N1328" s="5" t="b">
        <v>0</v>
      </c>
      <c r="R1328" s="5">
        <v>0.0</v>
      </c>
      <c r="T1328" s="5">
        <v>10.0</v>
      </c>
      <c r="U1328" s="5">
        <v>5.0</v>
      </c>
      <c r="V1328" s="5" t="s">
        <v>1381</v>
      </c>
      <c r="W1328" s="81" t="s">
        <v>1375</v>
      </c>
      <c r="X1328" s="78" t="s">
        <v>1376</v>
      </c>
      <c r="Y1328" s="5">
        <v>1.0</v>
      </c>
      <c r="Z1328" s="5">
        <v>2.0</v>
      </c>
      <c r="AA1328" s="3">
        <f>2+ (P1328*'Scoring System'!$B$3)+ (IF(OR(D1328="DEF",D1328="GK"),N1328*'Scoring System'!$B$4,IF(D1328="MID",N1328*'Scoring System'!$B$5,0)))+ (IF(OR(D1328="DEF",D1328="GK"),H1328*'Scoring System'!$B$6,IF(D1328="MID",H1328*'Scoring System'!$B$7,IF(D1328="ATT",H1328*'Scoring System'!$B$8,0))))+ IF(AND(OR(D1328="GK",D1328="DEF"),J1328&gt;=3),1*'Scoring System'!$B$9,0)+ (I1328*'Scoring System'!$B$10)+ (K1328*'Scoring System'!$B$11)+ (M1328*'Scoring System'!$B$12)+ (L1328*'Scoring System'!$B$13)+ (O1328*'Scoring System'!$B$14)+ (Q1328*'Scoring System'!$B$15)+ (R1328*'Scoring System'!$B$16)</f>
        <v>2</v>
      </c>
      <c r="AB1328" s="3" t="b">
        <f>IFERROR(match(C1328,'Match Day Fees'!$B$2:$B$999,0),0)=0</f>
        <v>0</v>
      </c>
      <c r="AC1328" s="3">
        <f t="shared" si="2"/>
        <v>0</v>
      </c>
      <c r="AD1328" s="3" t="str">
        <f>VLOOKUP(D1328,'Position Lookup'!A:B,1,FALSE)</f>
        <v>MID</v>
      </c>
    </row>
    <row r="1329" ht="17.25" customHeight="1">
      <c r="A1329" s="31">
        <v>45262.0</v>
      </c>
      <c r="B1329" s="5" t="s">
        <v>309</v>
      </c>
      <c r="C1329" s="5" t="s">
        <v>147</v>
      </c>
      <c r="D1329" s="5" t="s">
        <v>9</v>
      </c>
      <c r="E1329" s="5">
        <v>6.0</v>
      </c>
      <c r="F1329" s="5" t="s">
        <v>1373</v>
      </c>
      <c r="G1329" s="5" t="s">
        <v>230</v>
      </c>
      <c r="J1329" s="5">
        <v>2.0</v>
      </c>
      <c r="N1329" s="5" t="b">
        <v>0</v>
      </c>
      <c r="R1329" s="5">
        <v>0.0</v>
      </c>
      <c r="T1329" s="5">
        <v>5.0</v>
      </c>
      <c r="U1329" s="5">
        <v>7.0</v>
      </c>
      <c r="V1329" s="5" t="s">
        <v>1382</v>
      </c>
      <c r="W1329" s="81" t="s">
        <v>1375</v>
      </c>
      <c r="X1329" s="78" t="s">
        <v>1376</v>
      </c>
      <c r="Y1329" s="5">
        <v>1.0</v>
      </c>
      <c r="Z1329" s="5">
        <v>2.0</v>
      </c>
      <c r="AA1329" s="3">
        <f>2+ (P1329*'Scoring System'!$B$3)+ (IF(OR(D1329="DEF",D1329="GK"),N1329*'Scoring System'!$B$4,IF(D1329="MID",N1329*'Scoring System'!$B$5,0)))+ (IF(OR(D1329="DEF",D1329="GK"),H1329*'Scoring System'!$B$6,IF(D1329="MID",H1329*'Scoring System'!$B$7,IF(D1329="ATT",H1329*'Scoring System'!$B$8,0))))+ IF(AND(OR(D1329="GK",D1329="DEF"),J1329&gt;=3),1*'Scoring System'!$B$9,0)+ (I1329*'Scoring System'!$B$10)+ (K1329*'Scoring System'!$B$11)+ (M1329*'Scoring System'!$B$12)+ (L1329*'Scoring System'!$B$13)+ (O1329*'Scoring System'!$B$14)+ (Q1329*'Scoring System'!$B$15)+ (R1329*'Scoring System'!$B$16)</f>
        <v>2</v>
      </c>
      <c r="AB1329" s="3" t="b">
        <f>IFERROR(match(C1329,'Match Day Fees'!$B$2:$B$999,0),0)=0</f>
        <v>0</v>
      </c>
      <c r="AC1329" s="3">
        <f t="shared" si="2"/>
        <v>0</v>
      </c>
      <c r="AD1329" s="3" t="str">
        <f>VLOOKUP(D1329,'Position Lookup'!A:B,1,FALSE)</f>
        <v>ATT</v>
      </c>
    </row>
    <row r="1330" ht="17.25" customHeight="1">
      <c r="A1330" s="31">
        <v>45262.0</v>
      </c>
      <c r="B1330" s="5" t="s">
        <v>309</v>
      </c>
      <c r="C1330" s="5" t="s">
        <v>304</v>
      </c>
      <c r="D1330" s="5" t="s">
        <v>9</v>
      </c>
      <c r="E1330" s="5">
        <v>6.0</v>
      </c>
      <c r="F1330" s="5" t="s">
        <v>1373</v>
      </c>
      <c r="G1330" s="5" t="s">
        <v>230</v>
      </c>
      <c r="I1330" s="5">
        <v>1.0</v>
      </c>
      <c r="J1330" s="5">
        <v>2.0</v>
      </c>
      <c r="N1330" s="5" t="b">
        <v>0</v>
      </c>
      <c r="R1330" s="5">
        <v>0.0</v>
      </c>
      <c r="T1330" s="5">
        <v>10.0</v>
      </c>
      <c r="U1330" s="5">
        <v>7.5</v>
      </c>
      <c r="V1330" s="5" t="s">
        <v>1383</v>
      </c>
      <c r="W1330" s="81" t="s">
        <v>1375</v>
      </c>
      <c r="X1330" s="78" t="s">
        <v>1376</v>
      </c>
      <c r="Y1330" s="5">
        <v>1.0</v>
      </c>
      <c r="Z1330" s="5">
        <v>2.0</v>
      </c>
      <c r="AA1330" s="3">
        <f>2+ (P1330*'Scoring System'!$B$3)+ (IF(OR(D1330="DEF",D1330="GK"),N1330*'Scoring System'!$B$4,IF(D1330="MID",N1330*'Scoring System'!$B$5,0)))+ (IF(OR(D1330="DEF",D1330="GK"),H1330*'Scoring System'!$B$6,IF(D1330="MID",H1330*'Scoring System'!$B$7,IF(D1330="ATT",H1330*'Scoring System'!$B$8,0))))+ IF(AND(OR(D1330="GK",D1330="DEF"),J1330&gt;=3),1*'Scoring System'!$B$9,0)+ (I1330*'Scoring System'!$B$10)+ (K1330*'Scoring System'!$B$11)+ (M1330*'Scoring System'!$B$12)+ (L1330*'Scoring System'!$B$13)+ (O1330*'Scoring System'!$B$14)+ (Q1330*'Scoring System'!$B$15)+ (R1330*'Scoring System'!$B$16)</f>
        <v>5</v>
      </c>
      <c r="AB1330" s="3" t="b">
        <f>IFERROR(match(C1330,'Match Day Fees'!$B$2:$B$999,0),0)=0</f>
        <v>0</v>
      </c>
      <c r="AC1330" s="3">
        <f t="shared" si="2"/>
        <v>0</v>
      </c>
      <c r="AD1330" s="3" t="str">
        <f>VLOOKUP(D1330,'Position Lookup'!A:B,1,FALSE)</f>
        <v>ATT</v>
      </c>
    </row>
    <row r="1331" ht="17.25" customHeight="1">
      <c r="A1331" s="31">
        <v>45262.0</v>
      </c>
      <c r="B1331" s="5" t="s">
        <v>309</v>
      </c>
      <c r="C1331" s="5" t="s">
        <v>143</v>
      </c>
      <c r="D1331" s="5" t="s">
        <v>9</v>
      </c>
      <c r="E1331" s="5">
        <v>6.0</v>
      </c>
      <c r="F1331" s="5" t="s">
        <v>1373</v>
      </c>
      <c r="G1331" s="5" t="s">
        <v>230</v>
      </c>
      <c r="H1331" s="5">
        <v>1.0</v>
      </c>
      <c r="J1331" s="5">
        <v>2.0</v>
      </c>
      <c r="L1331" s="5" t="b">
        <v>1</v>
      </c>
      <c r="N1331" s="5" t="b">
        <v>0</v>
      </c>
      <c r="R1331" s="5">
        <v>0.0</v>
      </c>
      <c r="T1331" s="5">
        <v>10.0</v>
      </c>
      <c r="U1331" s="5">
        <v>7.0</v>
      </c>
      <c r="V1331" s="5" t="s">
        <v>1384</v>
      </c>
      <c r="W1331" s="81" t="s">
        <v>1375</v>
      </c>
      <c r="X1331" s="78" t="s">
        <v>1376</v>
      </c>
      <c r="Y1331" s="5">
        <v>1.0</v>
      </c>
      <c r="Z1331" s="5">
        <v>2.0</v>
      </c>
      <c r="AA1331" s="3">
        <f>2+ (P1331*'Scoring System'!$B$3)+ (IF(OR(D1331="DEF",D1331="GK"),N1331*'Scoring System'!$B$4,IF(D1331="MID",N1331*'Scoring System'!$B$5,0)))+ (IF(OR(D1331="DEF",D1331="GK"),H1331*'Scoring System'!$B$6,IF(D1331="MID",H1331*'Scoring System'!$B$7,IF(D1331="ATT",H1331*'Scoring System'!$B$8,0))))+ IF(AND(OR(D1331="GK",D1331="DEF"),J1331&gt;=3),1*'Scoring System'!$B$9,0)+ (I1331*'Scoring System'!$B$10)+ (K1331*'Scoring System'!$B$11)+ (M1331*'Scoring System'!$B$12)+ (L1331*'Scoring System'!$B$13)+ (O1331*'Scoring System'!$B$14)+ (Q1331*'Scoring System'!$B$15)+ (R1331*'Scoring System'!$B$16)</f>
        <v>4</v>
      </c>
      <c r="AB1331" s="3" t="b">
        <f>IFERROR(match(C1331,'Match Day Fees'!$B$2:$B$999,0),0)=0</f>
        <v>0</v>
      </c>
      <c r="AC1331" s="3">
        <f t="shared" si="2"/>
        <v>0</v>
      </c>
      <c r="AD1331" s="3" t="str">
        <f>VLOOKUP(D1331,'Position Lookup'!A:B,1,FALSE)</f>
        <v>ATT</v>
      </c>
    </row>
    <row r="1332" ht="17.25" customHeight="1">
      <c r="A1332" s="31">
        <v>45262.0</v>
      </c>
      <c r="B1332" s="5" t="s">
        <v>309</v>
      </c>
      <c r="C1332" s="5" t="s">
        <v>84</v>
      </c>
      <c r="D1332" s="5" t="s">
        <v>9</v>
      </c>
      <c r="E1332" s="5">
        <v>6.0</v>
      </c>
      <c r="F1332" s="5" t="s">
        <v>1373</v>
      </c>
      <c r="G1332" s="5" t="s">
        <v>230</v>
      </c>
      <c r="J1332" s="5">
        <v>2.0</v>
      </c>
      <c r="N1332" s="5" t="b">
        <v>0</v>
      </c>
      <c r="R1332" s="5">
        <v>0.0</v>
      </c>
      <c r="T1332" s="5">
        <v>5.0</v>
      </c>
      <c r="U1332" s="5">
        <v>6.0</v>
      </c>
      <c r="V1332" s="5" t="s">
        <v>1385</v>
      </c>
      <c r="W1332" s="81" t="s">
        <v>1375</v>
      </c>
      <c r="X1332" s="78" t="s">
        <v>1376</v>
      </c>
      <c r="Y1332" s="5">
        <v>1.0</v>
      </c>
      <c r="Z1332" s="5">
        <v>2.0</v>
      </c>
      <c r="AA1332" s="3">
        <f>2+ (P1332*'Scoring System'!$B$3)+ (IF(OR(D1332="DEF",D1332="GK"),N1332*'Scoring System'!$B$4,IF(D1332="MID",N1332*'Scoring System'!$B$5,0)))+ (IF(OR(D1332="DEF",D1332="GK"),H1332*'Scoring System'!$B$6,IF(D1332="MID",H1332*'Scoring System'!$B$7,IF(D1332="ATT",H1332*'Scoring System'!$B$8,0))))+ IF(AND(OR(D1332="GK",D1332="DEF"),J1332&gt;=3),1*'Scoring System'!$B$9,0)+ (I1332*'Scoring System'!$B$10)+ (K1332*'Scoring System'!$B$11)+ (M1332*'Scoring System'!$B$12)+ (L1332*'Scoring System'!$B$13)+ (O1332*'Scoring System'!$B$14)+ (Q1332*'Scoring System'!$B$15)+ (R1332*'Scoring System'!$B$16)</f>
        <v>2</v>
      </c>
      <c r="AB1332" s="3" t="b">
        <f>IFERROR(match(C1332,'Match Day Fees'!$B$2:$B$999,0),0)=0</f>
        <v>0</v>
      </c>
      <c r="AC1332" s="3">
        <f t="shared" si="2"/>
        <v>0</v>
      </c>
      <c r="AD1332" s="3" t="str">
        <f>VLOOKUP(D1332,'Position Lookup'!A:B,1,FALSE)</f>
        <v>ATT</v>
      </c>
    </row>
    <row r="1333" ht="17.25" customHeight="1">
      <c r="A1333" s="31">
        <v>45262.0</v>
      </c>
      <c r="B1333" s="5" t="s">
        <v>309</v>
      </c>
      <c r="C1333" s="5" t="s">
        <v>117</v>
      </c>
      <c r="D1333" s="5" t="s">
        <v>10</v>
      </c>
      <c r="E1333" s="5">
        <v>6.0</v>
      </c>
      <c r="F1333" s="5" t="s">
        <v>1373</v>
      </c>
      <c r="G1333" s="5" t="s">
        <v>230</v>
      </c>
      <c r="J1333" s="5">
        <v>2.0</v>
      </c>
      <c r="N1333" s="5" t="b">
        <v>0</v>
      </c>
      <c r="R1333" s="5">
        <v>0.0</v>
      </c>
      <c r="T1333" s="5">
        <v>5.0</v>
      </c>
      <c r="U1333" s="5">
        <v>5.0</v>
      </c>
      <c r="V1333" s="5" t="s">
        <v>1386</v>
      </c>
      <c r="W1333" s="81" t="s">
        <v>1375</v>
      </c>
      <c r="X1333" s="78" t="s">
        <v>1376</v>
      </c>
      <c r="Y1333" s="5">
        <v>1.0</v>
      </c>
      <c r="Z1333" s="5">
        <v>2.0</v>
      </c>
      <c r="AA1333" s="3">
        <f>2+ (P1333*'Scoring System'!$B$3)+ (IF(OR(D1333="DEF",D1333="GK"),N1333*'Scoring System'!$B$4,IF(D1333="MID",N1333*'Scoring System'!$B$5,0)))+ (IF(OR(D1333="DEF",D1333="GK"),H1333*'Scoring System'!$B$6,IF(D1333="MID",H1333*'Scoring System'!$B$7,IF(D1333="ATT",H1333*'Scoring System'!$B$8,0))))+ IF(AND(OR(D1333="GK",D1333="DEF"),J1333&gt;=3),1*'Scoring System'!$B$9,0)+ (I1333*'Scoring System'!$B$10)+ (K1333*'Scoring System'!$B$11)+ (M1333*'Scoring System'!$B$12)+ (L1333*'Scoring System'!$B$13)+ (O1333*'Scoring System'!$B$14)+ (Q1333*'Scoring System'!$B$15)+ (R1333*'Scoring System'!$B$16)</f>
        <v>2</v>
      </c>
      <c r="AB1333" s="3" t="b">
        <f>IFERROR(match(C1333,'Match Day Fees'!$B$2:$B$999,0),0)=0</f>
        <v>0</v>
      </c>
      <c r="AC1333" s="3">
        <f t="shared" si="2"/>
        <v>0</v>
      </c>
      <c r="AD1333" s="3" t="str">
        <f>VLOOKUP(D1333,'Position Lookup'!A:B,1,FALSE)</f>
        <v>MID</v>
      </c>
    </row>
    <row r="1334" ht="17.25" customHeight="1">
      <c r="A1334" s="31">
        <v>45262.0</v>
      </c>
      <c r="B1334" s="5" t="s">
        <v>309</v>
      </c>
      <c r="C1334" s="5" t="s">
        <v>588</v>
      </c>
      <c r="D1334" s="5" t="s">
        <v>10</v>
      </c>
      <c r="E1334" s="5">
        <v>6.0</v>
      </c>
      <c r="F1334" s="5" t="s">
        <v>1373</v>
      </c>
      <c r="G1334" s="5" t="s">
        <v>230</v>
      </c>
      <c r="J1334" s="5">
        <v>2.0</v>
      </c>
      <c r="N1334" s="5" t="b">
        <v>0</v>
      </c>
      <c r="R1334" s="5">
        <v>0.0</v>
      </c>
      <c r="T1334" s="5">
        <v>10.0</v>
      </c>
      <c r="U1334" s="5">
        <v>6.5</v>
      </c>
      <c r="V1334" s="5" t="s">
        <v>1387</v>
      </c>
      <c r="W1334" s="81" t="s">
        <v>1375</v>
      </c>
      <c r="X1334" s="78" t="s">
        <v>1376</v>
      </c>
      <c r="Y1334" s="5">
        <v>1.0</v>
      </c>
      <c r="Z1334" s="5">
        <v>2.0</v>
      </c>
      <c r="AA1334" s="3">
        <f>2+ (P1334*'Scoring System'!$B$3)+ (IF(OR(D1334="DEF",D1334="GK"),N1334*'Scoring System'!$B$4,IF(D1334="MID",N1334*'Scoring System'!$B$5,0)))+ (IF(OR(D1334="DEF",D1334="GK"),H1334*'Scoring System'!$B$6,IF(D1334="MID",H1334*'Scoring System'!$B$7,IF(D1334="ATT",H1334*'Scoring System'!$B$8,0))))+ IF(AND(OR(D1334="GK",D1334="DEF"),J1334&gt;=3),1*'Scoring System'!$B$9,0)+ (I1334*'Scoring System'!$B$10)+ (K1334*'Scoring System'!$B$11)+ (M1334*'Scoring System'!$B$12)+ (L1334*'Scoring System'!$B$13)+ (O1334*'Scoring System'!$B$14)+ (Q1334*'Scoring System'!$B$15)+ (R1334*'Scoring System'!$B$16)</f>
        <v>2</v>
      </c>
      <c r="AB1334" s="3" t="b">
        <f>IFERROR(match(C1334,'Match Day Fees'!$B$2:$B$999,0),0)=0</f>
        <v>0</v>
      </c>
      <c r="AC1334" s="3">
        <f t="shared" si="2"/>
        <v>0</v>
      </c>
      <c r="AD1334" s="3" t="str">
        <f>VLOOKUP(D1334,'Position Lookup'!A:B,1,FALSE)</f>
        <v>MID</v>
      </c>
    </row>
    <row r="1335" ht="17.25" customHeight="1">
      <c r="A1335" s="31">
        <v>45262.0</v>
      </c>
      <c r="B1335" s="5" t="s">
        <v>309</v>
      </c>
      <c r="C1335" s="5" t="s">
        <v>266</v>
      </c>
      <c r="D1335" s="5" t="s">
        <v>10</v>
      </c>
      <c r="E1335" s="5">
        <v>6.0</v>
      </c>
      <c r="F1335" s="5" t="s">
        <v>1373</v>
      </c>
      <c r="G1335" s="5" t="s">
        <v>230</v>
      </c>
      <c r="J1335" s="5">
        <v>2.0</v>
      </c>
      <c r="N1335" s="5" t="b">
        <v>0</v>
      </c>
      <c r="R1335" s="5">
        <v>0.0</v>
      </c>
      <c r="T1335" s="5">
        <v>10.0</v>
      </c>
      <c r="U1335" s="5">
        <v>6.0</v>
      </c>
      <c r="V1335" s="5" t="s">
        <v>1388</v>
      </c>
      <c r="W1335" s="81" t="s">
        <v>1375</v>
      </c>
      <c r="X1335" s="78" t="s">
        <v>1376</v>
      </c>
      <c r="Y1335" s="5">
        <v>1.0</v>
      </c>
      <c r="Z1335" s="5">
        <v>2.0</v>
      </c>
      <c r="AA1335" s="3">
        <f>2+ (P1335*'Scoring System'!$B$3)+ (IF(OR(D1335="DEF",D1335="GK"),N1335*'Scoring System'!$B$4,IF(D1335="MID",N1335*'Scoring System'!$B$5,0)))+ (IF(OR(D1335="DEF",D1335="GK"),H1335*'Scoring System'!$B$6,IF(D1335="MID",H1335*'Scoring System'!$B$7,IF(D1335="ATT",H1335*'Scoring System'!$B$8,0))))+ IF(AND(OR(D1335="GK",D1335="DEF"),J1335&gt;=3),1*'Scoring System'!$B$9,0)+ (I1335*'Scoring System'!$B$10)+ (K1335*'Scoring System'!$B$11)+ (M1335*'Scoring System'!$B$12)+ (L1335*'Scoring System'!$B$13)+ (O1335*'Scoring System'!$B$14)+ (Q1335*'Scoring System'!$B$15)+ (R1335*'Scoring System'!$B$16)</f>
        <v>2</v>
      </c>
      <c r="AB1335" s="3" t="b">
        <f>IFERROR(match(C1335,'Match Day Fees'!$B$2:$B$999,0),0)=0</f>
        <v>0</v>
      </c>
      <c r="AC1335" s="3">
        <f t="shared" si="2"/>
        <v>0</v>
      </c>
      <c r="AD1335" s="3" t="str">
        <f>VLOOKUP(D1335,'Position Lookup'!A:B,1,FALSE)</f>
        <v>MID</v>
      </c>
    </row>
    <row r="1336" ht="17.25" customHeight="1">
      <c r="A1336" s="32">
        <v>45276.0</v>
      </c>
      <c r="B1336" s="5" t="s">
        <v>1389</v>
      </c>
      <c r="C1336" s="5" t="s">
        <v>53</v>
      </c>
      <c r="D1336" s="5" t="s">
        <v>8</v>
      </c>
      <c r="E1336" s="5">
        <v>1.0</v>
      </c>
      <c r="F1336" s="5" t="s">
        <v>1390</v>
      </c>
      <c r="G1336" s="5" t="s">
        <v>224</v>
      </c>
      <c r="J1336" s="5">
        <v>1.0</v>
      </c>
      <c r="N1336" s="5" t="b">
        <v>0</v>
      </c>
      <c r="R1336" s="5">
        <v>0.0</v>
      </c>
      <c r="T1336" s="5">
        <v>10.0</v>
      </c>
      <c r="U1336" s="5">
        <v>8.0</v>
      </c>
      <c r="V1336" s="5" t="s">
        <v>1391</v>
      </c>
      <c r="W1336" s="81" t="s">
        <v>311</v>
      </c>
      <c r="X1336" s="78" t="s">
        <v>1392</v>
      </c>
      <c r="Y1336" s="5">
        <v>3.0</v>
      </c>
      <c r="Z1336" s="5">
        <v>1.0</v>
      </c>
      <c r="AA1336" s="3">
        <f>2+ (P1336*'Scoring System'!$B$3)+ (IF(OR(D1336="DEF",D1336="GK"),N1336*'Scoring System'!$B$4,IF(D1336="MID",N1336*'Scoring System'!$B$5,0)))+ (IF(OR(D1336="DEF",D1336="GK"),H1336*'Scoring System'!$B$6,IF(D1336="MID",H1336*'Scoring System'!$B$7,IF(D1336="ATT",H1336*'Scoring System'!$B$8,0))))+ IF(AND(OR(D1336="GK",D1336="DEF"),J1336&gt;=3),1*'Scoring System'!$B$9,0)+ (I1336*'Scoring System'!$B$10)+ (K1336*'Scoring System'!$B$11)+ (M1336*'Scoring System'!$B$12)+ (L1336*'Scoring System'!$B$13)+ (O1336*'Scoring System'!$B$14)+ (Q1336*'Scoring System'!$B$15)+ (R1336*'Scoring System'!$B$16)</f>
        <v>2</v>
      </c>
      <c r="AB1336" s="3" t="b">
        <f>IFERROR(match(C1336,'Match Day Fees'!$B$2:$B$999,0),0)=0</f>
        <v>0</v>
      </c>
      <c r="AC1336" s="3">
        <f t="shared" si="2"/>
        <v>0</v>
      </c>
      <c r="AD1336" s="3" t="str">
        <f>VLOOKUP(D1336,'Position Lookup'!A:B,1,FALSE)</f>
        <v>GK</v>
      </c>
    </row>
    <row r="1337" ht="17.25" customHeight="1">
      <c r="A1337" s="32">
        <v>45276.0</v>
      </c>
      <c r="B1337" s="5" t="s">
        <v>1389</v>
      </c>
      <c r="C1337" s="5" t="s">
        <v>75</v>
      </c>
      <c r="D1337" s="5" t="s">
        <v>11</v>
      </c>
      <c r="E1337" s="5">
        <v>1.0</v>
      </c>
      <c r="F1337" s="5" t="s">
        <v>1390</v>
      </c>
      <c r="G1337" s="5" t="s">
        <v>224</v>
      </c>
      <c r="I1337" s="5">
        <v>1.0</v>
      </c>
      <c r="J1337" s="5">
        <v>1.0</v>
      </c>
      <c r="N1337" s="5" t="b">
        <v>0</v>
      </c>
      <c r="R1337" s="5">
        <v>0.0</v>
      </c>
      <c r="T1337" s="5">
        <v>7.0</v>
      </c>
      <c r="U1337" s="5">
        <v>8.0</v>
      </c>
      <c r="V1337" s="5" t="s">
        <v>1393</v>
      </c>
      <c r="W1337" s="81" t="s">
        <v>311</v>
      </c>
      <c r="X1337" s="78" t="s">
        <v>1392</v>
      </c>
      <c r="Y1337" s="5">
        <v>3.0</v>
      </c>
      <c r="Z1337" s="5">
        <v>1.0</v>
      </c>
      <c r="AA1337" s="3">
        <f>2+ (P1337*'Scoring System'!$B$3)+ (IF(OR(D1337="DEF",D1337="GK"),N1337*'Scoring System'!$B$4,IF(D1337="MID",N1337*'Scoring System'!$B$5,0)))+ (IF(OR(D1337="DEF",D1337="GK"),H1337*'Scoring System'!$B$6,IF(D1337="MID",H1337*'Scoring System'!$B$7,IF(D1337="ATT",H1337*'Scoring System'!$B$8,0))))+ IF(AND(OR(D1337="GK",D1337="DEF"),J1337&gt;=3),1*'Scoring System'!$B$9,0)+ (I1337*'Scoring System'!$B$10)+ (K1337*'Scoring System'!$B$11)+ (M1337*'Scoring System'!$B$12)+ (L1337*'Scoring System'!$B$13)+ (O1337*'Scoring System'!$B$14)+ (Q1337*'Scoring System'!$B$15)+ (R1337*'Scoring System'!$B$16)</f>
        <v>5</v>
      </c>
      <c r="AB1337" s="3" t="b">
        <f>IFERROR(match(C1337,'Match Day Fees'!$B$2:$B$999,0),0)=0</f>
        <v>0</v>
      </c>
      <c r="AC1337" s="3">
        <f t="shared" si="2"/>
        <v>0</v>
      </c>
      <c r="AD1337" s="3" t="str">
        <f>VLOOKUP(D1337,'Position Lookup'!A:B,1,FALSE)</f>
        <v>DEF</v>
      </c>
    </row>
    <row r="1338" ht="17.25" customHeight="1">
      <c r="A1338" s="32">
        <v>45276.0</v>
      </c>
      <c r="B1338" s="5" t="s">
        <v>1389</v>
      </c>
      <c r="C1338" s="5" t="s">
        <v>76</v>
      </c>
      <c r="D1338" s="5" t="s">
        <v>11</v>
      </c>
      <c r="E1338" s="5">
        <v>1.0</v>
      </c>
      <c r="F1338" s="5" t="s">
        <v>1390</v>
      </c>
      <c r="G1338" s="5" t="s">
        <v>224</v>
      </c>
      <c r="J1338" s="5">
        <v>1.0</v>
      </c>
      <c r="K1338" s="5">
        <v>1.0</v>
      </c>
      <c r="N1338" s="5" t="b">
        <v>0</v>
      </c>
      <c r="R1338" s="5">
        <v>0.0</v>
      </c>
      <c r="T1338" s="5">
        <v>10.0</v>
      </c>
      <c r="U1338" s="5">
        <v>8.0</v>
      </c>
      <c r="V1338" s="5" t="s">
        <v>1394</v>
      </c>
      <c r="W1338" s="81" t="s">
        <v>311</v>
      </c>
      <c r="X1338" s="78" t="s">
        <v>1392</v>
      </c>
      <c r="Y1338" s="5">
        <v>3.0</v>
      </c>
      <c r="Z1338" s="5">
        <v>1.0</v>
      </c>
      <c r="AA1338" s="3">
        <f>2+ (P1338*'Scoring System'!$B$3)+ (IF(OR(D1338="DEF",D1338="GK"),N1338*'Scoring System'!$B$4,IF(D1338="MID",N1338*'Scoring System'!$B$5,0)))+ (IF(OR(D1338="DEF",D1338="GK"),H1338*'Scoring System'!$B$6,IF(D1338="MID",H1338*'Scoring System'!$B$7,IF(D1338="ATT",H1338*'Scoring System'!$B$8,0))))+ IF(AND(OR(D1338="GK",D1338="DEF"),J1338&gt;=3),1*'Scoring System'!$B$9,0)+ (I1338*'Scoring System'!$B$10)+ (K1338*'Scoring System'!$B$11)+ (M1338*'Scoring System'!$B$12)+ (L1338*'Scoring System'!$B$13)+ (O1338*'Scoring System'!$B$14)+ (Q1338*'Scoring System'!$B$15)+ (R1338*'Scoring System'!$B$16)</f>
        <v>1</v>
      </c>
      <c r="AB1338" s="3" t="b">
        <f>IFERROR(match(C1338,'Match Day Fees'!$B$2:$B$999,0),0)=0</f>
        <v>0</v>
      </c>
      <c r="AC1338" s="3">
        <f t="shared" si="2"/>
        <v>0</v>
      </c>
      <c r="AD1338" s="3" t="str">
        <f>VLOOKUP(D1338,'Position Lookup'!A:B,1,FALSE)</f>
        <v>DEF</v>
      </c>
    </row>
    <row r="1339" ht="17.25" customHeight="1">
      <c r="A1339" s="32">
        <v>45276.0</v>
      </c>
      <c r="B1339" s="5" t="s">
        <v>1389</v>
      </c>
      <c r="C1339" s="5" t="s">
        <v>68</v>
      </c>
      <c r="D1339" s="5" t="s">
        <v>11</v>
      </c>
      <c r="E1339" s="5">
        <v>1.0</v>
      </c>
      <c r="F1339" s="5" t="s">
        <v>1390</v>
      </c>
      <c r="G1339" s="5" t="s">
        <v>224</v>
      </c>
      <c r="J1339" s="5">
        <v>1.0</v>
      </c>
      <c r="N1339" s="5" t="b">
        <v>0</v>
      </c>
      <c r="R1339" s="5">
        <v>0.0</v>
      </c>
      <c r="T1339" s="5">
        <v>10.0</v>
      </c>
      <c r="U1339" s="5">
        <v>7.5</v>
      </c>
      <c r="V1339" s="5" t="s">
        <v>1395</v>
      </c>
      <c r="W1339" s="81" t="s">
        <v>311</v>
      </c>
      <c r="X1339" s="78" t="s">
        <v>1392</v>
      </c>
      <c r="Y1339" s="5">
        <v>3.0</v>
      </c>
      <c r="Z1339" s="5">
        <v>1.0</v>
      </c>
      <c r="AA1339" s="3">
        <f>2+ (P1339*'Scoring System'!$B$3)+ (IF(OR(D1339="DEF",D1339="GK"),N1339*'Scoring System'!$B$4,IF(D1339="MID",N1339*'Scoring System'!$B$5,0)))+ (IF(OR(D1339="DEF",D1339="GK"),H1339*'Scoring System'!$B$6,IF(D1339="MID",H1339*'Scoring System'!$B$7,IF(D1339="ATT",H1339*'Scoring System'!$B$8,0))))+ IF(AND(OR(D1339="GK",D1339="DEF"),J1339&gt;=3),1*'Scoring System'!$B$9,0)+ (I1339*'Scoring System'!$B$10)+ (K1339*'Scoring System'!$B$11)+ (M1339*'Scoring System'!$B$12)+ (L1339*'Scoring System'!$B$13)+ (O1339*'Scoring System'!$B$14)+ (Q1339*'Scoring System'!$B$15)+ (R1339*'Scoring System'!$B$16)</f>
        <v>2</v>
      </c>
      <c r="AB1339" s="3" t="b">
        <f>IFERROR(match(C1339,'Match Day Fees'!$B$2:$B$999,0),0)=0</f>
        <v>0</v>
      </c>
      <c r="AC1339" s="3">
        <f t="shared" si="2"/>
        <v>0</v>
      </c>
      <c r="AD1339" s="3" t="str">
        <f>VLOOKUP(D1339,'Position Lookup'!A:B,1,FALSE)</f>
        <v>DEF</v>
      </c>
    </row>
    <row r="1340" ht="17.25" customHeight="1">
      <c r="A1340" s="32">
        <v>45276.0</v>
      </c>
      <c r="B1340" s="5" t="s">
        <v>1389</v>
      </c>
      <c r="C1340" s="5" t="s">
        <v>43</v>
      </c>
      <c r="D1340" s="5" t="s">
        <v>11</v>
      </c>
      <c r="E1340" s="5">
        <v>1.0</v>
      </c>
      <c r="F1340" s="5" t="s">
        <v>1390</v>
      </c>
      <c r="G1340" s="5" t="s">
        <v>224</v>
      </c>
      <c r="J1340" s="5">
        <v>1.0</v>
      </c>
      <c r="N1340" s="5" t="b">
        <v>0</v>
      </c>
      <c r="R1340" s="5">
        <v>0.0</v>
      </c>
      <c r="T1340" s="5">
        <v>10.0</v>
      </c>
      <c r="U1340" s="5">
        <v>8.5</v>
      </c>
      <c r="V1340" s="5" t="s">
        <v>1396</v>
      </c>
      <c r="W1340" s="81" t="s">
        <v>311</v>
      </c>
      <c r="X1340" s="78" t="s">
        <v>1392</v>
      </c>
      <c r="Y1340" s="5">
        <v>3.0</v>
      </c>
      <c r="Z1340" s="5">
        <v>1.0</v>
      </c>
      <c r="AA1340" s="3">
        <f>2+ (P1340*'Scoring System'!$B$3)+ (IF(OR(D1340="DEF",D1340="GK"),N1340*'Scoring System'!$B$4,IF(D1340="MID",N1340*'Scoring System'!$B$5,0)))+ (IF(OR(D1340="DEF",D1340="GK"),H1340*'Scoring System'!$B$6,IF(D1340="MID",H1340*'Scoring System'!$B$7,IF(D1340="ATT",H1340*'Scoring System'!$B$8,0))))+ IF(AND(OR(D1340="GK",D1340="DEF"),J1340&gt;=3),1*'Scoring System'!$B$9,0)+ (I1340*'Scoring System'!$B$10)+ (K1340*'Scoring System'!$B$11)+ (M1340*'Scoring System'!$B$12)+ (L1340*'Scoring System'!$B$13)+ (O1340*'Scoring System'!$B$14)+ (Q1340*'Scoring System'!$B$15)+ (R1340*'Scoring System'!$B$16)</f>
        <v>2</v>
      </c>
      <c r="AB1340" s="3" t="b">
        <f>IFERROR(match(C1340,'Match Day Fees'!$B$2:$B$999,0),0)=0</f>
        <v>0</v>
      </c>
      <c r="AC1340" s="3">
        <f t="shared" si="2"/>
        <v>0</v>
      </c>
      <c r="AD1340" s="3" t="str">
        <f>VLOOKUP(D1340,'Position Lookup'!A:B,1,FALSE)</f>
        <v>DEF</v>
      </c>
    </row>
    <row r="1341" ht="17.25" customHeight="1">
      <c r="A1341" s="32">
        <v>45276.0</v>
      </c>
      <c r="B1341" s="5" t="s">
        <v>1389</v>
      </c>
      <c r="C1341" s="5" t="s">
        <v>137</v>
      </c>
      <c r="D1341" s="5" t="s">
        <v>11</v>
      </c>
      <c r="E1341" s="5">
        <v>1.0</v>
      </c>
      <c r="F1341" s="5" t="s">
        <v>1390</v>
      </c>
      <c r="G1341" s="5" t="s">
        <v>224</v>
      </c>
      <c r="H1341" s="5">
        <v>1.0</v>
      </c>
      <c r="J1341" s="5">
        <v>1.0</v>
      </c>
      <c r="N1341" s="5" t="b">
        <v>0</v>
      </c>
      <c r="R1341" s="5">
        <v>0.0</v>
      </c>
      <c r="T1341" s="5">
        <v>10.0</v>
      </c>
      <c r="U1341" s="5">
        <v>8.5</v>
      </c>
      <c r="V1341" s="5" t="s">
        <v>1397</v>
      </c>
      <c r="W1341" s="81" t="s">
        <v>311</v>
      </c>
      <c r="X1341" s="78" t="s">
        <v>1392</v>
      </c>
      <c r="Y1341" s="5">
        <v>3.0</v>
      </c>
      <c r="Z1341" s="5">
        <v>1.0</v>
      </c>
      <c r="AA1341" s="3">
        <f>2+ (P1341*'Scoring System'!$B$3)+ (IF(OR(D1341="DEF",D1341="GK"),N1341*'Scoring System'!$B$4,IF(D1341="MID",N1341*'Scoring System'!$B$5,0)))+ (IF(OR(D1341="DEF",D1341="GK"),H1341*'Scoring System'!$B$6,IF(D1341="MID",H1341*'Scoring System'!$B$7,IF(D1341="ATT",H1341*'Scoring System'!$B$8,0))))+ IF(AND(OR(D1341="GK",D1341="DEF"),J1341&gt;=3),1*'Scoring System'!$B$9,0)+ (I1341*'Scoring System'!$B$10)+ (K1341*'Scoring System'!$B$11)+ (M1341*'Scoring System'!$B$12)+ (L1341*'Scoring System'!$B$13)+ (O1341*'Scoring System'!$B$14)+ (Q1341*'Scoring System'!$B$15)+ (R1341*'Scoring System'!$B$16)</f>
        <v>8</v>
      </c>
      <c r="AB1341" s="3" t="b">
        <f>IFERROR(match(C1341,'Match Day Fees'!$B$2:$B$999,0),0)=0</f>
        <v>0</v>
      </c>
      <c r="AC1341" s="3">
        <f t="shared" si="2"/>
        <v>0</v>
      </c>
      <c r="AD1341" s="3" t="str">
        <f>VLOOKUP(D1341,'Position Lookup'!A:B,1,FALSE)</f>
        <v>DEF</v>
      </c>
    </row>
    <row r="1342" ht="17.25" customHeight="1">
      <c r="A1342" s="32">
        <v>45276.0</v>
      </c>
      <c r="B1342" s="5" t="s">
        <v>1389</v>
      </c>
      <c r="C1342" s="5" t="s">
        <v>85</v>
      </c>
      <c r="D1342" s="5" t="s">
        <v>10</v>
      </c>
      <c r="E1342" s="5">
        <v>1.0</v>
      </c>
      <c r="F1342" s="5" t="s">
        <v>1390</v>
      </c>
      <c r="G1342" s="5" t="s">
        <v>224</v>
      </c>
      <c r="J1342" s="5">
        <v>1.0</v>
      </c>
      <c r="N1342" s="5" t="b">
        <v>0</v>
      </c>
      <c r="R1342" s="5">
        <v>0.0</v>
      </c>
      <c r="T1342" s="5">
        <v>10.0</v>
      </c>
      <c r="U1342" s="5">
        <v>8.0</v>
      </c>
      <c r="V1342" s="5" t="s">
        <v>1398</v>
      </c>
      <c r="W1342" s="81" t="s">
        <v>311</v>
      </c>
      <c r="X1342" s="78" t="s">
        <v>1392</v>
      </c>
      <c r="Y1342" s="5">
        <v>3.0</v>
      </c>
      <c r="Z1342" s="5">
        <v>1.0</v>
      </c>
      <c r="AA1342" s="3">
        <f>2+ (P1342*'Scoring System'!$B$3)+ (IF(OR(D1342="DEF",D1342="GK"),N1342*'Scoring System'!$B$4,IF(D1342="MID",N1342*'Scoring System'!$B$5,0)))+ (IF(OR(D1342="DEF",D1342="GK"),H1342*'Scoring System'!$B$6,IF(D1342="MID",H1342*'Scoring System'!$B$7,IF(D1342="ATT",H1342*'Scoring System'!$B$8,0))))+ IF(AND(OR(D1342="GK",D1342="DEF"),J1342&gt;=3),1*'Scoring System'!$B$9,0)+ (I1342*'Scoring System'!$B$10)+ (K1342*'Scoring System'!$B$11)+ (M1342*'Scoring System'!$B$12)+ (L1342*'Scoring System'!$B$13)+ (O1342*'Scoring System'!$B$14)+ (Q1342*'Scoring System'!$B$15)+ (R1342*'Scoring System'!$B$16)</f>
        <v>2</v>
      </c>
      <c r="AB1342" s="3" t="b">
        <f>IFERROR(match(C1342,'Match Day Fees'!$B$2:$B$999,0),0)=0</f>
        <v>0</v>
      </c>
      <c r="AC1342" s="3">
        <f t="shared" si="2"/>
        <v>0</v>
      </c>
      <c r="AD1342" s="3" t="str">
        <f>VLOOKUP(D1342,'Position Lookup'!A:B,1,FALSE)</f>
        <v>MID</v>
      </c>
    </row>
    <row r="1343" ht="17.25" customHeight="1">
      <c r="A1343" s="32">
        <v>45276.0</v>
      </c>
      <c r="B1343" s="5" t="s">
        <v>1389</v>
      </c>
      <c r="C1343" s="5" t="s">
        <v>272</v>
      </c>
      <c r="D1343" s="5" t="s">
        <v>10</v>
      </c>
      <c r="E1343" s="5">
        <v>1.0</v>
      </c>
      <c r="F1343" s="5" t="s">
        <v>1390</v>
      </c>
      <c r="G1343" s="5" t="s">
        <v>224</v>
      </c>
      <c r="J1343" s="5">
        <v>1.0</v>
      </c>
      <c r="N1343" s="5" t="b">
        <v>0</v>
      </c>
      <c r="R1343" s="5">
        <v>0.0</v>
      </c>
      <c r="T1343" s="5">
        <v>7.0</v>
      </c>
      <c r="U1343" s="5">
        <v>8.0</v>
      </c>
      <c r="V1343" s="5" t="s">
        <v>1399</v>
      </c>
      <c r="W1343" s="81" t="s">
        <v>311</v>
      </c>
      <c r="X1343" s="78" t="s">
        <v>1392</v>
      </c>
      <c r="Y1343" s="5">
        <v>3.0</v>
      </c>
      <c r="Z1343" s="5">
        <v>1.0</v>
      </c>
      <c r="AA1343" s="3">
        <f>2+ (P1343*'Scoring System'!$B$3)+ (IF(OR(D1343="DEF",D1343="GK"),N1343*'Scoring System'!$B$4,IF(D1343="MID",N1343*'Scoring System'!$B$5,0)))+ (IF(OR(D1343="DEF",D1343="GK"),H1343*'Scoring System'!$B$6,IF(D1343="MID",H1343*'Scoring System'!$B$7,IF(D1343="ATT",H1343*'Scoring System'!$B$8,0))))+ IF(AND(OR(D1343="GK",D1343="DEF"),J1343&gt;=3),1*'Scoring System'!$B$9,0)+ (I1343*'Scoring System'!$B$10)+ (K1343*'Scoring System'!$B$11)+ (M1343*'Scoring System'!$B$12)+ (L1343*'Scoring System'!$B$13)+ (O1343*'Scoring System'!$B$14)+ (Q1343*'Scoring System'!$B$15)+ (R1343*'Scoring System'!$B$16)</f>
        <v>2</v>
      </c>
      <c r="AB1343" s="3" t="b">
        <f>IFERROR(match(C1343,'Match Day Fees'!$B$2:$B$999,0),0)=0</f>
        <v>0</v>
      </c>
      <c r="AC1343" s="3">
        <f t="shared" si="2"/>
        <v>0</v>
      </c>
      <c r="AD1343" s="3" t="str">
        <f>VLOOKUP(D1343,'Position Lookup'!A:B,1,FALSE)</f>
        <v>MID</v>
      </c>
    </row>
    <row r="1344" ht="17.25" customHeight="1">
      <c r="A1344" s="32">
        <v>45276.0</v>
      </c>
      <c r="B1344" s="5" t="s">
        <v>1389</v>
      </c>
      <c r="C1344" s="5" t="s">
        <v>60</v>
      </c>
      <c r="D1344" s="5" t="s">
        <v>10</v>
      </c>
      <c r="E1344" s="5">
        <v>1.0</v>
      </c>
      <c r="F1344" s="5" t="s">
        <v>1390</v>
      </c>
      <c r="G1344" s="5" t="s">
        <v>224</v>
      </c>
      <c r="I1344" s="5">
        <v>1.0</v>
      </c>
      <c r="J1344" s="5">
        <v>1.0</v>
      </c>
      <c r="N1344" s="5" t="b">
        <v>0</v>
      </c>
      <c r="R1344" s="5">
        <v>1.0</v>
      </c>
      <c r="T1344" s="5">
        <v>10.0</v>
      </c>
      <c r="U1344" s="5">
        <v>9.5</v>
      </c>
      <c r="V1344" s="5" t="s">
        <v>1400</v>
      </c>
      <c r="W1344" s="81" t="s">
        <v>311</v>
      </c>
      <c r="X1344" s="78" t="s">
        <v>1392</v>
      </c>
      <c r="Y1344" s="5">
        <v>3.0</v>
      </c>
      <c r="Z1344" s="5">
        <v>1.0</v>
      </c>
      <c r="AA1344" s="3">
        <f>2+ (P1344*'Scoring System'!$B$3)+ (IF(OR(D1344="DEF",D1344="GK"),N1344*'Scoring System'!$B$4,IF(D1344="MID",N1344*'Scoring System'!$B$5,0)))+ (IF(OR(D1344="DEF",D1344="GK"),H1344*'Scoring System'!$B$6,IF(D1344="MID",H1344*'Scoring System'!$B$7,IF(D1344="ATT",H1344*'Scoring System'!$B$8,0))))+ IF(AND(OR(D1344="GK",D1344="DEF"),J1344&gt;=3),1*'Scoring System'!$B$9,0)+ (I1344*'Scoring System'!$B$10)+ (K1344*'Scoring System'!$B$11)+ (M1344*'Scoring System'!$B$12)+ (L1344*'Scoring System'!$B$13)+ (O1344*'Scoring System'!$B$14)+ (Q1344*'Scoring System'!$B$15)+ (R1344*'Scoring System'!$B$16)</f>
        <v>10</v>
      </c>
      <c r="AB1344" s="3" t="b">
        <f>IFERROR(match(C1344,'Match Day Fees'!$B$2:$B$999,0),0)=0</f>
        <v>0</v>
      </c>
      <c r="AC1344" s="3">
        <f t="shared" si="2"/>
        <v>0</v>
      </c>
      <c r="AD1344" s="3" t="str">
        <f>VLOOKUP(D1344,'Position Lookup'!A:B,1,FALSE)</f>
        <v>MID</v>
      </c>
    </row>
    <row r="1345" ht="17.25" customHeight="1">
      <c r="A1345" s="32">
        <v>45276.0</v>
      </c>
      <c r="B1345" s="5" t="s">
        <v>1389</v>
      </c>
      <c r="C1345" s="5" t="s">
        <v>62</v>
      </c>
      <c r="D1345" s="5" t="s">
        <v>9</v>
      </c>
      <c r="E1345" s="5">
        <v>1.0</v>
      </c>
      <c r="F1345" s="5" t="s">
        <v>1390</v>
      </c>
      <c r="G1345" s="5" t="s">
        <v>224</v>
      </c>
      <c r="H1345" s="5">
        <v>1.0</v>
      </c>
      <c r="J1345" s="5">
        <v>1.0</v>
      </c>
      <c r="N1345" s="5" t="b">
        <v>0</v>
      </c>
      <c r="R1345" s="5">
        <v>0.0</v>
      </c>
      <c r="T1345" s="5">
        <v>10.0</v>
      </c>
      <c r="U1345" s="5">
        <v>9.0</v>
      </c>
      <c r="V1345" s="5" t="s">
        <v>1401</v>
      </c>
      <c r="W1345" s="81" t="s">
        <v>311</v>
      </c>
      <c r="X1345" s="78" t="s">
        <v>1392</v>
      </c>
      <c r="Y1345" s="5">
        <v>3.0</v>
      </c>
      <c r="Z1345" s="5">
        <v>1.0</v>
      </c>
      <c r="AA1345" s="3">
        <f>2+ (P1345*'Scoring System'!$B$3)+ (IF(OR(D1345="DEF",D1345="GK"),N1345*'Scoring System'!$B$4,IF(D1345="MID",N1345*'Scoring System'!$B$5,0)))+ (IF(OR(D1345="DEF",D1345="GK"),H1345*'Scoring System'!$B$6,IF(D1345="MID",H1345*'Scoring System'!$B$7,IF(D1345="ATT",H1345*'Scoring System'!$B$8,0))))+ IF(AND(OR(D1345="GK",D1345="DEF"),J1345&gt;=3),1*'Scoring System'!$B$9,0)+ (I1345*'Scoring System'!$B$10)+ (K1345*'Scoring System'!$B$11)+ (M1345*'Scoring System'!$B$12)+ (L1345*'Scoring System'!$B$13)+ (O1345*'Scoring System'!$B$14)+ (Q1345*'Scoring System'!$B$15)+ (R1345*'Scoring System'!$B$16)</f>
        <v>6</v>
      </c>
      <c r="AB1345" s="3" t="b">
        <f>IFERROR(match(C1345,'Match Day Fees'!$B$2:$B$999,0),0)=0</f>
        <v>0</v>
      </c>
      <c r="AC1345" s="3">
        <f t="shared" si="2"/>
        <v>0</v>
      </c>
      <c r="AD1345" s="3" t="str">
        <f>VLOOKUP(D1345,'Position Lookup'!A:B,1,FALSE)</f>
        <v>ATT</v>
      </c>
    </row>
    <row r="1346" ht="17.25" customHeight="1">
      <c r="A1346" s="32">
        <v>45276.0</v>
      </c>
      <c r="B1346" s="5" t="s">
        <v>1389</v>
      </c>
      <c r="C1346" s="5" t="s">
        <v>110</v>
      </c>
      <c r="D1346" s="5" t="s">
        <v>9</v>
      </c>
      <c r="E1346" s="5">
        <v>1.0</v>
      </c>
      <c r="F1346" s="5" t="s">
        <v>1390</v>
      </c>
      <c r="G1346" s="5" t="s">
        <v>224</v>
      </c>
      <c r="I1346" s="5">
        <v>1.0</v>
      </c>
      <c r="J1346" s="5">
        <v>1.0</v>
      </c>
      <c r="N1346" s="5" t="b">
        <v>0</v>
      </c>
      <c r="R1346" s="5">
        <v>0.0</v>
      </c>
      <c r="T1346" s="5">
        <v>10.0</v>
      </c>
      <c r="U1346" s="5">
        <v>7.5</v>
      </c>
      <c r="V1346" s="5" t="s">
        <v>1402</v>
      </c>
      <c r="W1346" s="81" t="s">
        <v>311</v>
      </c>
      <c r="X1346" s="78" t="s">
        <v>1392</v>
      </c>
      <c r="Y1346" s="5">
        <v>3.0</v>
      </c>
      <c r="Z1346" s="5">
        <v>1.0</v>
      </c>
      <c r="AA1346" s="3">
        <f>2+ (P1346*'Scoring System'!$B$3)+ (IF(OR(D1346="DEF",D1346="GK"),N1346*'Scoring System'!$B$4,IF(D1346="MID",N1346*'Scoring System'!$B$5,0)))+ (IF(OR(D1346="DEF",D1346="GK"),H1346*'Scoring System'!$B$6,IF(D1346="MID",H1346*'Scoring System'!$B$7,IF(D1346="ATT",H1346*'Scoring System'!$B$8,0))))+ IF(AND(OR(D1346="GK",D1346="DEF"),J1346&gt;=3),1*'Scoring System'!$B$9,0)+ (I1346*'Scoring System'!$B$10)+ (K1346*'Scoring System'!$B$11)+ (M1346*'Scoring System'!$B$12)+ (L1346*'Scoring System'!$B$13)+ (O1346*'Scoring System'!$B$14)+ (Q1346*'Scoring System'!$B$15)+ (R1346*'Scoring System'!$B$16)</f>
        <v>5</v>
      </c>
      <c r="AB1346" s="3" t="b">
        <f>IFERROR(match(C1346,'Match Day Fees'!$B$2:$B$999,0),0)=0</f>
        <v>0</v>
      </c>
      <c r="AC1346" s="3">
        <f t="shared" si="2"/>
        <v>0</v>
      </c>
      <c r="AD1346" s="3" t="str">
        <f>VLOOKUP(D1346,'Position Lookup'!A:B,1,FALSE)</f>
        <v>ATT</v>
      </c>
    </row>
    <row r="1347" ht="17.25" customHeight="1">
      <c r="A1347" s="32">
        <v>45276.0</v>
      </c>
      <c r="B1347" s="5" t="s">
        <v>1389</v>
      </c>
      <c r="C1347" s="5" t="s">
        <v>96</v>
      </c>
      <c r="D1347" s="5" t="s">
        <v>9</v>
      </c>
      <c r="E1347" s="5">
        <v>1.0</v>
      </c>
      <c r="F1347" s="5" t="s">
        <v>1390</v>
      </c>
      <c r="G1347" s="5" t="s">
        <v>224</v>
      </c>
      <c r="J1347" s="5">
        <v>1.0</v>
      </c>
      <c r="N1347" s="5" t="b">
        <v>0</v>
      </c>
      <c r="R1347" s="5">
        <v>0.0</v>
      </c>
      <c r="T1347" s="5">
        <v>5.0</v>
      </c>
      <c r="U1347" s="5">
        <v>7.5</v>
      </c>
      <c r="V1347" s="5" t="s">
        <v>1403</v>
      </c>
      <c r="W1347" s="81" t="s">
        <v>311</v>
      </c>
      <c r="X1347" s="78" t="s">
        <v>1392</v>
      </c>
      <c r="Y1347" s="5">
        <v>3.0</v>
      </c>
      <c r="Z1347" s="5">
        <v>1.0</v>
      </c>
      <c r="AA1347" s="3">
        <f>2+ (P1347*'Scoring System'!$B$3)+ (IF(OR(D1347="DEF",D1347="GK"),N1347*'Scoring System'!$B$4,IF(D1347="MID",N1347*'Scoring System'!$B$5,0)))+ (IF(OR(D1347="DEF",D1347="GK"),H1347*'Scoring System'!$B$6,IF(D1347="MID",H1347*'Scoring System'!$B$7,IF(D1347="ATT",H1347*'Scoring System'!$B$8,0))))+ IF(AND(OR(D1347="GK",D1347="DEF"),J1347&gt;=3),1*'Scoring System'!$B$9,0)+ (I1347*'Scoring System'!$B$10)+ (K1347*'Scoring System'!$B$11)+ (M1347*'Scoring System'!$B$12)+ (L1347*'Scoring System'!$B$13)+ (O1347*'Scoring System'!$B$14)+ (Q1347*'Scoring System'!$B$15)+ (R1347*'Scoring System'!$B$16)</f>
        <v>2</v>
      </c>
      <c r="AB1347" s="3" t="b">
        <f>IFERROR(match(C1347,'Match Day Fees'!$B$2:$B$999,0),0)=0</f>
        <v>0</v>
      </c>
      <c r="AC1347" s="3">
        <f t="shared" si="2"/>
        <v>0</v>
      </c>
      <c r="AD1347" s="3" t="str">
        <f>VLOOKUP(D1347,'Position Lookup'!A:B,1,FALSE)</f>
        <v>ATT</v>
      </c>
    </row>
    <row r="1348" ht="17.25" customHeight="1">
      <c r="A1348" s="32">
        <v>45276.0</v>
      </c>
      <c r="B1348" s="5" t="s">
        <v>1389</v>
      </c>
      <c r="C1348" s="5" t="s">
        <v>57</v>
      </c>
      <c r="D1348" s="5" t="s">
        <v>11</v>
      </c>
      <c r="E1348" s="5">
        <v>1.0</v>
      </c>
      <c r="F1348" s="5" t="s">
        <v>1390</v>
      </c>
      <c r="G1348" s="5" t="s">
        <v>224</v>
      </c>
      <c r="H1348" s="5">
        <v>1.0</v>
      </c>
      <c r="J1348" s="5">
        <v>1.0</v>
      </c>
      <c r="N1348" s="5" t="b">
        <v>0</v>
      </c>
      <c r="R1348" s="5">
        <v>0.0</v>
      </c>
      <c r="T1348" s="5">
        <v>2.5</v>
      </c>
      <c r="U1348" s="5">
        <v>8.5</v>
      </c>
      <c r="V1348" s="5" t="s">
        <v>1404</v>
      </c>
      <c r="W1348" s="81" t="s">
        <v>311</v>
      </c>
      <c r="X1348" s="78" t="s">
        <v>1392</v>
      </c>
      <c r="Y1348" s="5">
        <v>3.0</v>
      </c>
      <c r="Z1348" s="5">
        <v>1.0</v>
      </c>
      <c r="AA1348" s="3">
        <f>2+ (P1348*'Scoring System'!$B$3)+ (IF(OR(D1348="DEF",D1348="GK"),N1348*'Scoring System'!$B$4,IF(D1348="MID",N1348*'Scoring System'!$B$5,0)))+ (IF(OR(D1348="DEF",D1348="GK"),H1348*'Scoring System'!$B$6,IF(D1348="MID",H1348*'Scoring System'!$B$7,IF(D1348="ATT",H1348*'Scoring System'!$B$8,0))))+ IF(AND(OR(D1348="GK",D1348="DEF"),J1348&gt;=3),1*'Scoring System'!$B$9,0)+ (I1348*'Scoring System'!$B$10)+ (K1348*'Scoring System'!$B$11)+ (M1348*'Scoring System'!$B$12)+ (L1348*'Scoring System'!$B$13)+ (O1348*'Scoring System'!$B$14)+ (Q1348*'Scoring System'!$B$15)+ (R1348*'Scoring System'!$B$16)</f>
        <v>8</v>
      </c>
      <c r="AB1348" s="3" t="b">
        <f>IFERROR(match(C1348,'Match Day Fees'!$B$2:$B$999,0),0)=0</f>
        <v>0</v>
      </c>
      <c r="AC1348" s="3">
        <f t="shared" si="2"/>
        <v>0</v>
      </c>
      <c r="AD1348" s="3" t="str">
        <f>VLOOKUP(D1348,'Position Lookup'!A:B,1,FALSE)</f>
        <v>DEF</v>
      </c>
    </row>
    <row r="1349" ht="17.25" customHeight="1">
      <c r="A1349" s="32">
        <v>45276.0</v>
      </c>
      <c r="B1349" s="5" t="s">
        <v>309</v>
      </c>
      <c r="C1349" s="5" t="s">
        <v>1231</v>
      </c>
      <c r="D1349" s="5" t="s">
        <v>8</v>
      </c>
      <c r="E1349" s="5">
        <v>3.0</v>
      </c>
      <c r="F1349" s="5" t="s">
        <v>1405</v>
      </c>
      <c r="G1349" s="5" t="s">
        <v>224</v>
      </c>
      <c r="J1349" s="5">
        <v>1.0</v>
      </c>
      <c r="N1349" s="5" t="b">
        <v>0</v>
      </c>
      <c r="R1349" s="5">
        <v>0.0</v>
      </c>
      <c r="T1349" s="5">
        <v>5.0</v>
      </c>
      <c r="U1349" s="5">
        <v>8.0</v>
      </c>
      <c r="V1349" s="5" t="s">
        <v>1406</v>
      </c>
      <c r="W1349" s="81" t="s">
        <v>344</v>
      </c>
      <c r="X1349" s="78" t="s">
        <v>1407</v>
      </c>
      <c r="Y1349" s="5">
        <v>4.0</v>
      </c>
      <c r="Z1349" s="5">
        <v>1.0</v>
      </c>
      <c r="AA1349" s="3">
        <f>2+ (P1349*'Scoring System'!$B$3)+ (IF(OR(D1349="DEF",D1349="GK"),N1349*'Scoring System'!$B$4,IF(D1349="MID",N1349*'Scoring System'!$B$5,0)))+ (IF(OR(D1349="DEF",D1349="GK"),H1349*'Scoring System'!$B$6,IF(D1349="MID",H1349*'Scoring System'!$B$7,IF(D1349="ATT",H1349*'Scoring System'!$B$8,0))))+ IF(AND(OR(D1349="GK",D1349="DEF"),J1349&gt;=3),1*'Scoring System'!$B$9,0)+ (I1349*'Scoring System'!$B$10)+ (K1349*'Scoring System'!$B$11)+ (M1349*'Scoring System'!$B$12)+ (L1349*'Scoring System'!$B$13)+ (O1349*'Scoring System'!$B$14)+ (Q1349*'Scoring System'!$B$15)+ (R1349*'Scoring System'!$B$16)</f>
        <v>2</v>
      </c>
      <c r="AB1349" s="3" t="b">
        <f>IFERROR(match(C1349,'Match Day Fees'!$B$2:$B$999,0),0)=0</f>
        <v>0</v>
      </c>
      <c r="AC1349" s="3">
        <f t="shared" si="2"/>
        <v>0</v>
      </c>
      <c r="AD1349" s="3" t="str">
        <f>VLOOKUP(D1349,'Position Lookup'!A:B,1,FALSE)</f>
        <v>GK</v>
      </c>
    </row>
    <row r="1350" ht="17.25" customHeight="1">
      <c r="A1350" s="32">
        <v>45276.0</v>
      </c>
      <c r="B1350" s="5" t="s">
        <v>309</v>
      </c>
      <c r="C1350" s="5" t="s">
        <v>893</v>
      </c>
      <c r="D1350" s="5" t="s">
        <v>11</v>
      </c>
      <c r="E1350" s="5">
        <v>3.0</v>
      </c>
      <c r="F1350" s="5" t="s">
        <v>1405</v>
      </c>
      <c r="G1350" s="5" t="s">
        <v>224</v>
      </c>
      <c r="J1350" s="5">
        <v>1.0</v>
      </c>
      <c r="N1350" s="5" t="b">
        <v>0</v>
      </c>
      <c r="R1350" s="5">
        <v>0.0</v>
      </c>
      <c r="T1350" s="5">
        <v>0.0</v>
      </c>
      <c r="U1350" s="5">
        <v>6.5</v>
      </c>
      <c r="V1350" s="5" t="s">
        <v>1408</v>
      </c>
      <c r="W1350" s="81" t="s">
        <v>344</v>
      </c>
      <c r="X1350" s="78" t="s">
        <v>1407</v>
      </c>
      <c r="Y1350" s="5">
        <v>4.0</v>
      </c>
      <c r="Z1350" s="5">
        <v>1.0</v>
      </c>
      <c r="AA1350" s="3">
        <f>2+ (P1350*'Scoring System'!$B$3)+ (IF(OR(D1350="DEF",D1350="GK"),N1350*'Scoring System'!$B$4,IF(D1350="MID",N1350*'Scoring System'!$B$5,0)))+ (IF(OR(D1350="DEF",D1350="GK"),H1350*'Scoring System'!$B$6,IF(D1350="MID",H1350*'Scoring System'!$B$7,IF(D1350="ATT",H1350*'Scoring System'!$B$8,0))))+ IF(AND(OR(D1350="GK",D1350="DEF"),J1350&gt;=3),1*'Scoring System'!$B$9,0)+ (I1350*'Scoring System'!$B$10)+ (K1350*'Scoring System'!$B$11)+ (M1350*'Scoring System'!$B$12)+ (L1350*'Scoring System'!$B$13)+ (O1350*'Scoring System'!$B$14)+ (Q1350*'Scoring System'!$B$15)+ (R1350*'Scoring System'!$B$16)</f>
        <v>2</v>
      </c>
      <c r="AB1350" s="3" t="b">
        <f>IFERROR(match(C1350,'Match Day Fees'!$B$2:$B$999,0),0)=0</f>
        <v>0</v>
      </c>
      <c r="AC1350" s="3">
        <f t="shared" si="2"/>
        <v>0</v>
      </c>
      <c r="AD1350" s="3" t="str">
        <f>VLOOKUP(D1350,'Position Lookup'!A:B,1,FALSE)</f>
        <v>DEF</v>
      </c>
    </row>
    <row r="1351" ht="17.25" customHeight="1">
      <c r="A1351" s="32">
        <v>45276.0</v>
      </c>
      <c r="B1351" s="5" t="s">
        <v>309</v>
      </c>
      <c r="C1351" s="5" t="s">
        <v>42</v>
      </c>
      <c r="D1351" s="5" t="s">
        <v>11</v>
      </c>
      <c r="E1351" s="5">
        <v>3.0</v>
      </c>
      <c r="F1351" s="5" t="s">
        <v>1405</v>
      </c>
      <c r="G1351" s="5" t="s">
        <v>224</v>
      </c>
      <c r="J1351" s="5">
        <v>1.0</v>
      </c>
      <c r="N1351" s="5" t="b">
        <v>0</v>
      </c>
      <c r="R1351" s="5">
        <v>0.0</v>
      </c>
      <c r="T1351" s="5">
        <v>10.0</v>
      </c>
      <c r="U1351" s="5">
        <v>8.0</v>
      </c>
      <c r="V1351" s="5" t="s">
        <v>1409</v>
      </c>
      <c r="W1351" s="81" t="s">
        <v>344</v>
      </c>
      <c r="X1351" s="78" t="s">
        <v>1407</v>
      </c>
      <c r="Y1351" s="5">
        <v>4.0</v>
      </c>
      <c r="Z1351" s="5">
        <v>1.0</v>
      </c>
      <c r="AA1351" s="3">
        <f>2+ (P1351*'Scoring System'!$B$3)+ (IF(OR(D1351="DEF",D1351="GK"),N1351*'Scoring System'!$B$4,IF(D1351="MID",N1351*'Scoring System'!$B$5,0)))+ (IF(OR(D1351="DEF",D1351="GK"),H1351*'Scoring System'!$B$6,IF(D1351="MID",H1351*'Scoring System'!$B$7,IF(D1351="ATT",H1351*'Scoring System'!$B$8,0))))+ IF(AND(OR(D1351="GK",D1351="DEF"),J1351&gt;=3),1*'Scoring System'!$B$9,0)+ (I1351*'Scoring System'!$B$10)+ (K1351*'Scoring System'!$B$11)+ (M1351*'Scoring System'!$B$12)+ (L1351*'Scoring System'!$B$13)+ (O1351*'Scoring System'!$B$14)+ (Q1351*'Scoring System'!$B$15)+ (R1351*'Scoring System'!$B$16)</f>
        <v>2</v>
      </c>
      <c r="AB1351" s="3" t="b">
        <f>IFERROR(match(C1351,'Match Day Fees'!$B$2:$B$999,0),0)=0</f>
        <v>0</v>
      </c>
      <c r="AC1351" s="3">
        <f t="shared" si="2"/>
        <v>0</v>
      </c>
      <c r="AD1351" s="3" t="str">
        <f>VLOOKUP(D1351,'Position Lookup'!A:B,1,FALSE)</f>
        <v>DEF</v>
      </c>
    </row>
    <row r="1352" ht="17.25" customHeight="1">
      <c r="A1352" s="32">
        <v>45276.0</v>
      </c>
      <c r="B1352" s="5" t="s">
        <v>309</v>
      </c>
      <c r="C1352" s="5" t="s">
        <v>91</v>
      </c>
      <c r="D1352" s="5" t="s">
        <v>11</v>
      </c>
      <c r="E1352" s="5">
        <v>3.0</v>
      </c>
      <c r="F1352" s="5" t="s">
        <v>1405</v>
      </c>
      <c r="G1352" s="5" t="s">
        <v>224</v>
      </c>
      <c r="I1352" s="5">
        <v>1.0</v>
      </c>
      <c r="J1352" s="5">
        <v>1.0</v>
      </c>
      <c r="N1352" s="5" t="b">
        <v>0</v>
      </c>
      <c r="R1352" s="5">
        <v>0.0</v>
      </c>
      <c r="T1352" s="5">
        <v>5.0</v>
      </c>
      <c r="U1352" s="5">
        <v>7.0</v>
      </c>
      <c r="V1352" s="5" t="s">
        <v>1410</v>
      </c>
      <c r="W1352" s="81" t="s">
        <v>344</v>
      </c>
      <c r="X1352" s="78" t="s">
        <v>1407</v>
      </c>
      <c r="Y1352" s="5">
        <v>4.0</v>
      </c>
      <c r="Z1352" s="5">
        <v>1.0</v>
      </c>
      <c r="AA1352" s="3">
        <f>2+ (P1352*'Scoring System'!$B$3)+ (IF(OR(D1352="DEF",D1352="GK"),N1352*'Scoring System'!$B$4,IF(D1352="MID",N1352*'Scoring System'!$B$5,0)))+ (IF(OR(D1352="DEF",D1352="GK"),H1352*'Scoring System'!$B$6,IF(D1352="MID",H1352*'Scoring System'!$B$7,IF(D1352="ATT",H1352*'Scoring System'!$B$8,0))))+ IF(AND(OR(D1352="GK",D1352="DEF"),J1352&gt;=3),1*'Scoring System'!$B$9,0)+ (I1352*'Scoring System'!$B$10)+ (K1352*'Scoring System'!$B$11)+ (M1352*'Scoring System'!$B$12)+ (L1352*'Scoring System'!$B$13)+ (O1352*'Scoring System'!$B$14)+ (Q1352*'Scoring System'!$B$15)+ (R1352*'Scoring System'!$B$16)</f>
        <v>5</v>
      </c>
      <c r="AB1352" s="3" t="b">
        <f>IFERROR(match(C1352,'Match Day Fees'!$B$2:$B$999,0),0)=0</f>
        <v>0</v>
      </c>
      <c r="AC1352" s="3">
        <f t="shared" si="2"/>
        <v>0</v>
      </c>
      <c r="AD1352" s="3" t="str">
        <f>VLOOKUP(D1352,'Position Lookup'!A:B,1,FALSE)</f>
        <v>DEF</v>
      </c>
    </row>
    <row r="1353" ht="17.25" customHeight="1">
      <c r="A1353" s="32">
        <v>45276.0</v>
      </c>
      <c r="B1353" s="5" t="s">
        <v>309</v>
      </c>
      <c r="C1353" s="5" t="s">
        <v>119</v>
      </c>
      <c r="D1353" s="5" t="s">
        <v>11</v>
      </c>
      <c r="E1353" s="5">
        <v>3.0</v>
      </c>
      <c r="F1353" s="5" t="s">
        <v>1405</v>
      </c>
      <c r="G1353" s="5" t="s">
        <v>224</v>
      </c>
      <c r="J1353" s="5">
        <v>1.0</v>
      </c>
      <c r="N1353" s="5" t="b">
        <v>0</v>
      </c>
      <c r="R1353" s="5">
        <v>0.0</v>
      </c>
      <c r="T1353" s="5">
        <v>10.0</v>
      </c>
      <c r="U1353" s="5">
        <v>7.0</v>
      </c>
      <c r="V1353" s="5" t="s">
        <v>1411</v>
      </c>
      <c r="W1353" s="81" t="s">
        <v>344</v>
      </c>
      <c r="X1353" s="78" t="s">
        <v>1407</v>
      </c>
      <c r="Y1353" s="5">
        <v>4.0</v>
      </c>
      <c r="Z1353" s="5">
        <v>1.0</v>
      </c>
      <c r="AA1353" s="3">
        <f>2+ (P1353*'Scoring System'!$B$3)+ (IF(OR(D1353="DEF",D1353="GK"),N1353*'Scoring System'!$B$4,IF(D1353="MID",N1353*'Scoring System'!$B$5,0)))+ (IF(OR(D1353="DEF",D1353="GK"),H1353*'Scoring System'!$B$6,IF(D1353="MID",H1353*'Scoring System'!$B$7,IF(D1353="ATT",H1353*'Scoring System'!$B$8,0))))+ IF(AND(OR(D1353="GK",D1353="DEF"),J1353&gt;=3),1*'Scoring System'!$B$9,0)+ (I1353*'Scoring System'!$B$10)+ (K1353*'Scoring System'!$B$11)+ (M1353*'Scoring System'!$B$12)+ (L1353*'Scoring System'!$B$13)+ (O1353*'Scoring System'!$B$14)+ (Q1353*'Scoring System'!$B$15)+ (R1353*'Scoring System'!$B$16)</f>
        <v>2</v>
      </c>
      <c r="AB1353" s="3" t="b">
        <f>IFERROR(match(C1353,'Match Day Fees'!$B$2:$B$999,0),0)=0</f>
        <v>0</v>
      </c>
      <c r="AC1353" s="3">
        <f t="shared" si="2"/>
        <v>0</v>
      </c>
      <c r="AD1353" s="3" t="str">
        <f>VLOOKUP(D1353,'Position Lookup'!A:B,1,FALSE)</f>
        <v>DEF</v>
      </c>
    </row>
    <row r="1354" ht="17.25" customHeight="1">
      <c r="A1354" s="32">
        <v>45276.0</v>
      </c>
      <c r="B1354" s="5" t="s">
        <v>309</v>
      </c>
      <c r="C1354" s="5" t="s">
        <v>112</v>
      </c>
      <c r="D1354" s="5" t="s">
        <v>10</v>
      </c>
      <c r="E1354" s="5">
        <v>3.0</v>
      </c>
      <c r="F1354" s="5" t="s">
        <v>1405</v>
      </c>
      <c r="G1354" s="5" t="s">
        <v>224</v>
      </c>
      <c r="J1354" s="5">
        <v>1.0</v>
      </c>
      <c r="N1354" s="5" t="b">
        <v>0</v>
      </c>
      <c r="R1354" s="5">
        <v>0.0</v>
      </c>
      <c r="T1354" s="5">
        <v>10.0</v>
      </c>
      <c r="U1354" s="5">
        <v>7.0</v>
      </c>
      <c r="V1354" s="5" t="s">
        <v>1412</v>
      </c>
      <c r="W1354" s="81" t="s">
        <v>344</v>
      </c>
      <c r="X1354" s="78" t="s">
        <v>1407</v>
      </c>
      <c r="Y1354" s="5">
        <v>4.0</v>
      </c>
      <c r="Z1354" s="5">
        <v>1.0</v>
      </c>
      <c r="AA1354" s="3">
        <f>2+ (P1354*'Scoring System'!$B$3)+ (IF(OR(D1354="DEF",D1354="GK"),N1354*'Scoring System'!$B$4,IF(D1354="MID",N1354*'Scoring System'!$B$5,0)))+ (IF(OR(D1354="DEF",D1354="GK"),H1354*'Scoring System'!$B$6,IF(D1354="MID",H1354*'Scoring System'!$B$7,IF(D1354="ATT",H1354*'Scoring System'!$B$8,0))))+ IF(AND(OR(D1354="GK",D1354="DEF"),J1354&gt;=3),1*'Scoring System'!$B$9,0)+ (I1354*'Scoring System'!$B$10)+ (K1354*'Scoring System'!$B$11)+ (M1354*'Scoring System'!$B$12)+ (L1354*'Scoring System'!$B$13)+ (O1354*'Scoring System'!$B$14)+ (Q1354*'Scoring System'!$B$15)+ (R1354*'Scoring System'!$B$16)</f>
        <v>2</v>
      </c>
      <c r="AB1354" s="3" t="b">
        <f>IFERROR(match(C1354,'Match Day Fees'!$B$2:$B$999,0),0)=0</f>
        <v>0</v>
      </c>
      <c r="AC1354" s="3">
        <f t="shared" si="2"/>
        <v>0</v>
      </c>
      <c r="AD1354" s="3" t="str">
        <f>VLOOKUP(D1354,'Position Lookup'!A:B,1,FALSE)</f>
        <v>MID</v>
      </c>
    </row>
    <row r="1355" ht="17.25" customHeight="1">
      <c r="A1355" s="32">
        <v>45276.0</v>
      </c>
      <c r="B1355" s="5" t="s">
        <v>309</v>
      </c>
      <c r="C1355" s="5" t="s">
        <v>130</v>
      </c>
      <c r="D1355" s="5" t="s">
        <v>10</v>
      </c>
      <c r="E1355" s="5">
        <v>3.0</v>
      </c>
      <c r="F1355" s="5" t="s">
        <v>1405</v>
      </c>
      <c r="G1355" s="5" t="s">
        <v>224</v>
      </c>
      <c r="J1355" s="5">
        <v>1.0</v>
      </c>
      <c r="N1355" s="5" t="b">
        <v>0</v>
      </c>
      <c r="R1355" s="5">
        <v>0.0</v>
      </c>
      <c r="T1355" s="5">
        <v>10.0</v>
      </c>
      <c r="U1355" s="5">
        <v>7.5</v>
      </c>
      <c r="V1355" s="5" t="s">
        <v>1413</v>
      </c>
      <c r="W1355" s="81" t="s">
        <v>344</v>
      </c>
      <c r="X1355" s="78" t="s">
        <v>1407</v>
      </c>
      <c r="Y1355" s="5">
        <v>4.0</v>
      </c>
      <c r="Z1355" s="5">
        <v>1.0</v>
      </c>
      <c r="AA1355" s="3">
        <f>2+ (P1355*'Scoring System'!$B$3)+ (IF(OR(D1355="DEF",D1355="GK"),N1355*'Scoring System'!$B$4,IF(D1355="MID",N1355*'Scoring System'!$B$5,0)))+ (IF(OR(D1355="DEF",D1355="GK"),H1355*'Scoring System'!$B$6,IF(D1355="MID",H1355*'Scoring System'!$B$7,IF(D1355="ATT",H1355*'Scoring System'!$B$8,0))))+ IF(AND(OR(D1355="GK",D1355="DEF"),J1355&gt;=3),1*'Scoring System'!$B$9,0)+ (I1355*'Scoring System'!$B$10)+ (K1355*'Scoring System'!$B$11)+ (M1355*'Scoring System'!$B$12)+ (L1355*'Scoring System'!$B$13)+ (O1355*'Scoring System'!$B$14)+ (Q1355*'Scoring System'!$B$15)+ (R1355*'Scoring System'!$B$16)</f>
        <v>2</v>
      </c>
      <c r="AB1355" s="3" t="b">
        <f>IFERROR(match(C1355,'Match Day Fees'!$B$2:$B$999,0),0)=0</f>
        <v>0</v>
      </c>
      <c r="AC1355" s="3">
        <f t="shared" si="2"/>
        <v>0</v>
      </c>
      <c r="AD1355" s="3" t="str">
        <f>VLOOKUP(D1355,'Position Lookup'!A:B,1,FALSE)</f>
        <v>MID</v>
      </c>
    </row>
    <row r="1356" ht="17.25" customHeight="1">
      <c r="A1356" s="32">
        <v>45276.0</v>
      </c>
      <c r="B1356" s="5" t="s">
        <v>309</v>
      </c>
      <c r="C1356" s="5" t="s">
        <v>113</v>
      </c>
      <c r="D1356" s="5" t="s">
        <v>10</v>
      </c>
      <c r="E1356" s="5">
        <v>3.0</v>
      </c>
      <c r="F1356" s="5" t="s">
        <v>1405</v>
      </c>
      <c r="G1356" s="5" t="s">
        <v>224</v>
      </c>
      <c r="J1356" s="5">
        <v>1.0</v>
      </c>
      <c r="N1356" s="5" t="b">
        <v>0</v>
      </c>
      <c r="R1356" s="5">
        <v>0.0</v>
      </c>
      <c r="T1356" s="5">
        <v>10.0</v>
      </c>
      <c r="U1356" s="5">
        <v>7.0</v>
      </c>
      <c r="V1356" s="5" t="s">
        <v>1414</v>
      </c>
      <c r="W1356" s="81" t="s">
        <v>344</v>
      </c>
      <c r="X1356" s="78" t="s">
        <v>1407</v>
      </c>
      <c r="Y1356" s="5">
        <v>4.0</v>
      </c>
      <c r="Z1356" s="5">
        <v>1.0</v>
      </c>
      <c r="AA1356" s="3">
        <f>2+ (P1356*'Scoring System'!$B$3)+ (IF(OR(D1356="DEF",D1356="GK"),N1356*'Scoring System'!$B$4,IF(D1356="MID",N1356*'Scoring System'!$B$5,0)))+ (IF(OR(D1356="DEF",D1356="GK"),H1356*'Scoring System'!$B$6,IF(D1356="MID",H1356*'Scoring System'!$B$7,IF(D1356="ATT",H1356*'Scoring System'!$B$8,0))))+ IF(AND(OR(D1356="GK",D1356="DEF"),J1356&gt;=3),1*'Scoring System'!$B$9,0)+ (I1356*'Scoring System'!$B$10)+ (K1356*'Scoring System'!$B$11)+ (M1356*'Scoring System'!$B$12)+ (L1356*'Scoring System'!$B$13)+ (O1356*'Scoring System'!$B$14)+ (Q1356*'Scoring System'!$B$15)+ (R1356*'Scoring System'!$B$16)</f>
        <v>2</v>
      </c>
      <c r="AB1356" s="3" t="b">
        <f>IFERROR(match(C1356,'Match Day Fees'!$B$2:$B$999,0),0)=0</f>
        <v>0</v>
      </c>
      <c r="AC1356" s="3">
        <f t="shared" si="2"/>
        <v>0</v>
      </c>
      <c r="AD1356" s="3" t="str">
        <f>VLOOKUP(D1356,'Position Lookup'!A:B,1,FALSE)</f>
        <v>MID</v>
      </c>
    </row>
    <row r="1357" ht="17.25" customHeight="1">
      <c r="A1357" s="32">
        <v>45276.0</v>
      </c>
      <c r="B1357" s="5" t="s">
        <v>309</v>
      </c>
      <c r="C1357" s="5" t="s">
        <v>111</v>
      </c>
      <c r="D1357" s="5" t="s">
        <v>11</v>
      </c>
      <c r="E1357" s="5">
        <v>3.0</v>
      </c>
      <c r="F1357" s="5" t="s">
        <v>1405</v>
      </c>
      <c r="G1357" s="5" t="s">
        <v>224</v>
      </c>
      <c r="J1357" s="5">
        <v>1.0</v>
      </c>
      <c r="N1357" s="5" t="b">
        <v>0</v>
      </c>
      <c r="R1357" s="5">
        <v>0.0</v>
      </c>
      <c r="T1357" s="5">
        <v>10.0</v>
      </c>
      <c r="U1357" s="5">
        <v>7.5</v>
      </c>
      <c r="V1357" s="5" t="s">
        <v>1415</v>
      </c>
      <c r="W1357" s="81" t="s">
        <v>344</v>
      </c>
      <c r="X1357" s="78" t="s">
        <v>1407</v>
      </c>
      <c r="Y1357" s="5">
        <v>4.0</v>
      </c>
      <c r="Z1357" s="5">
        <v>1.0</v>
      </c>
      <c r="AA1357" s="3">
        <f>2+ (P1357*'Scoring System'!$B$3)+ (IF(OR(D1357="DEF",D1357="GK"),N1357*'Scoring System'!$B$4,IF(D1357="MID",N1357*'Scoring System'!$B$5,0)))+ (IF(OR(D1357="DEF",D1357="GK"),H1357*'Scoring System'!$B$6,IF(D1357="MID",H1357*'Scoring System'!$B$7,IF(D1357="ATT",H1357*'Scoring System'!$B$8,0))))+ IF(AND(OR(D1357="GK",D1357="DEF"),J1357&gt;=3),1*'Scoring System'!$B$9,0)+ (I1357*'Scoring System'!$B$10)+ (K1357*'Scoring System'!$B$11)+ (M1357*'Scoring System'!$B$12)+ (L1357*'Scoring System'!$B$13)+ (O1357*'Scoring System'!$B$14)+ (Q1357*'Scoring System'!$B$15)+ (R1357*'Scoring System'!$B$16)</f>
        <v>2</v>
      </c>
      <c r="AB1357" s="3" t="b">
        <f>IFERROR(match(C1357,'Match Day Fees'!$B$2:$B$999,0),0)=0</f>
        <v>0</v>
      </c>
      <c r="AC1357" s="3">
        <f t="shared" si="2"/>
        <v>0</v>
      </c>
      <c r="AD1357" s="3" t="str">
        <f>VLOOKUP(D1357,'Position Lookup'!A:B,1,FALSE)</f>
        <v>DEF</v>
      </c>
    </row>
    <row r="1358" ht="17.25" customHeight="1">
      <c r="A1358" s="32">
        <v>45276.0</v>
      </c>
      <c r="B1358" s="5" t="s">
        <v>309</v>
      </c>
      <c r="C1358" s="5" t="s">
        <v>74</v>
      </c>
      <c r="D1358" s="5" t="s">
        <v>9</v>
      </c>
      <c r="E1358" s="5">
        <v>3.0</v>
      </c>
      <c r="F1358" s="5" t="s">
        <v>1405</v>
      </c>
      <c r="G1358" s="5" t="s">
        <v>224</v>
      </c>
      <c r="H1358" s="5">
        <v>1.0</v>
      </c>
      <c r="I1358" s="5">
        <v>1.0</v>
      </c>
      <c r="J1358" s="5">
        <v>1.0</v>
      </c>
      <c r="N1358" s="5" t="b">
        <v>0</v>
      </c>
      <c r="R1358" s="5">
        <v>0.0</v>
      </c>
      <c r="T1358" s="5">
        <v>10.0</v>
      </c>
      <c r="U1358" s="5">
        <v>7.0</v>
      </c>
      <c r="V1358" s="5" t="s">
        <v>1416</v>
      </c>
      <c r="W1358" s="81" t="s">
        <v>344</v>
      </c>
      <c r="X1358" s="78" t="s">
        <v>1407</v>
      </c>
      <c r="Y1358" s="5">
        <v>4.0</v>
      </c>
      <c r="Z1358" s="5">
        <v>1.0</v>
      </c>
      <c r="AA1358" s="3">
        <f>2+ (P1358*'Scoring System'!$B$3)+ (IF(OR(D1358="DEF",D1358="GK"),N1358*'Scoring System'!$B$4,IF(D1358="MID",N1358*'Scoring System'!$B$5,0)))+ (IF(OR(D1358="DEF",D1358="GK"),H1358*'Scoring System'!$B$6,IF(D1358="MID",H1358*'Scoring System'!$B$7,IF(D1358="ATT",H1358*'Scoring System'!$B$8,0))))+ IF(AND(OR(D1358="GK",D1358="DEF"),J1358&gt;=3),1*'Scoring System'!$B$9,0)+ (I1358*'Scoring System'!$B$10)+ (K1358*'Scoring System'!$B$11)+ (M1358*'Scoring System'!$B$12)+ (L1358*'Scoring System'!$B$13)+ (O1358*'Scoring System'!$B$14)+ (Q1358*'Scoring System'!$B$15)+ (R1358*'Scoring System'!$B$16)</f>
        <v>9</v>
      </c>
      <c r="AB1358" s="3" t="b">
        <f>IFERROR(match(C1358,'Match Day Fees'!$B$2:$B$999,0),0)=0</f>
        <v>0</v>
      </c>
      <c r="AC1358" s="3">
        <f t="shared" si="2"/>
        <v>0</v>
      </c>
      <c r="AD1358" s="3" t="str">
        <f>VLOOKUP(D1358,'Position Lookup'!A:B,1,FALSE)</f>
        <v>ATT</v>
      </c>
    </row>
    <row r="1359" ht="17.25" customHeight="1">
      <c r="A1359" s="32">
        <v>45276.0</v>
      </c>
      <c r="B1359" s="5" t="s">
        <v>309</v>
      </c>
      <c r="C1359" s="5" t="s">
        <v>46</v>
      </c>
      <c r="D1359" s="5" t="s">
        <v>9</v>
      </c>
      <c r="E1359" s="5">
        <v>3.0</v>
      </c>
      <c r="F1359" s="5" t="s">
        <v>1405</v>
      </c>
      <c r="G1359" s="5" t="s">
        <v>224</v>
      </c>
      <c r="H1359" s="5">
        <v>1.0</v>
      </c>
      <c r="I1359" s="5">
        <v>1.0</v>
      </c>
      <c r="J1359" s="5">
        <v>1.0</v>
      </c>
      <c r="N1359" s="5" t="b">
        <v>0</v>
      </c>
      <c r="R1359" s="5">
        <v>0.0</v>
      </c>
      <c r="S1359" s="5" t="b">
        <v>1</v>
      </c>
      <c r="T1359" s="5">
        <v>0.0</v>
      </c>
      <c r="U1359" s="5">
        <v>7.5</v>
      </c>
      <c r="V1359" s="5" t="s">
        <v>1417</v>
      </c>
      <c r="W1359" s="81" t="s">
        <v>344</v>
      </c>
      <c r="X1359" s="78" t="s">
        <v>1407</v>
      </c>
      <c r="Y1359" s="5">
        <v>4.0</v>
      </c>
      <c r="Z1359" s="5">
        <v>1.0</v>
      </c>
      <c r="AA1359" s="3">
        <f>2+ (P1359*'Scoring System'!$B$3)+ (IF(OR(D1359="DEF",D1359="GK"),N1359*'Scoring System'!$B$4,IF(D1359="MID",N1359*'Scoring System'!$B$5,0)))+ (IF(OR(D1359="DEF",D1359="GK"),H1359*'Scoring System'!$B$6,IF(D1359="MID",H1359*'Scoring System'!$B$7,IF(D1359="ATT",H1359*'Scoring System'!$B$8,0))))+ IF(AND(OR(D1359="GK",D1359="DEF"),J1359&gt;=3),1*'Scoring System'!$B$9,0)+ (I1359*'Scoring System'!$B$10)+ (K1359*'Scoring System'!$B$11)+ (M1359*'Scoring System'!$B$12)+ (L1359*'Scoring System'!$B$13)+ (O1359*'Scoring System'!$B$14)+ (Q1359*'Scoring System'!$B$15)+ (R1359*'Scoring System'!$B$16)</f>
        <v>9</v>
      </c>
      <c r="AB1359" s="3" t="b">
        <f>IFERROR(match(C1359,'Match Day Fees'!$B$2:$B$999,0),0)=0</f>
        <v>0</v>
      </c>
      <c r="AC1359" s="3">
        <f t="shared" si="2"/>
        <v>0</v>
      </c>
      <c r="AD1359" s="3" t="str">
        <f>VLOOKUP(D1359,'Position Lookup'!A:B,1,FALSE)</f>
        <v>ATT</v>
      </c>
    </row>
    <row r="1360" ht="17.25" customHeight="1">
      <c r="A1360" s="32">
        <v>45276.0</v>
      </c>
      <c r="B1360" s="5" t="s">
        <v>309</v>
      </c>
      <c r="C1360" s="5" t="s">
        <v>273</v>
      </c>
      <c r="D1360" s="5" t="s">
        <v>9</v>
      </c>
      <c r="E1360" s="5">
        <v>3.0</v>
      </c>
      <c r="F1360" s="5" t="s">
        <v>1405</v>
      </c>
      <c r="G1360" s="5" t="s">
        <v>224</v>
      </c>
      <c r="J1360" s="5">
        <v>1.0</v>
      </c>
      <c r="N1360" s="5" t="b">
        <v>0</v>
      </c>
      <c r="R1360" s="5">
        <v>0.0</v>
      </c>
      <c r="T1360" s="5">
        <v>10.0</v>
      </c>
      <c r="U1360" s="5">
        <v>7.0</v>
      </c>
      <c r="V1360" s="5" t="s">
        <v>1418</v>
      </c>
      <c r="W1360" s="81" t="s">
        <v>344</v>
      </c>
      <c r="X1360" s="78" t="s">
        <v>1407</v>
      </c>
      <c r="Y1360" s="5">
        <v>4.0</v>
      </c>
      <c r="Z1360" s="5">
        <v>1.0</v>
      </c>
      <c r="AA1360" s="3">
        <f>2+ (P1360*'Scoring System'!$B$3)+ (IF(OR(D1360="DEF",D1360="GK"),N1360*'Scoring System'!$B$4,IF(D1360="MID",N1360*'Scoring System'!$B$5,0)))+ (IF(OR(D1360="DEF",D1360="GK"),H1360*'Scoring System'!$B$6,IF(D1360="MID",H1360*'Scoring System'!$B$7,IF(D1360="ATT",H1360*'Scoring System'!$B$8,0))))+ IF(AND(OR(D1360="GK",D1360="DEF"),J1360&gt;=3),1*'Scoring System'!$B$9,0)+ (I1360*'Scoring System'!$B$10)+ (K1360*'Scoring System'!$B$11)+ (M1360*'Scoring System'!$B$12)+ (L1360*'Scoring System'!$B$13)+ (O1360*'Scoring System'!$B$14)+ (Q1360*'Scoring System'!$B$15)+ (R1360*'Scoring System'!$B$16)</f>
        <v>2</v>
      </c>
      <c r="AB1360" s="3" t="b">
        <f>IFERROR(match(C1360,'Match Day Fees'!$B$2:$B$999,0),0)=0</f>
        <v>0</v>
      </c>
      <c r="AC1360" s="3">
        <f t="shared" si="2"/>
        <v>0</v>
      </c>
      <c r="AD1360" s="3" t="str">
        <f>VLOOKUP(D1360,'Position Lookup'!A:B,1,FALSE)</f>
        <v>ATT</v>
      </c>
    </row>
    <row r="1361" ht="17.25" customHeight="1">
      <c r="A1361" s="32">
        <v>45276.0</v>
      </c>
      <c r="B1361" s="5" t="s">
        <v>309</v>
      </c>
      <c r="C1361" s="5" t="s">
        <v>86</v>
      </c>
      <c r="D1361" s="5" t="s">
        <v>10</v>
      </c>
      <c r="E1361" s="5">
        <v>3.0</v>
      </c>
      <c r="F1361" s="5" t="s">
        <v>1405</v>
      </c>
      <c r="G1361" s="5" t="s">
        <v>224</v>
      </c>
      <c r="H1361" s="5">
        <v>2.0</v>
      </c>
      <c r="J1361" s="5">
        <v>1.0</v>
      </c>
      <c r="N1361" s="5" t="b">
        <v>0</v>
      </c>
      <c r="R1361" s="5">
        <v>1.0</v>
      </c>
      <c r="T1361" s="5">
        <v>10.0</v>
      </c>
      <c r="U1361" s="5">
        <v>8.5</v>
      </c>
      <c r="V1361" s="5" t="s">
        <v>1419</v>
      </c>
      <c r="W1361" s="81" t="s">
        <v>344</v>
      </c>
      <c r="X1361" s="78" t="s">
        <v>1407</v>
      </c>
      <c r="Y1361" s="5">
        <v>4.0</v>
      </c>
      <c r="Z1361" s="5">
        <v>1.0</v>
      </c>
      <c r="AA1361" s="3">
        <f>2+ (P1361*'Scoring System'!$B$3)+ (IF(OR(D1361="DEF",D1361="GK"),N1361*'Scoring System'!$B$4,IF(D1361="MID",N1361*'Scoring System'!$B$5,0)))+ (IF(OR(D1361="DEF",D1361="GK"),H1361*'Scoring System'!$B$6,IF(D1361="MID",H1361*'Scoring System'!$B$7,IF(D1361="ATT",H1361*'Scoring System'!$B$8,0))))+ IF(AND(OR(D1361="GK",D1361="DEF"),J1361&gt;=3),1*'Scoring System'!$B$9,0)+ (I1361*'Scoring System'!$B$10)+ (K1361*'Scoring System'!$B$11)+ (M1361*'Scoring System'!$B$12)+ (L1361*'Scoring System'!$B$13)+ (O1361*'Scoring System'!$B$14)+ (Q1361*'Scoring System'!$B$15)+ (R1361*'Scoring System'!$B$16)</f>
        <v>17</v>
      </c>
      <c r="AB1361" s="3" t="b">
        <f>IFERROR(match(C1361,'Match Day Fees'!$B$2:$B$999,0),0)=0</f>
        <v>0</v>
      </c>
      <c r="AC1361" s="3">
        <f t="shared" si="2"/>
        <v>0</v>
      </c>
      <c r="AD1361" s="3" t="str">
        <f>VLOOKUP(D1361,'Position Lookup'!A:B,1,FALSE)</f>
        <v>MID</v>
      </c>
    </row>
    <row r="1362" ht="17.25" customHeight="1">
      <c r="A1362" s="32">
        <v>45276.0</v>
      </c>
      <c r="B1362" s="5" t="s">
        <v>309</v>
      </c>
      <c r="C1362" s="5" t="s">
        <v>276</v>
      </c>
      <c r="D1362" s="5" t="s">
        <v>10</v>
      </c>
      <c r="E1362" s="5">
        <v>3.0</v>
      </c>
      <c r="F1362" s="5" t="s">
        <v>1405</v>
      </c>
      <c r="G1362" s="5" t="s">
        <v>224</v>
      </c>
      <c r="J1362" s="5">
        <v>1.0</v>
      </c>
      <c r="N1362" s="5" t="b">
        <v>0</v>
      </c>
      <c r="R1362" s="5">
        <v>0.0</v>
      </c>
      <c r="T1362" s="5">
        <v>10.0</v>
      </c>
      <c r="U1362" s="5">
        <v>7.5</v>
      </c>
      <c r="V1362" s="5" t="s">
        <v>1420</v>
      </c>
      <c r="W1362" s="81" t="s">
        <v>344</v>
      </c>
      <c r="X1362" s="78" t="s">
        <v>1407</v>
      </c>
      <c r="Y1362" s="5">
        <v>4.0</v>
      </c>
      <c r="Z1362" s="5">
        <v>1.0</v>
      </c>
      <c r="AA1362" s="3">
        <f>2+ (P1362*'Scoring System'!$B$3)+ (IF(OR(D1362="DEF",D1362="GK"),N1362*'Scoring System'!$B$4,IF(D1362="MID",N1362*'Scoring System'!$B$5,0)))+ (IF(OR(D1362="DEF",D1362="GK"),H1362*'Scoring System'!$B$6,IF(D1362="MID",H1362*'Scoring System'!$B$7,IF(D1362="ATT",H1362*'Scoring System'!$B$8,0))))+ IF(AND(OR(D1362="GK",D1362="DEF"),J1362&gt;=3),1*'Scoring System'!$B$9,0)+ (I1362*'Scoring System'!$B$10)+ (K1362*'Scoring System'!$B$11)+ (M1362*'Scoring System'!$B$12)+ (L1362*'Scoring System'!$B$13)+ (O1362*'Scoring System'!$B$14)+ (Q1362*'Scoring System'!$B$15)+ (R1362*'Scoring System'!$B$16)</f>
        <v>2</v>
      </c>
      <c r="AB1362" s="3" t="b">
        <f>IFERROR(match(C1362,'Match Day Fees'!$B$2:$B$999,0),0)=0</f>
        <v>0</v>
      </c>
      <c r="AC1362" s="3">
        <f t="shared" si="2"/>
        <v>0</v>
      </c>
      <c r="AD1362" s="3" t="str">
        <f>VLOOKUP(D1362,'Position Lookup'!A:B,1,FALSE)</f>
        <v>MID</v>
      </c>
    </row>
    <row r="1363" ht="17.25" customHeight="1">
      <c r="A1363" s="32">
        <v>45276.0</v>
      </c>
      <c r="B1363" s="5" t="s">
        <v>309</v>
      </c>
      <c r="C1363" s="5" t="s">
        <v>38</v>
      </c>
      <c r="D1363" s="5" t="s">
        <v>8</v>
      </c>
      <c r="E1363" s="5">
        <v>4.0</v>
      </c>
      <c r="F1363" s="5" t="s">
        <v>1421</v>
      </c>
      <c r="G1363" s="5" t="s">
        <v>230</v>
      </c>
      <c r="J1363" s="5">
        <v>4.0</v>
      </c>
      <c r="N1363" s="5" t="b">
        <v>0</v>
      </c>
      <c r="R1363" s="5">
        <v>0.0</v>
      </c>
      <c r="T1363" s="5">
        <v>10.0</v>
      </c>
      <c r="U1363" s="5">
        <v>7.0</v>
      </c>
      <c r="V1363" s="5" t="s">
        <v>1422</v>
      </c>
      <c r="W1363" s="81" t="s">
        <v>730</v>
      </c>
      <c r="X1363" s="78" t="s">
        <v>1423</v>
      </c>
      <c r="Y1363" s="5">
        <v>2.0</v>
      </c>
      <c r="Z1363" s="5">
        <v>4.0</v>
      </c>
      <c r="AA1363" s="3">
        <f>2+ (P1363*'Scoring System'!$B$3)+ (IF(OR(D1363="DEF",D1363="GK"),N1363*'Scoring System'!$B$4,IF(D1363="MID",N1363*'Scoring System'!$B$5,0)))+ (IF(OR(D1363="DEF",D1363="GK"),H1363*'Scoring System'!$B$6,IF(D1363="MID",H1363*'Scoring System'!$B$7,IF(D1363="ATT",H1363*'Scoring System'!$B$8,0))))+ IF(AND(OR(D1363="GK",D1363="DEF"),J1363&gt;=3),1*'Scoring System'!$B$9,0)+ (I1363*'Scoring System'!$B$10)+ (K1363*'Scoring System'!$B$11)+ (M1363*'Scoring System'!$B$12)+ (L1363*'Scoring System'!$B$13)+ (O1363*'Scoring System'!$B$14)+ (Q1363*'Scoring System'!$B$15)+ (R1363*'Scoring System'!$B$16)</f>
        <v>1</v>
      </c>
      <c r="AB1363" s="3" t="b">
        <f>IFERROR(match(C1363,'Match Day Fees'!$B$2:$B$999,0),0)=0</f>
        <v>0</v>
      </c>
      <c r="AC1363" s="3">
        <f t="shared" si="2"/>
        <v>0</v>
      </c>
      <c r="AD1363" s="3" t="str">
        <f>VLOOKUP(D1363,'Position Lookup'!A:B,1,FALSE)</f>
        <v>GK</v>
      </c>
    </row>
    <row r="1364" ht="17.25" customHeight="1">
      <c r="A1364" s="32">
        <v>45276.0</v>
      </c>
      <c r="B1364" s="5" t="s">
        <v>309</v>
      </c>
      <c r="C1364" s="5" t="s">
        <v>307</v>
      </c>
      <c r="D1364" s="5" t="s">
        <v>11</v>
      </c>
      <c r="E1364" s="5">
        <v>4.0</v>
      </c>
      <c r="F1364" s="5" t="s">
        <v>1421</v>
      </c>
      <c r="G1364" s="5" t="s">
        <v>230</v>
      </c>
      <c r="J1364" s="5">
        <v>4.0</v>
      </c>
      <c r="K1364" s="5">
        <v>1.0</v>
      </c>
      <c r="N1364" s="5" t="b">
        <v>0</v>
      </c>
      <c r="R1364" s="5">
        <v>0.0</v>
      </c>
      <c r="T1364" s="5">
        <v>10.0</v>
      </c>
      <c r="U1364" s="5">
        <v>7.0</v>
      </c>
      <c r="V1364" s="5" t="s">
        <v>1424</v>
      </c>
      <c r="W1364" s="81" t="s">
        <v>730</v>
      </c>
      <c r="X1364" s="78" t="s">
        <v>1423</v>
      </c>
      <c r="Y1364" s="5">
        <v>2.0</v>
      </c>
      <c r="Z1364" s="5">
        <v>4.0</v>
      </c>
      <c r="AA1364" s="3">
        <f>2+ (P1364*'Scoring System'!$B$3)+ (IF(OR(D1364="DEF",D1364="GK"),N1364*'Scoring System'!$B$4,IF(D1364="MID",N1364*'Scoring System'!$B$5,0)))+ (IF(OR(D1364="DEF",D1364="GK"),H1364*'Scoring System'!$B$6,IF(D1364="MID",H1364*'Scoring System'!$B$7,IF(D1364="ATT",H1364*'Scoring System'!$B$8,0))))+ IF(AND(OR(D1364="GK",D1364="DEF"),J1364&gt;=3),1*'Scoring System'!$B$9,0)+ (I1364*'Scoring System'!$B$10)+ (K1364*'Scoring System'!$B$11)+ (M1364*'Scoring System'!$B$12)+ (L1364*'Scoring System'!$B$13)+ (O1364*'Scoring System'!$B$14)+ (Q1364*'Scoring System'!$B$15)+ (R1364*'Scoring System'!$B$16)</f>
        <v>0</v>
      </c>
      <c r="AB1364" s="3" t="b">
        <f>IFERROR(match(C1364,'Match Day Fees'!$B$2:$B$999,0),0)=0</f>
        <v>0</v>
      </c>
      <c r="AC1364" s="3">
        <f t="shared" si="2"/>
        <v>0</v>
      </c>
      <c r="AD1364" s="3" t="str">
        <f>VLOOKUP(D1364,'Position Lookup'!A:B,1,FALSE)</f>
        <v>DEF</v>
      </c>
    </row>
    <row r="1365" ht="17.25" customHeight="1">
      <c r="A1365" s="32">
        <v>45276.0</v>
      </c>
      <c r="B1365" s="5" t="s">
        <v>309</v>
      </c>
      <c r="C1365" s="5" t="s">
        <v>126</v>
      </c>
      <c r="D1365" s="5" t="s">
        <v>11</v>
      </c>
      <c r="E1365" s="5">
        <v>4.0</v>
      </c>
      <c r="F1365" s="5" t="s">
        <v>1421</v>
      </c>
      <c r="G1365" s="5" t="s">
        <v>230</v>
      </c>
      <c r="J1365" s="5">
        <v>4.0</v>
      </c>
      <c r="K1365" s="5">
        <v>1.0</v>
      </c>
      <c r="N1365" s="5" t="b">
        <v>0</v>
      </c>
      <c r="R1365" s="5">
        <v>0.0</v>
      </c>
      <c r="T1365" s="5">
        <v>5.0</v>
      </c>
      <c r="U1365" s="5">
        <v>6.5</v>
      </c>
      <c r="V1365" s="5" t="s">
        <v>1425</v>
      </c>
      <c r="W1365" s="81" t="s">
        <v>730</v>
      </c>
      <c r="X1365" s="78" t="s">
        <v>1423</v>
      </c>
      <c r="Y1365" s="5">
        <v>2.0</v>
      </c>
      <c r="Z1365" s="5">
        <v>4.0</v>
      </c>
      <c r="AA1365" s="3">
        <f>2+ (P1365*'Scoring System'!$B$3)+ (IF(OR(D1365="DEF",D1365="GK"),N1365*'Scoring System'!$B$4,IF(D1365="MID",N1365*'Scoring System'!$B$5,0)))+ (IF(OR(D1365="DEF",D1365="GK"),H1365*'Scoring System'!$B$6,IF(D1365="MID",H1365*'Scoring System'!$B$7,IF(D1365="ATT",H1365*'Scoring System'!$B$8,0))))+ IF(AND(OR(D1365="GK",D1365="DEF"),J1365&gt;=3),1*'Scoring System'!$B$9,0)+ (I1365*'Scoring System'!$B$10)+ (K1365*'Scoring System'!$B$11)+ (M1365*'Scoring System'!$B$12)+ (L1365*'Scoring System'!$B$13)+ (O1365*'Scoring System'!$B$14)+ (Q1365*'Scoring System'!$B$15)+ (R1365*'Scoring System'!$B$16)</f>
        <v>0</v>
      </c>
      <c r="AB1365" s="3" t="b">
        <f>IFERROR(match(C1365,'Match Day Fees'!$B$2:$B$999,0),0)=0</f>
        <v>0</v>
      </c>
      <c r="AC1365" s="3">
        <f t="shared" si="2"/>
        <v>0</v>
      </c>
      <c r="AD1365" s="3" t="str">
        <f>VLOOKUP(D1365,'Position Lookup'!A:B,1,FALSE)</f>
        <v>DEF</v>
      </c>
    </row>
    <row r="1366" ht="17.25" customHeight="1">
      <c r="A1366" s="32">
        <v>45276.0</v>
      </c>
      <c r="B1366" s="5" t="s">
        <v>309</v>
      </c>
      <c r="C1366" s="5" t="s">
        <v>127</v>
      </c>
      <c r="D1366" s="5" t="s">
        <v>11</v>
      </c>
      <c r="E1366" s="5">
        <v>4.0</v>
      </c>
      <c r="F1366" s="5" t="s">
        <v>1421</v>
      </c>
      <c r="G1366" s="5" t="s">
        <v>230</v>
      </c>
      <c r="J1366" s="5">
        <v>4.0</v>
      </c>
      <c r="K1366" s="5">
        <v>1.0</v>
      </c>
      <c r="N1366" s="5" t="b">
        <v>0</v>
      </c>
      <c r="R1366" s="5">
        <v>0.0</v>
      </c>
      <c r="T1366" s="5">
        <v>10.0</v>
      </c>
      <c r="U1366" s="5">
        <v>6.5</v>
      </c>
      <c r="V1366" s="5" t="s">
        <v>1426</v>
      </c>
      <c r="W1366" s="81" t="s">
        <v>730</v>
      </c>
      <c r="X1366" s="78" t="s">
        <v>1423</v>
      </c>
      <c r="Y1366" s="5">
        <v>2.0</v>
      </c>
      <c r="Z1366" s="5">
        <v>4.0</v>
      </c>
      <c r="AA1366" s="3">
        <f>2+ (P1366*'Scoring System'!$B$3)+ (IF(OR(D1366="DEF",D1366="GK"),N1366*'Scoring System'!$B$4,IF(D1366="MID",N1366*'Scoring System'!$B$5,0)))+ (IF(OR(D1366="DEF",D1366="GK"),H1366*'Scoring System'!$B$6,IF(D1366="MID",H1366*'Scoring System'!$B$7,IF(D1366="ATT",H1366*'Scoring System'!$B$8,0))))+ IF(AND(OR(D1366="GK",D1366="DEF"),J1366&gt;=3),1*'Scoring System'!$B$9,0)+ (I1366*'Scoring System'!$B$10)+ (K1366*'Scoring System'!$B$11)+ (M1366*'Scoring System'!$B$12)+ (L1366*'Scoring System'!$B$13)+ (O1366*'Scoring System'!$B$14)+ (Q1366*'Scoring System'!$B$15)+ (R1366*'Scoring System'!$B$16)</f>
        <v>0</v>
      </c>
      <c r="AB1366" s="3" t="b">
        <f>IFERROR(match(C1366,'Match Day Fees'!$B$2:$B$999,0),0)=0</f>
        <v>0</v>
      </c>
      <c r="AC1366" s="3">
        <f t="shared" si="2"/>
        <v>0</v>
      </c>
      <c r="AD1366" s="3" t="str">
        <f>VLOOKUP(D1366,'Position Lookup'!A:B,1,FALSE)</f>
        <v>DEF</v>
      </c>
    </row>
    <row r="1367" ht="17.25" customHeight="1">
      <c r="A1367" s="32">
        <v>45276.0</v>
      </c>
      <c r="B1367" s="5" t="s">
        <v>309</v>
      </c>
      <c r="C1367" s="5" t="s">
        <v>108</v>
      </c>
      <c r="D1367" s="5" t="s">
        <v>11</v>
      </c>
      <c r="E1367" s="5">
        <v>4.0</v>
      </c>
      <c r="F1367" s="5" t="s">
        <v>1421</v>
      </c>
      <c r="G1367" s="5" t="s">
        <v>230</v>
      </c>
      <c r="J1367" s="5">
        <v>4.0</v>
      </c>
      <c r="N1367" s="5" t="b">
        <v>0</v>
      </c>
      <c r="R1367" s="5">
        <v>1.0</v>
      </c>
      <c r="T1367" s="5">
        <v>10.0</v>
      </c>
      <c r="U1367" s="5">
        <v>7.5</v>
      </c>
      <c r="V1367" s="5" t="s">
        <v>1427</v>
      </c>
      <c r="W1367" s="81" t="s">
        <v>730</v>
      </c>
      <c r="X1367" s="78" t="s">
        <v>1423</v>
      </c>
      <c r="Y1367" s="5">
        <v>2.0</v>
      </c>
      <c r="Z1367" s="5">
        <v>4.0</v>
      </c>
      <c r="AA1367" s="3">
        <f>2+ (P1367*'Scoring System'!$B$3)+ (IF(OR(D1367="DEF",D1367="GK"),N1367*'Scoring System'!$B$4,IF(D1367="MID",N1367*'Scoring System'!$B$5,0)))+ (IF(OR(D1367="DEF",D1367="GK"),H1367*'Scoring System'!$B$6,IF(D1367="MID",H1367*'Scoring System'!$B$7,IF(D1367="ATT",H1367*'Scoring System'!$B$8,0))))+ IF(AND(OR(D1367="GK",D1367="DEF"),J1367&gt;=3),1*'Scoring System'!$B$9,0)+ (I1367*'Scoring System'!$B$10)+ (K1367*'Scoring System'!$B$11)+ (M1367*'Scoring System'!$B$12)+ (L1367*'Scoring System'!$B$13)+ (O1367*'Scoring System'!$B$14)+ (Q1367*'Scoring System'!$B$15)+ (R1367*'Scoring System'!$B$16)</f>
        <v>6</v>
      </c>
      <c r="AB1367" s="3" t="b">
        <f>IFERROR(match(C1367,'Match Day Fees'!$B$2:$B$999,0),0)=0</f>
        <v>0</v>
      </c>
      <c r="AC1367" s="3">
        <f t="shared" si="2"/>
        <v>0</v>
      </c>
      <c r="AD1367" s="3" t="str">
        <f>VLOOKUP(D1367,'Position Lookup'!A:B,1,FALSE)</f>
        <v>DEF</v>
      </c>
    </row>
    <row r="1368" ht="17.25" customHeight="1">
      <c r="A1368" s="32">
        <v>45276.0</v>
      </c>
      <c r="B1368" s="5" t="s">
        <v>309</v>
      </c>
      <c r="C1368" s="5" t="s">
        <v>44</v>
      </c>
      <c r="D1368" s="5" t="s">
        <v>10</v>
      </c>
      <c r="E1368" s="5">
        <v>4.0</v>
      </c>
      <c r="F1368" s="5" t="s">
        <v>1421</v>
      </c>
      <c r="G1368" s="5" t="s">
        <v>230</v>
      </c>
      <c r="J1368" s="5">
        <v>4.0</v>
      </c>
      <c r="N1368" s="5" t="b">
        <v>0</v>
      </c>
      <c r="R1368" s="5">
        <v>0.0</v>
      </c>
      <c r="T1368" s="5">
        <v>5.0</v>
      </c>
      <c r="U1368" s="5">
        <v>7.0</v>
      </c>
      <c r="V1368" s="5" t="s">
        <v>1428</v>
      </c>
      <c r="W1368" s="81" t="s">
        <v>730</v>
      </c>
      <c r="X1368" s="78" t="s">
        <v>1423</v>
      </c>
      <c r="Y1368" s="5">
        <v>2.0</v>
      </c>
      <c r="Z1368" s="5">
        <v>4.0</v>
      </c>
      <c r="AA1368" s="3">
        <f>2+ (P1368*'Scoring System'!$B$3)+ (IF(OR(D1368="DEF",D1368="GK"),N1368*'Scoring System'!$B$4,IF(D1368="MID",N1368*'Scoring System'!$B$5,0)))+ (IF(OR(D1368="DEF",D1368="GK"),H1368*'Scoring System'!$B$6,IF(D1368="MID",H1368*'Scoring System'!$B$7,IF(D1368="ATT",H1368*'Scoring System'!$B$8,0))))+ IF(AND(OR(D1368="GK",D1368="DEF"),J1368&gt;=3),1*'Scoring System'!$B$9,0)+ (I1368*'Scoring System'!$B$10)+ (K1368*'Scoring System'!$B$11)+ (M1368*'Scoring System'!$B$12)+ (L1368*'Scoring System'!$B$13)+ (O1368*'Scoring System'!$B$14)+ (Q1368*'Scoring System'!$B$15)+ (R1368*'Scoring System'!$B$16)</f>
        <v>2</v>
      </c>
      <c r="AB1368" s="3" t="b">
        <f>IFERROR(match(C1368,'Match Day Fees'!$B$2:$B$999,0),0)=0</f>
        <v>0</v>
      </c>
      <c r="AC1368" s="3">
        <f t="shared" si="2"/>
        <v>0</v>
      </c>
      <c r="AD1368" s="3" t="str">
        <f>VLOOKUP(D1368,'Position Lookup'!A:B,1,FALSE)</f>
        <v>MID</v>
      </c>
    </row>
    <row r="1369" ht="17.25" customHeight="1">
      <c r="A1369" s="32">
        <v>45276.0</v>
      </c>
      <c r="B1369" s="5" t="s">
        <v>309</v>
      </c>
      <c r="C1369" s="5" t="s">
        <v>125</v>
      </c>
      <c r="D1369" s="5" t="s">
        <v>10</v>
      </c>
      <c r="E1369" s="5">
        <v>4.0</v>
      </c>
      <c r="F1369" s="5" t="s">
        <v>1421</v>
      </c>
      <c r="G1369" s="5" t="s">
        <v>230</v>
      </c>
      <c r="H1369" s="5">
        <v>1.0</v>
      </c>
      <c r="J1369" s="5">
        <v>4.0</v>
      </c>
      <c r="N1369" s="5" t="b">
        <v>0</v>
      </c>
      <c r="R1369" s="5">
        <v>0.0</v>
      </c>
      <c r="T1369" s="5">
        <v>10.0</v>
      </c>
      <c r="U1369" s="5">
        <v>6.5</v>
      </c>
      <c r="V1369" s="5" t="s">
        <v>1429</v>
      </c>
      <c r="W1369" s="81" t="s">
        <v>730</v>
      </c>
      <c r="X1369" s="78" t="s">
        <v>1423</v>
      </c>
      <c r="Y1369" s="5">
        <v>2.0</v>
      </c>
      <c r="Z1369" s="5">
        <v>4.0</v>
      </c>
      <c r="AA1369" s="3">
        <f>2+ (P1369*'Scoring System'!$B$3)+ (IF(OR(D1369="DEF",D1369="GK"),N1369*'Scoring System'!$B$4,IF(D1369="MID",N1369*'Scoring System'!$B$5,0)))+ (IF(OR(D1369="DEF",D1369="GK"),H1369*'Scoring System'!$B$6,IF(D1369="MID",H1369*'Scoring System'!$B$7,IF(D1369="ATT",H1369*'Scoring System'!$B$8,0))))+ IF(AND(OR(D1369="GK",D1369="DEF"),J1369&gt;=3),1*'Scoring System'!$B$9,0)+ (I1369*'Scoring System'!$B$10)+ (K1369*'Scoring System'!$B$11)+ (M1369*'Scoring System'!$B$12)+ (L1369*'Scoring System'!$B$13)+ (O1369*'Scoring System'!$B$14)+ (Q1369*'Scoring System'!$B$15)+ (R1369*'Scoring System'!$B$16)</f>
        <v>7</v>
      </c>
      <c r="AB1369" s="3" t="b">
        <f>IFERROR(match(C1369,'Match Day Fees'!$B$2:$B$999,0),0)=0</f>
        <v>0</v>
      </c>
      <c r="AC1369" s="3">
        <f t="shared" si="2"/>
        <v>0</v>
      </c>
      <c r="AD1369" s="3" t="str">
        <f>VLOOKUP(D1369,'Position Lookup'!A:B,1,FALSE)</f>
        <v>MID</v>
      </c>
    </row>
    <row r="1370" ht="17.25" customHeight="1">
      <c r="A1370" s="32">
        <v>45276.0</v>
      </c>
      <c r="B1370" s="5" t="s">
        <v>309</v>
      </c>
      <c r="C1370" s="5" t="s">
        <v>136</v>
      </c>
      <c r="D1370" s="5" t="s">
        <v>10</v>
      </c>
      <c r="E1370" s="5">
        <v>4.0</v>
      </c>
      <c r="F1370" s="5" t="s">
        <v>1421</v>
      </c>
      <c r="G1370" s="5" t="s">
        <v>230</v>
      </c>
      <c r="I1370" s="5">
        <v>1.0</v>
      </c>
      <c r="J1370" s="5">
        <v>4.0</v>
      </c>
      <c r="K1370" s="5">
        <v>1.0</v>
      </c>
      <c r="N1370" s="5" t="b">
        <v>0</v>
      </c>
      <c r="R1370" s="5">
        <v>0.0</v>
      </c>
      <c r="S1370" s="5" t="b">
        <v>1</v>
      </c>
      <c r="T1370" s="5">
        <v>0.0</v>
      </c>
      <c r="U1370" s="5">
        <v>7.0</v>
      </c>
      <c r="V1370" s="5" t="s">
        <v>1430</v>
      </c>
      <c r="W1370" s="81" t="s">
        <v>730</v>
      </c>
      <c r="X1370" s="78" t="s">
        <v>1423</v>
      </c>
      <c r="Y1370" s="5">
        <v>2.0</v>
      </c>
      <c r="Z1370" s="5">
        <v>4.0</v>
      </c>
      <c r="AA1370" s="3">
        <f>2+ (P1370*'Scoring System'!$B$3)+ (IF(OR(D1370="DEF",D1370="GK"),N1370*'Scoring System'!$B$4,IF(D1370="MID",N1370*'Scoring System'!$B$5,0)))+ (IF(OR(D1370="DEF",D1370="GK"),H1370*'Scoring System'!$B$6,IF(D1370="MID",H1370*'Scoring System'!$B$7,IF(D1370="ATT",H1370*'Scoring System'!$B$8,0))))+ IF(AND(OR(D1370="GK",D1370="DEF"),J1370&gt;=3),1*'Scoring System'!$B$9,0)+ (I1370*'Scoring System'!$B$10)+ (K1370*'Scoring System'!$B$11)+ (M1370*'Scoring System'!$B$12)+ (L1370*'Scoring System'!$B$13)+ (O1370*'Scoring System'!$B$14)+ (Q1370*'Scoring System'!$B$15)+ (R1370*'Scoring System'!$B$16)</f>
        <v>4</v>
      </c>
      <c r="AB1370" s="3" t="b">
        <f>IFERROR(match(C1370,'Match Day Fees'!$B$2:$B$999,0),0)=0</f>
        <v>0</v>
      </c>
      <c r="AC1370" s="3">
        <f t="shared" si="2"/>
        <v>0</v>
      </c>
      <c r="AD1370" s="3" t="str">
        <f>VLOOKUP(D1370,'Position Lookup'!A:B,1,FALSE)</f>
        <v>MID</v>
      </c>
    </row>
    <row r="1371" ht="17.25" customHeight="1">
      <c r="A1371" s="32">
        <v>45276.0</v>
      </c>
      <c r="B1371" s="5" t="s">
        <v>309</v>
      </c>
      <c r="C1371" s="5" t="s">
        <v>45</v>
      </c>
      <c r="D1371" s="5" t="s">
        <v>9</v>
      </c>
      <c r="E1371" s="5">
        <v>4.0</v>
      </c>
      <c r="F1371" s="5" t="s">
        <v>1421</v>
      </c>
      <c r="G1371" s="5" t="s">
        <v>230</v>
      </c>
      <c r="J1371" s="5">
        <v>4.0</v>
      </c>
      <c r="N1371" s="5" t="b">
        <v>0</v>
      </c>
      <c r="R1371" s="5">
        <v>0.0</v>
      </c>
      <c r="T1371" s="5">
        <v>10.0</v>
      </c>
      <c r="U1371" s="5">
        <v>6.5</v>
      </c>
      <c r="V1371" s="5" t="s">
        <v>1431</v>
      </c>
      <c r="W1371" s="81" t="s">
        <v>730</v>
      </c>
      <c r="X1371" s="78" t="s">
        <v>1423</v>
      </c>
      <c r="Y1371" s="5">
        <v>2.0</v>
      </c>
      <c r="Z1371" s="5">
        <v>4.0</v>
      </c>
      <c r="AA1371" s="3">
        <f>2+ (P1371*'Scoring System'!$B$3)+ (IF(OR(D1371="DEF",D1371="GK"),N1371*'Scoring System'!$B$4,IF(D1371="MID",N1371*'Scoring System'!$B$5,0)))+ (IF(OR(D1371="DEF",D1371="GK"),H1371*'Scoring System'!$B$6,IF(D1371="MID",H1371*'Scoring System'!$B$7,IF(D1371="ATT",H1371*'Scoring System'!$B$8,0))))+ IF(AND(OR(D1371="GK",D1371="DEF"),J1371&gt;=3),1*'Scoring System'!$B$9,0)+ (I1371*'Scoring System'!$B$10)+ (K1371*'Scoring System'!$B$11)+ (M1371*'Scoring System'!$B$12)+ (L1371*'Scoring System'!$B$13)+ (O1371*'Scoring System'!$B$14)+ (Q1371*'Scoring System'!$B$15)+ (R1371*'Scoring System'!$B$16)</f>
        <v>2</v>
      </c>
      <c r="AB1371" s="3" t="b">
        <f>IFERROR(match(C1371,'Match Day Fees'!$B$2:$B$999,0),0)=0</f>
        <v>0</v>
      </c>
      <c r="AC1371" s="3">
        <f t="shared" si="2"/>
        <v>0</v>
      </c>
      <c r="AD1371" s="3" t="str">
        <f>VLOOKUP(D1371,'Position Lookup'!A:B,1,FALSE)</f>
        <v>ATT</v>
      </c>
    </row>
    <row r="1372" ht="17.25" customHeight="1">
      <c r="A1372" s="32">
        <v>45276.0</v>
      </c>
      <c r="B1372" s="5" t="s">
        <v>309</v>
      </c>
      <c r="C1372" s="5" t="s">
        <v>114</v>
      </c>
      <c r="D1372" s="5" t="s">
        <v>9</v>
      </c>
      <c r="E1372" s="5">
        <v>4.0</v>
      </c>
      <c r="F1372" s="5" t="s">
        <v>1421</v>
      </c>
      <c r="G1372" s="5" t="s">
        <v>230</v>
      </c>
      <c r="J1372" s="5">
        <v>4.0</v>
      </c>
      <c r="N1372" s="5" t="b">
        <v>0</v>
      </c>
      <c r="R1372" s="5">
        <v>0.0</v>
      </c>
      <c r="T1372" s="5">
        <v>10.0</v>
      </c>
      <c r="U1372" s="5">
        <v>7.0</v>
      </c>
      <c r="V1372" s="5" t="s">
        <v>1432</v>
      </c>
      <c r="W1372" s="81" t="s">
        <v>730</v>
      </c>
      <c r="X1372" s="78" t="s">
        <v>1423</v>
      </c>
      <c r="Y1372" s="5">
        <v>2.0</v>
      </c>
      <c r="Z1372" s="5">
        <v>4.0</v>
      </c>
      <c r="AA1372" s="3">
        <f>2+ (P1372*'Scoring System'!$B$3)+ (IF(OR(D1372="DEF",D1372="GK"),N1372*'Scoring System'!$B$4,IF(D1372="MID",N1372*'Scoring System'!$B$5,0)))+ (IF(OR(D1372="DEF",D1372="GK"),H1372*'Scoring System'!$B$6,IF(D1372="MID",H1372*'Scoring System'!$B$7,IF(D1372="ATT",H1372*'Scoring System'!$B$8,0))))+ IF(AND(OR(D1372="GK",D1372="DEF"),J1372&gt;=3),1*'Scoring System'!$B$9,0)+ (I1372*'Scoring System'!$B$10)+ (K1372*'Scoring System'!$B$11)+ (M1372*'Scoring System'!$B$12)+ (L1372*'Scoring System'!$B$13)+ (O1372*'Scoring System'!$B$14)+ (Q1372*'Scoring System'!$B$15)+ (R1372*'Scoring System'!$B$16)</f>
        <v>2</v>
      </c>
      <c r="AB1372" s="3" t="b">
        <f>IFERROR(match(C1372,'Match Day Fees'!$B$2:$B$999,0),0)=0</f>
        <v>0</v>
      </c>
      <c r="AC1372" s="3">
        <f t="shared" si="2"/>
        <v>0</v>
      </c>
      <c r="AD1372" s="3" t="str">
        <f>VLOOKUP(D1372,'Position Lookup'!A:B,1,FALSE)</f>
        <v>ATT</v>
      </c>
    </row>
    <row r="1373" ht="17.25" customHeight="1">
      <c r="A1373" s="32">
        <v>45276.0</v>
      </c>
      <c r="B1373" s="5" t="s">
        <v>309</v>
      </c>
      <c r="C1373" s="5" t="s">
        <v>109</v>
      </c>
      <c r="D1373" s="5" t="s">
        <v>9</v>
      </c>
      <c r="E1373" s="5">
        <v>4.0</v>
      </c>
      <c r="F1373" s="5" t="s">
        <v>1421</v>
      </c>
      <c r="G1373" s="5" t="s">
        <v>230</v>
      </c>
      <c r="H1373" s="5">
        <v>1.0</v>
      </c>
      <c r="J1373" s="5">
        <v>4.0</v>
      </c>
      <c r="N1373" s="5" t="b">
        <v>0</v>
      </c>
      <c r="R1373" s="5">
        <v>0.0</v>
      </c>
      <c r="T1373" s="5">
        <v>5.0</v>
      </c>
      <c r="U1373" s="5">
        <v>7.0</v>
      </c>
      <c r="V1373" s="5" t="s">
        <v>1433</v>
      </c>
      <c r="W1373" s="81" t="s">
        <v>730</v>
      </c>
      <c r="X1373" s="78" t="s">
        <v>1423</v>
      </c>
      <c r="Y1373" s="5">
        <v>2.0</v>
      </c>
      <c r="Z1373" s="5">
        <v>4.0</v>
      </c>
      <c r="AA1373" s="3">
        <f>2+ (P1373*'Scoring System'!$B$3)+ (IF(OR(D1373="DEF",D1373="GK"),N1373*'Scoring System'!$B$4,IF(D1373="MID",N1373*'Scoring System'!$B$5,0)))+ (IF(OR(D1373="DEF",D1373="GK"),H1373*'Scoring System'!$B$6,IF(D1373="MID",H1373*'Scoring System'!$B$7,IF(D1373="ATT",H1373*'Scoring System'!$B$8,0))))+ IF(AND(OR(D1373="GK",D1373="DEF"),J1373&gt;=3),1*'Scoring System'!$B$9,0)+ (I1373*'Scoring System'!$B$10)+ (K1373*'Scoring System'!$B$11)+ (M1373*'Scoring System'!$B$12)+ (L1373*'Scoring System'!$B$13)+ (O1373*'Scoring System'!$B$14)+ (Q1373*'Scoring System'!$B$15)+ (R1373*'Scoring System'!$B$16)</f>
        <v>6</v>
      </c>
      <c r="AB1373" s="3" t="b">
        <f>IFERROR(match(C1373,'Match Day Fees'!$B$2:$B$999,0),0)=0</f>
        <v>0</v>
      </c>
      <c r="AC1373" s="3">
        <f t="shared" si="2"/>
        <v>0</v>
      </c>
      <c r="AD1373" s="3" t="str">
        <f>VLOOKUP(D1373,'Position Lookup'!A:B,1,FALSE)</f>
        <v>ATT</v>
      </c>
    </row>
    <row r="1374" ht="17.25" customHeight="1">
      <c r="A1374" s="32">
        <v>45276.0</v>
      </c>
      <c r="B1374" s="5" t="s">
        <v>309</v>
      </c>
      <c r="C1374" s="5" t="s">
        <v>132</v>
      </c>
      <c r="D1374" s="5" t="s">
        <v>9</v>
      </c>
      <c r="E1374" s="5">
        <v>4.0</v>
      </c>
      <c r="F1374" s="5" t="s">
        <v>1421</v>
      </c>
      <c r="G1374" s="5" t="s">
        <v>230</v>
      </c>
      <c r="I1374" s="5">
        <v>1.0</v>
      </c>
      <c r="J1374" s="5">
        <v>4.0</v>
      </c>
      <c r="N1374" s="5" t="b">
        <v>0</v>
      </c>
      <c r="R1374" s="5">
        <v>0.0</v>
      </c>
      <c r="T1374" s="5">
        <v>10.0</v>
      </c>
      <c r="U1374" s="5">
        <v>7.0</v>
      </c>
      <c r="V1374" s="5" t="s">
        <v>1434</v>
      </c>
      <c r="W1374" s="81" t="s">
        <v>730</v>
      </c>
      <c r="X1374" s="78" t="s">
        <v>1423</v>
      </c>
      <c r="Y1374" s="5">
        <v>2.0</v>
      </c>
      <c r="Z1374" s="5">
        <v>4.0</v>
      </c>
      <c r="AA1374" s="3">
        <f>2+ (P1374*'Scoring System'!$B$3)+ (IF(OR(D1374="DEF",D1374="GK"),N1374*'Scoring System'!$B$4,IF(D1374="MID",N1374*'Scoring System'!$B$5,0)))+ (IF(OR(D1374="DEF",D1374="GK"),H1374*'Scoring System'!$B$6,IF(D1374="MID",H1374*'Scoring System'!$B$7,IF(D1374="ATT",H1374*'Scoring System'!$B$8,0))))+ IF(AND(OR(D1374="GK",D1374="DEF"),J1374&gt;=3),1*'Scoring System'!$B$9,0)+ (I1374*'Scoring System'!$B$10)+ (K1374*'Scoring System'!$B$11)+ (M1374*'Scoring System'!$B$12)+ (L1374*'Scoring System'!$B$13)+ (O1374*'Scoring System'!$B$14)+ (Q1374*'Scoring System'!$B$15)+ (R1374*'Scoring System'!$B$16)</f>
        <v>5</v>
      </c>
      <c r="AB1374" s="3" t="b">
        <f>IFERROR(match(C1374,'Match Day Fees'!$B$2:$B$999,0),0)=0</f>
        <v>0</v>
      </c>
      <c r="AC1374" s="3">
        <f t="shared" si="2"/>
        <v>0</v>
      </c>
      <c r="AD1374" s="3" t="str">
        <f>VLOOKUP(D1374,'Position Lookup'!A:B,1,FALSE)</f>
        <v>ATT</v>
      </c>
    </row>
    <row r="1375" ht="17.25" customHeight="1">
      <c r="A1375" s="32">
        <v>45276.0</v>
      </c>
      <c r="B1375" s="5" t="s">
        <v>309</v>
      </c>
      <c r="C1375" s="5" t="s">
        <v>55</v>
      </c>
      <c r="D1375" s="5" t="s">
        <v>9</v>
      </c>
      <c r="E1375" s="5">
        <v>4.0</v>
      </c>
      <c r="F1375" s="5" t="s">
        <v>1421</v>
      </c>
      <c r="G1375" s="5" t="s">
        <v>230</v>
      </c>
      <c r="J1375" s="5">
        <v>4.0</v>
      </c>
      <c r="N1375" s="5" t="b">
        <v>0</v>
      </c>
      <c r="R1375" s="5">
        <v>0.0</v>
      </c>
      <c r="T1375" s="5">
        <v>10.0</v>
      </c>
      <c r="U1375" s="5">
        <v>6.0</v>
      </c>
      <c r="V1375" s="5" t="s">
        <v>1435</v>
      </c>
      <c r="W1375" s="81" t="s">
        <v>730</v>
      </c>
      <c r="X1375" s="78" t="s">
        <v>1423</v>
      </c>
      <c r="Y1375" s="5">
        <v>2.0</v>
      </c>
      <c r="Z1375" s="5">
        <v>4.0</v>
      </c>
      <c r="AA1375" s="3">
        <f>2+ (P1375*'Scoring System'!$B$3)+ (IF(OR(D1375="DEF",D1375="GK"),N1375*'Scoring System'!$B$4,IF(D1375="MID",N1375*'Scoring System'!$B$5,0)))+ (IF(OR(D1375="DEF",D1375="GK"),H1375*'Scoring System'!$B$6,IF(D1375="MID",H1375*'Scoring System'!$B$7,IF(D1375="ATT",H1375*'Scoring System'!$B$8,0))))+ IF(AND(OR(D1375="GK",D1375="DEF"),J1375&gt;=3),1*'Scoring System'!$B$9,0)+ (I1375*'Scoring System'!$B$10)+ (K1375*'Scoring System'!$B$11)+ (M1375*'Scoring System'!$B$12)+ (L1375*'Scoring System'!$B$13)+ (O1375*'Scoring System'!$B$14)+ (Q1375*'Scoring System'!$B$15)+ (R1375*'Scoring System'!$B$16)</f>
        <v>2</v>
      </c>
      <c r="AB1375" s="3" t="b">
        <f>IFERROR(match(C1375,'Match Day Fees'!$B$2:$B$999,0),0)=0</f>
        <v>0</v>
      </c>
      <c r="AC1375" s="3">
        <f t="shared" si="2"/>
        <v>0</v>
      </c>
      <c r="AD1375" s="3" t="str">
        <f>VLOOKUP(D1375,'Position Lookup'!A:B,1,FALSE)</f>
        <v>ATT</v>
      </c>
    </row>
    <row r="1376" ht="17.25" customHeight="1">
      <c r="A1376" s="32">
        <v>45276.0</v>
      </c>
      <c r="B1376" s="5" t="s">
        <v>309</v>
      </c>
      <c r="C1376" s="5" t="s">
        <v>308</v>
      </c>
      <c r="D1376" s="5" t="s">
        <v>10</v>
      </c>
      <c r="E1376" s="5">
        <v>4.0</v>
      </c>
      <c r="F1376" s="5" t="s">
        <v>1421</v>
      </c>
      <c r="G1376" s="5" t="s">
        <v>230</v>
      </c>
      <c r="J1376" s="5">
        <v>4.0</v>
      </c>
      <c r="N1376" s="5" t="b">
        <v>0</v>
      </c>
      <c r="R1376" s="5">
        <v>0.0</v>
      </c>
      <c r="T1376" s="5">
        <v>5.0</v>
      </c>
      <c r="U1376" s="5">
        <v>6.5</v>
      </c>
      <c r="V1376" s="5" t="s">
        <v>1436</v>
      </c>
      <c r="W1376" s="81" t="s">
        <v>730</v>
      </c>
      <c r="X1376" s="78" t="s">
        <v>1423</v>
      </c>
      <c r="Y1376" s="5">
        <v>2.0</v>
      </c>
      <c r="Z1376" s="5">
        <v>4.0</v>
      </c>
      <c r="AA1376" s="3">
        <f>2+ (P1376*'Scoring System'!$B$3)+ (IF(OR(D1376="DEF",D1376="GK"),N1376*'Scoring System'!$B$4,IF(D1376="MID",N1376*'Scoring System'!$B$5,0)))+ (IF(OR(D1376="DEF",D1376="GK"),H1376*'Scoring System'!$B$6,IF(D1376="MID",H1376*'Scoring System'!$B$7,IF(D1376="ATT",H1376*'Scoring System'!$B$8,0))))+ IF(AND(OR(D1376="GK",D1376="DEF"),J1376&gt;=3),1*'Scoring System'!$B$9,0)+ (I1376*'Scoring System'!$B$10)+ (K1376*'Scoring System'!$B$11)+ (M1376*'Scoring System'!$B$12)+ (L1376*'Scoring System'!$B$13)+ (O1376*'Scoring System'!$B$14)+ (Q1376*'Scoring System'!$B$15)+ (R1376*'Scoring System'!$B$16)</f>
        <v>2</v>
      </c>
      <c r="AB1376" s="3" t="b">
        <f>IFERROR(match(C1376,'Match Day Fees'!$B$2:$B$999,0),0)=0</f>
        <v>0</v>
      </c>
      <c r="AC1376" s="3">
        <f t="shared" si="2"/>
        <v>0</v>
      </c>
      <c r="AD1376" s="3" t="str">
        <f>VLOOKUP(D1376,'Position Lookup'!A:B,1,FALSE)</f>
        <v>MID</v>
      </c>
    </row>
    <row r="1377" ht="17.25" customHeight="1">
      <c r="A1377" s="32">
        <v>45276.0</v>
      </c>
      <c r="B1377" s="5" t="s">
        <v>309</v>
      </c>
      <c r="C1377" s="5" t="s">
        <v>106</v>
      </c>
      <c r="D1377" s="5" t="s">
        <v>8</v>
      </c>
      <c r="E1377" s="5">
        <v>5.0</v>
      </c>
      <c r="F1377" s="5" t="s">
        <v>1437</v>
      </c>
      <c r="G1377" s="5" t="s">
        <v>224</v>
      </c>
      <c r="J1377" s="5">
        <v>0.0</v>
      </c>
      <c r="N1377" s="5" t="b">
        <v>1</v>
      </c>
      <c r="R1377" s="5">
        <v>1.0</v>
      </c>
      <c r="S1377" s="5" t="b">
        <v>1</v>
      </c>
      <c r="T1377" s="5">
        <v>0.0</v>
      </c>
      <c r="U1377" s="5">
        <v>8.0</v>
      </c>
      <c r="V1377" s="5" t="s">
        <v>1438</v>
      </c>
      <c r="W1377" s="81" t="s">
        <v>311</v>
      </c>
      <c r="X1377" s="78" t="s">
        <v>1439</v>
      </c>
      <c r="Y1377" s="5">
        <v>2.0</v>
      </c>
      <c r="Z1377" s="5">
        <v>0.0</v>
      </c>
      <c r="AA1377" s="3">
        <f>2+ (P1377*'Scoring System'!$B$3)+ (IF(OR(D1377="DEF",D1377="GK"),N1377*'Scoring System'!$B$4,IF(D1377="MID",N1377*'Scoring System'!$B$5,0)))+ (IF(OR(D1377="DEF",D1377="GK"),H1377*'Scoring System'!$B$6,IF(D1377="MID",H1377*'Scoring System'!$B$7,IF(D1377="ATT",H1377*'Scoring System'!$B$8,0))))+ IF(AND(OR(D1377="GK",D1377="DEF"),J1377&gt;=3),1*'Scoring System'!$B$9,0)+ (I1377*'Scoring System'!$B$10)+ (K1377*'Scoring System'!$B$11)+ (M1377*'Scoring System'!$B$12)+ (L1377*'Scoring System'!$B$13)+ (O1377*'Scoring System'!$B$14)+ (Q1377*'Scoring System'!$B$15)+ (R1377*'Scoring System'!$B$16)</f>
        <v>13</v>
      </c>
      <c r="AB1377" s="3" t="b">
        <f>IFERROR(match(C1377,'Match Day Fees'!$B$2:$B$999,0),0)=0</f>
        <v>0</v>
      </c>
      <c r="AC1377" s="3">
        <f t="shared" si="2"/>
        <v>0</v>
      </c>
      <c r="AD1377" s="3" t="str">
        <f>VLOOKUP(D1377,'Position Lookup'!A:B,1,FALSE)</f>
        <v>GK</v>
      </c>
    </row>
    <row r="1378" ht="17.25" customHeight="1">
      <c r="A1378" s="32">
        <v>45276.0</v>
      </c>
      <c r="B1378" s="5" t="s">
        <v>309</v>
      </c>
      <c r="C1378" s="5" t="s">
        <v>116</v>
      </c>
      <c r="D1378" s="5" t="s">
        <v>11</v>
      </c>
      <c r="E1378" s="5">
        <v>5.0</v>
      </c>
      <c r="F1378" s="5" t="s">
        <v>1437</v>
      </c>
      <c r="G1378" s="5" t="s">
        <v>224</v>
      </c>
      <c r="J1378" s="5">
        <v>0.0</v>
      </c>
      <c r="N1378" s="5" t="b">
        <v>1</v>
      </c>
      <c r="R1378" s="5">
        <v>0.0</v>
      </c>
      <c r="T1378" s="5">
        <v>10.0</v>
      </c>
      <c r="U1378" s="5">
        <v>7.0</v>
      </c>
      <c r="V1378" s="5" t="s">
        <v>1440</v>
      </c>
      <c r="W1378" s="81" t="s">
        <v>311</v>
      </c>
      <c r="X1378" s="78" t="s">
        <v>1439</v>
      </c>
      <c r="Y1378" s="5">
        <v>2.0</v>
      </c>
      <c r="Z1378" s="5">
        <v>0.0</v>
      </c>
      <c r="AA1378" s="3">
        <f>2+ (P1378*'Scoring System'!$B$3)+ (IF(OR(D1378="DEF",D1378="GK"),N1378*'Scoring System'!$B$4,IF(D1378="MID",N1378*'Scoring System'!$B$5,0)))+ (IF(OR(D1378="DEF",D1378="GK"),H1378*'Scoring System'!$B$6,IF(D1378="MID",H1378*'Scoring System'!$B$7,IF(D1378="ATT",H1378*'Scoring System'!$B$8,0))))+ IF(AND(OR(D1378="GK",D1378="DEF"),J1378&gt;=3),1*'Scoring System'!$B$9,0)+ (I1378*'Scoring System'!$B$10)+ (K1378*'Scoring System'!$B$11)+ (M1378*'Scoring System'!$B$12)+ (L1378*'Scoring System'!$B$13)+ (O1378*'Scoring System'!$B$14)+ (Q1378*'Scoring System'!$B$15)+ (R1378*'Scoring System'!$B$16)</f>
        <v>8</v>
      </c>
      <c r="AB1378" s="3" t="b">
        <f>IFERROR(match(C1378,'Match Day Fees'!$B$2:$B$999,0),0)=0</f>
        <v>0</v>
      </c>
      <c r="AC1378" s="3">
        <f t="shared" si="2"/>
        <v>0</v>
      </c>
      <c r="AD1378" s="3" t="str">
        <f>VLOOKUP(D1378,'Position Lookup'!A:B,1,FALSE)</f>
        <v>DEF</v>
      </c>
    </row>
    <row r="1379" ht="17.25" customHeight="1">
      <c r="A1379" s="32">
        <v>45276.0</v>
      </c>
      <c r="B1379" s="5" t="s">
        <v>309</v>
      </c>
      <c r="C1379" s="5" t="s">
        <v>135</v>
      </c>
      <c r="D1379" s="5" t="s">
        <v>11</v>
      </c>
      <c r="E1379" s="5">
        <v>5.0</v>
      </c>
      <c r="F1379" s="5" t="s">
        <v>1437</v>
      </c>
      <c r="G1379" s="5" t="s">
        <v>224</v>
      </c>
      <c r="J1379" s="5">
        <v>0.0</v>
      </c>
      <c r="N1379" s="5" t="b">
        <v>1</v>
      </c>
      <c r="R1379" s="5">
        <v>0.0</v>
      </c>
      <c r="T1379" s="5">
        <v>10.0</v>
      </c>
      <c r="U1379" s="5">
        <v>7.5</v>
      </c>
      <c r="V1379" s="5" t="s">
        <v>1441</v>
      </c>
      <c r="W1379" s="81" t="s">
        <v>311</v>
      </c>
      <c r="X1379" s="78" t="s">
        <v>1439</v>
      </c>
      <c r="Y1379" s="5">
        <v>2.0</v>
      </c>
      <c r="Z1379" s="5">
        <v>0.0</v>
      </c>
      <c r="AA1379" s="3">
        <f>2+ (P1379*'Scoring System'!$B$3)+ (IF(OR(D1379="DEF",D1379="GK"),N1379*'Scoring System'!$B$4,IF(D1379="MID",N1379*'Scoring System'!$B$5,0)))+ (IF(OR(D1379="DEF",D1379="GK"),H1379*'Scoring System'!$B$6,IF(D1379="MID",H1379*'Scoring System'!$B$7,IF(D1379="ATT",H1379*'Scoring System'!$B$8,0))))+ IF(AND(OR(D1379="GK",D1379="DEF"),J1379&gt;=3),1*'Scoring System'!$B$9,0)+ (I1379*'Scoring System'!$B$10)+ (K1379*'Scoring System'!$B$11)+ (M1379*'Scoring System'!$B$12)+ (L1379*'Scoring System'!$B$13)+ (O1379*'Scoring System'!$B$14)+ (Q1379*'Scoring System'!$B$15)+ (R1379*'Scoring System'!$B$16)</f>
        <v>8</v>
      </c>
      <c r="AB1379" s="3" t="b">
        <f>IFERROR(match(C1379,'Match Day Fees'!$B$2:$B$999,0),0)=0</f>
        <v>0</v>
      </c>
      <c r="AC1379" s="3">
        <f t="shared" si="2"/>
        <v>0</v>
      </c>
      <c r="AD1379" s="3" t="str">
        <f>VLOOKUP(D1379,'Position Lookup'!A:B,1,FALSE)</f>
        <v>DEF</v>
      </c>
    </row>
    <row r="1380" ht="17.25" customHeight="1">
      <c r="A1380" s="32">
        <v>45276.0</v>
      </c>
      <c r="B1380" s="5" t="s">
        <v>309</v>
      </c>
      <c r="C1380" s="5" t="s">
        <v>138</v>
      </c>
      <c r="D1380" s="5" t="s">
        <v>11</v>
      </c>
      <c r="E1380" s="5">
        <v>5.0</v>
      </c>
      <c r="F1380" s="5" t="s">
        <v>1437</v>
      </c>
      <c r="G1380" s="5" t="s">
        <v>224</v>
      </c>
      <c r="J1380" s="5">
        <v>0.0</v>
      </c>
      <c r="N1380" s="5" t="b">
        <v>1</v>
      </c>
      <c r="R1380" s="5">
        <v>0.0</v>
      </c>
      <c r="T1380" s="5">
        <v>10.0</v>
      </c>
      <c r="U1380" s="5">
        <v>8.0</v>
      </c>
      <c r="V1380" s="5" t="s">
        <v>1442</v>
      </c>
      <c r="W1380" s="81" t="s">
        <v>311</v>
      </c>
      <c r="X1380" s="78" t="s">
        <v>1439</v>
      </c>
      <c r="Y1380" s="5">
        <v>2.0</v>
      </c>
      <c r="Z1380" s="5">
        <v>0.0</v>
      </c>
      <c r="AA1380" s="3">
        <f>2+ (P1380*'Scoring System'!$B$3)+ (IF(OR(D1380="DEF",D1380="GK"),N1380*'Scoring System'!$B$4,IF(D1380="MID",N1380*'Scoring System'!$B$5,0)))+ (IF(OR(D1380="DEF",D1380="GK"),H1380*'Scoring System'!$B$6,IF(D1380="MID",H1380*'Scoring System'!$B$7,IF(D1380="ATT",H1380*'Scoring System'!$B$8,0))))+ IF(AND(OR(D1380="GK",D1380="DEF"),J1380&gt;=3),1*'Scoring System'!$B$9,0)+ (I1380*'Scoring System'!$B$10)+ (K1380*'Scoring System'!$B$11)+ (M1380*'Scoring System'!$B$12)+ (L1380*'Scoring System'!$B$13)+ (O1380*'Scoring System'!$B$14)+ (Q1380*'Scoring System'!$B$15)+ (R1380*'Scoring System'!$B$16)</f>
        <v>8</v>
      </c>
      <c r="AB1380" s="3" t="b">
        <f>IFERROR(match(C1380,'Match Day Fees'!$B$2:$B$999,0),0)=0</f>
        <v>0</v>
      </c>
      <c r="AC1380" s="3">
        <f t="shared" si="2"/>
        <v>0</v>
      </c>
      <c r="AD1380" s="3" t="str">
        <f>VLOOKUP(D1380,'Position Lookup'!A:B,1,FALSE)</f>
        <v>DEF</v>
      </c>
    </row>
    <row r="1381" ht="17.25" customHeight="1">
      <c r="A1381" s="32">
        <v>45276.0</v>
      </c>
      <c r="B1381" s="5" t="s">
        <v>309</v>
      </c>
      <c r="C1381" s="5" t="s">
        <v>133</v>
      </c>
      <c r="D1381" s="5" t="s">
        <v>11</v>
      </c>
      <c r="E1381" s="5">
        <v>5.0</v>
      </c>
      <c r="F1381" s="5" t="s">
        <v>1437</v>
      </c>
      <c r="G1381" s="5" t="s">
        <v>224</v>
      </c>
      <c r="J1381" s="5">
        <v>0.0</v>
      </c>
      <c r="N1381" s="5" t="b">
        <v>1</v>
      </c>
      <c r="R1381" s="5">
        <v>0.0</v>
      </c>
      <c r="T1381" s="5">
        <v>10.0</v>
      </c>
      <c r="U1381" s="5">
        <v>7.0</v>
      </c>
      <c r="V1381" s="5" t="s">
        <v>1443</v>
      </c>
      <c r="W1381" s="81" t="s">
        <v>311</v>
      </c>
      <c r="X1381" s="78" t="s">
        <v>1439</v>
      </c>
      <c r="Y1381" s="5">
        <v>2.0</v>
      </c>
      <c r="Z1381" s="5">
        <v>0.0</v>
      </c>
      <c r="AA1381" s="3">
        <f>2+ (P1381*'Scoring System'!$B$3)+ (IF(OR(D1381="DEF",D1381="GK"),N1381*'Scoring System'!$B$4,IF(D1381="MID",N1381*'Scoring System'!$B$5,0)))+ (IF(OR(D1381="DEF",D1381="GK"),H1381*'Scoring System'!$B$6,IF(D1381="MID",H1381*'Scoring System'!$B$7,IF(D1381="ATT",H1381*'Scoring System'!$B$8,0))))+ IF(AND(OR(D1381="GK",D1381="DEF"),J1381&gt;=3),1*'Scoring System'!$B$9,0)+ (I1381*'Scoring System'!$B$10)+ (K1381*'Scoring System'!$B$11)+ (M1381*'Scoring System'!$B$12)+ (L1381*'Scoring System'!$B$13)+ (O1381*'Scoring System'!$B$14)+ (Q1381*'Scoring System'!$B$15)+ (R1381*'Scoring System'!$B$16)</f>
        <v>8</v>
      </c>
      <c r="AB1381" s="3" t="b">
        <f>IFERROR(match(C1381,'Match Day Fees'!$B$2:$B$999,0),0)=0</f>
        <v>0</v>
      </c>
      <c r="AC1381" s="3">
        <f t="shared" si="2"/>
        <v>0</v>
      </c>
      <c r="AD1381" s="3" t="str">
        <f>VLOOKUP(D1381,'Position Lookup'!A:B,1,FALSE)</f>
        <v>DEF</v>
      </c>
    </row>
    <row r="1382" ht="17.25" customHeight="1">
      <c r="A1382" s="32">
        <v>45276.0</v>
      </c>
      <c r="B1382" s="5" t="s">
        <v>309</v>
      </c>
      <c r="C1382" s="5" t="s">
        <v>134</v>
      </c>
      <c r="D1382" s="5" t="s">
        <v>11</v>
      </c>
      <c r="E1382" s="5">
        <v>5.0</v>
      </c>
      <c r="F1382" s="5" t="s">
        <v>1437</v>
      </c>
      <c r="G1382" s="5" t="s">
        <v>224</v>
      </c>
      <c r="J1382" s="5">
        <v>0.0</v>
      </c>
      <c r="N1382" s="5" t="b">
        <v>1</v>
      </c>
      <c r="R1382" s="5">
        <v>0.0</v>
      </c>
      <c r="T1382" s="5">
        <v>5.0</v>
      </c>
      <c r="U1382" s="5">
        <v>6.5</v>
      </c>
      <c r="V1382" s="5" t="s">
        <v>1444</v>
      </c>
      <c r="W1382" s="81" t="s">
        <v>311</v>
      </c>
      <c r="X1382" s="78" t="s">
        <v>1439</v>
      </c>
      <c r="Y1382" s="5">
        <v>2.0</v>
      </c>
      <c r="Z1382" s="5">
        <v>0.0</v>
      </c>
      <c r="AA1382" s="3">
        <f>2+ (P1382*'Scoring System'!$B$3)+ (IF(OR(D1382="DEF",D1382="GK"),N1382*'Scoring System'!$B$4,IF(D1382="MID",N1382*'Scoring System'!$B$5,0)))+ (IF(OR(D1382="DEF",D1382="GK"),H1382*'Scoring System'!$B$6,IF(D1382="MID",H1382*'Scoring System'!$B$7,IF(D1382="ATT",H1382*'Scoring System'!$B$8,0))))+ IF(AND(OR(D1382="GK",D1382="DEF"),J1382&gt;=3),1*'Scoring System'!$B$9,0)+ (I1382*'Scoring System'!$B$10)+ (K1382*'Scoring System'!$B$11)+ (M1382*'Scoring System'!$B$12)+ (L1382*'Scoring System'!$B$13)+ (O1382*'Scoring System'!$B$14)+ (Q1382*'Scoring System'!$B$15)+ (R1382*'Scoring System'!$B$16)</f>
        <v>8</v>
      </c>
      <c r="AB1382" s="3" t="b">
        <f>IFERROR(match(C1382,'Match Day Fees'!$B$2:$B$999,0),0)=0</f>
        <v>0</v>
      </c>
      <c r="AC1382" s="3">
        <f t="shared" si="2"/>
        <v>0</v>
      </c>
      <c r="AD1382" s="3" t="str">
        <f>VLOOKUP(D1382,'Position Lookup'!A:B,1,FALSE)</f>
        <v>DEF</v>
      </c>
    </row>
    <row r="1383" ht="17.25" customHeight="1">
      <c r="A1383" s="32">
        <v>45276.0</v>
      </c>
      <c r="B1383" s="5" t="s">
        <v>309</v>
      </c>
      <c r="C1383" s="5" t="s">
        <v>140</v>
      </c>
      <c r="D1383" s="5" t="s">
        <v>11</v>
      </c>
      <c r="E1383" s="5">
        <v>5.0</v>
      </c>
      <c r="F1383" s="5" t="s">
        <v>1437</v>
      </c>
      <c r="G1383" s="5" t="s">
        <v>224</v>
      </c>
      <c r="J1383" s="5">
        <v>0.0</v>
      </c>
      <c r="N1383" s="5" t="b">
        <v>1</v>
      </c>
      <c r="R1383" s="5">
        <v>0.0</v>
      </c>
      <c r="T1383" s="5">
        <v>10.0</v>
      </c>
      <c r="U1383" s="5">
        <v>6.0</v>
      </c>
      <c r="V1383" s="5" t="s">
        <v>1445</v>
      </c>
      <c r="W1383" s="81" t="s">
        <v>311</v>
      </c>
      <c r="X1383" s="78" t="s">
        <v>1439</v>
      </c>
      <c r="Y1383" s="5">
        <v>2.0</v>
      </c>
      <c r="Z1383" s="5">
        <v>0.0</v>
      </c>
      <c r="AA1383" s="3">
        <f>2+ (P1383*'Scoring System'!$B$3)+ (IF(OR(D1383="DEF",D1383="GK"),N1383*'Scoring System'!$B$4,IF(D1383="MID",N1383*'Scoring System'!$B$5,0)))+ (IF(OR(D1383="DEF",D1383="GK"),H1383*'Scoring System'!$B$6,IF(D1383="MID",H1383*'Scoring System'!$B$7,IF(D1383="ATT",H1383*'Scoring System'!$B$8,0))))+ IF(AND(OR(D1383="GK",D1383="DEF"),J1383&gt;=3),1*'Scoring System'!$B$9,0)+ (I1383*'Scoring System'!$B$10)+ (K1383*'Scoring System'!$B$11)+ (M1383*'Scoring System'!$B$12)+ (L1383*'Scoring System'!$B$13)+ (O1383*'Scoring System'!$B$14)+ (Q1383*'Scoring System'!$B$15)+ (R1383*'Scoring System'!$B$16)</f>
        <v>8</v>
      </c>
      <c r="AB1383" s="3" t="b">
        <f>IFERROR(match(C1383,'Match Day Fees'!$B$2:$B$999,0),0)=0</f>
        <v>0</v>
      </c>
      <c r="AC1383" s="3">
        <f t="shared" si="2"/>
        <v>0</v>
      </c>
      <c r="AD1383" s="3" t="str">
        <f>VLOOKUP(D1383,'Position Lookup'!A:B,1,FALSE)</f>
        <v>DEF</v>
      </c>
    </row>
    <row r="1384" ht="17.25" customHeight="1">
      <c r="A1384" s="32">
        <v>45276.0</v>
      </c>
      <c r="B1384" s="5" t="s">
        <v>309</v>
      </c>
      <c r="C1384" s="5" t="s">
        <v>474</v>
      </c>
      <c r="D1384" s="5" t="s">
        <v>10</v>
      </c>
      <c r="E1384" s="5">
        <v>5.0</v>
      </c>
      <c r="F1384" s="5" t="s">
        <v>1437</v>
      </c>
      <c r="G1384" s="5" t="s">
        <v>224</v>
      </c>
      <c r="J1384" s="5">
        <v>0.0</v>
      </c>
      <c r="N1384" s="5" t="b">
        <v>1</v>
      </c>
      <c r="R1384" s="5">
        <v>0.0</v>
      </c>
      <c r="T1384" s="5">
        <v>10.0</v>
      </c>
      <c r="U1384" s="5">
        <v>6.5</v>
      </c>
      <c r="V1384" s="5" t="s">
        <v>1446</v>
      </c>
      <c r="W1384" s="81" t="s">
        <v>311</v>
      </c>
      <c r="X1384" s="78" t="s">
        <v>1439</v>
      </c>
      <c r="Y1384" s="5">
        <v>2.0</v>
      </c>
      <c r="Z1384" s="5">
        <v>0.0</v>
      </c>
      <c r="AA1384" s="3">
        <f>2+ (P1384*'Scoring System'!$B$3)+ (IF(OR(D1384="DEF",D1384="GK"),N1384*'Scoring System'!$B$4,IF(D1384="MID",N1384*'Scoring System'!$B$5,0)))+ (IF(OR(D1384="DEF",D1384="GK"),H1384*'Scoring System'!$B$6,IF(D1384="MID",H1384*'Scoring System'!$B$7,IF(D1384="ATT",H1384*'Scoring System'!$B$8,0))))+ IF(AND(OR(D1384="GK",D1384="DEF"),J1384&gt;=3),1*'Scoring System'!$B$9,0)+ (I1384*'Scoring System'!$B$10)+ (K1384*'Scoring System'!$B$11)+ (M1384*'Scoring System'!$B$12)+ (L1384*'Scoring System'!$B$13)+ (O1384*'Scoring System'!$B$14)+ (Q1384*'Scoring System'!$B$15)+ (R1384*'Scoring System'!$B$16)</f>
        <v>4</v>
      </c>
      <c r="AB1384" s="3" t="b">
        <f>IFERROR(match(C1384,'Match Day Fees'!$B$2:$B$999,0),0)=0</f>
        <v>0</v>
      </c>
      <c r="AC1384" s="3">
        <f t="shared" si="2"/>
        <v>0</v>
      </c>
      <c r="AD1384" s="3" t="str">
        <f>VLOOKUP(D1384,'Position Lookup'!A:B,1,FALSE)</f>
        <v>MID</v>
      </c>
    </row>
    <row r="1385" ht="17.25" customHeight="1">
      <c r="A1385" s="32">
        <v>45276.0</v>
      </c>
      <c r="B1385" s="5" t="s">
        <v>309</v>
      </c>
      <c r="C1385" s="5" t="s">
        <v>58</v>
      </c>
      <c r="D1385" s="5" t="s">
        <v>10</v>
      </c>
      <c r="E1385" s="5">
        <v>5.0</v>
      </c>
      <c r="F1385" s="5" t="s">
        <v>1437</v>
      </c>
      <c r="G1385" s="5" t="s">
        <v>224</v>
      </c>
      <c r="I1385" s="5">
        <v>1.0</v>
      </c>
      <c r="J1385" s="5">
        <v>0.0</v>
      </c>
      <c r="N1385" s="5" t="b">
        <v>1</v>
      </c>
      <c r="R1385" s="5">
        <v>0.0</v>
      </c>
      <c r="T1385" s="5">
        <v>10.0</v>
      </c>
      <c r="U1385" s="5">
        <v>7.0</v>
      </c>
      <c r="V1385" s="5" t="s">
        <v>1447</v>
      </c>
      <c r="W1385" s="81" t="s">
        <v>311</v>
      </c>
      <c r="X1385" s="78" t="s">
        <v>1439</v>
      </c>
      <c r="Y1385" s="5">
        <v>2.0</v>
      </c>
      <c r="Z1385" s="5">
        <v>0.0</v>
      </c>
      <c r="AA1385" s="3">
        <f>2+ (P1385*'Scoring System'!$B$3)+ (IF(OR(D1385="DEF",D1385="GK"),N1385*'Scoring System'!$B$4,IF(D1385="MID",N1385*'Scoring System'!$B$5,0)))+ (IF(OR(D1385="DEF",D1385="GK"),H1385*'Scoring System'!$B$6,IF(D1385="MID",H1385*'Scoring System'!$B$7,IF(D1385="ATT",H1385*'Scoring System'!$B$8,0))))+ IF(AND(OR(D1385="GK",D1385="DEF"),J1385&gt;=3),1*'Scoring System'!$B$9,0)+ (I1385*'Scoring System'!$B$10)+ (K1385*'Scoring System'!$B$11)+ (M1385*'Scoring System'!$B$12)+ (L1385*'Scoring System'!$B$13)+ (O1385*'Scoring System'!$B$14)+ (Q1385*'Scoring System'!$B$15)+ (R1385*'Scoring System'!$B$16)</f>
        <v>7</v>
      </c>
      <c r="AB1385" s="3" t="b">
        <f>IFERROR(match(C1385,'Match Day Fees'!$B$2:$B$999,0),0)=0</f>
        <v>0</v>
      </c>
      <c r="AC1385" s="3">
        <f t="shared" si="2"/>
        <v>0</v>
      </c>
      <c r="AD1385" s="3" t="str">
        <f>VLOOKUP(D1385,'Position Lookup'!A:B,1,FALSE)</f>
        <v>MID</v>
      </c>
    </row>
    <row r="1386" ht="17.25" customHeight="1">
      <c r="A1386" s="32">
        <v>45276.0</v>
      </c>
      <c r="B1386" s="5" t="s">
        <v>309</v>
      </c>
      <c r="C1386" s="5" t="s">
        <v>95</v>
      </c>
      <c r="D1386" s="5" t="s">
        <v>11</v>
      </c>
      <c r="E1386" s="5">
        <v>5.0</v>
      </c>
      <c r="F1386" s="5" t="s">
        <v>1437</v>
      </c>
      <c r="G1386" s="5" t="s">
        <v>224</v>
      </c>
      <c r="J1386" s="5">
        <v>0.0</v>
      </c>
      <c r="N1386" s="5" t="b">
        <v>1</v>
      </c>
      <c r="R1386" s="5">
        <v>0.0</v>
      </c>
      <c r="T1386" s="5">
        <v>10.0</v>
      </c>
      <c r="U1386" s="5">
        <v>7.0</v>
      </c>
      <c r="V1386" s="5" t="s">
        <v>1448</v>
      </c>
      <c r="W1386" s="81" t="s">
        <v>311</v>
      </c>
      <c r="X1386" s="78" t="s">
        <v>1439</v>
      </c>
      <c r="Y1386" s="5">
        <v>2.0</v>
      </c>
      <c r="Z1386" s="5">
        <v>0.0</v>
      </c>
      <c r="AA1386" s="3">
        <f>2+ (P1386*'Scoring System'!$B$3)+ (IF(OR(D1386="DEF",D1386="GK"),N1386*'Scoring System'!$B$4,IF(D1386="MID",N1386*'Scoring System'!$B$5,0)))+ (IF(OR(D1386="DEF",D1386="GK"),H1386*'Scoring System'!$B$6,IF(D1386="MID",H1386*'Scoring System'!$B$7,IF(D1386="ATT",H1386*'Scoring System'!$B$8,0))))+ IF(AND(OR(D1386="GK",D1386="DEF"),J1386&gt;=3),1*'Scoring System'!$B$9,0)+ (I1386*'Scoring System'!$B$10)+ (K1386*'Scoring System'!$B$11)+ (M1386*'Scoring System'!$B$12)+ (L1386*'Scoring System'!$B$13)+ (O1386*'Scoring System'!$B$14)+ (Q1386*'Scoring System'!$B$15)+ (R1386*'Scoring System'!$B$16)</f>
        <v>8</v>
      </c>
      <c r="AB1386" s="3" t="b">
        <f>IFERROR(match(C1386,'Match Day Fees'!$B$2:$B$999,0),0)=0</f>
        <v>0</v>
      </c>
      <c r="AC1386" s="3">
        <f t="shared" si="2"/>
        <v>0</v>
      </c>
      <c r="AD1386" s="3" t="str">
        <f>VLOOKUP(D1386,'Position Lookup'!A:B,1,FALSE)</f>
        <v>DEF</v>
      </c>
    </row>
    <row r="1387" ht="17.25" customHeight="1">
      <c r="A1387" s="32">
        <v>45276.0</v>
      </c>
      <c r="B1387" s="5" t="s">
        <v>309</v>
      </c>
      <c r="C1387" s="5" t="s">
        <v>237</v>
      </c>
      <c r="D1387" s="5" t="s">
        <v>10</v>
      </c>
      <c r="E1387" s="5">
        <v>5.0</v>
      </c>
      <c r="F1387" s="5" t="s">
        <v>1437</v>
      </c>
      <c r="G1387" s="5" t="s">
        <v>224</v>
      </c>
      <c r="J1387" s="5">
        <v>0.0</v>
      </c>
      <c r="N1387" s="5" t="b">
        <v>1</v>
      </c>
      <c r="R1387" s="5">
        <v>0.0</v>
      </c>
      <c r="T1387" s="5">
        <v>10.0</v>
      </c>
      <c r="U1387" s="5">
        <v>7.5</v>
      </c>
      <c r="V1387" s="5" t="s">
        <v>1449</v>
      </c>
      <c r="W1387" s="81" t="s">
        <v>311</v>
      </c>
      <c r="X1387" s="78" t="s">
        <v>1439</v>
      </c>
      <c r="Y1387" s="5">
        <v>2.0</v>
      </c>
      <c r="Z1387" s="5">
        <v>0.0</v>
      </c>
      <c r="AA1387" s="3">
        <f>2+ (P1387*'Scoring System'!$B$3)+ (IF(OR(D1387="DEF",D1387="GK"),N1387*'Scoring System'!$B$4,IF(D1387="MID",N1387*'Scoring System'!$B$5,0)))+ (IF(OR(D1387="DEF",D1387="GK"),H1387*'Scoring System'!$B$6,IF(D1387="MID",H1387*'Scoring System'!$B$7,IF(D1387="ATT",H1387*'Scoring System'!$B$8,0))))+ IF(AND(OR(D1387="GK",D1387="DEF"),J1387&gt;=3),1*'Scoring System'!$B$9,0)+ (I1387*'Scoring System'!$B$10)+ (K1387*'Scoring System'!$B$11)+ (M1387*'Scoring System'!$B$12)+ (L1387*'Scoring System'!$B$13)+ (O1387*'Scoring System'!$B$14)+ (Q1387*'Scoring System'!$B$15)+ (R1387*'Scoring System'!$B$16)</f>
        <v>4</v>
      </c>
      <c r="AB1387" s="3" t="b">
        <f>IFERROR(match(C1387,'Match Day Fees'!$B$2:$B$999,0),0)=0</f>
        <v>0</v>
      </c>
      <c r="AC1387" s="3">
        <f t="shared" si="2"/>
        <v>0</v>
      </c>
      <c r="AD1387" s="3" t="str">
        <f>VLOOKUP(D1387,'Position Lookup'!A:B,1,FALSE)</f>
        <v>MID</v>
      </c>
    </row>
    <row r="1388" ht="17.25" customHeight="1">
      <c r="A1388" s="32">
        <v>45276.0</v>
      </c>
      <c r="B1388" s="5" t="s">
        <v>309</v>
      </c>
      <c r="C1388" s="5" t="s">
        <v>146</v>
      </c>
      <c r="D1388" s="5" t="s">
        <v>10</v>
      </c>
      <c r="E1388" s="5">
        <v>5.0</v>
      </c>
      <c r="F1388" s="5" t="s">
        <v>1437</v>
      </c>
      <c r="G1388" s="5" t="s">
        <v>224</v>
      </c>
      <c r="I1388" s="5">
        <v>1.0</v>
      </c>
      <c r="J1388" s="5">
        <v>0.0</v>
      </c>
      <c r="N1388" s="5" t="b">
        <v>1</v>
      </c>
      <c r="R1388" s="5">
        <v>0.0</v>
      </c>
      <c r="T1388" s="5">
        <v>10.0</v>
      </c>
      <c r="U1388" s="5">
        <v>7.0</v>
      </c>
      <c r="V1388" s="5" t="s">
        <v>1450</v>
      </c>
      <c r="W1388" s="81" t="s">
        <v>311</v>
      </c>
      <c r="X1388" s="78" t="s">
        <v>1439</v>
      </c>
      <c r="Y1388" s="5">
        <v>2.0</v>
      </c>
      <c r="Z1388" s="5">
        <v>0.0</v>
      </c>
      <c r="AA1388" s="3">
        <f>2+ (P1388*'Scoring System'!$B$3)+ (IF(OR(D1388="DEF",D1388="GK"),N1388*'Scoring System'!$B$4,IF(D1388="MID",N1388*'Scoring System'!$B$5,0)))+ (IF(OR(D1388="DEF",D1388="GK"),H1388*'Scoring System'!$B$6,IF(D1388="MID",H1388*'Scoring System'!$B$7,IF(D1388="ATT",H1388*'Scoring System'!$B$8,0))))+ IF(AND(OR(D1388="GK",D1388="DEF"),J1388&gt;=3),1*'Scoring System'!$B$9,0)+ (I1388*'Scoring System'!$B$10)+ (K1388*'Scoring System'!$B$11)+ (M1388*'Scoring System'!$B$12)+ (L1388*'Scoring System'!$B$13)+ (O1388*'Scoring System'!$B$14)+ (Q1388*'Scoring System'!$B$15)+ (R1388*'Scoring System'!$B$16)</f>
        <v>7</v>
      </c>
      <c r="AB1388" s="3" t="b">
        <f>IFERROR(match(C1388,'Match Day Fees'!$B$2:$B$999,0),0)=0</f>
        <v>0</v>
      </c>
      <c r="AC1388" s="3">
        <f t="shared" si="2"/>
        <v>0</v>
      </c>
      <c r="AD1388" s="3" t="str">
        <f>VLOOKUP(D1388,'Position Lookup'!A:B,1,FALSE)</f>
        <v>MID</v>
      </c>
    </row>
    <row r="1389" ht="17.25" customHeight="1">
      <c r="A1389" s="32">
        <v>45276.0</v>
      </c>
      <c r="B1389" s="5" t="s">
        <v>309</v>
      </c>
      <c r="C1389" s="5" t="s">
        <v>139</v>
      </c>
      <c r="D1389" s="5" t="s">
        <v>9</v>
      </c>
      <c r="E1389" s="5">
        <v>5.0</v>
      </c>
      <c r="F1389" s="5" t="s">
        <v>1437</v>
      </c>
      <c r="G1389" s="5" t="s">
        <v>224</v>
      </c>
      <c r="H1389" s="5">
        <v>2.0</v>
      </c>
      <c r="J1389" s="5">
        <v>0.0</v>
      </c>
      <c r="N1389" s="5" t="b">
        <v>1</v>
      </c>
      <c r="R1389" s="5">
        <v>0.0</v>
      </c>
      <c r="T1389" s="5">
        <v>10.0</v>
      </c>
      <c r="U1389" s="5">
        <v>7.5</v>
      </c>
      <c r="V1389" s="5" t="s">
        <v>1451</v>
      </c>
      <c r="W1389" s="81" t="s">
        <v>311</v>
      </c>
      <c r="X1389" s="78" t="s">
        <v>1439</v>
      </c>
      <c r="Y1389" s="5">
        <v>2.0</v>
      </c>
      <c r="Z1389" s="5">
        <v>0.0</v>
      </c>
      <c r="AA1389" s="3">
        <f>2+ (P1389*'Scoring System'!$B$3)+ (IF(OR(D1389="DEF",D1389="GK"),N1389*'Scoring System'!$B$4,IF(D1389="MID",N1389*'Scoring System'!$B$5,0)))+ (IF(OR(D1389="DEF",D1389="GK"),H1389*'Scoring System'!$B$6,IF(D1389="MID",H1389*'Scoring System'!$B$7,IF(D1389="ATT",H1389*'Scoring System'!$B$8,0))))+ IF(AND(OR(D1389="GK",D1389="DEF"),J1389&gt;=3),1*'Scoring System'!$B$9,0)+ (I1389*'Scoring System'!$B$10)+ (K1389*'Scoring System'!$B$11)+ (M1389*'Scoring System'!$B$12)+ (L1389*'Scoring System'!$B$13)+ (O1389*'Scoring System'!$B$14)+ (Q1389*'Scoring System'!$B$15)+ (R1389*'Scoring System'!$B$16)</f>
        <v>10</v>
      </c>
      <c r="AB1389" s="3" t="b">
        <f>IFERROR(match(C1389,'Match Day Fees'!$B$2:$B$999,0),0)=0</f>
        <v>0</v>
      </c>
      <c r="AC1389" s="3">
        <f t="shared" si="2"/>
        <v>0</v>
      </c>
      <c r="AD1389" s="3" t="str">
        <f>VLOOKUP(D1389,'Position Lookup'!A:B,1,FALSE)</f>
        <v>ATT</v>
      </c>
    </row>
    <row r="1390" ht="17.25" customHeight="1">
      <c r="A1390" s="32">
        <v>45276.0</v>
      </c>
      <c r="B1390" s="5" t="s">
        <v>309</v>
      </c>
      <c r="C1390" s="5" t="s">
        <v>1372</v>
      </c>
      <c r="D1390" s="5" t="s">
        <v>9</v>
      </c>
      <c r="E1390" s="5">
        <v>5.0</v>
      </c>
      <c r="F1390" s="5" t="s">
        <v>1437</v>
      </c>
      <c r="G1390" s="5" t="s">
        <v>224</v>
      </c>
      <c r="J1390" s="5">
        <v>0.0</v>
      </c>
      <c r="N1390" s="5" t="b">
        <v>1</v>
      </c>
      <c r="R1390" s="5">
        <v>0.0</v>
      </c>
      <c r="T1390" s="5">
        <v>7.0</v>
      </c>
      <c r="U1390" s="5">
        <v>7.0</v>
      </c>
      <c r="V1390" s="5" t="s">
        <v>1452</v>
      </c>
      <c r="W1390" s="81" t="s">
        <v>311</v>
      </c>
      <c r="X1390" s="78" t="s">
        <v>1439</v>
      </c>
      <c r="Y1390" s="5">
        <v>2.0</v>
      </c>
      <c r="Z1390" s="5">
        <v>0.0</v>
      </c>
      <c r="AA1390" s="3">
        <f>2+ (P1390*'Scoring System'!$B$3)+ (IF(OR(D1390="DEF",D1390="GK"),N1390*'Scoring System'!$B$4,IF(D1390="MID",N1390*'Scoring System'!$B$5,0)))+ (IF(OR(D1390="DEF",D1390="GK"),H1390*'Scoring System'!$B$6,IF(D1390="MID",H1390*'Scoring System'!$B$7,IF(D1390="ATT",H1390*'Scoring System'!$B$8,0))))+ IF(AND(OR(D1390="GK",D1390="DEF"),J1390&gt;=3),1*'Scoring System'!$B$9,0)+ (I1390*'Scoring System'!$B$10)+ (K1390*'Scoring System'!$B$11)+ (M1390*'Scoring System'!$B$12)+ (L1390*'Scoring System'!$B$13)+ (O1390*'Scoring System'!$B$14)+ (Q1390*'Scoring System'!$B$15)+ (R1390*'Scoring System'!$B$16)</f>
        <v>2</v>
      </c>
      <c r="AB1390" s="3" t="b">
        <f>IFERROR(match(C1390,'Match Day Fees'!$B$2:$B$999,0),0)=0</f>
        <v>0</v>
      </c>
      <c r="AC1390" s="3">
        <f t="shared" si="2"/>
        <v>0</v>
      </c>
      <c r="AD1390" s="3" t="str">
        <f>VLOOKUP(D1390,'Position Lookup'!A:B,1,FALSE)</f>
        <v>ATT</v>
      </c>
    </row>
    <row r="1391" ht="17.25" customHeight="1">
      <c r="A1391" s="32">
        <v>45276.0</v>
      </c>
      <c r="B1391" s="5" t="s">
        <v>309</v>
      </c>
      <c r="C1391" s="5" t="s">
        <v>259</v>
      </c>
      <c r="D1391" s="5" t="s">
        <v>8</v>
      </c>
      <c r="E1391" s="5">
        <v>6.0</v>
      </c>
      <c r="F1391" s="5" t="s">
        <v>1453</v>
      </c>
      <c r="G1391" s="5" t="s">
        <v>224</v>
      </c>
      <c r="J1391" s="5">
        <v>3.0</v>
      </c>
      <c r="N1391" s="5" t="b">
        <v>0</v>
      </c>
      <c r="R1391" s="5">
        <v>0.0</v>
      </c>
      <c r="T1391" s="5">
        <v>10.0</v>
      </c>
      <c r="U1391" s="5">
        <v>8.0</v>
      </c>
      <c r="V1391" s="5" t="s">
        <v>1454</v>
      </c>
      <c r="W1391" s="81" t="s">
        <v>1375</v>
      </c>
      <c r="X1391" s="78" t="s">
        <v>1455</v>
      </c>
      <c r="Y1391" s="5">
        <v>5.0</v>
      </c>
      <c r="Z1391" s="5">
        <v>3.0</v>
      </c>
      <c r="AA1391" s="3">
        <f>2+ (P1391*'Scoring System'!$B$3)+ (IF(OR(D1391="DEF",D1391="GK"),N1391*'Scoring System'!$B$4,IF(D1391="MID",N1391*'Scoring System'!$B$5,0)))+ (IF(OR(D1391="DEF",D1391="GK"),H1391*'Scoring System'!$B$6,IF(D1391="MID",H1391*'Scoring System'!$B$7,IF(D1391="ATT",H1391*'Scoring System'!$B$8,0))))+ IF(AND(OR(D1391="GK",D1391="DEF"),J1391&gt;=3),1*'Scoring System'!$B$9,0)+ (I1391*'Scoring System'!$B$10)+ (K1391*'Scoring System'!$B$11)+ (M1391*'Scoring System'!$B$12)+ (L1391*'Scoring System'!$B$13)+ (O1391*'Scoring System'!$B$14)+ (Q1391*'Scoring System'!$B$15)+ (R1391*'Scoring System'!$B$16)</f>
        <v>1</v>
      </c>
      <c r="AB1391" s="3" t="b">
        <f>IFERROR(match(C1391,'Match Day Fees'!$B$2:$B$999,0),0)=0</f>
        <v>0</v>
      </c>
      <c r="AC1391" s="3">
        <f t="shared" si="2"/>
        <v>0</v>
      </c>
      <c r="AD1391" s="3" t="str">
        <f>VLOOKUP(D1391,'Position Lookup'!A:B,1,FALSE)</f>
        <v>GK</v>
      </c>
    </row>
    <row r="1392" ht="17.25" customHeight="1">
      <c r="A1392" s="32">
        <v>45276.0</v>
      </c>
      <c r="B1392" s="5" t="s">
        <v>309</v>
      </c>
      <c r="C1392" s="5" t="s">
        <v>98</v>
      </c>
      <c r="D1392" s="5" t="s">
        <v>11</v>
      </c>
      <c r="E1392" s="5">
        <v>6.0</v>
      </c>
      <c r="F1392" s="5" t="s">
        <v>1453</v>
      </c>
      <c r="G1392" s="5" t="s">
        <v>224</v>
      </c>
      <c r="J1392" s="5">
        <v>3.0</v>
      </c>
      <c r="N1392" s="5" t="b">
        <v>0</v>
      </c>
      <c r="R1392" s="5">
        <v>0.0</v>
      </c>
      <c r="T1392" s="5">
        <v>10.0</v>
      </c>
      <c r="U1392" s="5">
        <v>5.5</v>
      </c>
      <c r="V1392" s="5" t="s">
        <v>1456</v>
      </c>
      <c r="W1392" s="81" t="s">
        <v>1375</v>
      </c>
      <c r="X1392" s="78" t="s">
        <v>1455</v>
      </c>
      <c r="Y1392" s="5">
        <v>5.0</v>
      </c>
      <c r="Z1392" s="5">
        <v>3.0</v>
      </c>
      <c r="AA1392" s="3">
        <f>2+ (P1392*'Scoring System'!$B$3)+ (IF(OR(D1392="DEF",D1392="GK"),N1392*'Scoring System'!$B$4,IF(D1392="MID",N1392*'Scoring System'!$B$5,0)))+ (IF(OR(D1392="DEF",D1392="GK"),H1392*'Scoring System'!$B$6,IF(D1392="MID",H1392*'Scoring System'!$B$7,IF(D1392="ATT",H1392*'Scoring System'!$B$8,0))))+ IF(AND(OR(D1392="GK",D1392="DEF"),J1392&gt;=3),1*'Scoring System'!$B$9,0)+ (I1392*'Scoring System'!$B$10)+ (K1392*'Scoring System'!$B$11)+ (M1392*'Scoring System'!$B$12)+ (L1392*'Scoring System'!$B$13)+ (O1392*'Scoring System'!$B$14)+ (Q1392*'Scoring System'!$B$15)+ (R1392*'Scoring System'!$B$16)</f>
        <v>1</v>
      </c>
      <c r="AB1392" s="3" t="b">
        <f>IFERROR(match(C1392,'Match Day Fees'!$B$2:$B$999,0),0)=0</f>
        <v>0</v>
      </c>
      <c r="AC1392" s="3">
        <f t="shared" si="2"/>
        <v>0</v>
      </c>
      <c r="AD1392" s="3" t="str">
        <f>VLOOKUP(D1392,'Position Lookup'!A:B,1,FALSE)</f>
        <v>DEF</v>
      </c>
    </row>
    <row r="1393" ht="17.25" customHeight="1">
      <c r="A1393" s="32">
        <v>45276.0</v>
      </c>
      <c r="B1393" s="5" t="s">
        <v>309</v>
      </c>
      <c r="C1393" s="5" t="s">
        <v>99</v>
      </c>
      <c r="D1393" s="5" t="s">
        <v>11</v>
      </c>
      <c r="E1393" s="5">
        <v>6.0</v>
      </c>
      <c r="F1393" s="5" t="s">
        <v>1453</v>
      </c>
      <c r="G1393" s="5" t="s">
        <v>224</v>
      </c>
      <c r="J1393" s="5">
        <v>3.0</v>
      </c>
      <c r="N1393" s="5" t="b">
        <v>0</v>
      </c>
      <c r="R1393" s="5">
        <v>0.0</v>
      </c>
      <c r="T1393" s="5">
        <v>10.0</v>
      </c>
      <c r="U1393" s="5">
        <v>6.5</v>
      </c>
      <c r="V1393" s="5" t="s">
        <v>1457</v>
      </c>
      <c r="W1393" s="81" t="s">
        <v>1375</v>
      </c>
      <c r="X1393" s="78" t="s">
        <v>1455</v>
      </c>
      <c r="Y1393" s="5">
        <v>5.0</v>
      </c>
      <c r="Z1393" s="5">
        <v>3.0</v>
      </c>
      <c r="AA1393" s="3">
        <f>2+ (P1393*'Scoring System'!$B$3)+ (IF(OR(D1393="DEF",D1393="GK"),N1393*'Scoring System'!$B$4,IF(D1393="MID",N1393*'Scoring System'!$B$5,0)))+ (IF(OR(D1393="DEF",D1393="GK"),H1393*'Scoring System'!$B$6,IF(D1393="MID",H1393*'Scoring System'!$B$7,IF(D1393="ATT",H1393*'Scoring System'!$B$8,0))))+ IF(AND(OR(D1393="GK",D1393="DEF"),J1393&gt;=3),1*'Scoring System'!$B$9,0)+ (I1393*'Scoring System'!$B$10)+ (K1393*'Scoring System'!$B$11)+ (M1393*'Scoring System'!$B$12)+ (L1393*'Scoring System'!$B$13)+ (O1393*'Scoring System'!$B$14)+ (Q1393*'Scoring System'!$B$15)+ (R1393*'Scoring System'!$B$16)</f>
        <v>1</v>
      </c>
      <c r="AB1393" s="3" t="b">
        <f>IFERROR(match(C1393,'Match Day Fees'!$B$2:$B$999,0),0)=0</f>
        <v>0</v>
      </c>
      <c r="AC1393" s="3">
        <f t="shared" si="2"/>
        <v>0</v>
      </c>
      <c r="AD1393" s="3" t="str">
        <f>VLOOKUP(D1393,'Position Lookup'!A:B,1,FALSE)</f>
        <v>DEF</v>
      </c>
    </row>
    <row r="1394" ht="17.25" customHeight="1">
      <c r="A1394" s="32">
        <v>45276.0</v>
      </c>
      <c r="B1394" s="5" t="s">
        <v>309</v>
      </c>
      <c r="C1394" s="5" t="s">
        <v>142</v>
      </c>
      <c r="D1394" s="5" t="s">
        <v>11</v>
      </c>
      <c r="E1394" s="5">
        <v>6.0</v>
      </c>
      <c r="F1394" s="5" t="s">
        <v>1453</v>
      </c>
      <c r="G1394" s="5" t="s">
        <v>224</v>
      </c>
      <c r="I1394" s="5">
        <v>1.0</v>
      </c>
      <c r="J1394" s="5">
        <v>3.0</v>
      </c>
      <c r="N1394" s="5" t="b">
        <v>0</v>
      </c>
      <c r="R1394" s="5">
        <v>0.0</v>
      </c>
      <c r="T1394" s="5">
        <v>10.0</v>
      </c>
      <c r="U1394" s="5">
        <v>8.5</v>
      </c>
      <c r="V1394" s="5" t="s">
        <v>1458</v>
      </c>
      <c r="W1394" s="81" t="s">
        <v>1375</v>
      </c>
      <c r="X1394" s="78" t="s">
        <v>1455</v>
      </c>
      <c r="Y1394" s="5">
        <v>5.0</v>
      </c>
      <c r="Z1394" s="5">
        <v>3.0</v>
      </c>
      <c r="AA1394" s="3">
        <f>2+ (P1394*'Scoring System'!$B$3)+ (IF(OR(D1394="DEF",D1394="GK"),N1394*'Scoring System'!$B$4,IF(D1394="MID",N1394*'Scoring System'!$B$5,0)))+ (IF(OR(D1394="DEF",D1394="GK"),H1394*'Scoring System'!$B$6,IF(D1394="MID",H1394*'Scoring System'!$B$7,IF(D1394="ATT",H1394*'Scoring System'!$B$8,0))))+ IF(AND(OR(D1394="GK",D1394="DEF"),J1394&gt;=3),1*'Scoring System'!$B$9,0)+ (I1394*'Scoring System'!$B$10)+ (K1394*'Scoring System'!$B$11)+ (M1394*'Scoring System'!$B$12)+ (L1394*'Scoring System'!$B$13)+ (O1394*'Scoring System'!$B$14)+ (Q1394*'Scoring System'!$B$15)+ (R1394*'Scoring System'!$B$16)</f>
        <v>4</v>
      </c>
      <c r="AB1394" s="3" t="b">
        <f>IFERROR(match(C1394,'Match Day Fees'!$B$2:$B$999,0),0)=0</f>
        <v>0</v>
      </c>
      <c r="AC1394" s="3">
        <f t="shared" si="2"/>
        <v>0</v>
      </c>
      <c r="AD1394" s="3" t="str">
        <f>VLOOKUP(D1394,'Position Lookup'!A:B,1,FALSE)</f>
        <v>DEF</v>
      </c>
    </row>
    <row r="1395" ht="17.25" customHeight="1">
      <c r="A1395" s="32">
        <v>45276.0</v>
      </c>
      <c r="B1395" s="5" t="s">
        <v>309</v>
      </c>
      <c r="C1395" s="5" t="s">
        <v>97</v>
      </c>
      <c r="D1395" s="5" t="s">
        <v>11</v>
      </c>
      <c r="E1395" s="5">
        <v>6.0</v>
      </c>
      <c r="F1395" s="5" t="s">
        <v>1453</v>
      </c>
      <c r="G1395" s="5" t="s">
        <v>224</v>
      </c>
      <c r="I1395" s="5">
        <v>1.0</v>
      </c>
      <c r="J1395" s="5">
        <v>3.0</v>
      </c>
      <c r="N1395" s="5" t="b">
        <v>0</v>
      </c>
      <c r="R1395" s="5">
        <v>0.0</v>
      </c>
      <c r="T1395" s="5">
        <v>5.0</v>
      </c>
      <c r="U1395" s="5">
        <v>7.0</v>
      </c>
      <c r="V1395" s="5" t="s">
        <v>1459</v>
      </c>
      <c r="W1395" s="81" t="s">
        <v>1375</v>
      </c>
      <c r="X1395" s="78" t="s">
        <v>1455</v>
      </c>
      <c r="Y1395" s="5">
        <v>5.0</v>
      </c>
      <c r="Z1395" s="5">
        <v>3.0</v>
      </c>
      <c r="AA1395" s="3">
        <f>2+ (P1395*'Scoring System'!$B$3)+ (IF(OR(D1395="DEF",D1395="GK"),N1395*'Scoring System'!$B$4,IF(D1395="MID",N1395*'Scoring System'!$B$5,0)))+ (IF(OR(D1395="DEF",D1395="GK"),H1395*'Scoring System'!$B$6,IF(D1395="MID",H1395*'Scoring System'!$B$7,IF(D1395="ATT",H1395*'Scoring System'!$B$8,0))))+ IF(AND(OR(D1395="GK",D1395="DEF"),J1395&gt;=3),1*'Scoring System'!$B$9,0)+ (I1395*'Scoring System'!$B$10)+ (K1395*'Scoring System'!$B$11)+ (M1395*'Scoring System'!$B$12)+ (L1395*'Scoring System'!$B$13)+ (O1395*'Scoring System'!$B$14)+ (Q1395*'Scoring System'!$B$15)+ (R1395*'Scoring System'!$B$16)</f>
        <v>4</v>
      </c>
      <c r="AB1395" s="3" t="b">
        <f>IFERROR(match(C1395,'Match Day Fees'!$B$2:$B$999,0),0)=0</f>
        <v>0</v>
      </c>
      <c r="AC1395" s="3">
        <f t="shared" si="2"/>
        <v>0</v>
      </c>
      <c r="AD1395" s="3" t="str">
        <f>VLOOKUP(D1395,'Position Lookup'!A:B,1,FALSE)</f>
        <v>DEF</v>
      </c>
    </row>
    <row r="1396" ht="17.25" customHeight="1">
      <c r="A1396" s="32">
        <v>45276.0</v>
      </c>
      <c r="B1396" s="5" t="s">
        <v>309</v>
      </c>
      <c r="C1396" s="5" t="s">
        <v>287</v>
      </c>
      <c r="D1396" s="5" t="s">
        <v>11</v>
      </c>
      <c r="E1396" s="5">
        <v>6.0</v>
      </c>
      <c r="F1396" s="5" t="s">
        <v>1453</v>
      </c>
      <c r="G1396" s="5" t="s">
        <v>224</v>
      </c>
      <c r="J1396" s="5">
        <v>3.0</v>
      </c>
      <c r="N1396" s="5" t="b">
        <v>0</v>
      </c>
      <c r="R1396" s="5">
        <v>0.0</v>
      </c>
      <c r="T1396" s="5">
        <v>5.0</v>
      </c>
      <c r="U1396" s="5">
        <v>7.5</v>
      </c>
      <c r="V1396" s="5" t="s">
        <v>1460</v>
      </c>
      <c r="W1396" s="81" t="s">
        <v>1375</v>
      </c>
      <c r="X1396" s="78" t="s">
        <v>1455</v>
      </c>
      <c r="Y1396" s="5">
        <v>5.0</v>
      </c>
      <c r="Z1396" s="5">
        <v>3.0</v>
      </c>
      <c r="AA1396" s="3">
        <f>2+ (P1396*'Scoring System'!$B$3)+ (IF(OR(D1396="DEF",D1396="GK"),N1396*'Scoring System'!$B$4,IF(D1396="MID",N1396*'Scoring System'!$B$5,0)))+ (IF(OR(D1396="DEF",D1396="GK"),H1396*'Scoring System'!$B$6,IF(D1396="MID",H1396*'Scoring System'!$B$7,IF(D1396="ATT",H1396*'Scoring System'!$B$8,0))))+ IF(AND(OR(D1396="GK",D1396="DEF"),J1396&gt;=3),1*'Scoring System'!$B$9,0)+ (I1396*'Scoring System'!$B$10)+ (K1396*'Scoring System'!$B$11)+ (M1396*'Scoring System'!$B$12)+ (L1396*'Scoring System'!$B$13)+ (O1396*'Scoring System'!$B$14)+ (Q1396*'Scoring System'!$B$15)+ (R1396*'Scoring System'!$B$16)</f>
        <v>1</v>
      </c>
      <c r="AB1396" s="3" t="b">
        <f>IFERROR(match(C1396,'Match Day Fees'!$B$2:$B$999,0),0)=0</f>
        <v>0</v>
      </c>
      <c r="AC1396" s="3">
        <f t="shared" si="2"/>
        <v>0</v>
      </c>
      <c r="AD1396" s="3" t="str">
        <f>VLOOKUP(D1396,'Position Lookup'!A:B,1,FALSE)</f>
        <v>DEF</v>
      </c>
    </row>
    <row r="1397" ht="17.25" customHeight="1">
      <c r="A1397" s="32">
        <v>45276.0</v>
      </c>
      <c r="B1397" s="5" t="s">
        <v>309</v>
      </c>
      <c r="C1397" s="5" t="s">
        <v>591</v>
      </c>
      <c r="D1397" s="5" t="s">
        <v>9</v>
      </c>
      <c r="E1397" s="5">
        <v>6.0</v>
      </c>
      <c r="F1397" s="5" t="s">
        <v>1453</v>
      </c>
      <c r="G1397" s="5" t="s">
        <v>224</v>
      </c>
      <c r="I1397" s="5">
        <v>1.0</v>
      </c>
      <c r="J1397" s="5">
        <v>3.0</v>
      </c>
      <c r="N1397" s="5" t="b">
        <v>0</v>
      </c>
      <c r="R1397" s="5">
        <v>0.0</v>
      </c>
      <c r="T1397" s="5">
        <v>5.0</v>
      </c>
      <c r="U1397" s="5">
        <v>8.5</v>
      </c>
      <c r="V1397" s="5" t="s">
        <v>1461</v>
      </c>
      <c r="W1397" s="81" t="s">
        <v>1375</v>
      </c>
      <c r="X1397" s="78" t="s">
        <v>1455</v>
      </c>
      <c r="Y1397" s="5">
        <v>5.0</v>
      </c>
      <c r="Z1397" s="5">
        <v>3.0</v>
      </c>
      <c r="AA1397" s="3">
        <f>2+ (P1397*'Scoring System'!$B$3)+ (IF(OR(AD1397="DEF",AD1397="GK"),N1397*'Scoring System'!$B$4,IF(AD1397="MID",N1397*'Scoring System'!$B$5,0)))+ (IF(OR(AD1397="DEF",AD1397="GK"),H1397*'Scoring System'!$B$6,IF(AD1397="MID",H1397*'Scoring System'!$B$7,IF(AD1397="ATT",H1397*'Scoring System'!$B$8,0))))+ IF(AND(OR(AD1397="GK",AD1397="DEF"),J1397&gt;=3),1*'Scoring System'!$B$9,0)+ (I1397*'Scoring System'!$B$10)+ (K1397*'Scoring System'!$B$11)+ (M1397*'Scoring System'!$B$12)+ (L1397*'Scoring System'!$B$13)+ (O1397*'Scoring System'!$B$14)+ (Q1397*'Scoring System'!$B$15)+ (R1397*'Scoring System'!$B$16)</f>
        <v>5</v>
      </c>
      <c r="AB1397" s="3" t="b">
        <f>IFERROR(match(C1397,'Match Day Fees'!$B$2:$B$999,0),0)=0</f>
        <v>0</v>
      </c>
      <c r="AC1397" s="3">
        <f t="shared" si="2"/>
        <v>0</v>
      </c>
      <c r="AD1397" s="3" t="str">
        <f>VLOOKUP(D1397,'Position Lookup'!A:B,1,FALSE)</f>
        <v>ATT</v>
      </c>
    </row>
    <row r="1398" ht="17.25" customHeight="1">
      <c r="A1398" s="32">
        <v>45276.0</v>
      </c>
      <c r="B1398" s="5" t="s">
        <v>309</v>
      </c>
      <c r="C1398" s="5" t="s">
        <v>122</v>
      </c>
      <c r="D1398" s="5" t="s">
        <v>10</v>
      </c>
      <c r="E1398" s="5">
        <v>6.0</v>
      </c>
      <c r="F1398" s="5" t="s">
        <v>1453</v>
      </c>
      <c r="G1398" s="5" t="s">
        <v>224</v>
      </c>
      <c r="J1398" s="5">
        <v>3.0</v>
      </c>
      <c r="N1398" s="5" t="b">
        <v>0</v>
      </c>
      <c r="R1398" s="5">
        <v>0.0</v>
      </c>
      <c r="T1398" s="5">
        <v>5.0</v>
      </c>
      <c r="U1398" s="5">
        <v>7.5</v>
      </c>
      <c r="V1398" s="5" t="s">
        <v>1462</v>
      </c>
      <c r="W1398" s="81" t="s">
        <v>1375</v>
      </c>
      <c r="X1398" s="78" t="s">
        <v>1455</v>
      </c>
      <c r="Y1398" s="5">
        <v>5.0</v>
      </c>
      <c r="Z1398" s="5">
        <v>3.0</v>
      </c>
      <c r="AA1398" s="3">
        <f>2+ (P1398*'Scoring System'!$B$3)+ (IF(OR(AD1398="DEF",AD1398="GK"),N1398*'Scoring System'!$B$4,IF(AD1398="MID",N1398*'Scoring System'!$B$5,0)))+ (IF(OR(AD1398="DEF",AD1398="GK"),H1398*'Scoring System'!$B$6,IF(AD1398="MID",H1398*'Scoring System'!$B$7,IF(AD1398="ATT",H1398*'Scoring System'!$B$8,0))))+ IF(AND(OR(AD1398="GK",AD1398="DEF"),J1398&gt;=3),1*'Scoring System'!$B$9,0)+ (I1398*'Scoring System'!$B$10)+ (K1398*'Scoring System'!$B$11)+ (M1398*'Scoring System'!$B$12)+ (L1398*'Scoring System'!$B$13)+ (O1398*'Scoring System'!$B$14)+ (Q1398*'Scoring System'!$B$15)+ (R1398*'Scoring System'!$B$16)</f>
        <v>2</v>
      </c>
      <c r="AB1398" s="3" t="b">
        <f>IFERROR(match(C1398,'Match Day Fees'!$B$2:$B$999,0),0)=0</f>
        <v>0</v>
      </c>
      <c r="AC1398" s="3">
        <f t="shared" si="2"/>
        <v>0</v>
      </c>
      <c r="AD1398" s="3" t="str">
        <f>VLOOKUP(D1398,'Position Lookup'!A:B,1,FALSE)</f>
        <v>MID</v>
      </c>
    </row>
    <row r="1399" ht="17.25" customHeight="1">
      <c r="A1399" s="32">
        <v>45276.0</v>
      </c>
      <c r="B1399" s="5" t="s">
        <v>309</v>
      </c>
      <c r="C1399" s="5" t="s">
        <v>231</v>
      </c>
      <c r="D1399" s="5" t="s">
        <v>10</v>
      </c>
      <c r="E1399" s="5">
        <v>6.0</v>
      </c>
      <c r="F1399" s="5" t="s">
        <v>1453</v>
      </c>
      <c r="G1399" s="5" t="s">
        <v>224</v>
      </c>
      <c r="J1399" s="5">
        <v>3.0</v>
      </c>
      <c r="N1399" s="5" t="b">
        <v>0</v>
      </c>
      <c r="R1399" s="5">
        <v>0.0</v>
      </c>
      <c r="T1399" s="5">
        <v>5.0</v>
      </c>
      <c r="U1399" s="5">
        <v>7.0</v>
      </c>
      <c r="V1399" s="5" t="s">
        <v>1463</v>
      </c>
      <c r="W1399" s="81" t="s">
        <v>1375</v>
      </c>
      <c r="X1399" s="78" t="s">
        <v>1455</v>
      </c>
      <c r="Y1399" s="5">
        <v>5.0</v>
      </c>
      <c r="Z1399" s="5">
        <v>3.0</v>
      </c>
      <c r="AA1399" s="3">
        <f>2+ (P1399*'Scoring System'!$B$3)+ (IF(OR(AD1399="DEF",AD1399="GK"),N1399*'Scoring System'!$B$4,IF(AD1399="MID",N1399*'Scoring System'!$B$5,0)))+ (IF(OR(AD1399="DEF",AD1399="GK"),H1399*'Scoring System'!$B$6,IF(AD1399="MID",H1399*'Scoring System'!$B$7,IF(AD1399="ATT",H1399*'Scoring System'!$B$8,0))))+ IF(AND(OR(AD1399="GK",AD1399="DEF"),J1399&gt;=3),1*'Scoring System'!$B$9,0)+ (I1399*'Scoring System'!$B$10)+ (K1399*'Scoring System'!$B$11)+ (M1399*'Scoring System'!$B$12)+ (L1399*'Scoring System'!$B$13)+ (O1399*'Scoring System'!$B$14)+ (Q1399*'Scoring System'!$B$15)+ (R1399*'Scoring System'!$B$16)</f>
        <v>2</v>
      </c>
      <c r="AB1399" s="3" t="b">
        <f>IFERROR(match(C1399,'Match Day Fees'!$B$2:$B$999,0),0)=0</f>
        <v>0</v>
      </c>
      <c r="AC1399" s="3">
        <f t="shared" si="2"/>
        <v>0</v>
      </c>
      <c r="AD1399" s="3" t="str">
        <f>VLOOKUP(D1399,'Position Lookup'!A:B,1,FALSE)</f>
        <v>MID</v>
      </c>
    </row>
    <row r="1400" ht="17.25" customHeight="1">
      <c r="A1400" s="32">
        <v>45276.0</v>
      </c>
      <c r="B1400" s="5" t="s">
        <v>309</v>
      </c>
      <c r="C1400" s="5" t="s">
        <v>235</v>
      </c>
      <c r="D1400" s="5" t="s">
        <v>9</v>
      </c>
      <c r="E1400" s="5">
        <v>6.0</v>
      </c>
      <c r="F1400" s="5" t="s">
        <v>1453</v>
      </c>
      <c r="G1400" s="5" t="s">
        <v>224</v>
      </c>
      <c r="J1400" s="5">
        <v>3.0</v>
      </c>
      <c r="N1400" s="5" t="b">
        <v>0</v>
      </c>
      <c r="R1400" s="5">
        <v>0.0</v>
      </c>
      <c r="T1400" s="5">
        <v>10.0</v>
      </c>
      <c r="U1400" s="5">
        <v>7.5</v>
      </c>
      <c r="V1400" s="5" t="s">
        <v>1464</v>
      </c>
      <c r="W1400" s="81" t="s">
        <v>1375</v>
      </c>
      <c r="X1400" s="78" t="s">
        <v>1455</v>
      </c>
      <c r="Y1400" s="5">
        <v>5.0</v>
      </c>
      <c r="Z1400" s="5">
        <v>3.0</v>
      </c>
      <c r="AA1400" s="3">
        <f>2+ (P1400*'Scoring System'!$B$3)+ (IF(OR(AD1400="DEF",AD1400="GK"),N1400*'Scoring System'!$B$4,IF(AD1400="MID",N1400*'Scoring System'!$B$5,0)))+ (IF(OR(AD1400="DEF",AD1400="GK"),H1400*'Scoring System'!$B$6,IF(AD1400="MID",H1400*'Scoring System'!$B$7,IF(AD1400="ATT",H1400*'Scoring System'!$B$8,0))))+ IF(AND(OR(AD1400="GK",AD1400="DEF"),J1400&gt;=3),1*'Scoring System'!$B$9,0)+ (I1400*'Scoring System'!$B$10)+ (K1400*'Scoring System'!$B$11)+ (M1400*'Scoring System'!$B$12)+ (L1400*'Scoring System'!$B$13)+ (O1400*'Scoring System'!$B$14)+ (Q1400*'Scoring System'!$B$15)+ (R1400*'Scoring System'!$B$16)</f>
        <v>2</v>
      </c>
      <c r="AB1400" s="3" t="b">
        <f>IFERROR(match(C1400,'Match Day Fees'!$B$2:$B$999,0),0)=0</f>
        <v>0</v>
      </c>
      <c r="AC1400" s="3">
        <f t="shared" si="2"/>
        <v>0</v>
      </c>
      <c r="AD1400" s="3" t="str">
        <f>VLOOKUP(D1400,'Position Lookup'!A:B,1,FALSE)</f>
        <v>ATT</v>
      </c>
    </row>
    <row r="1401" ht="17.25" customHeight="1">
      <c r="A1401" s="32">
        <v>45276.0</v>
      </c>
      <c r="B1401" s="5" t="s">
        <v>309</v>
      </c>
      <c r="C1401" s="5" t="s">
        <v>71</v>
      </c>
      <c r="D1401" s="5" t="s">
        <v>9</v>
      </c>
      <c r="E1401" s="5">
        <v>6.0</v>
      </c>
      <c r="F1401" s="5" t="s">
        <v>1453</v>
      </c>
      <c r="G1401" s="5" t="s">
        <v>224</v>
      </c>
      <c r="H1401" s="5">
        <v>1.0</v>
      </c>
      <c r="J1401" s="5">
        <v>3.0</v>
      </c>
      <c r="N1401" s="5" t="b">
        <v>0</v>
      </c>
      <c r="R1401" s="5">
        <v>0.0</v>
      </c>
      <c r="T1401" s="5">
        <v>10.0</v>
      </c>
      <c r="U1401" s="5">
        <v>7.5</v>
      </c>
      <c r="V1401" s="5" t="s">
        <v>1465</v>
      </c>
      <c r="W1401" s="81" t="s">
        <v>1375</v>
      </c>
      <c r="X1401" s="78" t="s">
        <v>1455</v>
      </c>
      <c r="Y1401" s="5">
        <v>5.0</v>
      </c>
      <c r="Z1401" s="5">
        <v>3.0</v>
      </c>
      <c r="AA1401" s="3">
        <f>2+ (P1401*'Scoring System'!$B$3)+ (IF(OR(AD1401="DEF",AD1401="GK"),N1401*'Scoring System'!$B$4,IF(AD1401="MID",N1401*'Scoring System'!$B$5,0)))+ (IF(OR(AD1401="DEF",AD1401="GK"),H1401*'Scoring System'!$B$6,IF(AD1401="MID",H1401*'Scoring System'!$B$7,IF(AD1401="ATT",H1401*'Scoring System'!$B$8,0))))+ IF(AND(OR(AD1401="GK",AD1401="DEF"),J1401&gt;=3),1*'Scoring System'!$B$9,0)+ (I1401*'Scoring System'!$B$10)+ (K1401*'Scoring System'!$B$11)+ (M1401*'Scoring System'!$B$12)+ (L1401*'Scoring System'!$B$13)+ (O1401*'Scoring System'!$B$14)+ (Q1401*'Scoring System'!$B$15)+ (R1401*'Scoring System'!$B$16)</f>
        <v>6</v>
      </c>
      <c r="AB1401" s="3" t="b">
        <f>IFERROR(match(C1401,'Match Day Fees'!$B$2:$B$999,0),0)=0</f>
        <v>0</v>
      </c>
      <c r="AC1401" s="3">
        <f t="shared" si="2"/>
        <v>0</v>
      </c>
      <c r="AD1401" s="3" t="str">
        <f>VLOOKUP(D1401,'Position Lookup'!A:B,1,FALSE)</f>
        <v>ATT</v>
      </c>
    </row>
    <row r="1402" ht="17.25" customHeight="1">
      <c r="A1402" s="32">
        <v>45276.0</v>
      </c>
      <c r="B1402" s="5" t="s">
        <v>309</v>
      </c>
      <c r="C1402" s="5" t="s">
        <v>149</v>
      </c>
      <c r="D1402" s="5" t="s">
        <v>10</v>
      </c>
      <c r="E1402" s="5">
        <v>6.0</v>
      </c>
      <c r="F1402" s="5" t="s">
        <v>1453</v>
      </c>
      <c r="G1402" s="5" t="s">
        <v>224</v>
      </c>
      <c r="I1402" s="5">
        <v>1.0</v>
      </c>
      <c r="J1402" s="5">
        <v>3.0</v>
      </c>
      <c r="N1402" s="5" t="b">
        <v>0</v>
      </c>
      <c r="R1402" s="5">
        <v>0.0</v>
      </c>
      <c r="T1402" s="5">
        <v>10.0</v>
      </c>
      <c r="U1402" s="5">
        <v>7.0</v>
      </c>
      <c r="V1402" s="5" t="s">
        <v>1466</v>
      </c>
      <c r="W1402" s="81" t="s">
        <v>1375</v>
      </c>
      <c r="X1402" s="78" t="s">
        <v>1455</v>
      </c>
      <c r="Y1402" s="5">
        <v>5.0</v>
      </c>
      <c r="Z1402" s="5">
        <v>3.0</v>
      </c>
      <c r="AA1402" s="3">
        <f>2+ (P1402*'Scoring System'!$B$3)+ (IF(OR(AD1402="DEF",AD1402="GK"),N1402*'Scoring System'!$B$4,IF(AD1402="MID",N1402*'Scoring System'!$B$5,0)))+ (IF(OR(AD1402="DEF",AD1402="GK"),H1402*'Scoring System'!$B$6,IF(AD1402="MID",H1402*'Scoring System'!$B$7,IF(AD1402="ATT",H1402*'Scoring System'!$B$8,0))))+ IF(AND(OR(AD1402="GK",AD1402="DEF"),J1402&gt;=3),1*'Scoring System'!$B$9,0)+ (I1402*'Scoring System'!$B$10)+ (K1402*'Scoring System'!$B$11)+ (M1402*'Scoring System'!$B$12)+ (L1402*'Scoring System'!$B$13)+ (O1402*'Scoring System'!$B$14)+ (Q1402*'Scoring System'!$B$15)+ (R1402*'Scoring System'!$B$16)</f>
        <v>5</v>
      </c>
      <c r="AB1402" s="3" t="b">
        <f>IFERROR(match(C1402,'Match Day Fees'!$B$2:$B$999,0),0)=0</f>
        <v>0</v>
      </c>
      <c r="AC1402" s="3">
        <f t="shared" si="2"/>
        <v>0</v>
      </c>
      <c r="AD1402" s="3" t="str">
        <f>VLOOKUP(D1402,'Position Lookup'!A:B,1,FALSE)</f>
        <v>MID</v>
      </c>
    </row>
    <row r="1403" ht="17.25" customHeight="1">
      <c r="A1403" s="32">
        <v>45276.0</v>
      </c>
      <c r="B1403" s="5" t="s">
        <v>309</v>
      </c>
      <c r="C1403" s="5" t="s">
        <v>73</v>
      </c>
      <c r="D1403" s="5" t="s">
        <v>9</v>
      </c>
      <c r="E1403" s="5">
        <v>6.0</v>
      </c>
      <c r="F1403" s="5" t="s">
        <v>1453</v>
      </c>
      <c r="G1403" s="5" t="s">
        <v>224</v>
      </c>
      <c r="H1403" s="5">
        <v>3.0</v>
      </c>
      <c r="J1403" s="5">
        <v>3.0</v>
      </c>
      <c r="N1403" s="5" t="b">
        <v>0</v>
      </c>
      <c r="R1403" s="5">
        <v>1.0</v>
      </c>
      <c r="S1403" s="5" t="b">
        <v>1</v>
      </c>
      <c r="T1403" s="5">
        <v>0.0</v>
      </c>
      <c r="U1403" s="5">
        <v>9.0</v>
      </c>
      <c r="V1403" s="5" t="s">
        <v>1467</v>
      </c>
      <c r="W1403" s="81" t="s">
        <v>1375</v>
      </c>
      <c r="X1403" s="78" t="s">
        <v>1455</v>
      </c>
      <c r="Y1403" s="5">
        <v>5.0</v>
      </c>
      <c r="Z1403" s="5">
        <v>3.0</v>
      </c>
      <c r="AA1403" s="3">
        <f>2+ (P1403*'Scoring System'!$B$3)+ (IF(OR(AD1403="DEF",AD1403="GK"),N1403*'Scoring System'!$B$4,IF(AD1403="MID",N1403*'Scoring System'!$B$5,0)))+ (IF(OR(AD1403="DEF",AD1403="GK"),H1403*'Scoring System'!$B$6,IF(AD1403="MID",H1403*'Scoring System'!$B$7,IF(AD1403="ATT",H1403*'Scoring System'!$B$8,0))))+ IF(AND(OR(AD1403="GK",AD1403="DEF"),J1403&gt;=3),1*'Scoring System'!$B$9,0)+ (I1403*'Scoring System'!$B$10)+ (K1403*'Scoring System'!$B$11)+ (M1403*'Scoring System'!$B$12)+ (L1403*'Scoring System'!$B$13)+ (O1403*'Scoring System'!$B$14)+ (Q1403*'Scoring System'!$B$15)+ (R1403*'Scoring System'!$B$16)</f>
        <v>19</v>
      </c>
      <c r="AB1403" s="3" t="b">
        <f>IFERROR(match(C1403,'Match Day Fees'!$B$2:$B$999,0),0)=0</f>
        <v>0</v>
      </c>
      <c r="AC1403" s="3">
        <f t="shared" si="2"/>
        <v>0</v>
      </c>
      <c r="AD1403" s="3" t="str">
        <f>VLOOKUP(D1403,'Position Lookup'!A:B,1,FALSE)</f>
        <v>ATT</v>
      </c>
    </row>
    <row r="1404" ht="17.25" customHeight="1">
      <c r="A1404" s="32">
        <v>45276.0</v>
      </c>
      <c r="B1404" s="5" t="s">
        <v>309</v>
      </c>
      <c r="C1404" s="5" t="s">
        <v>72</v>
      </c>
      <c r="D1404" s="5" t="s">
        <v>10</v>
      </c>
      <c r="E1404" s="5">
        <v>6.0</v>
      </c>
      <c r="F1404" s="5" t="s">
        <v>1453</v>
      </c>
      <c r="G1404" s="5" t="s">
        <v>224</v>
      </c>
      <c r="J1404" s="5">
        <v>3.0</v>
      </c>
      <c r="N1404" s="5" t="b">
        <v>0</v>
      </c>
      <c r="R1404" s="5">
        <v>0.0</v>
      </c>
      <c r="T1404" s="5">
        <v>10.0</v>
      </c>
      <c r="U1404" s="5">
        <v>7.5</v>
      </c>
      <c r="V1404" s="5" t="s">
        <v>1468</v>
      </c>
      <c r="W1404" s="81" t="s">
        <v>1375</v>
      </c>
      <c r="X1404" s="78" t="s">
        <v>1455</v>
      </c>
      <c r="Y1404" s="5">
        <v>5.0</v>
      </c>
      <c r="Z1404" s="5">
        <v>3.0</v>
      </c>
      <c r="AA1404" s="3">
        <f>2+ (P1404*'Scoring System'!$B$3)+ (IF(OR(AD1404="DEF",AD1404="GK"),N1404*'Scoring System'!$B$4,IF(AD1404="MID",N1404*'Scoring System'!$B$5,0)))+ (IF(OR(AD1404="DEF",AD1404="GK"),H1404*'Scoring System'!$B$6,IF(AD1404="MID",H1404*'Scoring System'!$B$7,IF(AD1404="ATT",H1404*'Scoring System'!$B$8,0))))+ IF(AND(OR(AD1404="GK",AD1404="DEF"),J1404&gt;=3),1*'Scoring System'!$B$9,0)+ (I1404*'Scoring System'!$B$10)+ (K1404*'Scoring System'!$B$11)+ (M1404*'Scoring System'!$B$12)+ (L1404*'Scoring System'!$B$13)+ (O1404*'Scoring System'!$B$14)+ (Q1404*'Scoring System'!$B$15)+ (R1404*'Scoring System'!$B$16)</f>
        <v>2</v>
      </c>
      <c r="AB1404" s="3" t="b">
        <f>IFERROR(match(C1404,'Match Day Fees'!$B$2:$B$999,0),0)=0</f>
        <v>0</v>
      </c>
      <c r="AC1404" s="3">
        <f t="shared" si="2"/>
        <v>0</v>
      </c>
      <c r="AD1404" s="3" t="str">
        <f>VLOOKUP(D1404,'Position Lookup'!A:B,1,FALSE)</f>
        <v>MID</v>
      </c>
    </row>
    <row r="1405" ht="17.25" customHeight="1">
      <c r="A1405" s="32">
        <v>45297.0</v>
      </c>
      <c r="B1405" s="5" t="s">
        <v>712</v>
      </c>
      <c r="C1405" s="3" t="s">
        <v>53</v>
      </c>
      <c r="D1405" s="3" t="s">
        <v>8</v>
      </c>
      <c r="E1405" s="5">
        <v>1.0</v>
      </c>
      <c r="F1405" s="3" t="s">
        <v>495</v>
      </c>
      <c r="G1405" s="3" t="s">
        <v>224</v>
      </c>
      <c r="J1405" s="5">
        <v>0.0</v>
      </c>
      <c r="N1405" s="3" t="b">
        <v>1</v>
      </c>
      <c r="R1405" s="3">
        <v>0.0</v>
      </c>
      <c r="S1405" s="3" t="b">
        <v>0</v>
      </c>
      <c r="T1405" s="3">
        <v>10.0</v>
      </c>
      <c r="U1405" s="3">
        <v>8.5</v>
      </c>
      <c r="V1405" s="3" t="s">
        <v>1469</v>
      </c>
      <c r="W1405" s="3" t="s">
        <v>311</v>
      </c>
      <c r="X1405" s="77" t="s">
        <v>1470</v>
      </c>
      <c r="Y1405" s="3">
        <v>1.0</v>
      </c>
      <c r="Z1405" s="3">
        <v>0.0</v>
      </c>
      <c r="AA1405" s="3">
        <f>2+ (P1405*'Scoring System'!$B$3)+ (IF(OR(AD1405="DEF",AD1405="GK"),N1405*'Scoring System'!$B$4,IF(AD1405="MID",N1405*'Scoring System'!$B$5,0)))+ (IF(OR(AD1405="DEF",AD1405="GK"),H1405*'Scoring System'!$B$6,IF(AD1405="MID",H1405*'Scoring System'!$B$7,IF(AD1405="ATT",H1405*'Scoring System'!$B$8,0))))+ IF(AND(OR(AD1405="GK",AD1405="DEF"),J1405&gt;=3),1*'Scoring System'!$B$9,0)+ (I1405*'Scoring System'!$B$10)+ (K1405*'Scoring System'!$B$11)+ (M1405*'Scoring System'!$B$12)+ (L1405*'Scoring System'!$B$13)+ (O1405*'Scoring System'!$B$14)+ (Q1405*'Scoring System'!$B$15)+ (R1405*'Scoring System'!$B$16)</f>
        <v>8</v>
      </c>
      <c r="AB1405" s="3" t="b">
        <f>IFERROR(match(C1405,'Match Day Fees'!$B$2:$B$999,0),0)=0</f>
        <v>0</v>
      </c>
      <c r="AC1405" s="3">
        <f t="shared" si="2"/>
        <v>0</v>
      </c>
      <c r="AD1405" s="3" t="str">
        <f>VLOOKUP(D1405,'Position Lookup'!A:B,1,FALSE)</f>
        <v>GK</v>
      </c>
    </row>
    <row r="1406" ht="17.25" customHeight="1">
      <c r="A1406" s="32">
        <v>45297.0</v>
      </c>
      <c r="B1406" s="5" t="s">
        <v>712</v>
      </c>
      <c r="C1406" s="3" t="s">
        <v>68</v>
      </c>
      <c r="D1406" s="3" t="s">
        <v>15</v>
      </c>
      <c r="E1406" s="5">
        <v>1.0</v>
      </c>
      <c r="F1406" s="3" t="s">
        <v>495</v>
      </c>
      <c r="G1406" s="3" t="s">
        <v>224</v>
      </c>
      <c r="J1406" s="5">
        <v>0.0</v>
      </c>
      <c r="N1406" s="3" t="b">
        <v>1</v>
      </c>
      <c r="R1406" s="3">
        <v>1.0</v>
      </c>
      <c r="T1406" s="3">
        <v>10.0</v>
      </c>
      <c r="U1406" s="3">
        <v>9.5</v>
      </c>
      <c r="V1406" s="3" t="s">
        <v>1471</v>
      </c>
      <c r="W1406" s="3" t="s">
        <v>311</v>
      </c>
      <c r="X1406" s="77" t="s">
        <v>1470</v>
      </c>
      <c r="Y1406" s="3">
        <v>1.0</v>
      </c>
      <c r="Z1406" s="3">
        <v>0.0</v>
      </c>
      <c r="AA1406" s="3">
        <f>2+ (P1406*'Scoring System'!$B$3)+ (IF(OR(AD1406="DEF",AD1406="GK"),N1406*'Scoring System'!$B$4,IF(AD1406="MID",N1406*'Scoring System'!$B$5,0)))+ (IF(OR(AD1406="DEF",AD1406="GK"),H1406*'Scoring System'!$B$6,IF(AD1406="MID",H1406*'Scoring System'!$B$7,IF(AD1406="ATT",H1406*'Scoring System'!$B$8,0))))+ IF(AND(OR(AD1406="GK",AD1406="DEF"),J1406&gt;=3),1*'Scoring System'!$B$9,0)+ (I1406*'Scoring System'!$B$10)+ (K1406*'Scoring System'!$B$11)+ (M1406*'Scoring System'!$B$12)+ (L1406*'Scoring System'!$B$13)+ (O1406*'Scoring System'!$B$14)+ (Q1406*'Scoring System'!$B$15)+ (R1406*'Scoring System'!$B$16)</f>
        <v>13</v>
      </c>
      <c r="AB1406" s="3" t="b">
        <f>IFERROR(match(C1406,'Match Day Fees'!$B$2:$B$999,0),0)=0</f>
        <v>0</v>
      </c>
      <c r="AC1406" s="3">
        <f t="shared" si="2"/>
        <v>0</v>
      </c>
      <c r="AD1406" s="3" t="str">
        <f>VLOOKUP(D1406,'Position Lookup'!A:B,2,FALSE)</f>
        <v>DEF</v>
      </c>
    </row>
    <row r="1407" ht="17.25" customHeight="1">
      <c r="A1407" s="32">
        <v>45297.0</v>
      </c>
      <c r="B1407" s="5" t="s">
        <v>712</v>
      </c>
      <c r="C1407" s="3" t="s">
        <v>69</v>
      </c>
      <c r="D1407" s="3" t="s">
        <v>14</v>
      </c>
      <c r="E1407" s="5">
        <v>1.0</v>
      </c>
      <c r="F1407" s="3" t="s">
        <v>495</v>
      </c>
      <c r="G1407" s="3" t="s">
        <v>224</v>
      </c>
      <c r="J1407" s="5">
        <v>0.0</v>
      </c>
      <c r="N1407" s="3" t="b">
        <v>1</v>
      </c>
      <c r="R1407" s="3">
        <v>0.0</v>
      </c>
      <c r="T1407" s="3">
        <v>10.0</v>
      </c>
      <c r="U1407" s="3">
        <v>9.5</v>
      </c>
      <c r="V1407" s="3" t="s">
        <v>1472</v>
      </c>
      <c r="W1407" s="3" t="s">
        <v>311</v>
      </c>
      <c r="X1407" s="77" t="s">
        <v>1470</v>
      </c>
      <c r="Y1407" s="3">
        <v>1.0</v>
      </c>
      <c r="Z1407" s="3">
        <v>0.0</v>
      </c>
      <c r="AA1407" s="3">
        <f>2+ (P1407*'Scoring System'!$B$3)+ (IF(OR(AD1407="DEF",AD1407="GK"),N1407*'Scoring System'!$B$4,IF(AD1407="MID",N1407*'Scoring System'!$B$5,0)))+ (IF(OR(AD1407="DEF",AD1407="GK"),H1407*'Scoring System'!$B$6,IF(AD1407="MID",H1407*'Scoring System'!$B$7,IF(AD1407="ATT",H1407*'Scoring System'!$B$8,0))))+ IF(AND(OR(AD1407="GK",AD1407="DEF"),J1407&gt;=3),1*'Scoring System'!$B$9,0)+ (I1407*'Scoring System'!$B$10)+ (K1407*'Scoring System'!$B$11)+ (M1407*'Scoring System'!$B$12)+ (L1407*'Scoring System'!$B$13)+ (O1407*'Scoring System'!$B$14)+ (Q1407*'Scoring System'!$B$15)+ (R1407*'Scoring System'!$B$16)</f>
        <v>8</v>
      </c>
      <c r="AB1407" s="3" t="b">
        <f>IFERROR(match(C1407,'Match Day Fees'!$B$2:$B$999,0),0)=0</f>
        <v>0</v>
      </c>
      <c r="AC1407" s="3">
        <f t="shared" si="2"/>
        <v>0</v>
      </c>
      <c r="AD1407" s="3" t="str">
        <f>VLOOKUP(D1407,'Position Lookup'!A:B,2,FALSE)</f>
        <v>DEF</v>
      </c>
    </row>
    <row r="1408" ht="17.25" customHeight="1">
      <c r="A1408" s="32">
        <v>45297.0</v>
      </c>
      <c r="B1408" s="5" t="s">
        <v>712</v>
      </c>
      <c r="C1408" s="3" t="s">
        <v>76</v>
      </c>
      <c r="D1408" s="3" t="s">
        <v>13</v>
      </c>
      <c r="E1408" s="5">
        <v>1.0</v>
      </c>
      <c r="F1408" s="3" t="s">
        <v>495</v>
      </c>
      <c r="G1408" s="3" t="s">
        <v>224</v>
      </c>
      <c r="J1408" s="5">
        <v>0.0</v>
      </c>
      <c r="K1408" s="5">
        <v>1.0</v>
      </c>
      <c r="N1408" s="3" t="b">
        <v>1</v>
      </c>
      <c r="R1408" s="3">
        <v>0.0</v>
      </c>
      <c r="T1408" s="3">
        <v>10.0</v>
      </c>
      <c r="U1408" s="3">
        <v>9.5</v>
      </c>
      <c r="V1408" s="3" t="s">
        <v>1473</v>
      </c>
      <c r="W1408" s="3" t="s">
        <v>311</v>
      </c>
      <c r="X1408" s="77" t="s">
        <v>1470</v>
      </c>
      <c r="Y1408" s="3">
        <v>1.0</v>
      </c>
      <c r="Z1408" s="3">
        <v>0.0</v>
      </c>
      <c r="AA1408" s="3">
        <f>2+ (P1408*'Scoring System'!$B$3)+ (IF(OR(AD1408="DEF",AD1408="GK"),N1408*'Scoring System'!$B$4,IF(AD1408="MID",N1408*'Scoring System'!$B$5,0)))+ (IF(OR(AD1408="DEF",AD1408="GK"),H1408*'Scoring System'!$B$6,IF(AD1408="MID",H1408*'Scoring System'!$B$7,IF(AD1408="ATT",H1408*'Scoring System'!$B$8,0))))+ IF(AND(OR(AD1408="GK",AD1408="DEF"),J1408&gt;=3),1*'Scoring System'!$B$9,0)+ (I1408*'Scoring System'!$B$10)+ (K1408*'Scoring System'!$B$11)+ (M1408*'Scoring System'!$B$12)+ (L1408*'Scoring System'!$B$13)+ (O1408*'Scoring System'!$B$14)+ (Q1408*'Scoring System'!$B$15)+ (R1408*'Scoring System'!$B$16)</f>
        <v>7</v>
      </c>
      <c r="AB1408" s="3" t="b">
        <f>IFERROR(match(C1408,'Match Day Fees'!$B$2:$B$999,0),0)=0</f>
        <v>0</v>
      </c>
      <c r="AC1408" s="3">
        <f t="shared" si="2"/>
        <v>0</v>
      </c>
      <c r="AD1408" s="3" t="str">
        <f>VLOOKUP(D1408,'Position Lookup'!A:B,2,FALSE)</f>
        <v>DEF</v>
      </c>
    </row>
    <row r="1409" ht="17.25" customHeight="1">
      <c r="A1409" s="32">
        <v>45297.0</v>
      </c>
      <c r="B1409" s="5" t="s">
        <v>712</v>
      </c>
      <c r="C1409" s="3" t="s">
        <v>75</v>
      </c>
      <c r="D1409" s="3" t="s">
        <v>18</v>
      </c>
      <c r="E1409" s="5">
        <v>1.0</v>
      </c>
      <c r="F1409" s="3" t="s">
        <v>495</v>
      </c>
      <c r="G1409" s="3" t="s">
        <v>224</v>
      </c>
      <c r="J1409" s="5">
        <v>0.0</v>
      </c>
      <c r="N1409" s="3" t="b">
        <v>1</v>
      </c>
      <c r="R1409" s="3">
        <v>0.0</v>
      </c>
      <c r="T1409" s="3">
        <v>10.0</v>
      </c>
      <c r="U1409" s="3">
        <v>8.5</v>
      </c>
      <c r="V1409" s="3" t="s">
        <v>1474</v>
      </c>
      <c r="W1409" s="3" t="s">
        <v>311</v>
      </c>
      <c r="X1409" s="77" t="s">
        <v>1470</v>
      </c>
      <c r="Y1409" s="3">
        <v>1.0</v>
      </c>
      <c r="Z1409" s="3">
        <v>0.0</v>
      </c>
      <c r="AA1409" s="3">
        <f>2+ (P1409*'Scoring System'!$B$3)+ (IF(OR(AD1409="DEF",AD1409="GK"),N1409*'Scoring System'!$B$4,IF(AD1409="MID",N1409*'Scoring System'!$B$5,0)))+ (IF(OR(AD1409="DEF",AD1409="GK"),H1409*'Scoring System'!$B$6,IF(AD1409="MID",H1409*'Scoring System'!$B$7,IF(AD1409="ATT",H1409*'Scoring System'!$B$8,0))))+ IF(AND(OR(AD1409="GK",AD1409="DEF"),J1409&gt;=3),1*'Scoring System'!$B$9,0)+ (I1409*'Scoring System'!$B$10)+ (K1409*'Scoring System'!$B$11)+ (M1409*'Scoring System'!$B$12)+ (L1409*'Scoring System'!$B$13)+ (O1409*'Scoring System'!$B$14)+ (Q1409*'Scoring System'!$B$15)+ (R1409*'Scoring System'!$B$16)</f>
        <v>8</v>
      </c>
      <c r="AB1409" s="3" t="b">
        <f>IFERROR(match(C1409,'Match Day Fees'!$B$2:$B$999,0),0)=0</f>
        <v>0</v>
      </c>
      <c r="AC1409" s="3">
        <f t="shared" si="2"/>
        <v>0</v>
      </c>
      <c r="AD1409" s="3" t="str">
        <f>VLOOKUP(D1409,'Position Lookup'!A:B,2,FALSE)</f>
        <v>DEF</v>
      </c>
    </row>
    <row r="1410" ht="17.25" customHeight="1">
      <c r="A1410" s="32">
        <v>45297.0</v>
      </c>
      <c r="B1410" s="5" t="s">
        <v>712</v>
      </c>
      <c r="C1410" s="3" t="s">
        <v>107</v>
      </c>
      <c r="D1410" s="3" t="s">
        <v>17</v>
      </c>
      <c r="E1410" s="5">
        <v>1.0</v>
      </c>
      <c r="F1410" s="3" t="s">
        <v>495</v>
      </c>
      <c r="G1410" s="3" t="s">
        <v>224</v>
      </c>
      <c r="J1410" s="5">
        <v>0.0</v>
      </c>
      <c r="N1410" s="3" t="b">
        <v>1</v>
      </c>
      <c r="R1410" s="3">
        <v>0.0</v>
      </c>
      <c r="T1410" s="3">
        <v>10.0</v>
      </c>
      <c r="U1410" s="3">
        <v>9.0</v>
      </c>
      <c r="V1410" s="3" t="s">
        <v>1475</v>
      </c>
      <c r="W1410" s="3" t="s">
        <v>311</v>
      </c>
      <c r="X1410" s="77" t="s">
        <v>1470</v>
      </c>
      <c r="Y1410" s="3">
        <v>1.0</v>
      </c>
      <c r="Z1410" s="3">
        <v>0.0</v>
      </c>
      <c r="AA1410" s="3">
        <f>2+ (P1410*'Scoring System'!$B$3)+ (IF(OR(AD1410="DEF",AD1410="GK"),N1410*'Scoring System'!$B$4,IF(AD1410="MID",N1410*'Scoring System'!$B$5,0)))+ (IF(OR(AD1410="DEF",AD1410="GK"),H1410*'Scoring System'!$B$6,IF(AD1410="MID",H1410*'Scoring System'!$B$7,IF(AD1410="ATT",H1410*'Scoring System'!$B$8,0))))+ IF(AND(OR(AD1410="GK",AD1410="DEF"),J1410&gt;=3),1*'Scoring System'!$B$9,0)+ (I1410*'Scoring System'!$B$10)+ (K1410*'Scoring System'!$B$11)+ (M1410*'Scoring System'!$B$12)+ (L1410*'Scoring System'!$B$13)+ (O1410*'Scoring System'!$B$14)+ (Q1410*'Scoring System'!$B$15)+ (R1410*'Scoring System'!$B$16)</f>
        <v>8</v>
      </c>
      <c r="AB1410" s="3" t="b">
        <f>IFERROR(match(C1410,'Match Day Fees'!$B$2:$B$999,0),0)=0</f>
        <v>0</v>
      </c>
      <c r="AC1410" s="3">
        <f t="shared" si="2"/>
        <v>0</v>
      </c>
      <c r="AD1410" s="3" t="str">
        <f>VLOOKUP(D1410,'Position Lookup'!A:B,2,FALSE)</f>
        <v>DEF</v>
      </c>
    </row>
    <row r="1411" ht="17.25" customHeight="1">
      <c r="A1411" s="32">
        <v>45297.0</v>
      </c>
      <c r="B1411" s="5" t="s">
        <v>712</v>
      </c>
      <c r="C1411" s="3" t="s">
        <v>85</v>
      </c>
      <c r="D1411" s="3" t="s">
        <v>20</v>
      </c>
      <c r="E1411" s="5">
        <v>1.0</v>
      </c>
      <c r="F1411" s="3" t="s">
        <v>495</v>
      </c>
      <c r="G1411" s="3" t="s">
        <v>224</v>
      </c>
      <c r="J1411" s="5">
        <v>0.0</v>
      </c>
      <c r="N1411" s="3" t="b">
        <v>1</v>
      </c>
      <c r="R1411" s="3">
        <v>0.0</v>
      </c>
      <c r="T1411" s="3">
        <v>10.0</v>
      </c>
      <c r="U1411" s="3">
        <v>8.5</v>
      </c>
      <c r="V1411" s="3" t="s">
        <v>1476</v>
      </c>
      <c r="W1411" s="3" t="s">
        <v>311</v>
      </c>
      <c r="X1411" s="77" t="s">
        <v>1470</v>
      </c>
      <c r="Y1411" s="3">
        <v>1.0</v>
      </c>
      <c r="Z1411" s="3">
        <v>0.0</v>
      </c>
      <c r="AA1411" s="3">
        <f>2+ (P1411*'Scoring System'!$B$3)+ (IF(OR(AD1411="DEF",AD1411="GK"),N1411*'Scoring System'!$B$4,IF(AD1411="MID",N1411*'Scoring System'!$B$5,0)))+ (IF(OR(AD1411="DEF",AD1411="GK"),H1411*'Scoring System'!$B$6,IF(AD1411="MID",H1411*'Scoring System'!$B$7,IF(AD1411="ATT",H1411*'Scoring System'!$B$8,0))))+ IF(AND(OR(AD1411="GK",AD1411="DEF"),J1411&gt;=3),1*'Scoring System'!$B$9,0)+ (I1411*'Scoring System'!$B$10)+ (K1411*'Scoring System'!$B$11)+ (M1411*'Scoring System'!$B$12)+ (L1411*'Scoring System'!$B$13)+ (O1411*'Scoring System'!$B$14)+ (Q1411*'Scoring System'!$B$15)+ (R1411*'Scoring System'!$B$16)</f>
        <v>4</v>
      </c>
      <c r="AB1411" s="3" t="b">
        <f>IFERROR(match(C1411,'Match Day Fees'!$B$2:$B$999,0),0)=0</f>
        <v>0</v>
      </c>
      <c r="AC1411" s="3">
        <f t="shared" si="2"/>
        <v>0</v>
      </c>
      <c r="AD1411" s="3" t="str">
        <f>VLOOKUP(D1411,'Position Lookup'!A:B,2,FALSE)</f>
        <v>MID</v>
      </c>
    </row>
    <row r="1412" ht="17.25" customHeight="1">
      <c r="A1412" s="32">
        <v>45297.0</v>
      </c>
      <c r="B1412" s="5" t="s">
        <v>712</v>
      </c>
      <c r="C1412" s="3" t="s">
        <v>67</v>
      </c>
      <c r="D1412" s="3" t="s">
        <v>20</v>
      </c>
      <c r="E1412" s="5">
        <v>1.0</v>
      </c>
      <c r="F1412" s="3" t="s">
        <v>495</v>
      </c>
      <c r="G1412" s="3" t="s">
        <v>224</v>
      </c>
      <c r="J1412" s="5">
        <v>0.0</v>
      </c>
      <c r="N1412" s="3" t="b">
        <v>1</v>
      </c>
      <c r="R1412" s="3">
        <v>0.0</v>
      </c>
      <c r="T1412" s="3">
        <v>10.0</v>
      </c>
      <c r="U1412" s="3">
        <v>8.5</v>
      </c>
      <c r="V1412" s="3" t="s">
        <v>1477</v>
      </c>
      <c r="W1412" s="3" t="s">
        <v>311</v>
      </c>
      <c r="X1412" s="77" t="s">
        <v>1470</v>
      </c>
      <c r="Y1412" s="3">
        <v>1.0</v>
      </c>
      <c r="Z1412" s="3">
        <v>0.0</v>
      </c>
      <c r="AA1412" s="3">
        <f>2+ (P1412*'Scoring System'!$B$3)+ (IF(OR(AD1412="DEF",AD1412="GK"),N1412*'Scoring System'!$B$4,IF(AD1412="MID",N1412*'Scoring System'!$B$5,0)))+ (IF(OR(AD1412="DEF",AD1412="GK"),H1412*'Scoring System'!$B$6,IF(AD1412="MID",H1412*'Scoring System'!$B$7,IF(AD1412="ATT",H1412*'Scoring System'!$B$8,0))))+ IF(AND(OR(AD1412="GK",AD1412="DEF"),J1412&gt;=3),1*'Scoring System'!$B$9,0)+ (I1412*'Scoring System'!$B$10)+ (K1412*'Scoring System'!$B$11)+ (M1412*'Scoring System'!$B$12)+ (L1412*'Scoring System'!$B$13)+ (O1412*'Scoring System'!$B$14)+ (Q1412*'Scoring System'!$B$15)+ (R1412*'Scoring System'!$B$16)</f>
        <v>4</v>
      </c>
      <c r="AB1412" s="3" t="b">
        <f>IFERROR(match(C1412,'Match Day Fees'!$B$2:$B$999,0),0)=0</f>
        <v>0</v>
      </c>
      <c r="AC1412" s="3">
        <f t="shared" si="2"/>
        <v>0</v>
      </c>
      <c r="AD1412" s="3" t="str">
        <f>VLOOKUP(D1412,'Position Lookup'!A:B,2,FALSE)</f>
        <v>MID</v>
      </c>
    </row>
    <row r="1413" ht="17.25" customHeight="1">
      <c r="A1413" s="32">
        <v>45297.0</v>
      </c>
      <c r="B1413" s="5" t="s">
        <v>712</v>
      </c>
      <c r="C1413" s="3" t="s">
        <v>60</v>
      </c>
      <c r="D1413" s="3" t="s">
        <v>21</v>
      </c>
      <c r="E1413" s="5">
        <v>1.0</v>
      </c>
      <c r="F1413" s="3" t="s">
        <v>495</v>
      </c>
      <c r="G1413" s="3" t="s">
        <v>224</v>
      </c>
      <c r="J1413" s="5">
        <v>0.0</v>
      </c>
      <c r="N1413" s="3" t="b">
        <v>1</v>
      </c>
      <c r="R1413" s="3">
        <v>0.0</v>
      </c>
      <c r="T1413" s="3">
        <v>10.0</v>
      </c>
      <c r="U1413" s="3">
        <v>8.0</v>
      </c>
      <c r="V1413" s="3" t="s">
        <v>1478</v>
      </c>
      <c r="W1413" s="3" t="s">
        <v>311</v>
      </c>
      <c r="X1413" s="77" t="s">
        <v>1470</v>
      </c>
      <c r="Y1413" s="3">
        <v>1.0</v>
      </c>
      <c r="Z1413" s="3">
        <v>0.0</v>
      </c>
      <c r="AA1413" s="3">
        <f>2+ (P1413*'Scoring System'!$B$3)+ (IF(OR(AD1413="DEF",AD1413="GK"),N1413*'Scoring System'!$B$4,IF(AD1413="MID",N1413*'Scoring System'!$B$5,0)))+ (IF(OR(AD1413="DEF",AD1413="GK"),H1413*'Scoring System'!$B$6,IF(AD1413="MID",H1413*'Scoring System'!$B$7,IF(AD1413="ATT",H1413*'Scoring System'!$B$8,0))))+ IF(AND(OR(AD1413="GK",AD1413="DEF"),J1413&gt;=3),1*'Scoring System'!$B$9,0)+ (I1413*'Scoring System'!$B$10)+ (K1413*'Scoring System'!$B$11)+ (M1413*'Scoring System'!$B$12)+ (L1413*'Scoring System'!$B$13)+ (O1413*'Scoring System'!$B$14)+ (Q1413*'Scoring System'!$B$15)+ (R1413*'Scoring System'!$B$16)</f>
        <v>4</v>
      </c>
      <c r="AB1413" s="3" t="b">
        <f>IFERROR(match(C1413,'Match Day Fees'!$B$2:$B$999,0),0)=0</f>
        <v>0</v>
      </c>
      <c r="AC1413" s="3">
        <f t="shared" si="2"/>
        <v>0</v>
      </c>
      <c r="AD1413" s="3" t="str">
        <f>VLOOKUP(D1413,'Position Lookup'!A:B,2,FALSE)</f>
        <v>MID</v>
      </c>
    </row>
    <row r="1414" ht="17.25" customHeight="1">
      <c r="A1414" s="32">
        <v>45297.0</v>
      </c>
      <c r="B1414" s="5" t="s">
        <v>712</v>
      </c>
      <c r="C1414" s="3" t="s">
        <v>47</v>
      </c>
      <c r="D1414" s="3" t="s">
        <v>24</v>
      </c>
      <c r="E1414" s="5">
        <v>1.0</v>
      </c>
      <c r="F1414" s="3" t="s">
        <v>495</v>
      </c>
      <c r="G1414" s="3" t="s">
        <v>224</v>
      </c>
      <c r="H1414" s="3">
        <v>1.0</v>
      </c>
      <c r="J1414" s="5">
        <v>0.0</v>
      </c>
      <c r="N1414" s="3" t="b">
        <v>1</v>
      </c>
      <c r="R1414" s="3">
        <v>0.0</v>
      </c>
      <c r="S1414" s="3" t="b">
        <v>1</v>
      </c>
      <c r="T1414" s="3">
        <v>0.0</v>
      </c>
      <c r="U1414" s="3">
        <v>9.5</v>
      </c>
      <c r="V1414" s="3" t="s">
        <v>1479</v>
      </c>
      <c r="W1414" s="3" t="s">
        <v>311</v>
      </c>
      <c r="X1414" s="77" t="s">
        <v>1470</v>
      </c>
      <c r="Y1414" s="3">
        <v>1.0</v>
      </c>
      <c r="Z1414" s="3">
        <v>0.0</v>
      </c>
      <c r="AA1414" s="3">
        <f>2+ (P1414*'Scoring System'!$B$3)+ (IF(OR(AD1414="DEF",AD1414="GK"),N1414*'Scoring System'!$B$4,IF(AD1414="MID",N1414*'Scoring System'!$B$5,0)))+ (IF(OR(AD1414="DEF",AD1414="GK"),H1414*'Scoring System'!$B$6,IF(AD1414="MID",H1414*'Scoring System'!$B$7,IF(AD1414="ATT",H1414*'Scoring System'!$B$8,0))))+ IF(AND(OR(AD1414="GK",AD1414="DEF"),J1414&gt;=3),1*'Scoring System'!$B$9,0)+ (I1414*'Scoring System'!$B$10)+ (K1414*'Scoring System'!$B$11)+ (M1414*'Scoring System'!$B$12)+ (L1414*'Scoring System'!$B$13)+ (O1414*'Scoring System'!$B$14)+ (Q1414*'Scoring System'!$B$15)+ (R1414*'Scoring System'!$B$16)</f>
        <v>6</v>
      </c>
      <c r="AB1414" s="3" t="b">
        <f>IFERROR(match(C1414,'Match Day Fees'!$B$2:$B$999,0),0)=0</f>
        <v>0</v>
      </c>
      <c r="AC1414" s="3">
        <f t="shared" si="2"/>
        <v>0</v>
      </c>
      <c r="AD1414" s="3" t="str">
        <f>VLOOKUP(D1414,'Position Lookup'!A:B,2,FALSE)</f>
        <v>ATT</v>
      </c>
    </row>
    <row r="1415" ht="17.25" customHeight="1">
      <c r="A1415" s="32">
        <v>45297.0</v>
      </c>
      <c r="B1415" s="5" t="s">
        <v>712</v>
      </c>
      <c r="C1415" s="3" t="s">
        <v>62</v>
      </c>
      <c r="D1415" s="3" t="s">
        <v>24</v>
      </c>
      <c r="E1415" s="5">
        <v>1.0</v>
      </c>
      <c r="F1415" s="3" t="s">
        <v>495</v>
      </c>
      <c r="G1415" s="3" t="s">
        <v>224</v>
      </c>
      <c r="I1415" s="3">
        <v>1.0</v>
      </c>
      <c r="J1415" s="5">
        <v>0.0</v>
      </c>
      <c r="N1415" s="3" t="b">
        <v>1</v>
      </c>
      <c r="R1415" s="3">
        <v>0.0</v>
      </c>
      <c r="T1415" s="3">
        <v>10.0</v>
      </c>
      <c r="U1415" s="3">
        <v>9.5</v>
      </c>
      <c r="V1415" s="3" t="s">
        <v>1480</v>
      </c>
      <c r="W1415" s="3" t="s">
        <v>311</v>
      </c>
      <c r="X1415" s="77" t="s">
        <v>1470</v>
      </c>
      <c r="Y1415" s="3">
        <v>1.0</v>
      </c>
      <c r="Z1415" s="3">
        <v>0.0</v>
      </c>
      <c r="AA1415" s="3">
        <f>2+ (P1415*'Scoring System'!$B$3)+ (IF(OR(AD1415="DEF",AD1415="GK"),N1415*'Scoring System'!$B$4,IF(AD1415="MID",N1415*'Scoring System'!$B$5,0)))+ (IF(OR(AD1415="DEF",AD1415="GK"),H1415*'Scoring System'!$B$6,IF(AD1415="MID",H1415*'Scoring System'!$B$7,IF(AD1415="ATT",H1415*'Scoring System'!$B$8,0))))+ IF(AND(OR(AD1415="GK",AD1415="DEF"),J1415&gt;=3),1*'Scoring System'!$B$9,0)+ (I1415*'Scoring System'!$B$10)+ (K1415*'Scoring System'!$B$11)+ (M1415*'Scoring System'!$B$12)+ (L1415*'Scoring System'!$B$13)+ (O1415*'Scoring System'!$B$14)+ (Q1415*'Scoring System'!$B$15)+ (R1415*'Scoring System'!$B$16)</f>
        <v>5</v>
      </c>
      <c r="AB1415" s="3" t="b">
        <f>IFERROR(match(C1415,'Match Day Fees'!$B$2:$B$999,0),0)=0</f>
        <v>0</v>
      </c>
      <c r="AC1415" s="3">
        <f t="shared" si="2"/>
        <v>0</v>
      </c>
      <c r="AD1415" s="3" t="str">
        <f>VLOOKUP(D1415,'Position Lookup'!A:B,2,FALSE)</f>
        <v>ATT</v>
      </c>
    </row>
    <row r="1416" ht="17.25" customHeight="1">
      <c r="A1416" s="32">
        <v>45297.0</v>
      </c>
      <c r="B1416" s="5" t="s">
        <v>712</v>
      </c>
      <c r="C1416" s="3" t="s">
        <v>110</v>
      </c>
      <c r="D1416" s="3" t="s">
        <v>24</v>
      </c>
      <c r="E1416" s="5">
        <v>1.0</v>
      </c>
      <c r="F1416" s="3" t="s">
        <v>495</v>
      </c>
      <c r="G1416" s="3" t="s">
        <v>224</v>
      </c>
      <c r="J1416" s="5">
        <v>0.0</v>
      </c>
      <c r="N1416" s="3" t="b">
        <v>1</v>
      </c>
      <c r="R1416" s="3">
        <v>0.0</v>
      </c>
      <c r="T1416" s="3">
        <v>4.0</v>
      </c>
      <c r="U1416" s="3">
        <v>7.0</v>
      </c>
      <c r="V1416" s="3" t="s">
        <v>1481</v>
      </c>
      <c r="W1416" s="3" t="s">
        <v>311</v>
      </c>
      <c r="X1416" s="77" t="s">
        <v>1470</v>
      </c>
      <c r="Y1416" s="3">
        <v>1.0</v>
      </c>
      <c r="Z1416" s="3">
        <v>0.0</v>
      </c>
      <c r="AA1416" s="3">
        <f>2+ (P1416*'Scoring System'!$B$3)+ (IF(OR(AD1416="DEF",AD1416="GK"),N1416*'Scoring System'!$B$4,IF(AD1416="MID",N1416*'Scoring System'!$B$5,0)))+ (IF(OR(AD1416="DEF",AD1416="GK"),H1416*'Scoring System'!$B$6,IF(AD1416="MID",H1416*'Scoring System'!$B$7,IF(AD1416="ATT",H1416*'Scoring System'!$B$8,0))))+ IF(AND(OR(AD1416="GK",AD1416="DEF"),J1416&gt;=3),1*'Scoring System'!$B$9,0)+ (I1416*'Scoring System'!$B$10)+ (K1416*'Scoring System'!$B$11)+ (M1416*'Scoring System'!$B$12)+ (L1416*'Scoring System'!$B$13)+ (O1416*'Scoring System'!$B$14)+ (Q1416*'Scoring System'!$B$15)+ (R1416*'Scoring System'!$B$16)</f>
        <v>2</v>
      </c>
      <c r="AB1416" s="3" t="b">
        <f>IFERROR(match(C1416,'Match Day Fees'!$B$2:$B$999,0),0)=0</f>
        <v>0</v>
      </c>
      <c r="AC1416" s="3">
        <f t="shared" si="2"/>
        <v>0</v>
      </c>
      <c r="AD1416" s="3" t="str">
        <f>VLOOKUP(D1416,'Position Lookup'!A:B,2,FALSE)</f>
        <v>ATT</v>
      </c>
    </row>
    <row r="1417" ht="17.25" customHeight="1">
      <c r="A1417" s="32">
        <v>45297.0</v>
      </c>
      <c r="B1417" s="5" t="s">
        <v>712</v>
      </c>
      <c r="C1417" s="3" t="s">
        <v>137</v>
      </c>
      <c r="D1417" s="3" t="s">
        <v>17</v>
      </c>
      <c r="E1417" s="5">
        <v>1.0</v>
      </c>
      <c r="F1417" s="3" t="s">
        <v>495</v>
      </c>
      <c r="G1417" s="3" t="s">
        <v>224</v>
      </c>
      <c r="J1417" s="5">
        <v>0.0</v>
      </c>
      <c r="N1417" s="3" t="b">
        <v>1</v>
      </c>
      <c r="R1417" s="3">
        <v>0.0</v>
      </c>
      <c r="T1417" s="3">
        <v>4.0</v>
      </c>
      <c r="U1417" s="3">
        <v>8.0</v>
      </c>
      <c r="V1417" s="3" t="s">
        <v>1482</v>
      </c>
      <c r="W1417" s="3" t="s">
        <v>311</v>
      </c>
      <c r="X1417" s="77" t="s">
        <v>1470</v>
      </c>
      <c r="Y1417" s="3">
        <v>1.0</v>
      </c>
      <c r="Z1417" s="3">
        <v>0.0</v>
      </c>
      <c r="AA1417" s="3">
        <f>2+ (P1417*'Scoring System'!$B$3)+ (IF(OR(AD1417="DEF",AD1417="GK"),N1417*'Scoring System'!$B$4,IF(AD1417="MID",N1417*'Scoring System'!$B$5,0)))+ (IF(OR(AD1417="DEF",AD1417="GK"),H1417*'Scoring System'!$B$6,IF(AD1417="MID",H1417*'Scoring System'!$B$7,IF(AD1417="ATT",H1417*'Scoring System'!$B$8,0))))+ IF(AND(OR(AD1417="GK",AD1417="DEF"),J1417&gt;=3),1*'Scoring System'!$B$9,0)+ (I1417*'Scoring System'!$B$10)+ (K1417*'Scoring System'!$B$11)+ (M1417*'Scoring System'!$B$12)+ (L1417*'Scoring System'!$B$13)+ (O1417*'Scoring System'!$B$14)+ (Q1417*'Scoring System'!$B$15)+ (R1417*'Scoring System'!$B$16)</f>
        <v>8</v>
      </c>
      <c r="AB1417" s="3" t="b">
        <f>IFERROR(match(C1417,'Match Day Fees'!$B$2:$B$999,0),0)=0</f>
        <v>0</v>
      </c>
      <c r="AC1417" s="3">
        <f t="shared" si="2"/>
        <v>0</v>
      </c>
      <c r="AD1417" s="3" t="str">
        <f>VLOOKUP(D1417,'Position Lookup'!A:B,2,FALSE)</f>
        <v>DEF</v>
      </c>
    </row>
    <row r="1418" ht="17.25" customHeight="1">
      <c r="A1418" s="32">
        <v>45297.0</v>
      </c>
      <c r="B1418" s="5" t="s">
        <v>712</v>
      </c>
      <c r="C1418" s="3" t="s">
        <v>272</v>
      </c>
      <c r="D1418" s="3" t="s">
        <v>20</v>
      </c>
      <c r="E1418" s="5">
        <v>1.0</v>
      </c>
      <c r="F1418" s="3" t="s">
        <v>495</v>
      </c>
      <c r="G1418" s="3" t="s">
        <v>224</v>
      </c>
      <c r="J1418" s="5">
        <v>0.0</v>
      </c>
      <c r="N1418" s="3" t="b">
        <v>1</v>
      </c>
      <c r="R1418" s="3">
        <v>0.0</v>
      </c>
      <c r="T1418" s="3">
        <v>4.0</v>
      </c>
      <c r="U1418" s="3">
        <v>8.5</v>
      </c>
      <c r="V1418" s="3" t="s">
        <v>1483</v>
      </c>
      <c r="W1418" s="3" t="s">
        <v>311</v>
      </c>
      <c r="X1418" s="77" t="s">
        <v>1470</v>
      </c>
      <c r="Y1418" s="3">
        <v>1.0</v>
      </c>
      <c r="Z1418" s="3">
        <v>0.0</v>
      </c>
      <c r="AA1418" s="3">
        <f>2+ (P1418*'Scoring System'!$B$3)+ (IF(OR(AD1418="DEF",AD1418="GK"),N1418*'Scoring System'!$B$4,IF(AD1418="MID",N1418*'Scoring System'!$B$5,0)))+ (IF(OR(AD1418="DEF",AD1418="GK"),H1418*'Scoring System'!$B$6,IF(AD1418="MID",H1418*'Scoring System'!$B$7,IF(AD1418="ATT",H1418*'Scoring System'!$B$8,0))))+ IF(AND(OR(AD1418="GK",AD1418="DEF"),J1418&gt;=3),1*'Scoring System'!$B$9,0)+ (I1418*'Scoring System'!$B$10)+ (K1418*'Scoring System'!$B$11)+ (M1418*'Scoring System'!$B$12)+ (L1418*'Scoring System'!$B$13)+ (O1418*'Scoring System'!$B$14)+ (Q1418*'Scoring System'!$B$15)+ (R1418*'Scoring System'!$B$16)</f>
        <v>4</v>
      </c>
      <c r="AB1418" s="3" t="b">
        <f>IFERROR(match(C1418,'Match Day Fees'!$B$2:$B$999,0),0)=0</f>
        <v>0</v>
      </c>
      <c r="AC1418" s="3">
        <f t="shared" si="2"/>
        <v>0</v>
      </c>
      <c r="AD1418" s="3" t="str">
        <f>VLOOKUP(D1418,'Position Lookup'!A:B,2,FALSE)</f>
        <v>MID</v>
      </c>
    </row>
    <row r="1419" ht="17.25" customHeight="1">
      <c r="A1419" s="32">
        <v>45297.0</v>
      </c>
      <c r="B1419" s="5" t="s">
        <v>309</v>
      </c>
      <c r="C1419" s="3" t="s">
        <v>55</v>
      </c>
      <c r="D1419" s="3" t="s">
        <v>8</v>
      </c>
      <c r="E1419" s="5">
        <v>3.0</v>
      </c>
      <c r="F1419" s="3" t="s">
        <v>1484</v>
      </c>
      <c r="G1419" s="3" t="s">
        <v>224</v>
      </c>
      <c r="J1419" s="5">
        <v>3.0</v>
      </c>
      <c r="N1419" s="3" t="b">
        <v>0</v>
      </c>
      <c r="R1419" s="3">
        <v>0.0</v>
      </c>
      <c r="S1419" s="3" t="b">
        <v>0</v>
      </c>
      <c r="T1419" s="3">
        <v>10.0</v>
      </c>
      <c r="U1419" s="3">
        <v>7.0</v>
      </c>
      <c r="V1419" s="3" t="s">
        <v>1485</v>
      </c>
      <c r="W1419" s="3" t="s">
        <v>344</v>
      </c>
      <c r="X1419" s="77" t="s">
        <v>1486</v>
      </c>
      <c r="Y1419" s="3">
        <v>4.0</v>
      </c>
      <c r="Z1419" s="3">
        <v>3.0</v>
      </c>
      <c r="AA1419" s="3">
        <f>2+ (P1419*'Scoring System'!$B$3)+ (IF(OR(AD1419="DEF",AD1419="GK"),N1419*'Scoring System'!$B$4,IF(AD1419="MID",N1419*'Scoring System'!$B$5,0)))+ (IF(OR(AD1419="DEF",AD1419="GK"),H1419*'Scoring System'!$B$6,IF(AD1419="MID",H1419*'Scoring System'!$B$7,IF(AD1419="ATT",H1419*'Scoring System'!$B$8,0))))+ IF(AND(OR(AD1419="GK",AD1419="DEF"),J1419&gt;=3),1*'Scoring System'!$B$9,0)+ (I1419*'Scoring System'!$B$10)+ (K1419*'Scoring System'!$B$11)+ (M1419*'Scoring System'!$B$12)+ (L1419*'Scoring System'!$B$13)+ (O1419*'Scoring System'!$B$14)+ (Q1419*'Scoring System'!$B$15)+ (R1419*'Scoring System'!$B$16)</f>
        <v>1</v>
      </c>
      <c r="AB1419" s="3" t="b">
        <f>IFERROR(match(C1419,'Match Day Fees'!$B$2:$B$999,0),0)=0</f>
        <v>0</v>
      </c>
      <c r="AC1419" s="3">
        <f t="shared" si="2"/>
        <v>0</v>
      </c>
      <c r="AD1419" s="3" t="str">
        <f>VLOOKUP(D1419,'Position Lookup'!A:B,2,FALSE)</f>
        <v>GK</v>
      </c>
    </row>
    <row r="1420" ht="17.25" customHeight="1">
      <c r="A1420" s="32">
        <v>45297.0</v>
      </c>
      <c r="B1420" s="5" t="s">
        <v>309</v>
      </c>
      <c r="C1420" s="3" t="s">
        <v>111</v>
      </c>
      <c r="D1420" s="3" t="s">
        <v>16</v>
      </c>
      <c r="E1420" s="5">
        <v>3.0</v>
      </c>
      <c r="F1420" s="3" t="s">
        <v>1484</v>
      </c>
      <c r="G1420" s="3" t="s">
        <v>224</v>
      </c>
      <c r="I1420" s="3">
        <v>1.0</v>
      </c>
      <c r="J1420" s="5">
        <v>3.0</v>
      </c>
      <c r="N1420" s="3" t="b">
        <v>0</v>
      </c>
      <c r="R1420" s="3">
        <v>0.0</v>
      </c>
      <c r="S1420" s="3" t="b">
        <v>0</v>
      </c>
      <c r="T1420" s="3">
        <v>10.0</v>
      </c>
      <c r="U1420" s="3">
        <v>9.0</v>
      </c>
      <c r="V1420" s="3" t="s">
        <v>1487</v>
      </c>
      <c r="W1420" s="3" t="s">
        <v>344</v>
      </c>
      <c r="X1420" s="77" t="s">
        <v>1486</v>
      </c>
      <c r="Y1420" s="3">
        <v>4.0</v>
      </c>
      <c r="Z1420" s="3">
        <v>3.0</v>
      </c>
      <c r="AA1420" s="3">
        <f>2+ (P1420*'Scoring System'!$B$3)+ (IF(OR(AD1420="DEF",AD1420="GK"),N1420*'Scoring System'!$B$4,IF(AD1420="MID",N1420*'Scoring System'!$B$5,0)))+ (IF(OR(AD1420="DEF",AD1420="GK"),H1420*'Scoring System'!$B$6,IF(AD1420="MID",H1420*'Scoring System'!$B$7,IF(AD1420="ATT",H1420*'Scoring System'!$B$8,0))))+ IF(AND(OR(AD1420="GK",AD1420="DEF"),J1420&gt;=3),1*'Scoring System'!$B$9,0)+ (I1420*'Scoring System'!$B$10)+ (K1420*'Scoring System'!$B$11)+ (M1420*'Scoring System'!$B$12)+ (L1420*'Scoring System'!$B$13)+ (O1420*'Scoring System'!$B$14)+ (Q1420*'Scoring System'!$B$15)+ (R1420*'Scoring System'!$B$16)</f>
        <v>4</v>
      </c>
      <c r="AB1420" s="3" t="b">
        <f>IFERROR(match(C1420,'Match Day Fees'!$B$2:$B$999,0),0)=0</f>
        <v>0</v>
      </c>
      <c r="AC1420" s="3">
        <f t="shared" si="2"/>
        <v>0</v>
      </c>
      <c r="AD1420" s="3" t="str">
        <f>VLOOKUP(D1420,'Position Lookup'!A:B,2,FALSE)</f>
        <v>DEF</v>
      </c>
    </row>
    <row r="1421" ht="17.25" customHeight="1">
      <c r="A1421" s="32">
        <v>45297.0</v>
      </c>
      <c r="B1421" s="5" t="s">
        <v>309</v>
      </c>
      <c r="C1421" s="3" t="s">
        <v>42</v>
      </c>
      <c r="D1421" s="3" t="s">
        <v>14</v>
      </c>
      <c r="E1421" s="5">
        <v>3.0</v>
      </c>
      <c r="F1421" s="3" t="s">
        <v>1484</v>
      </c>
      <c r="G1421" s="3" t="s">
        <v>224</v>
      </c>
      <c r="J1421" s="5">
        <v>3.0</v>
      </c>
      <c r="N1421" s="3" t="b">
        <v>0</v>
      </c>
      <c r="R1421" s="3">
        <v>0.0</v>
      </c>
      <c r="S1421" s="3" t="b">
        <v>0</v>
      </c>
      <c r="T1421" s="3">
        <v>10.0</v>
      </c>
      <c r="U1421" s="3">
        <v>7.5</v>
      </c>
      <c r="V1421" s="3" t="s">
        <v>1488</v>
      </c>
      <c r="W1421" s="3" t="s">
        <v>344</v>
      </c>
      <c r="X1421" s="77" t="s">
        <v>1486</v>
      </c>
      <c r="Y1421" s="3">
        <v>4.0</v>
      </c>
      <c r="Z1421" s="3">
        <v>3.0</v>
      </c>
      <c r="AA1421" s="3">
        <f>2+ (P1421*'Scoring System'!$B$3)+ (IF(OR(AD1421="DEF",AD1421="GK"),N1421*'Scoring System'!$B$4,IF(AD1421="MID",N1421*'Scoring System'!$B$5,0)))+ (IF(OR(AD1421="DEF",AD1421="GK"),H1421*'Scoring System'!$B$6,IF(AD1421="MID",H1421*'Scoring System'!$B$7,IF(AD1421="ATT",H1421*'Scoring System'!$B$8,0))))+ IF(AND(OR(AD1421="GK",AD1421="DEF"),J1421&gt;=3),1*'Scoring System'!$B$9,0)+ (I1421*'Scoring System'!$B$10)+ (K1421*'Scoring System'!$B$11)+ (M1421*'Scoring System'!$B$12)+ (L1421*'Scoring System'!$B$13)+ (O1421*'Scoring System'!$B$14)+ (Q1421*'Scoring System'!$B$15)+ (R1421*'Scoring System'!$B$16)</f>
        <v>1</v>
      </c>
      <c r="AB1421" s="3" t="b">
        <f>IFERROR(match(C1421,'Match Day Fees'!$B$2:$B$999,0),0)=0</f>
        <v>0</v>
      </c>
      <c r="AC1421" s="3">
        <f t="shared" si="2"/>
        <v>0</v>
      </c>
      <c r="AD1421" s="3" t="str">
        <f>VLOOKUP(D1421,'Position Lookup'!A:B,2,FALSE)</f>
        <v>DEF</v>
      </c>
    </row>
    <row r="1422" ht="17.25" customHeight="1">
      <c r="A1422" s="32">
        <v>45297.0</v>
      </c>
      <c r="B1422" s="5" t="s">
        <v>309</v>
      </c>
      <c r="C1422" s="3" t="s">
        <v>39</v>
      </c>
      <c r="D1422" s="3" t="s">
        <v>14</v>
      </c>
      <c r="E1422" s="5">
        <v>3.0</v>
      </c>
      <c r="F1422" s="3" t="s">
        <v>1484</v>
      </c>
      <c r="G1422" s="3" t="s">
        <v>224</v>
      </c>
      <c r="J1422" s="5">
        <v>3.0</v>
      </c>
      <c r="N1422" s="3" t="b">
        <v>0</v>
      </c>
      <c r="R1422" s="3">
        <v>0.0</v>
      </c>
      <c r="S1422" s="3" t="b">
        <v>0</v>
      </c>
      <c r="T1422" s="3">
        <v>10.0</v>
      </c>
      <c r="U1422" s="3">
        <v>7.5</v>
      </c>
      <c r="V1422" s="3" t="s">
        <v>1489</v>
      </c>
      <c r="W1422" s="3" t="s">
        <v>344</v>
      </c>
      <c r="X1422" s="77" t="s">
        <v>1486</v>
      </c>
      <c r="Y1422" s="3">
        <v>4.0</v>
      </c>
      <c r="Z1422" s="3">
        <v>3.0</v>
      </c>
      <c r="AA1422" s="3">
        <f>2+ (P1422*'Scoring System'!$B$3)+ (IF(OR(AD1422="DEF",AD1422="GK"),N1422*'Scoring System'!$B$4,IF(AD1422="MID",N1422*'Scoring System'!$B$5,0)))+ (IF(OR(AD1422="DEF",AD1422="GK"),H1422*'Scoring System'!$B$6,IF(AD1422="MID",H1422*'Scoring System'!$B$7,IF(AD1422="ATT",H1422*'Scoring System'!$B$8,0))))+ IF(AND(OR(AD1422="GK",AD1422="DEF"),J1422&gt;=3),1*'Scoring System'!$B$9,0)+ (I1422*'Scoring System'!$B$10)+ (K1422*'Scoring System'!$B$11)+ (M1422*'Scoring System'!$B$12)+ (L1422*'Scoring System'!$B$13)+ (O1422*'Scoring System'!$B$14)+ (Q1422*'Scoring System'!$B$15)+ (R1422*'Scoring System'!$B$16)</f>
        <v>1</v>
      </c>
      <c r="AB1422" s="3" t="b">
        <f>IFERROR(match(C1422,'Match Day Fees'!$B$2:$B$999,0),0)=0</f>
        <v>0</v>
      </c>
      <c r="AC1422" s="3">
        <f t="shared" si="2"/>
        <v>0</v>
      </c>
      <c r="AD1422" s="3" t="str">
        <f>VLOOKUP(D1422,'Position Lookup'!A:B,2,FALSE)</f>
        <v>DEF</v>
      </c>
    </row>
    <row r="1423" ht="17.25" customHeight="1">
      <c r="A1423" s="32">
        <v>45297.0</v>
      </c>
      <c r="B1423" s="5" t="s">
        <v>309</v>
      </c>
      <c r="C1423" s="3" t="s">
        <v>91</v>
      </c>
      <c r="D1423" s="3" t="s">
        <v>12</v>
      </c>
      <c r="E1423" s="5">
        <v>3.0</v>
      </c>
      <c r="F1423" s="3" t="s">
        <v>1484</v>
      </c>
      <c r="G1423" s="3" t="s">
        <v>224</v>
      </c>
      <c r="J1423" s="5">
        <v>3.0</v>
      </c>
      <c r="N1423" s="3" t="b">
        <v>0</v>
      </c>
      <c r="R1423" s="3">
        <v>0.0</v>
      </c>
      <c r="S1423" s="3" t="b">
        <v>0</v>
      </c>
      <c r="T1423" s="3">
        <v>5.0</v>
      </c>
      <c r="U1423" s="3">
        <v>6.5</v>
      </c>
      <c r="V1423" s="3" t="s">
        <v>1490</v>
      </c>
      <c r="W1423" s="3" t="s">
        <v>344</v>
      </c>
      <c r="X1423" s="77" t="s">
        <v>1486</v>
      </c>
      <c r="Y1423" s="3">
        <v>4.0</v>
      </c>
      <c r="Z1423" s="3">
        <v>3.0</v>
      </c>
      <c r="AA1423" s="3">
        <f>2+ (P1423*'Scoring System'!$B$3)+ (IF(OR(AD1423="DEF",AD1423="GK"),N1423*'Scoring System'!$B$4,IF(AD1423="MID",N1423*'Scoring System'!$B$5,0)))+ (IF(OR(AD1423="DEF",AD1423="GK"),H1423*'Scoring System'!$B$6,IF(AD1423="MID",H1423*'Scoring System'!$B$7,IF(AD1423="ATT",H1423*'Scoring System'!$B$8,0))))+ IF(AND(OR(AD1423="GK",AD1423="DEF"),J1423&gt;=3),1*'Scoring System'!$B$9,0)+ (I1423*'Scoring System'!$B$10)+ (K1423*'Scoring System'!$B$11)+ (M1423*'Scoring System'!$B$12)+ (L1423*'Scoring System'!$B$13)+ (O1423*'Scoring System'!$B$14)+ (Q1423*'Scoring System'!$B$15)+ (R1423*'Scoring System'!$B$16)</f>
        <v>1</v>
      </c>
      <c r="AB1423" s="3" t="b">
        <f>IFERROR(match(C1423,'Match Day Fees'!$B$2:$B$999,0),0)=0</f>
        <v>0</v>
      </c>
      <c r="AC1423" s="3">
        <f t="shared" si="2"/>
        <v>0</v>
      </c>
      <c r="AD1423" s="3" t="str">
        <f>VLOOKUP(D1423,'Position Lookup'!A:B,2,FALSE)</f>
        <v>DEF</v>
      </c>
    </row>
    <row r="1424" ht="17.25" customHeight="1">
      <c r="A1424" s="32">
        <v>45297.0</v>
      </c>
      <c r="B1424" s="5" t="s">
        <v>309</v>
      </c>
      <c r="C1424" s="3" t="s">
        <v>112</v>
      </c>
      <c r="D1424" s="3" t="s">
        <v>20</v>
      </c>
      <c r="E1424" s="5">
        <v>3.0</v>
      </c>
      <c r="F1424" s="3" t="s">
        <v>1484</v>
      </c>
      <c r="G1424" s="3" t="s">
        <v>224</v>
      </c>
      <c r="H1424" s="3">
        <v>2.0</v>
      </c>
      <c r="J1424" s="5">
        <v>3.0</v>
      </c>
      <c r="N1424" s="3" t="b">
        <v>0</v>
      </c>
      <c r="R1424" s="3">
        <v>1.0</v>
      </c>
      <c r="S1424" s="3" t="b">
        <v>0</v>
      </c>
      <c r="T1424" s="3">
        <v>10.0</v>
      </c>
      <c r="U1424" s="3">
        <v>9.0</v>
      </c>
      <c r="V1424" s="3" t="s">
        <v>1491</v>
      </c>
      <c r="W1424" s="3" t="s">
        <v>344</v>
      </c>
      <c r="X1424" s="77" t="s">
        <v>1486</v>
      </c>
      <c r="Y1424" s="3">
        <v>4.0</v>
      </c>
      <c r="Z1424" s="3">
        <v>3.0</v>
      </c>
      <c r="AA1424" s="3">
        <f>2+ (P1424*'Scoring System'!$B$3)+ (IF(OR(AD1424="DEF",AD1424="GK"),N1424*'Scoring System'!$B$4,IF(AD1424="MID",N1424*'Scoring System'!$B$5,0)))+ (IF(OR(AD1424="DEF",AD1424="GK"),H1424*'Scoring System'!$B$6,IF(AD1424="MID",H1424*'Scoring System'!$B$7,IF(AD1424="ATT",H1424*'Scoring System'!$B$8,0))))+ IF(AND(OR(AD1424="GK",AD1424="DEF"),J1424&gt;=3),1*'Scoring System'!$B$9,0)+ (I1424*'Scoring System'!$B$10)+ (K1424*'Scoring System'!$B$11)+ (M1424*'Scoring System'!$B$12)+ (L1424*'Scoring System'!$B$13)+ (O1424*'Scoring System'!$B$14)+ (Q1424*'Scoring System'!$B$15)+ (R1424*'Scoring System'!$B$16)</f>
        <v>17</v>
      </c>
      <c r="AB1424" s="3" t="b">
        <f>IFERROR(match(C1424,'Match Day Fees'!$B$2:$B$999,0),0)=0</f>
        <v>0</v>
      </c>
      <c r="AC1424" s="3">
        <f t="shared" si="2"/>
        <v>0</v>
      </c>
      <c r="AD1424" s="3" t="str">
        <f>VLOOKUP(D1424,'Position Lookup'!A:B,2,FALSE)</f>
        <v>MID</v>
      </c>
    </row>
    <row r="1425" ht="17.25" customHeight="1">
      <c r="A1425" s="32">
        <v>45297.0</v>
      </c>
      <c r="B1425" s="5" t="s">
        <v>309</v>
      </c>
      <c r="C1425" s="3" t="s">
        <v>130</v>
      </c>
      <c r="D1425" s="3" t="s">
        <v>20</v>
      </c>
      <c r="E1425" s="5">
        <v>3.0</v>
      </c>
      <c r="F1425" s="3" t="s">
        <v>1484</v>
      </c>
      <c r="G1425" s="3" t="s">
        <v>224</v>
      </c>
      <c r="I1425" s="3">
        <v>1.0</v>
      </c>
      <c r="J1425" s="5">
        <v>3.0</v>
      </c>
      <c r="N1425" s="3" t="b">
        <v>0</v>
      </c>
      <c r="R1425" s="3">
        <v>0.0</v>
      </c>
      <c r="S1425" s="3" t="b">
        <v>0</v>
      </c>
      <c r="T1425" s="3">
        <v>10.0</v>
      </c>
      <c r="U1425" s="3">
        <v>6.0</v>
      </c>
      <c r="V1425" s="3" t="s">
        <v>1492</v>
      </c>
      <c r="W1425" s="3" t="s">
        <v>344</v>
      </c>
      <c r="X1425" s="77" t="s">
        <v>1486</v>
      </c>
      <c r="Y1425" s="3">
        <v>4.0</v>
      </c>
      <c r="Z1425" s="3">
        <v>3.0</v>
      </c>
      <c r="AA1425" s="3">
        <f>2+ (P1425*'Scoring System'!$B$3)+ (IF(OR(AD1425="DEF",AD1425="GK"),N1425*'Scoring System'!$B$4,IF(AD1425="MID",N1425*'Scoring System'!$B$5,0)))+ (IF(OR(AD1425="DEF",AD1425="GK"),H1425*'Scoring System'!$B$6,IF(AD1425="MID",H1425*'Scoring System'!$B$7,IF(AD1425="ATT",H1425*'Scoring System'!$B$8,0))))+ IF(AND(OR(AD1425="GK",AD1425="DEF"),J1425&gt;=3),1*'Scoring System'!$B$9,0)+ (I1425*'Scoring System'!$B$10)+ (K1425*'Scoring System'!$B$11)+ (M1425*'Scoring System'!$B$12)+ (L1425*'Scoring System'!$B$13)+ (O1425*'Scoring System'!$B$14)+ (Q1425*'Scoring System'!$B$15)+ (R1425*'Scoring System'!$B$16)</f>
        <v>5</v>
      </c>
      <c r="AB1425" s="3" t="b">
        <f>IFERROR(match(C1425,'Match Day Fees'!$B$2:$B$999,0),0)=0</f>
        <v>0</v>
      </c>
      <c r="AC1425" s="3">
        <f t="shared" si="2"/>
        <v>0</v>
      </c>
      <c r="AD1425" s="3" t="str">
        <f>VLOOKUP(D1425,'Position Lookup'!A:B,2,FALSE)</f>
        <v>MID</v>
      </c>
    </row>
    <row r="1426" ht="17.25" customHeight="1">
      <c r="A1426" s="32">
        <v>45297.0</v>
      </c>
      <c r="B1426" s="5" t="s">
        <v>309</v>
      </c>
      <c r="C1426" s="3" t="s">
        <v>59</v>
      </c>
      <c r="D1426" s="3" t="s">
        <v>20</v>
      </c>
      <c r="E1426" s="5">
        <v>3.0</v>
      </c>
      <c r="F1426" s="3" t="s">
        <v>1484</v>
      </c>
      <c r="G1426" s="3" t="s">
        <v>224</v>
      </c>
      <c r="J1426" s="5">
        <v>3.0</v>
      </c>
      <c r="N1426" s="3" t="b">
        <v>0</v>
      </c>
      <c r="R1426" s="3">
        <v>0.0</v>
      </c>
      <c r="S1426" s="3" t="b">
        <v>0</v>
      </c>
      <c r="T1426" s="3">
        <v>10.0</v>
      </c>
      <c r="U1426" s="3">
        <v>7.5</v>
      </c>
      <c r="V1426" s="3" t="s">
        <v>1493</v>
      </c>
      <c r="W1426" s="3" t="s">
        <v>344</v>
      </c>
      <c r="X1426" s="77" t="s">
        <v>1486</v>
      </c>
      <c r="Y1426" s="3">
        <v>4.0</v>
      </c>
      <c r="Z1426" s="3">
        <v>3.0</v>
      </c>
      <c r="AA1426" s="3">
        <f>2+ (P1426*'Scoring System'!$B$3)+ (IF(OR(AD1426="DEF",AD1426="GK"),N1426*'Scoring System'!$B$4,IF(AD1426="MID",N1426*'Scoring System'!$B$5,0)))+ (IF(OR(AD1426="DEF",AD1426="GK"),H1426*'Scoring System'!$B$6,IF(AD1426="MID",H1426*'Scoring System'!$B$7,IF(AD1426="ATT",H1426*'Scoring System'!$B$8,0))))+ IF(AND(OR(AD1426="GK",AD1426="DEF"),J1426&gt;=3),1*'Scoring System'!$B$9,0)+ (I1426*'Scoring System'!$B$10)+ (K1426*'Scoring System'!$B$11)+ (M1426*'Scoring System'!$B$12)+ (L1426*'Scoring System'!$B$13)+ (O1426*'Scoring System'!$B$14)+ (Q1426*'Scoring System'!$B$15)+ (R1426*'Scoring System'!$B$16)</f>
        <v>2</v>
      </c>
      <c r="AB1426" s="3" t="b">
        <f>IFERROR(match(C1426,'Match Day Fees'!$B$2:$B$999,0),0)=0</f>
        <v>0</v>
      </c>
      <c r="AC1426" s="3">
        <f t="shared" si="2"/>
        <v>0</v>
      </c>
      <c r="AD1426" s="3" t="str">
        <f>VLOOKUP(D1426,'Position Lookup'!A:B,2,FALSE)</f>
        <v>MID</v>
      </c>
    </row>
    <row r="1427" ht="17.25" customHeight="1">
      <c r="A1427" s="32">
        <v>45297.0</v>
      </c>
      <c r="B1427" s="5" t="s">
        <v>309</v>
      </c>
      <c r="C1427" s="3" t="s">
        <v>86</v>
      </c>
      <c r="D1427" s="3" t="s">
        <v>22</v>
      </c>
      <c r="E1427" s="5">
        <v>3.0</v>
      </c>
      <c r="F1427" s="3" t="s">
        <v>1484</v>
      </c>
      <c r="G1427" s="3" t="s">
        <v>224</v>
      </c>
      <c r="H1427" s="3">
        <v>1.0</v>
      </c>
      <c r="J1427" s="5">
        <v>3.0</v>
      </c>
      <c r="N1427" s="3" t="b">
        <v>0</v>
      </c>
      <c r="R1427" s="3">
        <v>0.0</v>
      </c>
      <c r="S1427" s="3" t="b">
        <v>0</v>
      </c>
      <c r="T1427" s="3">
        <v>10.0</v>
      </c>
      <c r="U1427" s="3">
        <v>8.0</v>
      </c>
      <c r="V1427" s="3" t="s">
        <v>1494</v>
      </c>
      <c r="W1427" s="3" t="s">
        <v>344</v>
      </c>
      <c r="X1427" s="77" t="s">
        <v>1486</v>
      </c>
      <c r="Y1427" s="3">
        <v>4.0</v>
      </c>
      <c r="Z1427" s="3">
        <v>3.0</v>
      </c>
      <c r="AA1427" s="3">
        <f>2+ (P1427*'Scoring System'!$B$3)+ (IF(OR(AD1427="DEF",AD1427="GK"),N1427*'Scoring System'!$B$4,IF(AD1427="MID",N1427*'Scoring System'!$B$5,0)))+ (IF(OR(AD1427="DEF",AD1427="GK"),H1427*'Scoring System'!$B$6,IF(AD1427="MID",H1427*'Scoring System'!$B$7,IF(AD1427="ATT",H1427*'Scoring System'!$B$8,0))))+ IF(AND(OR(AD1427="GK",AD1427="DEF"),J1427&gt;=3),1*'Scoring System'!$B$9,0)+ (I1427*'Scoring System'!$B$10)+ (K1427*'Scoring System'!$B$11)+ (M1427*'Scoring System'!$B$12)+ (L1427*'Scoring System'!$B$13)+ (O1427*'Scoring System'!$B$14)+ (Q1427*'Scoring System'!$B$15)+ (R1427*'Scoring System'!$B$16)</f>
        <v>6</v>
      </c>
      <c r="AB1427" s="3" t="b">
        <f>IFERROR(match(C1427,'Match Day Fees'!$B$2:$B$999,0),0)=0</f>
        <v>0</v>
      </c>
      <c r="AC1427" s="3">
        <f t="shared" si="2"/>
        <v>0</v>
      </c>
      <c r="AD1427" s="3" t="str">
        <f>VLOOKUP(D1427,'Position Lookup'!A:B,2,FALSE)</f>
        <v>ATT</v>
      </c>
    </row>
    <row r="1428" ht="17.25" customHeight="1">
      <c r="A1428" s="32">
        <v>45297.0</v>
      </c>
      <c r="B1428" s="5" t="s">
        <v>309</v>
      </c>
      <c r="C1428" s="3" t="s">
        <v>46</v>
      </c>
      <c r="D1428" s="3" t="s">
        <v>24</v>
      </c>
      <c r="E1428" s="5">
        <v>3.0</v>
      </c>
      <c r="F1428" s="3" t="s">
        <v>1484</v>
      </c>
      <c r="G1428" s="3" t="s">
        <v>224</v>
      </c>
      <c r="I1428" s="3">
        <v>1.0</v>
      </c>
      <c r="J1428" s="5">
        <v>3.0</v>
      </c>
      <c r="N1428" s="3" t="b">
        <v>0</v>
      </c>
      <c r="R1428" s="3">
        <v>0.0</v>
      </c>
      <c r="S1428" s="3" t="b">
        <v>1</v>
      </c>
      <c r="T1428" s="3">
        <v>0.0</v>
      </c>
      <c r="U1428" s="3">
        <v>7.5</v>
      </c>
      <c r="V1428" s="3" t="s">
        <v>1495</v>
      </c>
      <c r="W1428" s="3" t="s">
        <v>344</v>
      </c>
      <c r="X1428" s="77" t="s">
        <v>1486</v>
      </c>
      <c r="Y1428" s="3">
        <v>4.0</v>
      </c>
      <c r="Z1428" s="3">
        <v>3.0</v>
      </c>
      <c r="AA1428" s="3">
        <f>2+ (P1428*'Scoring System'!$B$3)+ (IF(OR(AD1428="DEF",AD1428="GK"),N1428*'Scoring System'!$B$4,IF(AD1428="MID",N1428*'Scoring System'!$B$5,0)))+ (IF(OR(AD1428="DEF",AD1428="GK"),H1428*'Scoring System'!$B$6,IF(AD1428="MID",H1428*'Scoring System'!$B$7,IF(AD1428="ATT",H1428*'Scoring System'!$B$8,0))))+ IF(AND(OR(AD1428="GK",AD1428="DEF"),J1428&gt;=3),1*'Scoring System'!$B$9,0)+ (I1428*'Scoring System'!$B$10)+ (K1428*'Scoring System'!$B$11)+ (M1428*'Scoring System'!$B$12)+ (L1428*'Scoring System'!$B$13)+ (O1428*'Scoring System'!$B$14)+ (Q1428*'Scoring System'!$B$15)+ (R1428*'Scoring System'!$B$16)</f>
        <v>5</v>
      </c>
      <c r="AB1428" s="3" t="b">
        <f>IFERROR(match(C1428,'Match Day Fees'!$B$2:$B$999,0),0)=0</f>
        <v>0</v>
      </c>
      <c r="AC1428" s="3">
        <f t="shared" si="2"/>
        <v>0</v>
      </c>
      <c r="AD1428" s="3" t="str">
        <f>VLOOKUP(D1428,'Position Lookup'!A:B,2,FALSE)</f>
        <v>ATT</v>
      </c>
    </row>
    <row r="1429" ht="17.25" customHeight="1">
      <c r="A1429" s="32">
        <v>45297.0</v>
      </c>
      <c r="B1429" s="5" t="s">
        <v>309</v>
      </c>
      <c r="C1429" s="3" t="s">
        <v>123</v>
      </c>
      <c r="D1429" s="3" t="s">
        <v>23</v>
      </c>
      <c r="E1429" s="5">
        <v>3.0</v>
      </c>
      <c r="F1429" s="3" t="s">
        <v>1484</v>
      </c>
      <c r="G1429" s="3" t="s">
        <v>224</v>
      </c>
      <c r="J1429" s="5">
        <v>3.0</v>
      </c>
      <c r="N1429" s="3" t="b">
        <v>0</v>
      </c>
      <c r="R1429" s="3">
        <v>0.0</v>
      </c>
      <c r="S1429" s="3" t="b">
        <v>0</v>
      </c>
      <c r="T1429" s="3">
        <v>10.0</v>
      </c>
      <c r="U1429" s="3">
        <v>7.0</v>
      </c>
      <c r="V1429" s="3" t="s">
        <v>1496</v>
      </c>
      <c r="W1429" s="3" t="s">
        <v>344</v>
      </c>
      <c r="X1429" s="77" t="s">
        <v>1486</v>
      </c>
      <c r="Y1429" s="3">
        <v>4.0</v>
      </c>
      <c r="Z1429" s="3">
        <v>3.0</v>
      </c>
      <c r="AA1429" s="3">
        <f>2+ (P1429*'Scoring System'!$B$3)+ (IF(OR(AD1429="DEF",AD1429="GK"),N1429*'Scoring System'!$B$4,IF(AD1429="MID",N1429*'Scoring System'!$B$5,0)))+ (IF(OR(AD1429="DEF",AD1429="GK"),H1429*'Scoring System'!$B$6,IF(AD1429="MID",H1429*'Scoring System'!$B$7,IF(AD1429="ATT",H1429*'Scoring System'!$B$8,0))))+ IF(AND(OR(AD1429="GK",AD1429="DEF"),J1429&gt;=3),1*'Scoring System'!$B$9,0)+ (I1429*'Scoring System'!$B$10)+ (K1429*'Scoring System'!$B$11)+ (M1429*'Scoring System'!$B$12)+ (L1429*'Scoring System'!$B$13)+ (O1429*'Scoring System'!$B$14)+ (Q1429*'Scoring System'!$B$15)+ (R1429*'Scoring System'!$B$16)</f>
        <v>2</v>
      </c>
      <c r="AB1429" s="3" t="b">
        <f>IFERROR(match(C1429,'Match Day Fees'!$B$2:$B$999,0),0)=0</f>
        <v>0</v>
      </c>
      <c r="AC1429" s="3">
        <f t="shared" si="2"/>
        <v>0</v>
      </c>
      <c r="AD1429" s="3" t="str">
        <f>VLOOKUP(D1429,'Position Lookup'!A:B,2,FALSE)</f>
        <v>ATT</v>
      </c>
    </row>
    <row r="1430" ht="17.25" customHeight="1">
      <c r="A1430" s="32">
        <v>45297.0</v>
      </c>
      <c r="B1430" s="5" t="s">
        <v>309</v>
      </c>
      <c r="C1430" s="3" t="s">
        <v>79</v>
      </c>
      <c r="D1430" s="3" t="s">
        <v>24</v>
      </c>
      <c r="E1430" s="5">
        <v>3.0</v>
      </c>
      <c r="F1430" s="3" t="s">
        <v>1484</v>
      </c>
      <c r="G1430" s="3" t="s">
        <v>224</v>
      </c>
      <c r="H1430" s="3">
        <v>1.0</v>
      </c>
      <c r="J1430" s="5">
        <v>3.0</v>
      </c>
      <c r="N1430" s="3" t="b">
        <v>0</v>
      </c>
      <c r="R1430" s="3">
        <v>0.0</v>
      </c>
      <c r="S1430" s="3" t="b">
        <v>0</v>
      </c>
      <c r="T1430" s="3">
        <v>5.0</v>
      </c>
      <c r="U1430" s="3">
        <v>8.0</v>
      </c>
      <c r="V1430" s="3" t="s">
        <v>1497</v>
      </c>
      <c r="W1430" s="3" t="s">
        <v>344</v>
      </c>
      <c r="X1430" s="77" t="s">
        <v>1486</v>
      </c>
      <c r="Y1430" s="3">
        <v>4.0</v>
      </c>
      <c r="Z1430" s="3">
        <v>3.0</v>
      </c>
      <c r="AA1430" s="3">
        <f>2+ (P1430*'Scoring System'!$B$3)+ (IF(OR(AD1430="DEF",AD1430="GK"),N1430*'Scoring System'!$B$4,IF(AD1430="MID",N1430*'Scoring System'!$B$5,0)))+ (IF(OR(AD1430="DEF",AD1430="GK"),H1430*'Scoring System'!$B$6,IF(AD1430="MID",H1430*'Scoring System'!$B$7,IF(AD1430="ATT",H1430*'Scoring System'!$B$8,0))))+ IF(AND(OR(AD1430="GK",AD1430="DEF"),J1430&gt;=3),1*'Scoring System'!$B$9,0)+ (I1430*'Scoring System'!$B$10)+ (K1430*'Scoring System'!$B$11)+ (M1430*'Scoring System'!$B$12)+ (L1430*'Scoring System'!$B$13)+ (O1430*'Scoring System'!$B$14)+ (Q1430*'Scoring System'!$B$15)+ (R1430*'Scoring System'!$B$16)</f>
        <v>6</v>
      </c>
      <c r="AB1430" s="3" t="b">
        <f>IFERROR(match(C1430,'Match Day Fees'!$B$2:$B$999,0),0)=0</f>
        <v>0</v>
      </c>
      <c r="AC1430" s="3">
        <f t="shared" si="2"/>
        <v>0</v>
      </c>
      <c r="AD1430" s="3" t="str">
        <f>VLOOKUP(D1430,'Position Lookup'!A:B,2,FALSE)</f>
        <v>ATT</v>
      </c>
    </row>
    <row r="1431" ht="17.25" customHeight="1">
      <c r="A1431" s="32">
        <v>45297.0</v>
      </c>
      <c r="B1431" s="5" t="s">
        <v>309</v>
      </c>
      <c r="C1431" s="3" t="s">
        <v>276</v>
      </c>
      <c r="D1431" s="3" t="s">
        <v>20</v>
      </c>
      <c r="E1431" s="5">
        <v>3.0</v>
      </c>
      <c r="F1431" s="3" t="s">
        <v>1484</v>
      </c>
      <c r="G1431" s="3" t="s">
        <v>224</v>
      </c>
      <c r="J1431" s="5">
        <v>3.0</v>
      </c>
      <c r="N1431" s="3" t="b">
        <v>0</v>
      </c>
      <c r="R1431" s="3">
        <v>0.0</v>
      </c>
      <c r="S1431" s="3" t="b">
        <v>0</v>
      </c>
      <c r="T1431" s="3">
        <v>5.0</v>
      </c>
      <c r="U1431" s="3">
        <v>7.5</v>
      </c>
      <c r="V1431" s="3" t="s">
        <v>1498</v>
      </c>
      <c r="W1431" s="3" t="s">
        <v>344</v>
      </c>
      <c r="X1431" s="77" t="s">
        <v>1486</v>
      </c>
      <c r="Y1431" s="3">
        <v>4.0</v>
      </c>
      <c r="Z1431" s="3">
        <v>3.0</v>
      </c>
      <c r="AA1431" s="3">
        <f>2+ (P1431*'Scoring System'!$B$3)+ (IF(OR(AD1431="DEF",AD1431="GK"),N1431*'Scoring System'!$B$4,IF(AD1431="MID",N1431*'Scoring System'!$B$5,0)))+ (IF(OR(AD1431="DEF",AD1431="GK"),H1431*'Scoring System'!$B$6,IF(AD1431="MID",H1431*'Scoring System'!$B$7,IF(AD1431="ATT",H1431*'Scoring System'!$B$8,0))))+ IF(AND(OR(AD1431="GK",AD1431="DEF"),J1431&gt;=3),1*'Scoring System'!$B$9,0)+ (I1431*'Scoring System'!$B$10)+ (K1431*'Scoring System'!$B$11)+ (M1431*'Scoring System'!$B$12)+ (L1431*'Scoring System'!$B$13)+ (O1431*'Scoring System'!$B$14)+ (Q1431*'Scoring System'!$B$15)+ (R1431*'Scoring System'!$B$16)</f>
        <v>2</v>
      </c>
      <c r="AB1431" s="3" t="b">
        <f>IFERROR(match(C1431,'Match Day Fees'!$B$2:$B$999,0),0)=0</f>
        <v>0</v>
      </c>
      <c r="AC1431" s="3">
        <f t="shared" si="2"/>
        <v>0</v>
      </c>
      <c r="AD1431" s="3" t="str">
        <f>VLOOKUP(D1431,'Position Lookup'!A:B,2,FALSE)</f>
        <v>MID</v>
      </c>
    </row>
    <row r="1432" ht="17.25" customHeight="1">
      <c r="A1432" s="32">
        <v>45297.0</v>
      </c>
      <c r="B1432" s="5" t="s">
        <v>309</v>
      </c>
      <c r="C1432" s="3" t="s">
        <v>333</v>
      </c>
      <c r="D1432" s="3" t="s">
        <v>16</v>
      </c>
      <c r="E1432" s="5">
        <v>3.0</v>
      </c>
      <c r="F1432" s="3" t="s">
        <v>1484</v>
      </c>
      <c r="G1432" s="3" t="s">
        <v>224</v>
      </c>
      <c r="I1432" s="3">
        <v>1.0</v>
      </c>
      <c r="J1432" s="5">
        <v>3.0</v>
      </c>
      <c r="N1432" s="3" t="b">
        <v>0</v>
      </c>
      <c r="R1432" s="3">
        <v>0.0</v>
      </c>
      <c r="S1432" s="3" t="b">
        <v>0</v>
      </c>
      <c r="T1432" s="3">
        <v>5.0</v>
      </c>
      <c r="U1432" s="3">
        <v>7.0</v>
      </c>
      <c r="V1432" s="3" t="s">
        <v>1499</v>
      </c>
      <c r="W1432" s="3" t="s">
        <v>344</v>
      </c>
      <c r="X1432" s="77" t="s">
        <v>1486</v>
      </c>
      <c r="Y1432" s="3">
        <v>4.0</v>
      </c>
      <c r="Z1432" s="3">
        <v>3.0</v>
      </c>
      <c r="AA1432" s="3">
        <f>2+ (P1432*'Scoring System'!$B$3)+ (IF(OR(AD1432="DEF",AD1432="GK"),N1432*'Scoring System'!$B$4,IF(AD1432="MID",N1432*'Scoring System'!$B$5,0)))+ (IF(OR(AD1432="DEF",AD1432="GK"),H1432*'Scoring System'!$B$6,IF(AD1432="MID",H1432*'Scoring System'!$B$7,IF(AD1432="ATT",H1432*'Scoring System'!$B$8,0))))+ IF(AND(OR(AD1432="GK",AD1432="DEF"),J1432&gt;=3),1*'Scoring System'!$B$9,0)+ (I1432*'Scoring System'!$B$10)+ (K1432*'Scoring System'!$B$11)+ (M1432*'Scoring System'!$B$12)+ (L1432*'Scoring System'!$B$13)+ (O1432*'Scoring System'!$B$14)+ (Q1432*'Scoring System'!$B$15)+ (R1432*'Scoring System'!$B$16)</f>
        <v>4</v>
      </c>
      <c r="AB1432" s="3" t="b">
        <f>IFERROR(match(C1432,'Match Day Fees'!$B$2:$B$999,0),0)=0</f>
        <v>0</v>
      </c>
      <c r="AC1432" s="3">
        <f t="shared" si="2"/>
        <v>0</v>
      </c>
      <c r="AD1432" s="3" t="str">
        <f>VLOOKUP(D1432,'Position Lookup'!A:B,2,FALSE)</f>
        <v>DEF</v>
      </c>
    </row>
    <row r="1433" ht="17.25" customHeight="1">
      <c r="A1433" s="32">
        <v>45297.0</v>
      </c>
      <c r="B1433" s="5" t="s">
        <v>309</v>
      </c>
      <c r="C1433" s="3" t="s">
        <v>259</v>
      </c>
      <c r="D1433" s="3" t="s">
        <v>8</v>
      </c>
      <c r="E1433" s="5">
        <v>6.0</v>
      </c>
      <c r="F1433" s="3" t="s">
        <v>1500</v>
      </c>
      <c r="G1433" s="3" t="s">
        <v>230</v>
      </c>
      <c r="J1433" s="5">
        <v>5.0</v>
      </c>
      <c r="N1433" s="3" t="b">
        <v>0</v>
      </c>
      <c r="R1433" s="3">
        <v>0.0</v>
      </c>
      <c r="T1433" s="3">
        <v>10.0</v>
      </c>
      <c r="U1433" s="3">
        <v>4.0</v>
      </c>
      <c r="V1433" s="3" t="s">
        <v>1501</v>
      </c>
      <c r="W1433" s="3" t="s">
        <v>1375</v>
      </c>
      <c r="X1433" s="77" t="s">
        <v>1502</v>
      </c>
      <c r="Y1433" s="3">
        <v>3.0</v>
      </c>
      <c r="Z1433" s="3">
        <v>5.0</v>
      </c>
      <c r="AA1433" s="3">
        <f>2+ (P1433*'Scoring System'!$B$3)+ (IF(OR(AD1433="DEF",AD1433="GK"),N1433*'Scoring System'!$B$4,IF(AD1433="MID",N1433*'Scoring System'!$B$5,0)))+ (IF(OR(AD1433="DEF",AD1433="GK"),H1433*'Scoring System'!$B$6,IF(AD1433="MID",H1433*'Scoring System'!$B$7,IF(AD1433="ATT",H1433*'Scoring System'!$B$8,0))))+ IF(AND(OR(AD1433="GK",AD1433="DEF"),J1433&gt;=3),1*'Scoring System'!$B$9,0)+ (I1433*'Scoring System'!$B$10)+ (K1433*'Scoring System'!$B$11)+ (M1433*'Scoring System'!$B$12)+ (L1433*'Scoring System'!$B$13)+ (O1433*'Scoring System'!$B$14)+ (Q1433*'Scoring System'!$B$15)+ (R1433*'Scoring System'!$B$16)</f>
        <v>1</v>
      </c>
      <c r="AB1433" s="3" t="b">
        <f>IFERROR(match(C1433,'Match Day Fees'!$B$2:$B$999,0),0)=0</f>
        <v>0</v>
      </c>
      <c r="AC1433" s="3">
        <f t="shared" si="2"/>
        <v>0</v>
      </c>
      <c r="AD1433" s="3" t="str">
        <f>VLOOKUP(D1433,'Position Lookup'!A:B,2,FALSE)</f>
        <v>GK</v>
      </c>
    </row>
    <row r="1434" ht="17.25" customHeight="1">
      <c r="A1434" s="32">
        <v>45297.0</v>
      </c>
      <c r="B1434" s="5" t="s">
        <v>309</v>
      </c>
      <c r="C1434" s="3" t="s">
        <v>99</v>
      </c>
      <c r="D1434" s="3" t="s">
        <v>14</v>
      </c>
      <c r="E1434" s="5">
        <v>6.0</v>
      </c>
      <c r="F1434" s="3" t="s">
        <v>1500</v>
      </c>
      <c r="G1434" s="3" t="s">
        <v>230</v>
      </c>
      <c r="J1434" s="5">
        <v>5.0</v>
      </c>
      <c r="N1434" s="3" t="b">
        <v>0</v>
      </c>
      <c r="R1434" s="3">
        <v>0.0</v>
      </c>
      <c r="T1434" s="3">
        <v>10.0</v>
      </c>
      <c r="U1434" s="3">
        <v>5.0</v>
      </c>
      <c r="V1434" s="3" t="s">
        <v>1503</v>
      </c>
      <c r="W1434" s="3" t="s">
        <v>1375</v>
      </c>
      <c r="X1434" s="77" t="s">
        <v>1502</v>
      </c>
      <c r="Y1434" s="3">
        <v>3.0</v>
      </c>
      <c r="Z1434" s="3">
        <v>5.0</v>
      </c>
      <c r="AA1434" s="3">
        <f>2+ (P1434*'Scoring System'!$B$3)+ (IF(OR(AD1434="DEF",AD1434="GK"),N1434*'Scoring System'!$B$4,IF(AD1434="MID",N1434*'Scoring System'!$B$5,0)))+ (IF(OR(AD1434="DEF",AD1434="GK"),H1434*'Scoring System'!$B$6,IF(AD1434="MID",H1434*'Scoring System'!$B$7,IF(AD1434="ATT",H1434*'Scoring System'!$B$8,0))))+ IF(AND(OR(AD1434="GK",AD1434="DEF"),J1434&gt;=3),1*'Scoring System'!$B$9,0)+ (I1434*'Scoring System'!$B$10)+ (K1434*'Scoring System'!$B$11)+ (M1434*'Scoring System'!$B$12)+ (L1434*'Scoring System'!$B$13)+ (O1434*'Scoring System'!$B$14)+ (Q1434*'Scoring System'!$B$15)+ (R1434*'Scoring System'!$B$16)</f>
        <v>1</v>
      </c>
      <c r="AB1434" s="3" t="b">
        <f>IFERROR(match(C1434,'Match Day Fees'!$B$2:$B$999,0),0)=0</f>
        <v>0</v>
      </c>
      <c r="AC1434" s="3">
        <f t="shared" si="2"/>
        <v>0</v>
      </c>
      <c r="AD1434" s="3" t="str">
        <f>VLOOKUP(D1434,'Position Lookup'!A:B,2,FALSE)</f>
        <v>DEF</v>
      </c>
    </row>
    <row r="1435" ht="17.25" customHeight="1">
      <c r="A1435" s="32">
        <v>45297.0</v>
      </c>
      <c r="B1435" s="5" t="s">
        <v>309</v>
      </c>
      <c r="C1435" s="3" t="s">
        <v>122</v>
      </c>
      <c r="D1435" s="5" t="s">
        <v>14</v>
      </c>
      <c r="E1435" s="5">
        <v>6.0</v>
      </c>
      <c r="F1435" s="3" t="s">
        <v>1500</v>
      </c>
      <c r="G1435" s="3" t="s">
        <v>230</v>
      </c>
      <c r="J1435" s="5">
        <v>5.0</v>
      </c>
      <c r="N1435" s="3" t="b">
        <v>0</v>
      </c>
      <c r="R1435" s="3">
        <v>0.0</v>
      </c>
      <c r="T1435" s="3">
        <v>5.0</v>
      </c>
      <c r="U1435" s="3">
        <v>6.0</v>
      </c>
      <c r="V1435" s="3" t="s">
        <v>1504</v>
      </c>
      <c r="W1435" s="3" t="s">
        <v>1375</v>
      </c>
      <c r="X1435" s="77" t="s">
        <v>1502</v>
      </c>
      <c r="Y1435" s="3">
        <v>3.0</v>
      </c>
      <c r="Z1435" s="3">
        <v>5.0</v>
      </c>
      <c r="AA1435" s="3">
        <f>2+ (P1435*'Scoring System'!$B$3)+ (IF(OR(AD1435="DEF",AD1435="GK"),N1435*'Scoring System'!$B$4,IF(AD1435="MID",N1435*'Scoring System'!$B$5,0)))+ (IF(OR(AD1435="DEF",AD1435="GK"),H1435*'Scoring System'!$B$6,IF(AD1435="MID",H1435*'Scoring System'!$B$7,IF(AD1435="ATT",H1435*'Scoring System'!$B$8,0))))+ IF(AND(OR(AD1435="GK",AD1435="DEF"),J1435&gt;=3),1*'Scoring System'!$B$9,0)+ (I1435*'Scoring System'!$B$10)+ (K1435*'Scoring System'!$B$11)+ (M1435*'Scoring System'!$B$12)+ (L1435*'Scoring System'!$B$13)+ (O1435*'Scoring System'!$B$14)+ (Q1435*'Scoring System'!$B$15)+ (R1435*'Scoring System'!$B$16)</f>
        <v>1</v>
      </c>
      <c r="AB1435" s="3" t="b">
        <f>IFERROR(match(C1435,'Match Day Fees'!$B$2:$B$999,0),0)=0</f>
        <v>0</v>
      </c>
      <c r="AC1435" s="3">
        <f t="shared" si="2"/>
        <v>0</v>
      </c>
      <c r="AD1435" s="3" t="str">
        <f>VLOOKUP(D1435,'Position Lookup'!A:B,2,FALSE)</f>
        <v>DEF</v>
      </c>
    </row>
    <row r="1436" ht="17.25" customHeight="1">
      <c r="A1436" s="32">
        <v>45297.0</v>
      </c>
      <c r="B1436" s="5" t="s">
        <v>309</v>
      </c>
      <c r="C1436" s="3" t="s">
        <v>90</v>
      </c>
      <c r="D1436" s="3" t="s">
        <v>12</v>
      </c>
      <c r="E1436" s="5">
        <v>6.0</v>
      </c>
      <c r="F1436" s="3" t="s">
        <v>1500</v>
      </c>
      <c r="G1436" s="3" t="s">
        <v>230</v>
      </c>
      <c r="J1436" s="5">
        <v>5.0</v>
      </c>
      <c r="N1436" s="3" t="b">
        <v>0</v>
      </c>
      <c r="R1436" s="3">
        <v>0.0</v>
      </c>
      <c r="T1436" s="3">
        <v>10.0</v>
      </c>
      <c r="U1436" s="3">
        <v>6.0</v>
      </c>
      <c r="V1436" s="3" t="s">
        <v>1505</v>
      </c>
      <c r="W1436" s="3" t="s">
        <v>1375</v>
      </c>
      <c r="X1436" s="77" t="s">
        <v>1502</v>
      </c>
      <c r="Y1436" s="3">
        <v>3.0</v>
      </c>
      <c r="Z1436" s="3">
        <v>5.0</v>
      </c>
      <c r="AA1436" s="3">
        <f>2+ (P1436*'Scoring System'!$B$3)+ (IF(OR(AD1436="DEF",AD1436="GK"),N1436*'Scoring System'!$B$4,IF(AD1436="MID",N1436*'Scoring System'!$B$5,0)))+ (IF(OR(AD1436="DEF",AD1436="GK"),H1436*'Scoring System'!$B$6,IF(AD1436="MID",H1436*'Scoring System'!$B$7,IF(AD1436="ATT",H1436*'Scoring System'!$B$8,0))))+ IF(AND(OR(AD1436="GK",AD1436="DEF"),J1436&gt;=3),1*'Scoring System'!$B$9,0)+ (I1436*'Scoring System'!$B$10)+ (K1436*'Scoring System'!$B$11)+ (M1436*'Scoring System'!$B$12)+ (L1436*'Scoring System'!$B$13)+ (O1436*'Scoring System'!$B$14)+ (Q1436*'Scoring System'!$B$15)+ (R1436*'Scoring System'!$B$16)</f>
        <v>1</v>
      </c>
      <c r="AB1436" s="3" t="b">
        <f>IFERROR(match(C1436,'Match Day Fees'!$B$2:$B$999,0),0)=0</f>
        <v>0</v>
      </c>
      <c r="AC1436" s="3">
        <f t="shared" si="2"/>
        <v>0</v>
      </c>
      <c r="AD1436" s="3" t="str">
        <f>VLOOKUP(D1436,'Position Lookup'!A:B,2,FALSE)</f>
        <v>DEF</v>
      </c>
    </row>
    <row r="1437" ht="17.25" customHeight="1">
      <c r="A1437" s="32">
        <v>45297.0</v>
      </c>
      <c r="B1437" s="5" t="s">
        <v>309</v>
      </c>
      <c r="C1437" s="3" t="s">
        <v>231</v>
      </c>
      <c r="D1437" s="3" t="s">
        <v>20</v>
      </c>
      <c r="E1437" s="5">
        <v>6.0</v>
      </c>
      <c r="F1437" s="3" t="s">
        <v>1500</v>
      </c>
      <c r="G1437" s="3" t="s">
        <v>230</v>
      </c>
      <c r="J1437" s="5">
        <v>5.0</v>
      </c>
      <c r="N1437" s="3" t="b">
        <v>0</v>
      </c>
      <c r="R1437" s="3">
        <v>0.0</v>
      </c>
      <c r="S1437" s="3" t="b">
        <v>1</v>
      </c>
      <c r="T1437" s="3">
        <v>0.0</v>
      </c>
      <c r="U1437" s="3">
        <v>3.0</v>
      </c>
      <c r="V1437" s="3" t="s">
        <v>1506</v>
      </c>
      <c r="W1437" s="3" t="s">
        <v>1375</v>
      </c>
      <c r="X1437" s="77" t="s">
        <v>1502</v>
      </c>
      <c r="Y1437" s="3">
        <v>3.0</v>
      </c>
      <c r="Z1437" s="3">
        <v>5.0</v>
      </c>
      <c r="AA1437" s="3">
        <f>2+ (P1437*'Scoring System'!$B$3)+ (IF(OR(AD1437="DEF",AD1437="GK"),N1437*'Scoring System'!$B$4,IF(AD1437="MID",N1437*'Scoring System'!$B$5,0)))+ (IF(OR(AD1437="DEF",AD1437="GK"),H1437*'Scoring System'!$B$6,IF(AD1437="MID",H1437*'Scoring System'!$B$7,IF(AD1437="ATT",H1437*'Scoring System'!$B$8,0))))+ IF(AND(OR(AD1437="GK",AD1437="DEF"),J1437&gt;=3),1*'Scoring System'!$B$9,0)+ (I1437*'Scoring System'!$B$10)+ (K1437*'Scoring System'!$B$11)+ (M1437*'Scoring System'!$B$12)+ (L1437*'Scoring System'!$B$13)+ (O1437*'Scoring System'!$B$14)+ (Q1437*'Scoring System'!$B$15)+ (R1437*'Scoring System'!$B$16)</f>
        <v>2</v>
      </c>
      <c r="AB1437" s="3" t="b">
        <f>IFERROR(match(C1437,'Match Day Fees'!$B$2:$B$999,0),0)=0</f>
        <v>0</v>
      </c>
      <c r="AC1437" s="3">
        <f t="shared" si="2"/>
        <v>0</v>
      </c>
      <c r="AD1437" s="3" t="str">
        <f>VLOOKUP(D1437,'Position Lookup'!A:B,2,FALSE)</f>
        <v>MID</v>
      </c>
    </row>
    <row r="1438" ht="17.25" customHeight="1">
      <c r="A1438" s="32">
        <v>45297.0</v>
      </c>
      <c r="B1438" s="5" t="s">
        <v>309</v>
      </c>
      <c r="C1438" s="3" t="s">
        <v>287</v>
      </c>
      <c r="D1438" s="3" t="s">
        <v>12</v>
      </c>
      <c r="E1438" s="5">
        <v>6.0</v>
      </c>
      <c r="F1438" s="3" t="s">
        <v>1500</v>
      </c>
      <c r="G1438" s="3" t="s">
        <v>230</v>
      </c>
      <c r="J1438" s="5">
        <v>5.0</v>
      </c>
      <c r="N1438" s="3" t="b">
        <v>0</v>
      </c>
      <c r="R1438" s="3">
        <v>0.0</v>
      </c>
      <c r="T1438" s="5">
        <v>5.0</v>
      </c>
      <c r="U1438" s="3">
        <v>7.0</v>
      </c>
      <c r="V1438" s="3" t="s">
        <v>1507</v>
      </c>
      <c r="W1438" s="3" t="s">
        <v>1375</v>
      </c>
      <c r="X1438" s="77" t="s">
        <v>1502</v>
      </c>
      <c r="Y1438" s="3">
        <v>3.0</v>
      </c>
      <c r="Z1438" s="3">
        <v>5.0</v>
      </c>
      <c r="AA1438" s="3">
        <f>2+ (P1438*'Scoring System'!$B$3)+ (IF(OR(AD1438="DEF",AD1438="GK"),N1438*'Scoring System'!$B$4,IF(AD1438="MID",N1438*'Scoring System'!$B$5,0)))+ (IF(OR(AD1438="DEF",AD1438="GK"),H1438*'Scoring System'!$B$6,IF(AD1438="MID",H1438*'Scoring System'!$B$7,IF(AD1438="ATT",H1438*'Scoring System'!$B$8,0))))+ IF(AND(OR(AD1438="GK",AD1438="DEF"),J1438&gt;=3),1*'Scoring System'!$B$9,0)+ (I1438*'Scoring System'!$B$10)+ (K1438*'Scoring System'!$B$11)+ (M1438*'Scoring System'!$B$12)+ (L1438*'Scoring System'!$B$13)+ (O1438*'Scoring System'!$B$14)+ (Q1438*'Scoring System'!$B$15)+ (R1438*'Scoring System'!$B$16)</f>
        <v>1</v>
      </c>
      <c r="AB1438" s="3" t="b">
        <f>IFERROR(match(C1438,'Match Day Fees'!$B$2:$B$999,0),0)=0</f>
        <v>0</v>
      </c>
      <c r="AC1438" s="3">
        <f t="shared" si="2"/>
        <v>0</v>
      </c>
      <c r="AD1438" s="3" t="str">
        <f>VLOOKUP(D1438,'Position Lookup'!A:B,2,FALSE)</f>
        <v>DEF</v>
      </c>
    </row>
    <row r="1439" ht="17.25" customHeight="1">
      <c r="A1439" s="32">
        <v>45297.0</v>
      </c>
      <c r="B1439" s="5" t="s">
        <v>309</v>
      </c>
      <c r="C1439" s="3" t="s">
        <v>147</v>
      </c>
      <c r="D1439" s="5" t="s">
        <v>22</v>
      </c>
      <c r="E1439" s="5">
        <v>6.0</v>
      </c>
      <c r="F1439" s="3" t="s">
        <v>1500</v>
      </c>
      <c r="G1439" s="3" t="s">
        <v>230</v>
      </c>
      <c r="H1439" s="5">
        <v>1.0</v>
      </c>
      <c r="J1439" s="5">
        <v>5.0</v>
      </c>
      <c r="N1439" s="3" t="b">
        <v>0</v>
      </c>
      <c r="R1439" s="3">
        <v>0.0</v>
      </c>
      <c r="T1439" s="3">
        <v>5.0</v>
      </c>
      <c r="U1439" s="3">
        <v>7.0</v>
      </c>
      <c r="V1439" s="3" t="s">
        <v>1508</v>
      </c>
      <c r="W1439" s="3" t="s">
        <v>1375</v>
      </c>
      <c r="X1439" s="77" t="s">
        <v>1502</v>
      </c>
      <c r="Y1439" s="3">
        <v>3.0</v>
      </c>
      <c r="Z1439" s="3">
        <v>5.0</v>
      </c>
      <c r="AA1439" s="3">
        <f>2+ (P1439*'Scoring System'!$B$3)+ (IF(OR(AD1439="DEF",AD1439="GK"),N1439*'Scoring System'!$B$4,IF(AD1439="MID",N1439*'Scoring System'!$B$5,0)))+ (IF(OR(AD1439="DEF",AD1439="GK"),H1439*'Scoring System'!$B$6,IF(AD1439="MID",H1439*'Scoring System'!$B$7,IF(AD1439="ATT",H1439*'Scoring System'!$B$8,0))))+ IF(AND(OR(AD1439="GK",AD1439="DEF"),J1439&gt;=3),1*'Scoring System'!$B$9,0)+ (I1439*'Scoring System'!$B$10)+ (K1439*'Scoring System'!$B$11)+ (M1439*'Scoring System'!$B$12)+ (L1439*'Scoring System'!$B$13)+ (O1439*'Scoring System'!$B$14)+ (Q1439*'Scoring System'!$B$15)+ (R1439*'Scoring System'!$B$16)</f>
        <v>6</v>
      </c>
      <c r="AB1439" s="3" t="b">
        <f>IFERROR(match(C1439,'Match Day Fees'!$B$2:$B$999,0),0)=0</f>
        <v>0</v>
      </c>
      <c r="AC1439" s="3">
        <f t="shared" si="2"/>
        <v>0</v>
      </c>
      <c r="AD1439" s="3" t="str">
        <f>VLOOKUP(D1439,'Position Lookup'!A:B,2,FALSE)</f>
        <v>ATT</v>
      </c>
    </row>
    <row r="1440" ht="17.25" customHeight="1">
      <c r="A1440" s="32">
        <v>45297.0</v>
      </c>
      <c r="B1440" s="5" t="s">
        <v>309</v>
      </c>
      <c r="C1440" s="3" t="s">
        <v>142</v>
      </c>
      <c r="D1440" s="5" t="s">
        <v>16</v>
      </c>
      <c r="E1440" s="5">
        <v>6.0</v>
      </c>
      <c r="F1440" s="3" t="s">
        <v>1500</v>
      </c>
      <c r="G1440" s="3" t="s">
        <v>230</v>
      </c>
      <c r="J1440" s="5">
        <v>5.0</v>
      </c>
      <c r="N1440" s="3" t="b">
        <v>0</v>
      </c>
      <c r="R1440" s="3">
        <v>0.0</v>
      </c>
      <c r="T1440" s="3">
        <v>10.0</v>
      </c>
      <c r="U1440" s="3">
        <v>7.0</v>
      </c>
      <c r="V1440" s="3" t="s">
        <v>1509</v>
      </c>
      <c r="W1440" s="3" t="s">
        <v>1375</v>
      </c>
      <c r="X1440" s="77" t="s">
        <v>1502</v>
      </c>
      <c r="Y1440" s="3">
        <v>3.0</v>
      </c>
      <c r="Z1440" s="3">
        <v>5.0</v>
      </c>
      <c r="AA1440" s="3">
        <f>2+ (P1440*'Scoring System'!$B$3)+ (IF(OR(AD1440="DEF",AD1440="GK"),N1440*'Scoring System'!$B$4,IF(AD1440="MID",N1440*'Scoring System'!$B$5,0)))+ (IF(OR(AD1440="DEF",AD1440="GK"),H1440*'Scoring System'!$B$6,IF(AD1440="MID",H1440*'Scoring System'!$B$7,IF(AD1440="ATT",H1440*'Scoring System'!$B$8,0))))+ IF(AND(OR(AD1440="GK",AD1440="DEF"),J1440&gt;=3),1*'Scoring System'!$B$9,0)+ (I1440*'Scoring System'!$B$10)+ (K1440*'Scoring System'!$B$11)+ (M1440*'Scoring System'!$B$12)+ (L1440*'Scoring System'!$B$13)+ (O1440*'Scoring System'!$B$14)+ (Q1440*'Scoring System'!$B$15)+ (R1440*'Scoring System'!$B$16)</f>
        <v>1</v>
      </c>
      <c r="AB1440" s="3" t="b">
        <f>IFERROR(match(C1440,'Match Day Fees'!$B$2:$B$999,0),0)=0</f>
        <v>0</v>
      </c>
      <c r="AC1440" s="3">
        <f t="shared" si="2"/>
        <v>0</v>
      </c>
      <c r="AD1440" s="3" t="str">
        <f>VLOOKUP(D1440,'Position Lookup'!A:B,2,FALSE)</f>
        <v>DEF</v>
      </c>
    </row>
    <row r="1441" ht="17.25" customHeight="1">
      <c r="A1441" s="32">
        <v>45297.0</v>
      </c>
      <c r="B1441" s="5" t="s">
        <v>309</v>
      </c>
      <c r="C1441" s="3" t="s">
        <v>141</v>
      </c>
      <c r="D1441" s="3" t="s">
        <v>20</v>
      </c>
      <c r="E1441" s="5">
        <v>6.0</v>
      </c>
      <c r="F1441" s="3" t="s">
        <v>1500</v>
      </c>
      <c r="G1441" s="3" t="s">
        <v>230</v>
      </c>
      <c r="H1441" s="5">
        <v>1.0</v>
      </c>
      <c r="J1441" s="5">
        <v>5.0</v>
      </c>
      <c r="N1441" s="3" t="b">
        <v>0</v>
      </c>
      <c r="R1441" s="3">
        <v>0.0</v>
      </c>
      <c r="T1441" s="3">
        <v>10.0</v>
      </c>
      <c r="U1441" s="3">
        <v>7.5</v>
      </c>
      <c r="V1441" s="3" t="s">
        <v>1510</v>
      </c>
      <c r="W1441" s="3" t="s">
        <v>1375</v>
      </c>
      <c r="X1441" s="77" t="s">
        <v>1502</v>
      </c>
      <c r="Y1441" s="3">
        <v>3.0</v>
      </c>
      <c r="Z1441" s="3">
        <v>5.0</v>
      </c>
      <c r="AA1441" s="3">
        <f>2+ (P1441*'Scoring System'!$B$3)+ (IF(OR(AD1441="DEF",AD1441="GK"),N1441*'Scoring System'!$B$4,IF(AD1441="MID",N1441*'Scoring System'!$B$5,0)))+ (IF(OR(AD1441="DEF",AD1441="GK"),H1441*'Scoring System'!$B$6,IF(AD1441="MID",H1441*'Scoring System'!$B$7,IF(AD1441="ATT",H1441*'Scoring System'!$B$8,0))))+ IF(AND(OR(AD1441="GK",AD1441="DEF"),J1441&gt;=3),1*'Scoring System'!$B$9,0)+ (I1441*'Scoring System'!$B$10)+ (K1441*'Scoring System'!$B$11)+ (M1441*'Scoring System'!$B$12)+ (L1441*'Scoring System'!$B$13)+ (O1441*'Scoring System'!$B$14)+ (Q1441*'Scoring System'!$B$15)+ (R1441*'Scoring System'!$B$16)</f>
        <v>7</v>
      </c>
      <c r="AB1441" s="3" t="b">
        <f>IFERROR(match(C1441,'Match Day Fees'!$B$2:$B$999,0),0)=0</f>
        <v>0</v>
      </c>
      <c r="AC1441" s="3">
        <f t="shared" si="2"/>
        <v>0</v>
      </c>
      <c r="AD1441" s="3" t="str">
        <f>VLOOKUP(D1441,'Position Lookup'!A:B,2,FALSE)</f>
        <v>MID</v>
      </c>
    </row>
    <row r="1442" ht="17.25" customHeight="1">
      <c r="A1442" s="32">
        <v>45297.0</v>
      </c>
      <c r="B1442" s="5" t="s">
        <v>309</v>
      </c>
      <c r="C1442" s="3" t="s">
        <v>808</v>
      </c>
      <c r="D1442" s="3" t="s">
        <v>23</v>
      </c>
      <c r="E1442" s="5">
        <v>6.0</v>
      </c>
      <c r="F1442" s="3" t="s">
        <v>1500</v>
      </c>
      <c r="G1442" s="3" t="s">
        <v>230</v>
      </c>
      <c r="H1442" s="5">
        <v>1.0</v>
      </c>
      <c r="J1442" s="5">
        <v>5.0</v>
      </c>
      <c r="N1442" s="3" t="b">
        <v>0</v>
      </c>
      <c r="R1442" s="3">
        <v>0.0</v>
      </c>
      <c r="T1442" s="3">
        <v>10.0</v>
      </c>
      <c r="U1442" s="3">
        <v>5.0</v>
      </c>
      <c r="V1442" s="3" t="s">
        <v>1511</v>
      </c>
      <c r="W1442" s="3" t="s">
        <v>1375</v>
      </c>
      <c r="X1442" s="77" t="s">
        <v>1502</v>
      </c>
      <c r="Y1442" s="3">
        <v>3.0</v>
      </c>
      <c r="Z1442" s="3">
        <v>5.0</v>
      </c>
      <c r="AA1442" s="3">
        <f>2+ (P1442*'Scoring System'!$B$3)+ (IF(OR(AD1442="DEF",AD1442="GK"),N1442*'Scoring System'!$B$4,IF(AD1442="MID",N1442*'Scoring System'!$B$5,0)))+ (IF(OR(AD1442="DEF",AD1442="GK"),H1442*'Scoring System'!$B$6,IF(AD1442="MID",H1442*'Scoring System'!$B$7,IF(AD1442="ATT",H1442*'Scoring System'!$B$8,0))))+ IF(AND(OR(AD1442="GK",AD1442="DEF"),J1442&gt;=3),1*'Scoring System'!$B$9,0)+ (I1442*'Scoring System'!$B$10)+ (K1442*'Scoring System'!$B$11)+ (M1442*'Scoring System'!$B$12)+ (L1442*'Scoring System'!$B$13)+ (O1442*'Scoring System'!$B$14)+ (Q1442*'Scoring System'!$B$15)+ (R1442*'Scoring System'!$B$16)</f>
        <v>6</v>
      </c>
      <c r="AB1442" s="3" t="b">
        <f>IFERROR(match(C1442,'Match Day Fees'!$B$2:$B$999,0),0)=0</f>
        <v>0</v>
      </c>
      <c r="AC1442" s="3">
        <f t="shared" si="2"/>
        <v>0</v>
      </c>
      <c r="AD1442" s="3" t="str">
        <f>VLOOKUP(D1442,'Position Lookup'!A:B,2,FALSE)</f>
        <v>ATT</v>
      </c>
    </row>
    <row r="1443" ht="17.25" customHeight="1">
      <c r="A1443" s="32">
        <v>45297.0</v>
      </c>
      <c r="B1443" s="5" t="s">
        <v>309</v>
      </c>
      <c r="C1443" s="3" t="s">
        <v>149</v>
      </c>
      <c r="D1443" s="3" t="s">
        <v>19</v>
      </c>
      <c r="E1443" s="5">
        <v>6.0</v>
      </c>
      <c r="F1443" s="3" t="s">
        <v>1500</v>
      </c>
      <c r="G1443" s="3" t="s">
        <v>230</v>
      </c>
      <c r="J1443" s="5">
        <v>5.0</v>
      </c>
      <c r="N1443" s="3" t="b">
        <v>0</v>
      </c>
      <c r="R1443" s="3">
        <v>0.0</v>
      </c>
      <c r="T1443" s="3">
        <v>10.0</v>
      </c>
      <c r="U1443" s="3">
        <v>6.0</v>
      </c>
      <c r="V1443" s="3" t="s">
        <v>1512</v>
      </c>
      <c r="W1443" s="3" t="s">
        <v>1375</v>
      </c>
      <c r="X1443" s="77" t="s">
        <v>1502</v>
      </c>
      <c r="Y1443" s="3">
        <v>3.0</v>
      </c>
      <c r="Z1443" s="3">
        <v>5.0</v>
      </c>
      <c r="AA1443" s="3">
        <f>2+ (P1443*'Scoring System'!$B$3)+ (IF(OR(AD1443="DEF",AD1443="GK"),N1443*'Scoring System'!$B$4,IF(AD1443="MID",N1443*'Scoring System'!$B$5,0)))+ (IF(OR(AD1443="DEF",AD1443="GK"),H1443*'Scoring System'!$B$6,IF(AD1443="MID",H1443*'Scoring System'!$B$7,IF(AD1443="ATT",H1443*'Scoring System'!$B$8,0))))+ IF(AND(OR(AD1443="GK",AD1443="DEF"),J1443&gt;=3),1*'Scoring System'!$B$9,0)+ (I1443*'Scoring System'!$B$10)+ (K1443*'Scoring System'!$B$11)+ (M1443*'Scoring System'!$B$12)+ (L1443*'Scoring System'!$B$13)+ (O1443*'Scoring System'!$B$14)+ (Q1443*'Scoring System'!$B$15)+ (R1443*'Scoring System'!$B$16)</f>
        <v>2</v>
      </c>
      <c r="AB1443" s="3" t="b">
        <f>IFERROR(match(C1443,'Match Day Fees'!$B$2:$B$999,0),0)=0</f>
        <v>0</v>
      </c>
      <c r="AC1443" s="3">
        <f t="shared" si="2"/>
        <v>0</v>
      </c>
      <c r="AD1443" s="3" t="str">
        <f>VLOOKUP(D1443,'Position Lookup'!A:B,2,FALSE)</f>
        <v>MID</v>
      </c>
    </row>
    <row r="1444" ht="17.25" customHeight="1">
      <c r="A1444" s="32">
        <v>45297.0</v>
      </c>
      <c r="B1444" s="5" t="s">
        <v>309</v>
      </c>
      <c r="C1444" s="3" t="s">
        <v>235</v>
      </c>
      <c r="D1444" s="3" t="s">
        <v>24</v>
      </c>
      <c r="E1444" s="5">
        <v>6.0</v>
      </c>
      <c r="F1444" s="3" t="s">
        <v>1500</v>
      </c>
      <c r="G1444" s="3" t="s">
        <v>230</v>
      </c>
      <c r="J1444" s="5">
        <v>5.0</v>
      </c>
      <c r="N1444" s="3" t="b">
        <v>0</v>
      </c>
      <c r="R1444" s="3">
        <v>0.0</v>
      </c>
      <c r="T1444" s="3">
        <v>5.0</v>
      </c>
      <c r="U1444" s="3">
        <v>5.0</v>
      </c>
      <c r="V1444" s="3" t="s">
        <v>1513</v>
      </c>
      <c r="W1444" s="3" t="s">
        <v>1375</v>
      </c>
      <c r="X1444" s="77" t="s">
        <v>1502</v>
      </c>
      <c r="Y1444" s="3">
        <v>3.0</v>
      </c>
      <c r="Z1444" s="3">
        <v>5.0</v>
      </c>
      <c r="AA1444" s="3">
        <f>2+ (P1444*'Scoring System'!$B$3)+ (IF(OR(AD1444="DEF",AD1444="GK"),N1444*'Scoring System'!$B$4,IF(AD1444="MID",N1444*'Scoring System'!$B$5,0)))+ (IF(OR(AD1444="DEF",AD1444="GK"),H1444*'Scoring System'!$B$6,IF(AD1444="MID",H1444*'Scoring System'!$B$7,IF(AD1444="ATT",H1444*'Scoring System'!$B$8,0))))+ IF(AND(OR(AD1444="GK",AD1444="DEF"),J1444&gt;=3),1*'Scoring System'!$B$9,0)+ (I1444*'Scoring System'!$B$10)+ (K1444*'Scoring System'!$B$11)+ (M1444*'Scoring System'!$B$12)+ (L1444*'Scoring System'!$B$13)+ (O1444*'Scoring System'!$B$14)+ (Q1444*'Scoring System'!$B$15)+ (R1444*'Scoring System'!$B$16)</f>
        <v>2</v>
      </c>
      <c r="AB1444" s="3" t="b">
        <f>IFERROR(match(C1444,'Match Day Fees'!$B$2:$B$999,0),0)=0</f>
        <v>0</v>
      </c>
      <c r="AC1444" s="3">
        <f t="shared" si="2"/>
        <v>0</v>
      </c>
      <c r="AD1444" s="3" t="str">
        <f>VLOOKUP(D1444,'Position Lookup'!A:B,2,FALSE)</f>
        <v>ATT</v>
      </c>
    </row>
    <row r="1445" ht="17.25" customHeight="1">
      <c r="A1445" s="32">
        <v>45297.0</v>
      </c>
      <c r="B1445" s="5" t="s">
        <v>309</v>
      </c>
      <c r="C1445" s="3" t="s">
        <v>140</v>
      </c>
      <c r="D1445" s="3" t="s">
        <v>20</v>
      </c>
      <c r="E1445" s="5">
        <v>6.0</v>
      </c>
      <c r="F1445" s="3" t="s">
        <v>1500</v>
      </c>
      <c r="G1445" s="3" t="s">
        <v>230</v>
      </c>
      <c r="J1445" s="5">
        <v>5.0</v>
      </c>
      <c r="N1445" s="3" t="b">
        <v>0</v>
      </c>
      <c r="R1445" s="3">
        <v>1.0</v>
      </c>
      <c r="T1445" s="3">
        <v>10.0</v>
      </c>
      <c r="U1445" s="3">
        <v>7.5</v>
      </c>
      <c r="V1445" s="3" t="s">
        <v>1514</v>
      </c>
      <c r="W1445" s="3" t="s">
        <v>1375</v>
      </c>
      <c r="X1445" s="77" t="s">
        <v>1502</v>
      </c>
      <c r="Y1445" s="3">
        <v>3.0</v>
      </c>
      <c r="Z1445" s="3">
        <v>5.0</v>
      </c>
      <c r="AA1445" s="3">
        <f>2+ (P1445*'Scoring System'!$B$3)+ (IF(OR(AD1445="DEF",AD1445="GK"),N1445*'Scoring System'!$B$4,IF(AD1445="MID",N1445*'Scoring System'!$B$5,0)))+ (IF(OR(AD1445="DEF",AD1445="GK"),H1445*'Scoring System'!$B$6,IF(AD1445="MID",H1445*'Scoring System'!$B$7,IF(AD1445="ATT",H1445*'Scoring System'!$B$8,0))))+ IF(AND(OR(AD1445="GK",AD1445="DEF"),J1445&gt;=3),1*'Scoring System'!$B$9,0)+ (I1445*'Scoring System'!$B$10)+ (K1445*'Scoring System'!$B$11)+ (M1445*'Scoring System'!$B$12)+ (L1445*'Scoring System'!$B$13)+ (O1445*'Scoring System'!$B$14)+ (Q1445*'Scoring System'!$B$15)+ (R1445*'Scoring System'!$B$16)</f>
        <v>7</v>
      </c>
      <c r="AB1445" s="3" t="b">
        <f>IFERROR(match(C1445,'Match Day Fees'!$B$2:$B$999,0),0)=0</f>
        <v>0</v>
      </c>
      <c r="AC1445" s="3">
        <f t="shared" si="2"/>
        <v>0</v>
      </c>
      <c r="AD1445" s="3" t="str">
        <f>VLOOKUP(D1445,'Position Lookup'!A:B,2,FALSE)</f>
        <v>MID</v>
      </c>
    </row>
    <row r="1446" ht="17.25" customHeight="1">
      <c r="A1446" s="32">
        <v>45297.0</v>
      </c>
      <c r="B1446" s="5" t="s">
        <v>309</v>
      </c>
      <c r="C1446" s="3" t="s">
        <v>1372</v>
      </c>
      <c r="D1446" s="3" t="s">
        <v>24</v>
      </c>
      <c r="E1446" s="5">
        <v>6.0</v>
      </c>
      <c r="F1446" s="3" t="s">
        <v>1500</v>
      </c>
      <c r="G1446" s="3" t="s">
        <v>230</v>
      </c>
      <c r="I1446" s="5">
        <v>1.0</v>
      </c>
      <c r="J1446" s="5">
        <v>5.0</v>
      </c>
      <c r="N1446" s="3" t="b">
        <v>0</v>
      </c>
      <c r="R1446" s="3">
        <v>0.0</v>
      </c>
      <c r="T1446" s="3">
        <v>10.0</v>
      </c>
      <c r="U1446" s="3">
        <v>6.0</v>
      </c>
      <c r="V1446" s="3" t="s">
        <v>1515</v>
      </c>
      <c r="W1446" s="3" t="s">
        <v>1375</v>
      </c>
      <c r="X1446" s="77" t="s">
        <v>1502</v>
      </c>
      <c r="Y1446" s="3">
        <v>3.0</v>
      </c>
      <c r="Z1446" s="3">
        <v>5.0</v>
      </c>
      <c r="AA1446" s="3">
        <f>2+ (P1446*'Scoring System'!$B$3)+ (IF(OR(AD1446="DEF",AD1446="GK"),N1446*'Scoring System'!$B$4,IF(AD1446="MID",N1446*'Scoring System'!$B$5,0)))+ (IF(OR(AD1446="DEF",AD1446="GK"),H1446*'Scoring System'!$B$6,IF(AD1446="MID",H1446*'Scoring System'!$B$7,IF(AD1446="ATT",H1446*'Scoring System'!$B$8,0))))+ IF(AND(OR(AD1446="GK",AD1446="DEF"),J1446&gt;=3),1*'Scoring System'!$B$9,0)+ (I1446*'Scoring System'!$B$10)+ (K1446*'Scoring System'!$B$11)+ (M1446*'Scoring System'!$B$12)+ (L1446*'Scoring System'!$B$13)+ (O1446*'Scoring System'!$B$14)+ (Q1446*'Scoring System'!$B$15)+ (R1446*'Scoring System'!$B$16)</f>
        <v>5</v>
      </c>
      <c r="AB1446" s="3" t="b">
        <f>IFERROR(match(C1446,'Match Day Fees'!$B$2:$B$999,0),0)=0</f>
        <v>0</v>
      </c>
      <c r="AC1446" s="3">
        <f t="shared" si="2"/>
        <v>0</v>
      </c>
      <c r="AD1446" s="3" t="str">
        <f>VLOOKUP(D1446,'Position Lookup'!A:B,2,FALSE)</f>
        <v>ATT</v>
      </c>
    </row>
    <row r="1447" ht="17.25" customHeight="1">
      <c r="A1447" s="32">
        <v>45304.0</v>
      </c>
      <c r="B1447" s="5" t="s">
        <v>309</v>
      </c>
      <c r="C1447" s="5" t="s">
        <v>38</v>
      </c>
      <c r="D1447" s="5" t="s">
        <v>8</v>
      </c>
      <c r="E1447" s="5">
        <v>2.0</v>
      </c>
      <c r="F1447" s="5" t="s">
        <v>1516</v>
      </c>
      <c r="G1447" s="5" t="s">
        <v>224</v>
      </c>
      <c r="J1447" s="5">
        <v>0.0</v>
      </c>
      <c r="N1447" s="5" t="b">
        <v>1</v>
      </c>
      <c r="R1447" s="5">
        <v>0.0</v>
      </c>
      <c r="T1447" s="3">
        <v>10.0</v>
      </c>
      <c r="U1447" s="5">
        <v>8.0</v>
      </c>
      <c r="V1447" s="3" t="s">
        <v>1517</v>
      </c>
      <c r="W1447" s="81" t="s">
        <v>327</v>
      </c>
      <c r="X1447" s="77" t="s">
        <v>1518</v>
      </c>
      <c r="Y1447" s="5">
        <v>2.0</v>
      </c>
      <c r="Z1447" s="5">
        <v>0.0</v>
      </c>
      <c r="AA1447" s="3">
        <f>2+ (P1447*'Scoring System'!$B$3)+ (IF(OR(AD1447="DEF",AD1447="GK"),N1447*'Scoring System'!$B$4,IF(AD1447="MID",N1447*'Scoring System'!$B$5,0)))+ (IF(OR(AD1447="DEF",AD1447="GK"),H1447*'Scoring System'!$B$6,IF(AD1447="MID",H1447*'Scoring System'!$B$7,IF(AD1447="ATT",H1447*'Scoring System'!$B$8,0))))+ IF(AND(OR(AD1447="GK",AD1447="DEF"),J1447&gt;=3),1*'Scoring System'!$B$9,0)+ (I1447*'Scoring System'!$B$10)+ (K1447*'Scoring System'!$B$11)+ (M1447*'Scoring System'!$B$12)+ (L1447*'Scoring System'!$B$13)+ (O1447*'Scoring System'!$B$14)+ (Q1447*'Scoring System'!$B$15)+ (R1447*'Scoring System'!$B$16)</f>
        <v>8</v>
      </c>
      <c r="AB1447" s="3" t="b">
        <f>IFERROR(match(C1447,'Match Day Fees'!$B$2:$B$999,0),0)=0</f>
        <v>0</v>
      </c>
      <c r="AC1447" s="3">
        <f t="shared" si="2"/>
        <v>0</v>
      </c>
      <c r="AD1447" s="3" t="str">
        <f>VLOOKUP(D1447,'Position Lookup'!A:B,2,FALSE)</f>
        <v>GK</v>
      </c>
    </row>
    <row r="1448" ht="17.25" customHeight="1">
      <c r="A1448" s="32">
        <v>45304.0</v>
      </c>
      <c r="B1448" s="5" t="s">
        <v>309</v>
      </c>
      <c r="C1448" s="5" t="s">
        <v>56</v>
      </c>
      <c r="D1448" s="5" t="s">
        <v>16</v>
      </c>
      <c r="E1448" s="5">
        <v>2.0</v>
      </c>
      <c r="F1448" s="5" t="s">
        <v>1516</v>
      </c>
      <c r="G1448" s="5" t="s">
        <v>224</v>
      </c>
      <c r="J1448" s="5">
        <v>0.0</v>
      </c>
      <c r="N1448" s="5" t="b">
        <v>1</v>
      </c>
      <c r="R1448" s="5">
        <v>0.0</v>
      </c>
      <c r="T1448" s="3">
        <v>10.0</v>
      </c>
      <c r="U1448" s="5">
        <v>7.5</v>
      </c>
      <c r="V1448" s="3" t="s">
        <v>1519</v>
      </c>
      <c r="W1448" s="81" t="s">
        <v>327</v>
      </c>
      <c r="X1448" s="77" t="s">
        <v>1518</v>
      </c>
      <c r="Y1448" s="5">
        <v>2.0</v>
      </c>
      <c r="Z1448" s="5">
        <v>0.0</v>
      </c>
      <c r="AA1448" s="3">
        <f>2+ (P1448*'Scoring System'!$B$3)+ (IF(OR(AD1448="DEF",AD1448="GK"),N1448*'Scoring System'!$B$4,IF(AD1448="MID",N1448*'Scoring System'!$B$5,0)))+ (IF(OR(AD1448="DEF",AD1448="GK"),H1448*'Scoring System'!$B$6,IF(AD1448="MID",H1448*'Scoring System'!$B$7,IF(AD1448="ATT",H1448*'Scoring System'!$B$8,0))))+ IF(AND(OR(AD1448="GK",AD1448="DEF"),J1448&gt;=3),1*'Scoring System'!$B$9,0)+ (I1448*'Scoring System'!$B$10)+ (K1448*'Scoring System'!$B$11)+ (M1448*'Scoring System'!$B$12)+ (L1448*'Scoring System'!$B$13)+ (O1448*'Scoring System'!$B$14)+ (Q1448*'Scoring System'!$B$15)+ (R1448*'Scoring System'!$B$16)</f>
        <v>8</v>
      </c>
      <c r="AB1448" s="3" t="b">
        <f>IFERROR(match(C1448,'Match Day Fees'!$B$2:$B$999,0),0)=0</f>
        <v>0</v>
      </c>
      <c r="AC1448" s="3">
        <f t="shared" si="2"/>
        <v>0</v>
      </c>
      <c r="AD1448" s="3" t="str">
        <f>VLOOKUP(D1448,'Position Lookup'!A:B,2,FALSE)</f>
        <v>DEF</v>
      </c>
    </row>
    <row r="1449" ht="17.25" customHeight="1">
      <c r="A1449" s="32">
        <v>45304.0</v>
      </c>
      <c r="B1449" s="5" t="s">
        <v>309</v>
      </c>
      <c r="C1449" s="5" t="s">
        <v>40</v>
      </c>
      <c r="D1449" s="5" t="s">
        <v>14</v>
      </c>
      <c r="E1449" s="5">
        <v>2.0</v>
      </c>
      <c r="F1449" s="5" t="s">
        <v>1516</v>
      </c>
      <c r="G1449" s="5" t="s">
        <v>224</v>
      </c>
      <c r="J1449" s="5">
        <v>0.0</v>
      </c>
      <c r="N1449" s="5" t="b">
        <v>1</v>
      </c>
      <c r="R1449" s="5">
        <v>0.0</v>
      </c>
      <c r="T1449" s="3">
        <v>10.0</v>
      </c>
      <c r="U1449" s="5">
        <v>7.0</v>
      </c>
      <c r="V1449" s="3" t="s">
        <v>1520</v>
      </c>
      <c r="W1449" s="81" t="s">
        <v>327</v>
      </c>
      <c r="X1449" s="77" t="s">
        <v>1518</v>
      </c>
      <c r="Y1449" s="5">
        <v>2.0</v>
      </c>
      <c r="Z1449" s="5">
        <v>0.0</v>
      </c>
      <c r="AA1449" s="3">
        <f>2+ (P1449*'Scoring System'!$B$3)+ (IF(OR(AD1449="DEF",AD1449="GK"),N1449*'Scoring System'!$B$4,IF(AD1449="MID",N1449*'Scoring System'!$B$5,0)))+ (IF(OR(AD1449="DEF",AD1449="GK"),H1449*'Scoring System'!$B$6,IF(AD1449="MID",H1449*'Scoring System'!$B$7,IF(AD1449="ATT",H1449*'Scoring System'!$B$8,0))))+ IF(AND(OR(AD1449="GK",AD1449="DEF"),J1449&gt;=3),1*'Scoring System'!$B$9,0)+ (I1449*'Scoring System'!$B$10)+ (K1449*'Scoring System'!$B$11)+ (M1449*'Scoring System'!$B$12)+ (L1449*'Scoring System'!$B$13)+ (O1449*'Scoring System'!$B$14)+ (Q1449*'Scoring System'!$B$15)+ (R1449*'Scoring System'!$B$16)</f>
        <v>8</v>
      </c>
      <c r="AB1449" s="3" t="b">
        <f>IFERROR(match(C1449,'Match Day Fees'!$B$2:$B$999,0),0)=0</f>
        <v>0</v>
      </c>
      <c r="AC1449" s="3">
        <f t="shared" si="2"/>
        <v>0</v>
      </c>
      <c r="AD1449" s="3" t="str">
        <f>VLOOKUP(D1449,'Position Lookup'!A:B,2,FALSE)</f>
        <v>DEF</v>
      </c>
    </row>
    <row r="1450" ht="17.25" customHeight="1">
      <c r="A1450" s="32">
        <v>45304.0</v>
      </c>
      <c r="B1450" s="5" t="s">
        <v>309</v>
      </c>
      <c r="C1450" s="5" t="s">
        <v>120</v>
      </c>
      <c r="D1450" s="5" t="s">
        <v>14</v>
      </c>
      <c r="E1450" s="5">
        <v>2.0</v>
      </c>
      <c r="F1450" s="5" t="s">
        <v>1516</v>
      </c>
      <c r="G1450" s="5" t="s">
        <v>224</v>
      </c>
      <c r="J1450" s="5">
        <v>0.0</v>
      </c>
      <c r="N1450" s="5" t="b">
        <v>1</v>
      </c>
      <c r="R1450" s="5">
        <v>0.0</v>
      </c>
      <c r="T1450" s="3">
        <v>5.0</v>
      </c>
      <c r="U1450" s="5">
        <v>8.0</v>
      </c>
      <c r="V1450" s="3" t="s">
        <v>1521</v>
      </c>
      <c r="W1450" s="81" t="s">
        <v>327</v>
      </c>
      <c r="X1450" s="77" t="s">
        <v>1518</v>
      </c>
      <c r="Y1450" s="5">
        <v>2.0</v>
      </c>
      <c r="Z1450" s="5">
        <v>0.0</v>
      </c>
      <c r="AA1450" s="3">
        <f>2+ (P1450*'Scoring System'!$B$3)+ (IF(OR(AD1450="DEF",AD1450="GK"),N1450*'Scoring System'!$B$4,IF(AD1450="MID",N1450*'Scoring System'!$B$5,0)))+ (IF(OR(AD1450="DEF",AD1450="GK"),H1450*'Scoring System'!$B$6,IF(AD1450="MID",H1450*'Scoring System'!$B$7,IF(AD1450="ATT",H1450*'Scoring System'!$B$8,0))))+ IF(AND(OR(AD1450="GK",AD1450="DEF"),J1450&gt;=3),1*'Scoring System'!$B$9,0)+ (I1450*'Scoring System'!$B$10)+ (K1450*'Scoring System'!$B$11)+ (M1450*'Scoring System'!$B$12)+ (L1450*'Scoring System'!$B$13)+ (O1450*'Scoring System'!$B$14)+ (Q1450*'Scoring System'!$B$15)+ (R1450*'Scoring System'!$B$16)</f>
        <v>8</v>
      </c>
      <c r="AB1450" s="3" t="b">
        <f>IFERROR(match(C1450,'Match Day Fees'!$B$2:$B$999,0),0)=0</f>
        <v>0</v>
      </c>
      <c r="AC1450" s="3">
        <f t="shared" si="2"/>
        <v>0</v>
      </c>
      <c r="AD1450" s="3" t="str">
        <f>VLOOKUP(D1450,'Position Lookup'!A:B,2,FALSE)</f>
        <v>DEF</v>
      </c>
    </row>
    <row r="1451" ht="17.25" customHeight="1">
      <c r="A1451" s="32">
        <v>45304.0</v>
      </c>
      <c r="B1451" s="5" t="s">
        <v>309</v>
      </c>
      <c r="C1451" s="5" t="s">
        <v>111</v>
      </c>
      <c r="D1451" s="5" t="s">
        <v>16</v>
      </c>
      <c r="E1451" s="5">
        <v>2.0</v>
      </c>
      <c r="F1451" s="5" t="s">
        <v>1516</v>
      </c>
      <c r="G1451" s="5" t="s">
        <v>224</v>
      </c>
      <c r="J1451" s="5">
        <v>0.0</v>
      </c>
      <c r="N1451" s="5" t="b">
        <v>1</v>
      </c>
      <c r="R1451" s="5">
        <v>0.0</v>
      </c>
      <c r="T1451" s="3">
        <v>10.0</v>
      </c>
      <c r="U1451" s="5">
        <v>6.5</v>
      </c>
      <c r="V1451" s="3" t="s">
        <v>1522</v>
      </c>
      <c r="W1451" s="81" t="s">
        <v>327</v>
      </c>
      <c r="X1451" s="77" t="s">
        <v>1518</v>
      </c>
      <c r="Y1451" s="5">
        <v>2.0</v>
      </c>
      <c r="Z1451" s="5">
        <v>0.0</v>
      </c>
      <c r="AA1451" s="3">
        <f>2+ (P1451*'Scoring System'!$B$3)+ (IF(OR(AD1451="DEF",AD1451="GK"),N1451*'Scoring System'!$B$4,IF(AD1451="MID",N1451*'Scoring System'!$B$5,0)))+ (IF(OR(AD1451="DEF",AD1451="GK"),H1451*'Scoring System'!$B$6,IF(AD1451="MID",H1451*'Scoring System'!$B$7,IF(AD1451="ATT",H1451*'Scoring System'!$B$8,0))))+ IF(AND(OR(AD1451="GK",AD1451="DEF"),J1451&gt;=3),1*'Scoring System'!$B$9,0)+ (I1451*'Scoring System'!$B$10)+ (K1451*'Scoring System'!$B$11)+ (M1451*'Scoring System'!$B$12)+ (L1451*'Scoring System'!$B$13)+ (O1451*'Scoring System'!$B$14)+ (Q1451*'Scoring System'!$B$15)+ (R1451*'Scoring System'!$B$16)</f>
        <v>8</v>
      </c>
      <c r="AB1451" s="3" t="b">
        <f>IFERROR(match(C1451,'Match Day Fees'!$B$2:$B$999,0),0)=0</f>
        <v>0</v>
      </c>
      <c r="AC1451" s="3">
        <f t="shared" si="2"/>
        <v>0</v>
      </c>
      <c r="AD1451" s="3" t="str">
        <f>VLOOKUP(D1451,'Position Lookup'!A:B,2,FALSE)</f>
        <v>DEF</v>
      </c>
    </row>
    <row r="1452" ht="17.25" customHeight="1">
      <c r="A1452" s="32">
        <v>45304.0</v>
      </c>
      <c r="B1452" s="5" t="s">
        <v>309</v>
      </c>
      <c r="C1452" s="5" t="s">
        <v>43</v>
      </c>
      <c r="D1452" s="5" t="s">
        <v>12</v>
      </c>
      <c r="E1452" s="5">
        <v>2.0</v>
      </c>
      <c r="F1452" s="5" t="s">
        <v>1516</v>
      </c>
      <c r="G1452" s="5" t="s">
        <v>224</v>
      </c>
      <c r="J1452" s="5">
        <v>0.0</v>
      </c>
      <c r="N1452" s="5" t="b">
        <v>1</v>
      </c>
      <c r="R1452" s="5">
        <v>0.0</v>
      </c>
      <c r="T1452" s="3">
        <v>10.0</v>
      </c>
      <c r="U1452" s="5">
        <v>7.0</v>
      </c>
      <c r="V1452" s="3" t="s">
        <v>1523</v>
      </c>
      <c r="W1452" s="81" t="s">
        <v>327</v>
      </c>
      <c r="X1452" s="77" t="s">
        <v>1518</v>
      </c>
      <c r="Y1452" s="5">
        <v>2.0</v>
      </c>
      <c r="Z1452" s="5">
        <v>0.0</v>
      </c>
      <c r="AA1452" s="3">
        <f>2+ (P1452*'Scoring System'!$B$3)+ (IF(OR(AD1452="DEF",AD1452="GK"),N1452*'Scoring System'!$B$4,IF(AD1452="MID",N1452*'Scoring System'!$B$5,0)))+ (IF(OR(AD1452="DEF",AD1452="GK"),H1452*'Scoring System'!$B$6,IF(AD1452="MID",H1452*'Scoring System'!$B$7,IF(AD1452="ATT",H1452*'Scoring System'!$B$8,0))))+ IF(AND(OR(AD1452="GK",AD1452="DEF"),J1452&gt;=3),1*'Scoring System'!$B$9,0)+ (I1452*'Scoring System'!$B$10)+ (K1452*'Scoring System'!$B$11)+ (M1452*'Scoring System'!$B$12)+ (L1452*'Scoring System'!$B$13)+ (O1452*'Scoring System'!$B$14)+ (Q1452*'Scoring System'!$B$15)+ (R1452*'Scoring System'!$B$16)</f>
        <v>8</v>
      </c>
      <c r="AB1452" s="3" t="b">
        <f>IFERROR(match(C1452,'Match Day Fees'!$B$2:$B$999,0),0)=0</f>
        <v>0</v>
      </c>
      <c r="AC1452" s="3">
        <f t="shared" si="2"/>
        <v>0</v>
      </c>
      <c r="AD1452" s="3" t="str">
        <f>VLOOKUP(D1452,'Position Lookup'!A:B,2,FALSE)</f>
        <v>DEF</v>
      </c>
    </row>
    <row r="1453" ht="17.25" customHeight="1">
      <c r="A1453" s="32">
        <v>45304.0</v>
      </c>
      <c r="B1453" s="5" t="s">
        <v>309</v>
      </c>
      <c r="C1453" s="5" t="s">
        <v>104</v>
      </c>
      <c r="D1453" s="5" t="s">
        <v>20</v>
      </c>
      <c r="E1453" s="5">
        <v>2.0</v>
      </c>
      <c r="F1453" s="5" t="s">
        <v>1516</v>
      </c>
      <c r="G1453" s="5" t="s">
        <v>224</v>
      </c>
      <c r="J1453" s="5">
        <v>0.0</v>
      </c>
      <c r="N1453" s="5" t="b">
        <v>1</v>
      </c>
      <c r="R1453" s="5">
        <v>0.0</v>
      </c>
      <c r="T1453" s="3">
        <v>2.5</v>
      </c>
      <c r="U1453" s="5">
        <v>7.0</v>
      </c>
      <c r="V1453" s="3" t="s">
        <v>1524</v>
      </c>
      <c r="W1453" s="81" t="s">
        <v>327</v>
      </c>
      <c r="X1453" s="77" t="s">
        <v>1518</v>
      </c>
      <c r="Y1453" s="5">
        <v>2.0</v>
      </c>
      <c r="Z1453" s="5">
        <v>0.0</v>
      </c>
      <c r="AA1453" s="3">
        <f>2+ (P1453*'Scoring System'!$B$3)+ (IF(OR(AD1453="DEF",AD1453="GK"),N1453*'Scoring System'!$B$4,IF(AD1453="MID",N1453*'Scoring System'!$B$5,0)))+ (IF(OR(AD1453="DEF",AD1453="GK"),H1453*'Scoring System'!$B$6,IF(AD1453="MID",H1453*'Scoring System'!$B$7,IF(AD1453="ATT",H1453*'Scoring System'!$B$8,0))))+ IF(AND(OR(AD1453="GK",AD1453="DEF"),J1453&gt;=3),1*'Scoring System'!$B$9,0)+ (I1453*'Scoring System'!$B$10)+ (K1453*'Scoring System'!$B$11)+ (M1453*'Scoring System'!$B$12)+ (L1453*'Scoring System'!$B$13)+ (O1453*'Scoring System'!$B$14)+ (Q1453*'Scoring System'!$B$15)+ (R1453*'Scoring System'!$B$16)</f>
        <v>4</v>
      </c>
      <c r="AB1453" s="3" t="b">
        <f>IFERROR(match(C1453,'Match Day Fees'!$B$2:$B$999,0),0)=0</f>
        <v>0</v>
      </c>
      <c r="AC1453" s="3">
        <f t="shared" si="2"/>
        <v>0</v>
      </c>
      <c r="AD1453" s="3" t="str">
        <f>VLOOKUP(D1453,'Position Lookup'!A:B,2,FALSE)</f>
        <v>MID</v>
      </c>
    </row>
    <row r="1454" ht="17.25" customHeight="1">
      <c r="A1454" s="32">
        <v>45304.0</v>
      </c>
      <c r="B1454" s="5" t="s">
        <v>309</v>
      </c>
      <c r="C1454" s="5" t="s">
        <v>68</v>
      </c>
      <c r="D1454" s="5" t="s">
        <v>14</v>
      </c>
      <c r="E1454" s="5">
        <v>2.0</v>
      </c>
      <c r="F1454" s="5" t="s">
        <v>1516</v>
      </c>
      <c r="G1454" s="5" t="s">
        <v>224</v>
      </c>
      <c r="H1454" s="5">
        <v>1.0</v>
      </c>
      <c r="I1454" s="5">
        <v>1.0</v>
      </c>
      <c r="J1454" s="5">
        <v>0.0</v>
      </c>
      <c r="N1454" s="5" t="b">
        <v>1</v>
      </c>
      <c r="R1454" s="5">
        <v>0.0</v>
      </c>
      <c r="T1454" s="3">
        <v>10.0</v>
      </c>
      <c r="U1454" s="5">
        <v>9.0</v>
      </c>
      <c r="V1454" s="3" t="s">
        <v>1525</v>
      </c>
      <c r="W1454" s="81" t="s">
        <v>327</v>
      </c>
      <c r="X1454" s="77" t="s">
        <v>1518</v>
      </c>
      <c r="Y1454" s="5">
        <v>2.0</v>
      </c>
      <c r="Z1454" s="5">
        <v>0.0</v>
      </c>
      <c r="AA1454" s="3">
        <f>2+ (P1454*'Scoring System'!$B$3)+ (IF(OR(AD1454="DEF",AD1454="GK"),N1454*'Scoring System'!$B$4,IF(AD1454="MID",N1454*'Scoring System'!$B$5,0)))+ (IF(OR(AD1454="DEF",AD1454="GK"),H1454*'Scoring System'!$B$6,IF(AD1454="MID",H1454*'Scoring System'!$B$7,IF(AD1454="ATT",H1454*'Scoring System'!$B$8,0))))+ IF(AND(OR(AD1454="GK",AD1454="DEF"),J1454&gt;=3),1*'Scoring System'!$B$9,0)+ (I1454*'Scoring System'!$B$10)+ (K1454*'Scoring System'!$B$11)+ (M1454*'Scoring System'!$B$12)+ (L1454*'Scoring System'!$B$13)+ (O1454*'Scoring System'!$B$14)+ (Q1454*'Scoring System'!$B$15)+ (R1454*'Scoring System'!$B$16)</f>
        <v>17</v>
      </c>
      <c r="AB1454" s="3" t="b">
        <f>IFERROR(match(C1454,'Match Day Fees'!$B$2:$B$999,0),0)=0</f>
        <v>0</v>
      </c>
      <c r="AC1454" s="3">
        <f t="shared" si="2"/>
        <v>0</v>
      </c>
      <c r="AD1454" s="3" t="str">
        <f>VLOOKUP(D1454,'Position Lookup'!A:B,2,FALSE)</f>
        <v>DEF</v>
      </c>
    </row>
    <row r="1455" ht="17.25" customHeight="1">
      <c r="A1455" s="32">
        <v>45304.0</v>
      </c>
      <c r="B1455" s="5" t="s">
        <v>309</v>
      </c>
      <c r="C1455" s="5" t="s">
        <v>85</v>
      </c>
      <c r="D1455" s="5" t="s">
        <v>20</v>
      </c>
      <c r="E1455" s="5">
        <v>2.0</v>
      </c>
      <c r="F1455" s="5" t="s">
        <v>1516</v>
      </c>
      <c r="G1455" s="5" t="s">
        <v>224</v>
      </c>
      <c r="J1455" s="5">
        <v>0.0</v>
      </c>
      <c r="N1455" s="5" t="b">
        <v>1</v>
      </c>
      <c r="R1455" s="5">
        <v>0.0</v>
      </c>
      <c r="T1455" s="3">
        <v>5.0</v>
      </c>
      <c r="U1455" s="5">
        <v>6.0</v>
      </c>
      <c r="V1455" s="3" t="s">
        <v>1526</v>
      </c>
      <c r="W1455" s="81" t="s">
        <v>327</v>
      </c>
      <c r="X1455" s="77" t="s">
        <v>1518</v>
      </c>
      <c r="Y1455" s="5">
        <v>2.0</v>
      </c>
      <c r="Z1455" s="5">
        <v>0.0</v>
      </c>
      <c r="AA1455" s="3">
        <f>2+ (P1455*'Scoring System'!$B$3)+ (IF(OR(AD1455="DEF",AD1455="GK"),N1455*'Scoring System'!$B$4,IF(AD1455="MID",N1455*'Scoring System'!$B$5,0)))+ (IF(OR(AD1455="DEF",AD1455="GK"),H1455*'Scoring System'!$B$6,IF(AD1455="MID",H1455*'Scoring System'!$B$7,IF(AD1455="ATT",H1455*'Scoring System'!$B$8,0))))+ IF(AND(OR(AD1455="GK",AD1455="DEF"),J1455&gt;=3),1*'Scoring System'!$B$9,0)+ (I1455*'Scoring System'!$B$10)+ (K1455*'Scoring System'!$B$11)+ (M1455*'Scoring System'!$B$12)+ (L1455*'Scoring System'!$B$13)+ (O1455*'Scoring System'!$B$14)+ (Q1455*'Scoring System'!$B$15)+ (R1455*'Scoring System'!$B$16)</f>
        <v>4</v>
      </c>
      <c r="AB1455" s="3" t="b">
        <f>IFERROR(match(C1455,'Match Day Fees'!$B$2:$B$999,0),0)=0</f>
        <v>0</v>
      </c>
      <c r="AC1455" s="3">
        <f t="shared" si="2"/>
        <v>0</v>
      </c>
      <c r="AD1455" s="3" t="str">
        <f>VLOOKUP(D1455,'Position Lookup'!A:B,2,FALSE)</f>
        <v>MID</v>
      </c>
    </row>
    <row r="1456" ht="17.25" customHeight="1">
      <c r="A1456" s="32">
        <v>45304.0</v>
      </c>
      <c r="B1456" s="5" t="s">
        <v>309</v>
      </c>
      <c r="C1456" s="5" t="s">
        <v>78</v>
      </c>
      <c r="D1456" s="5" t="s">
        <v>22</v>
      </c>
      <c r="E1456" s="5">
        <v>2.0</v>
      </c>
      <c r="F1456" s="5" t="s">
        <v>1516</v>
      </c>
      <c r="G1456" s="5" t="s">
        <v>224</v>
      </c>
      <c r="J1456" s="5">
        <v>0.0</v>
      </c>
      <c r="N1456" s="5" t="b">
        <v>1</v>
      </c>
      <c r="R1456" s="5">
        <v>0.0</v>
      </c>
      <c r="T1456" s="3">
        <v>10.0</v>
      </c>
      <c r="U1456" s="5">
        <v>6.5</v>
      </c>
      <c r="V1456" s="3" t="s">
        <v>1527</v>
      </c>
      <c r="W1456" s="81" t="s">
        <v>327</v>
      </c>
      <c r="X1456" s="77" t="s">
        <v>1518</v>
      </c>
      <c r="Y1456" s="5">
        <v>2.0</v>
      </c>
      <c r="Z1456" s="5">
        <v>0.0</v>
      </c>
      <c r="AA1456" s="3">
        <f>2+ (P1456*'Scoring System'!$B$3)+ (IF(OR(AD1456="DEF",AD1456="GK"),N1456*'Scoring System'!$B$4,IF(AD1456="MID",N1456*'Scoring System'!$B$5,0)))+ (IF(OR(AD1456="DEF",AD1456="GK"),H1456*'Scoring System'!$B$6,IF(AD1456="MID",H1456*'Scoring System'!$B$7,IF(AD1456="ATT",H1456*'Scoring System'!$B$8,0))))+ IF(AND(OR(AD1456="GK",AD1456="DEF"),J1456&gt;=3),1*'Scoring System'!$B$9,0)+ (I1456*'Scoring System'!$B$10)+ (K1456*'Scoring System'!$B$11)+ (M1456*'Scoring System'!$B$12)+ (L1456*'Scoring System'!$B$13)+ (O1456*'Scoring System'!$B$14)+ (Q1456*'Scoring System'!$B$15)+ (R1456*'Scoring System'!$B$16)</f>
        <v>2</v>
      </c>
      <c r="AB1456" s="3" t="b">
        <f>IFERROR(match(C1456,'Match Day Fees'!$B$2:$B$999,0),0)=0</f>
        <v>0</v>
      </c>
      <c r="AC1456" s="3">
        <f t="shared" si="2"/>
        <v>0</v>
      </c>
      <c r="AD1456" s="3" t="str">
        <f>VLOOKUP(D1456,'Position Lookup'!A:B,2,FALSE)</f>
        <v>ATT</v>
      </c>
    </row>
    <row r="1457" ht="17.25" customHeight="1">
      <c r="A1457" s="32">
        <v>45304.0</v>
      </c>
      <c r="B1457" s="5" t="s">
        <v>309</v>
      </c>
      <c r="C1457" s="5" t="s">
        <v>93</v>
      </c>
      <c r="D1457" s="5" t="s">
        <v>20</v>
      </c>
      <c r="E1457" s="5">
        <v>2.0</v>
      </c>
      <c r="F1457" s="5" t="s">
        <v>1516</v>
      </c>
      <c r="G1457" s="5" t="s">
        <v>224</v>
      </c>
      <c r="H1457" s="5">
        <v>1.0</v>
      </c>
      <c r="J1457" s="5">
        <v>0.0</v>
      </c>
      <c r="N1457" s="5" t="b">
        <v>1</v>
      </c>
      <c r="R1457" s="5">
        <v>1.0</v>
      </c>
      <c r="T1457" s="3">
        <v>10.0</v>
      </c>
      <c r="U1457" s="5">
        <v>8.0</v>
      </c>
      <c r="V1457" s="3" t="s">
        <v>1528</v>
      </c>
      <c r="W1457" s="81" t="s">
        <v>327</v>
      </c>
      <c r="X1457" s="77" t="s">
        <v>1518</v>
      </c>
      <c r="Y1457" s="5">
        <v>2.0</v>
      </c>
      <c r="Z1457" s="5">
        <v>0.0</v>
      </c>
      <c r="AA1457" s="3">
        <f>2+ (P1457*'Scoring System'!$B$3)+ (IF(OR(AD1457="DEF",AD1457="GK"),N1457*'Scoring System'!$B$4,IF(AD1457="MID",N1457*'Scoring System'!$B$5,0)))+ (IF(OR(AD1457="DEF",AD1457="GK"),H1457*'Scoring System'!$B$6,IF(AD1457="MID",H1457*'Scoring System'!$B$7,IF(AD1457="ATT",H1457*'Scoring System'!$B$8,0))))+ IF(AND(OR(AD1457="GK",AD1457="DEF"),J1457&gt;=3),1*'Scoring System'!$B$9,0)+ (I1457*'Scoring System'!$B$10)+ (K1457*'Scoring System'!$B$11)+ (M1457*'Scoring System'!$B$12)+ (L1457*'Scoring System'!$B$13)+ (O1457*'Scoring System'!$B$14)+ (Q1457*'Scoring System'!$B$15)+ (R1457*'Scoring System'!$B$16)</f>
        <v>14</v>
      </c>
      <c r="AB1457" s="3" t="b">
        <f>IFERROR(match(C1457,'Match Day Fees'!$B$2:$B$999,0),0)=0</f>
        <v>0</v>
      </c>
      <c r="AC1457" s="3">
        <f t="shared" si="2"/>
        <v>0</v>
      </c>
      <c r="AD1457" s="3" t="str">
        <f>VLOOKUP(D1457,'Position Lookup'!A:B,2,FALSE)</f>
        <v>MID</v>
      </c>
    </row>
    <row r="1458" ht="17.25" customHeight="1">
      <c r="A1458" s="32">
        <v>45304.0</v>
      </c>
      <c r="B1458" s="5" t="s">
        <v>309</v>
      </c>
      <c r="C1458" s="5" t="s">
        <v>73</v>
      </c>
      <c r="D1458" s="5" t="s">
        <v>24</v>
      </c>
      <c r="E1458" s="5">
        <v>2.0</v>
      </c>
      <c r="F1458" s="5" t="s">
        <v>1516</v>
      </c>
      <c r="G1458" s="5" t="s">
        <v>224</v>
      </c>
      <c r="I1458" s="5">
        <v>1.0</v>
      </c>
      <c r="J1458" s="5">
        <v>0.0</v>
      </c>
      <c r="N1458" s="5" t="b">
        <v>1</v>
      </c>
      <c r="R1458" s="5">
        <v>0.0</v>
      </c>
      <c r="T1458" s="3">
        <v>10.0</v>
      </c>
      <c r="U1458" s="5">
        <v>8.0</v>
      </c>
      <c r="V1458" s="3" t="s">
        <v>1529</v>
      </c>
      <c r="W1458" s="81" t="s">
        <v>327</v>
      </c>
      <c r="X1458" s="77" t="s">
        <v>1518</v>
      </c>
      <c r="Y1458" s="5">
        <v>2.0</v>
      </c>
      <c r="Z1458" s="5">
        <v>0.0</v>
      </c>
      <c r="AA1458" s="3">
        <f>2+ (P1458*'Scoring System'!$B$3)+ (IF(OR(AD1458="DEF",AD1458="GK"),N1458*'Scoring System'!$B$4,IF(AD1458="MID",N1458*'Scoring System'!$B$5,0)))+ (IF(OR(AD1458="DEF",AD1458="GK"),H1458*'Scoring System'!$B$6,IF(AD1458="MID",H1458*'Scoring System'!$B$7,IF(AD1458="ATT",H1458*'Scoring System'!$B$8,0))))+ IF(AND(OR(AD1458="GK",AD1458="DEF"),J1458&gt;=3),1*'Scoring System'!$B$9,0)+ (I1458*'Scoring System'!$B$10)+ (K1458*'Scoring System'!$B$11)+ (M1458*'Scoring System'!$B$12)+ (L1458*'Scoring System'!$B$13)+ (O1458*'Scoring System'!$B$14)+ (Q1458*'Scoring System'!$B$15)+ (R1458*'Scoring System'!$B$16)</f>
        <v>5</v>
      </c>
      <c r="AB1458" s="3" t="b">
        <f>IFERROR(match(C1458,'Match Day Fees'!$B$2:$B$999,0),0)=0</f>
        <v>0</v>
      </c>
      <c r="AC1458" s="3">
        <f t="shared" si="2"/>
        <v>0</v>
      </c>
      <c r="AD1458" s="3" t="str">
        <f>VLOOKUP(D1458,'Position Lookup'!A:B,2,FALSE)</f>
        <v>ATT</v>
      </c>
    </row>
    <row r="1459" ht="17.25" customHeight="1">
      <c r="A1459" s="32">
        <v>45304.0</v>
      </c>
      <c r="B1459" s="5" t="s">
        <v>309</v>
      </c>
      <c r="C1459" s="5" t="s">
        <v>57</v>
      </c>
      <c r="D1459" s="5" t="s">
        <v>23</v>
      </c>
      <c r="E1459" s="5">
        <v>2.0</v>
      </c>
      <c r="F1459" s="5" t="s">
        <v>1516</v>
      </c>
      <c r="G1459" s="5" t="s">
        <v>224</v>
      </c>
      <c r="J1459" s="5">
        <v>0.0</v>
      </c>
      <c r="N1459" s="5" t="b">
        <v>1</v>
      </c>
      <c r="R1459" s="5">
        <v>0.0</v>
      </c>
      <c r="T1459" s="3">
        <v>5.0</v>
      </c>
      <c r="U1459" s="5">
        <v>6.5</v>
      </c>
      <c r="V1459" s="3" t="s">
        <v>1530</v>
      </c>
      <c r="W1459" s="81" t="s">
        <v>327</v>
      </c>
      <c r="X1459" s="77" t="s">
        <v>1518</v>
      </c>
      <c r="Y1459" s="5">
        <v>2.0</v>
      </c>
      <c r="Z1459" s="5">
        <v>0.0</v>
      </c>
      <c r="AA1459" s="3">
        <f>2+ (P1459*'Scoring System'!$B$3)+ (IF(OR(AD1459="DEF",AD1459="GK"),N1459*'Scoring System'!$B$4,IF(AD1459="MID",N1459*'Scoring System'!$B$5,0)))+ (IF(OR(AD1459="DEF",AD1459="GK"),H1459*'Scoring System'!$B$6,IF(AD1459="MID",H1459*'Scoring System'!$B$7,IF(AD1459="ATT",H1459*'Scoring System'!$B$8,0))))+ IF(AND(OR(AD1459="GK",AD1459="DEF"),J1459&gt;=3),1*'Scoring System'!$B$9,0)+ (I1459*'Scoring System'!$B$10)+ (K1459*'Scoring System'!$B$11)+ (M1459*'Scoring System'!$B$12)+ (L1459*'Scoring System'!$B$13)+ (O1459*'Scoring System'!$B$14)+ (Q1459*'Scoring System'!$B$15)+ (R1459*'Scoring System'!$B$16)</f>
        <v>2</v>
      </c>
      <c r="AB1459" s="3" t="b">
        <f>IFERROR(match(C1459,'Match Day Fees'!$B$2:$B$999,0),0)=0</f>
        <v>0</v>
      </c>
      <c r="AC1459" s="3">
        <f t="shared" si="2"/>
        <v>0</v>
      </c>
      <c r="AD1459" s="3" t="str">
        <f>VLOOKUP(D1459,'Position Lookup'!A:B,2,FALSE)</f>
        <v>ATT</v>
      </c>
    </row>
    <row r="1460" ht="17.25" customHeight="1">
      <c r="A1460" s="32">
        <v>45304.0</v>
      </c>
      <c r="B1460" s="5" t="s">
        <v>309</v>
      </c>
      <c r="C1460" s="5" t="s">
        <v>96</v>
      </c>
      <c r="D1460" s="5" t="s">
        <v>24</v>
      </c>
      <c r="E1460" s="5">
        <v>2.0</v>
      </c>
      <c r="F1460" s="5" t="s">
        <v>1516</v>
      </c>
      <c r="G1460" s="5" t="s">
        <v>224</v>
      </c>
      <c r="J1460" s="5">
        <v>0.0</v>
      </c>
      <c r="N1460" s="5" t="b">
        <v>1</v>
      </c>
      <c r="R1460" s="5">
        <v>0.0</v>
      </c>
      <c r="T1460" s="3">
        <v>10.0</v>
      </c>
      <c r="U1460" s="5">
        <v>7.5</v>
      </c>
      <c r="V1460" s="3" t="s">
        <v>1531</v>
      </c>
      <c r="W1460" s="81" t="s">
        <v>327</v>
      </c>
      <c r="X1460" s="77" t="s">
        <v>1518</v>
      </c>
      <c r="Y1460" s="5">
        <v>2.0</v>
      </c>
      <c r="Z1460" s="5">
        <v>0.0</v>
      </c>
      <c r="AA1460" s="3">
        <f>2+ (P1460*'Scoring System'!$B$3)+ (IF(OR(AD1460="DEF",AD1460="GK"),N1460*'Scoring System'!$B$4,IF(AD1460="MID",N1460*'Scoring System'!$B$5,0)))+ (IF(OR(AD1460="DEF",AD1460="GK"),H1460*'Scoring System'!$B$6,IF(AD1460="MID",H1460*'Scoring System'!$B$7,IF(AD1460="ATT",H1460*'Scoring System'!$B$8,0))))+ IF(AND(OR(AD1460="GK",AD1460="DEF"),J1460&gt;=3),1*'Scoring System'!$B$9,0)+ (I1460*'Scoring System'!$B$10)+ (K1460*'Scoring System'!$B$11)+ (M1460*'Scoring System'!$B$12)+ (L1460*'Scoring System'!$B$13)+ (O1460*'Scoring System'!$B$14)+ (Q1460*'Scoring System'!$B$15)+ (R1460*'Scoring System'!$B$16)</f>
        <v>2</v>
      </c>
      <c r="AB1460" s="3" t="b">
        <f>IFERROR(match(C1460,'Match Day Fees'!$B$2:$B$999,0),0)=0</f>
        <v>0</v>
      </c>
      <c r="AC1460" s="3">
        <f t="shared" si="2"/>
        <v>0</v>
      </c>
      <c r="AD1460" s="3" t="str">
        <f>VLOOKUP(D1460,'Position Lookup'!A:B,2,FALSE)</f>
        <v>ATT</v>
      </c>
    </row>
    <row r="1461" ht="17.25" customHeight="1">
      <c r="A1461" s="32">
        <v>45304.0</v>
      </c>
      <c r="B1461" s="5" t="s">
        <v>309</v>
      </c>
      <c r="C1461" s="5" t="s">
        <v>1231</v>
      </c>
      <c r="D1461" s="5" t="s">
        <v>8</v>
      </c>
      <c r="E1461" s="5">
        <v>4.0</v>
      </c>
      <c r="F1461" s="5" t="s">
        <v>1532</v>
      </c>
      <c r="G1461" s="5" t="s">
        <v>224</v>
      </c>
      <c r="J1461" s="5">
        <v>1.0</v>
      </c>
      <c r="N1461" s="5" t="b">
        <v>0</v>
      </c>
      <c r="R1461" s="5">
        <v>0.0</v>
      </c>
      <c r="T1461" s="5">
        <v>5.0</v>
      </c>
      <c r="U1461" s="5">
        <v>8.0</v>
      </c>
      <c r="V1461" s="5" t="s">
        <v>1533</v>
      </c>
      <c r="W1461" s="81" t="s">
        <v>344</v>
      </c>
      <c r="X1461" s="78" t="s">
        <v>1534</v>
      </c>
      <c r="Y1461" s="5">
        <v>2.0</v>
      </c>
      <c r="Z1461" s="5">
        <v>1.0</v>
      </c>
      <c r="AA1461" s="3">
        <f>2+ (P1461*'Scoring System'!$B$3)+ (IF(OR(AD1461="DEF",AD1461="GK"),N1461*'Scoring System'!$B$4,IF(AD1461="MID",N1461*'Scoring System'!$B$5,0)))+ (IF(OR(AD1461="DEF",AD1461="GK"),H1461*'Scoring System'!$B$6,IF(AD1461="MID",H1461*'Scoring System'!$B$7,IF(AD1461="ATT",H1461*'Scoring System'!$B$8,0))))+ IF(AND(OR(AD1461="GK",AD1461="DEF"),J1461&gt;=3),1*'Scoring System'!$B$9,0)+ (I1461*'Scoring System'!$B$10)+ (K1461*'Scoring System'!$B$11)+ (M1461*'Scoring System'!$B$12)+ (L1461*'Scoring System'!$B$13)+ (O1461*'Scoring System'!$B$14)+ (Q1461*'Scoring System'!$B$15)+ (R1461*'Scoring System'!$B$16)</f>
        <v>2</v>
      </c>
      <c r="AB1461" s="3" t="b">
        <f>IFERROR(match(C1461,'Match Day Fees'!$B$2:$B$999,0),0)=0</f>
        <v>0</v>
      </c>
      <c r="AC1461" s="3">
        <f t="shared" si="2"/>
        <v>0</v>
      </c>
      <c r="AD1461" s="3" t="str">
        <f>VLOOKUP(D1461,'Position Lookup'!A:B,2,FALSE)</f>
        <v>GK</v>
      </c>
    </row>
    <row r="1462" ht="17.25" customHeight="1">
      <c r="A1462" s="32">
        <v>45304.0</v>
      </c>
      <c r="B1462" s="5" t="s">
        <v>309</v>
      </c>
      <c r="C1462" s="5" t="s">
        <v>145</v>
      </c>
      <c r="D1462" s="5" t="s">
        <v>15</v>
      </c>
      <c r="E1462" s="5">
        <v>4.0</v>
      </c>
      <c r="F1462" s="5" t="s">
        <v>1532</v>
      </c>
      <c r="G1462" s="5" t="s">
        <v>224</v>
      </c>
      <c r="J1462" s="5">
        <v>1.0</v>
      </c>
      <c r="N1462" s="5" t="b">
        <v>0</v>
      </c>
      <c r="R1462" s="5">
        <v>0.0</v>
      </c>
      <c r="T1462" s="5">
        <v>10.0</v>
      </c>
      <c r="U1462" s="5">
        <v>7.5</v>
      </c>
      <c r="V1462" s="5" t="s">
        <v>1535</v>
      </c>
      <c r="W1462" s="81" t="s">
        <v>344</v>
      </c>
      <c r="X1462" s="78" t="s">
        <v>1534</v>
      </c>
      <c r="Y1462" s="5">
        <v>2.0</v>
      </c>
      <c r="Z1462" s="5">
        <v>1.0</v>
      </c>
      <c r="AA1462" s="3">
        <f>2+ (P1462*'Scoring System'!$B$3)+ (IF(OR(AD1462="DEF",AD1462="GK"),N1462*'Scoring System'!$B$4,IF(AD1462="MID",N1462*'Scoring System'!$B$5,0)))+ (IF(OR(AD1462="DEF",AD1462="GK"),H1462*'Scoring System'!$B$6,IF(AD1462="MID",H1462*'Scoring System'!$B$7,IF(AD1462="ATT",H1462*'Scoring System'!$B$8,0))))+ IF(AND(OR(AD1462="GK",AD1462="DEF"),J1462&gt;=3),1*'Scoring System'!$B$9,0)+ (I1462*'Scoring System'!$B$10)+ (K1462*'Scoring System'!$B$11)+ (M1462*'Scoring System'!$B$12)+ (L1462*'Scoring System'!$B$13)+ (O1462*'Scoring System'!$B$14)+ (Q1462*'Scoring System'!$B$15)+ (R1462*'Scoring System'!$B$16)</f>
        <v>2</v>
      </c>
      <c r="AB1462" s="3" t="b">
        <f>IFERROR(match(C1462,'Match Day Fees'!$B$2:$B$999,0),0)=0</f>
        <v>0</v>
      </c>
      <c r="AC1462" s="3">
        <f t="shared" si="2"/>
        <v>0</v>
      </c>
      <c r="AD1462" s="3" t="str">
        <f>VLOOKUP(D1462,'Position Lookup'!A:B,2,FALSE)</f>
        <v>DEF</v>
      </c>
    </row>
    <row r="1463" ht="17.25" customHeight="1">
      <c r="A1463" s="32">
        <v>45304.0</v>
      </c>
      <c r="B1463" s="5" t="s">
        <v>309</v>
      </c>
      <c r="C1463" s="5" t="s">
        <v>126</v>
      </c>
      <c r="D1463" s="5" t="s">
        <v>12</v>
      </c>
      <c r="E1463" s="5">
        <v>4.0</v>
      </c>
      <c r="F1463" s="5" t="s">
        <v>1532</v>
      </c>
      <c r="G1463" s="5" t="s">
        <v>224</v>
      </c>
      <c r="J1463" s="5">
        <v>1.0</v>
      </c>
      <c r="N1463" s="5" t="b">
        <v>0</v>
      </c>
      <c r="R1463" s="5">
        <v>0.0</v>
      </c>
      <c r="T1463" s="5">
        <v>5.0</v>
      </c>
      <c r="U1463" s="5">
        <v>6.5</v>
      </c>
      <c r="V1463" s="5" t="s">
        <v>1536</v>
      </c>
      <c r="W1463" s="81" t="s">
        <v>344</v>
      </c>
      <c r="X1463" s="78" t="s">
        <v>1534</v>
      </c>
      <c r="Y1463" s="5">
        <v>2.0</v>
      </c>
      <c r="Z1463" s="5">
        <v>1.0</v>
      </c>
      <c r="AA1463" s="3">
        <f>2+ (P1463*'Scoring System'!$B$3)+ (IF(OR(AD1463="DEF",AD1463="GK"),N1463*'Scoring System'!$B$4,IF(AD1463="MID",N1463*'Scoring System'!$B$5,0)))+ (IF(OR(AD1463="DEF",AD1463="GK"),H1463*'Scoring System'!$B$6,IF(AD1463="MID",H1463*'Scoring System'!$B$7,IF(AD1463="ATT",H1463*'Scoring System'!$B$8,0))))+ IF(AND(OR(AD1463="GK",AD1463="DEF"),J1463&gt;=3),1*'Scoring System'!$B$9,0)+ (I1463*'Scoring System'!$B$10)+ (K1463*'Scoring System'!$B$11)+ (M1463*'Scoring System'!$B$12)+ (L1463*'Scoring System'!$B$13)+ (O1463*'Scoring System'!$B$14)+ (Q1463*'Scoring System'!$B$15)+ (R1463*'Scoring System'!$B$16)</f>
        <v>2</v>
      </c>
      <c r="AB1463" s="3" t="b">
        <f>IFERROR(match(C1463,'Match Day Fees'!$B$2:$B$999,0),0)=0</f>
        <v>0</v>
      </c>
      <c r="AC1463" s="3">
        <f t="shared" si="2"/>
        <v>0</v>
      </c>
      <c r="AD1463" s="3" t="str">
        <f>VLOOKUP(D1463,'Position Lookup'!A:B,2,FALSE)</f>
        <v>DEF</v>
      </c>
    </row>
    <row r="1464" ht="17.25" customHeight="1">
      <c r="A1464" s="32">
        <v>45304.0</v>
      </c>
      <c r="B1464" s="5" t="s">
        <v>309</v>
      </c>
      <c r="C1464" s="5" t="s">
        <v>41</v>
      </c>
      <c r="D1464" s="5" t="s">
        <v>16</v>
      </c>
      <c r="E1464" s="5">
        <v>4.0</v>
      </c>
      <c r="F1464" s="5" t="s">
        <v>1532</v>
      </c>
      <c r="G1464" s="5" t="s">
        <v>224</v>
      </c>
      <c r="J1464" s="5">
        <v>1.0</v>
      </c>
      <c r="N1464" s="5" t="b">
        <v>0</v>
      </c>
      <c r="R1464" s="5">
        <v>0.0</v>
      </c>
      <c r="T1464" s="5">
        <v>10.0</v>
      </c>
      <c r="U1464" s="5">
        <v>7.5</v>
      </c>
      <c r="V1464" s="5" t="s">
        <v>1537</v>
      </c>
      <c r="W1464" s="81" t="s">
        <v>344</v>
      </c>
      <c r="X1464" s="78" t="s">
        <v>1534</v>
      </c>
      <c r="Y1464" s="5">
        <v>2.0</v>
      </c>
      <c r="Z1464" s="5">
        <v>1.0</v>
      </c>
      <c r="AA1464" s="3">
        <f>2+ (P1464*'Scoring System'!$B$3)+ (IF(OR(AD1464="DEF",AD1464="GK"),N1464*'Scoring System'!$B$4,IF(AD1464="MID",N1464*'Scoring System'!$B$5,0)))+ (IF(OR(AD1464="DEF",AD1464="GK"),H1464*'Scoring System'!$B$6,IF(AD1464="MID",H1464*'Scoring System'!$B$7,IF(AD1464="ATT",H1464*'Scoring System'!$B$8,0))))+ IF(AND(OR(AD1464="GK",AD1464="DEF"),J1464&gt;=3),1*'Scoring System'!$B$9,0)+ (I1464*'Scoring System'!$B$10)+ (K1464*'Scoring System'!$B$11)+ (M1464*'Scoring System'!$B$12)+ (L1464*'Scoring System'!$B$13)+ (O1464*'Scoring System'!$B$14)+ (Q1464*'Scoring System'!$B$15)+ (R1464*'Scoring System'!$B$16)</f>
        <v>2</v>
      </c>
      <c r="AB1464" s="3" t="b">
        <f>IFERROR(match(C1464,'Match Day Fees'!$B$2:$B$999,0),0)=0</f>
        <v>0</v>
      </c>
      <c r="AC1464" s="3">
        <f t="shared" si="2"/>
        <v>0</v>
      </c>
      <c r="AD1464" s="3" t="str">
        <f>VLOOKUP(D1464,'Position Lookup'!A:B,2,FALSE)</f>
        <v>DEF</v>
      </c>
    </row>
    <row r="1465" ht="17.25" customHeight="1">
      <c r="A1465" s="32">
        <v>45304.0</v>
      </c>
      <c r="B1465" s="5" t="s">
        <v>309</v>
      </c>
      <c r="C1465" s="5" t="s">
        <v>125</v>
      </c>
      <c r="D1465" s="5" t="s">
        <v>13</v>
      </c>
      <c r="E1465" s="5">
        <v>4.0</v>
      </c>
      <c r="F1465" s="5" t="s">
        <v>1532</v>
      </c>
      <c r="G1465" s="5" t="s">
        <v>224</v>
      </c>
      <c r="J1465" s="5">
        <v>1.0</v>
      </c>
      <c r="N1465" s="5" t="b">
        <v>0</v>
      </c>
      <c r="R1465" s="5">
        <v>1.0</v>
      </c>
      <c r="T1465" s="5">
        <v>10.0</v>
      </c>
      <c r="U1465" s="5">
        <v>8.5</v>
      </c>
      <c r="V1465" s="5" t="s">
        <v>1538</v>
      </c>
      <c r="W1465" s="81" t="s">
        <v>344</v>
      </c>
      <c r="X1465" s="78" t="s">
        <v>1534</v>
      </c>
      <c r="Y1465" s="5">
        <v>2.0</v>
      </c>
      <c r="Z1465" s="5">
        <v>1.0</v>
      </c>
      <c r="AA1465" s="3">
        <f>2+ (P1465*'Scoring System'!$B$3)+ (IF(OR(AD1465="DEF",AD1465="GK"),N1465*'Scoring System'!$B$4,IF(AD1465="MID",N1465*'Scoring System'!$B$5,0)))+ (IF(OR(AD1465="DEF",AD1465="GK"),H1465*'Scoring System'!$B$6,IF(AD1465="MID",H1465*'Scoring System'!$B$7,IF(AD1465="ATT",H1465*'Scoring System'!$B$8,0))))+ IF(AND(OR(AD1465="GK",AD1465="DEF"),J1465&gt;=3),1*'Scoring System'!$B$9,0)+ (I1465*'Scoring System'!$B$10)+ (K1465*'Scoring System'!$B$11)+ (M1465*'Scoring System'!$B$12)+ (L1465*'Scoring System'!$B$13)+ (O1465*'Scoring System'!$B$14)+ (Q1465*'Scoring System'!$B$15)+ (R1465*'Scoring System'!$B$16)</f>
        <v>7</v>
      </c>
      <c r="AB1465" s="3" t="b">
        <f>IFERROR(match(C1465,'Match Day Fees'!$B$2:$B$999,0),0)=0</f>
        <v>0</v>
      </c>
      <c r="AC1465" s="3">
        <f t="shared" si="2"/>
        <v>0</v>
      </c>
      <c r="AD1465" s="3" t="str">
        <f>VLOOKUP(D1465,'Position Lookup'!A:B,2,FALSE)</f>
        <v>DEF</v>
      </c>
    </row>
    <row r="1466" ht="17.25" customHeight="1">
      <c r="A1466" s="32">
        <v>45304.0</v>
      </c>
      <c r="B1466" s="5" t="s">
        <v>309</v>
      </c>
      <c r="C1466" s="5" t="s">
        <v>44</v>
      </c>
      <c r="D1466" s="5" t="s">
        <v>20</v>
      </c>
      <c r="E1466" s="5">
        <v>4.0</v>
      </c>
      <c r="F1466" s="5" t="s">
        <v>1532</v>
      </c>
      <c r="G1466" s="5" t="s">
        <v>224</v>
      </c>
      <c r="J1466" s="5">
        <v>1.0</v>
      </c>
      <c r="N1466" s="5" t="b">
        <v>0</v>
      </c>
      <c r="R1466" s="5">
        <v>0.0</v>
      </c>
      <c r="T1466" s="5">
        <v>5.0</v>
      </c>
      <c r="U1466" s="5">
        <v>8.0</v>
      </c>
      <c r="V1466" s="5" t="s">
        <v>1539</v>
      </c>
      <c r="W1466" s="81" t="s">
        <v>344</v>
      </c>
      <c r="X1466" s="78" t="s">
        <v>1534</v>
      </c>
      <c r="Y1466" s="5">
        <v>2.0</v>
      </c>
      <c r="Z1466" s="5">
        <v>1.0</v>
      </c>
      <c r="AA1466" s="3">
        <f>2+ (P1466*'Scoring System'!$B$3)+ (IF(OR(AD1466="DEF",AD1466="GK"),N1466*'Scoring System'!$B$4,IF(AD1466="MID",N1466*'Scoring System'!$B$5,0)))+ (IF(OR(AD1466="DEF",AD1466="GK"),H1466*'Scoring System'!$B$6,IF(AD1466="MID",H1466*'Scoring System'!$B$7,IF(AD1466="ATT",H1466*'Scoring System'!$B$8,0))))+ IF(AND(OR(AD1466="GK",AD1466="DEF"),J1466&gt;=3),1*'Scoring System'!$B$9,0)+ (I1466*'Scoring System'!$B$10)+ (K1466*'Scoring System'!$B$11)+ (M1466*'Scoring System'!$B$12)+ (L1466*'Scoring System'!$B$13)+ (O1466*'Scoring System'!$B$14)+ (Q1466*'Scoring System'!$B$15)+ (R1466*'Scoring System'!$B$16)</f>
        <v>2</v>
      </c>
      <c r="AB1466" s="3" t="b">
        <f>IFERROR(match(C1466,'Match Day Fees'!$B$2:$B$999,0),0)=0</f>
        <v>0</v>
      </c>
      <c r="AC1466" s="3">
        <f t="shared" si="2"/>
        <v>0</v>
      </c>
      <c r="AD1466" s="3" t="str">
        <f>VLOOKUP(D1466,'Position Lookup'!A:B,2,FALSE)</f>
        <v>MID</v>
      </c>
    </row>
    <row r="1467" ht="17.25" customHeight="1">
      <c r="A1467" s="32">
        <v>45304.0</v>
      </c>
      <c r="B1467" s="5" t="s">
        <v>309</v>
      </c>
      <c r="C1467" s="5" t="s">
        <v>308</v>
      </c>
      <c r="D1467" s="5" t="s">
        <v>20</v>
      </c>
      <c r="E1467" s="5">
        <v>4.0</v>
      </c>
      <c r="F1467" s="5" t="s">
        <v>1532</v>
      </c>
      <c r="G1467" s="5" t="s">
        <v>224</v>
      </c>
      <c r="J1467" s="5">
        <v>1.0</v>
      </c>
      <c r="N1467" s="5" t="b">
        <v>0</v>
      </c>
      <c r="R1467" s="5">
        <v>0.0</v>
      </c>
      <c r="T1467" s="5">
        <v>10.0</v>
      </c>
      <c r="U1467" s="5">
        <v>8.0</v>
      </c>
      <c r="V1467" s="5" t="s">
        <v>1540</v>
      </c>
      <c r="W1467" s="81" t="s">
        <v>344</v>
      </c>
      <c r="X1467" s="78" t="s">
        <v>1534</v>
      </c>
      <c r="Y1467" s="5">
        <v>2.0</v>
      </c>
      <c r="Z1467" s="5">
        <v>1.0</v>
      </c>
      <c r="AA1467" s="3">
        <f>2+ (P1467*'Scoring System'!$B$3)+ (IF(OR(AD1467="DEF",AD1467="GK"),N1467*'Scoring System'!$B$4,IF(AD1467="MID",N1467*'Scoring System'!$B$5,0)))+ (IF(OR(AD1467="DEF",AD1467="GK"),H1467*'Scoring System'!$B$6,IF(AD1467="MID",H1467*'Scoring System'!$B$7,IF(AD1467="ATT",H1467*'Scoring System'!$B$8,0))))+ IF(AND(OR(AD1467="GK",AD1467="DEF"),J1467&gt;=3),1*'Scoring System'!$B$9,0)+ (I1467*'Scoring System'!$B$10)+ (K1467*'Scoring System'!$B$11)+ (M1467*'Scoring System'!$B$12)+ (L1467*'Scoring System'!$B$13)+ (O1467*'Scoring System'!$B$14)+ (Q1467*'Scoring System'!$B$15)+ (R1467*'Scoring System'!$B$16)</f>
        <v>2</v>
      </c>
      <c r="AB1467" s="3" t="b">
        <f>IFERROR(match(C1467,'Match Day Fees'!$B$2:$B$999,0),0)=0</f>
        <v>0</v>
      </c>
      <c r="AC1467" s="3">
        <f t="shared" si="2"/>
        <v>0</v>
      </c>
      <c r="AD1467" s="3" t="str">
        <f>VLOOKUP(D1467,'Position Lookup'!A:B,2,FALSE)</f>
        <v>MID</v>
      </c>
    </row>
    <row r="1468" ht="17.25" customHeight="1">
      <c r="A1468" s="32">
        <v>45304.0</v>
      </c>
      <c r="B1468" s="5" t="s">
        <v>309</v>
      </c>
      <c r="C1468" s="5" t="s">
        <v>136</v>
      </c>
      <c r="D1468" s="5" t="s">
        <v>21</v>
      </c>
      <c r="E1468" s="5">
        <v>4.0</v>
      </c>
      <c r="F1468" s="5" t="s">
        <v>1532</v>
      </c>
      <c r="G1468" s="5" t="s">
        <v>224</v>
      </c>
      <c r="J1468" s="5">
        <v>1.0</v>
      </c>
      <c r="N1468" s="5" t="b">
        <v>0</v>
      </c>
      <c r="R1468" s="5">
        <v>0.0</v>
      </c>
      <c r="S1468" s="5" t="b">
        <v>1</v>
      </c>
      <c r="T1468" s="5">
        <v>0.0</v>
      </c>
      <c r="U1468" s="5">
        <v>7.5</v>
      </c>
      <c r="V1468" s="5" t="s">
        <v>1541</v>
      </c>
      <c r="W1468" s="81" t="s">
        <v>344</v>
      </c>
      <c r="X1468" s="78" t="s">
        <v>1534</v>
      </c>
      <c r="Y1468" s="5">
        <v>2.0</v>
      </c>
      <c r="Z1468" s="5">
        <v>1.0</v>
      </c>
      <c r="AA1468" s="3">
        <f>2+ (P1468*'Scoring System'!$B$3)+ (IF(OR(AD1468="DEF",AD1468="GK"),N1468*'Scoring System'!$B$4,IF(AD1468="MID",N1468*'Scoring System'!$B$5,0)))+ (IF(OR(AD1468="DEF",AD1468="GK"),H1468*'Scoring System'!$B$6,IF(AD1468="MID",H1468*'Scoring System'!$B$7,IF(AD1468="ATT",H1468*'Scoring System'!$B$8,0))))+ IF(AND(OR(AD1468="GK",AD1468="DEF"),J1468&gt;=3),1*'Scoring System'!$B$9,0)+ (I1468*'Scoring System'!$B$10)+ (K1468*'Scoring System'!$B$11)+ (M1468*'Scoring System'!$B$12)+ (L1468*'Scoring System'!$B$13)+ (O1468*'Scoring System'!$B$14)+ (Q1468*'Scoring System'!$B$15)+ (R1468*'Scoring System'!$B$16)</f>
        <v>2</v>
      </c>
      <c r="AB1468" s="3" t="b">
        <f>IFERROR(match(C1468,'Match Day Fees'!$B$2:$B$999,0),0)=0</f>
        <v>0</v>
      </c>
      <c r="AC1468" s="3">
        <f t="shared" si="2"/>
        <v>0</v>
      </c>
      <c r="AD1468" s="3" t="str">
        <f>VLOOKUP(D1468,'Position Lookup'!A:B,2,FALSE)</f>
        <v>MID</v>
      </c>
    </row>
    <row r="1469" ht="17.25" customHeight="1">
      <c r="A1469" s="32">
        <v>45304.0</v>
      </c>
      <c r="B1469" s="5" t="s">
        <v>309</v>
      </c>
      <c r="C1469" s="5" t="s">
        <v>45</v>
      </c>
      <c r="D1469" s="5" t="s">
        <v>23</v>
      </c>
      <c r="E1469" s="5">
        <v>4.0</v>
      </c>
      <c r="F1469" s="5" t="s">
        <v>1532</v>
      </c>
      <c r="G1469" s="5" t="s">
        <v>224</v>
      </c>
      <c r="J1469" s="5">
        <v>1.0</v>
      </c>
      <c r="N1469" s="5" t="b">
        <v>0</v>
      </c>
      <c r="R1469" s="5">
        <v>0.0</v>
      </c>
      <c r="T1469" s="5">
        <v>10.0</v>
      </c>
      <c r="U1469" s="5">
        <v>7.0</v>
      </c>
      <c r="V1469" s="5" t="s">
        <v>1542</v>
      </c>
      <c r="W1469" s="81" t="s">
        <v>344</v>
      </c>
      <c r="X1469" s="78" t="s">
        <v>1534</v>
      </c>
      <c r="Y1469" s="5">
        <v>2.0</v>
      </c>
      <c r="Z1469" s="5">
        <v>1.0</v>
      </c>
      <c r="AA1469" s="3">
        <f>2+ (P1469*'Scoring System'!$B$3)+ (IF(OR(AD1469="DEF",AD1469="GK"),N1469*'Scoring System'!$B$4,IF(AD1469="MID",N1469*'Scoring System'!$B$5,0)))+ (IF(OR(AD1469="DEF",AD1469="GK"),H1469*'Scoring System'!$B$6,IF(AD1469="MID",H1469*'Scoring System'!$B$7,IF(AD1469="ATT",H1469*'Scoring System'!$B$8,0))))+ IF(AND(OR(AD1469="GK",AD1469="DEF"),J1469&gt;=3),1*'Scoring System'!$B$9,0)+ (I1469*'Scoring System'!$B$10)+ (K1469*'Scoring System'!$B$11)+ (M1469*'Scoring System'!$B$12)+ (L1469*'Scoring System'!$B$13)+ (O1469*'Scoring System'!$B$14)+ (Q1469*'Scoring System'!$B$15)+ (R1469*'Scoring System'!$B$16)</f>
        <v>2</v>
      </c>
      <c r="AB1469" s="3" t="b">
        <f>IFERROR(match(C1469,'Match Day Fees'!$B$2:$B$999,0),0)=0</f>
        <v>0</v>
      </c>
      <c r="AC1469" s="3">
        <f t="shared" si="2"/>
        <v>0</v>
      </c>
      <c r="AD1469" s="3" t="str">
        <f>VLOOKUP(D1469,'Position Lookup'!A:B,2,FALSE)</f>
        <v>ATT</v>
      </c>
    </row>
    <row r="1470" ht="17.25" customHeight="1">
      <c r="A1470" s="32">
        <v>45304.0</v>
      </c>
      <c r="B1470" s="5" t="s">
        <v>309</v>
      </c>
      <c r="C1470" s="5" t="s">
        <v>46</v>
      </c>
      <c r="D1470" s="5" t="s">
        <v>22</v>
      </c>
      <c r="E1470" s="5">
        <v>4.0</v>
      </c>
      <c r="F1470" s="5" t="s">
        <v>1532</v>
      </c>
      <c r="G1470" s="5" t="s">
        <v>224</v>
      </c>
      <c r="H1470" s="5">
        <v>1.0</v>
      </c>
      <c r="J1470" s="5">
        <v>1.0</v>
      </c>
      <c r="N1470" s="5" t="b">
        <v>0</v>
      </c>
      <c r="R1470" s="5">
        <v>0.0</v>
      </c>
      <c r="T1470" s="5">
        <v>10.0</v>
      </c>
      <c r="U1470" s="5">
        <v>7.5</v>
      </c>
      <c r="V1470" s="5" t="s">
        <v>1543</v>
      </c>
      <c r="W1470" s="81" t="s">
        <v>344</v>
      </c>
      <c r="X1470" s="78" t="s">
        <v>1534</v>
      </c>
      <c r="Y1470" s="5">
        <v>2.0</v>
      </c>
      <c r="Z1470" s="5">
        <v>1.0</v>
      </c>
      <c r="AA1470" s="3">
        <f>2+ (P1470*'Scoring System'!$B$3)+ (IF(OR(AD1470="DEF",AD1470="GK"),N1470*'Scoring System'!$B$4,IF(AD1470="MID",N1470*'Scoring System'!$B$5,0)))+ (IF(OR(AD1470="DEF",AD1470="GK"),H1470*'Scoring System'!$B$6,IF(AD1470="MID",H1470*'Scoring System'!$B$7,IF(AD1470="ATT",H1470*'Scoring System'!$B$8,0))))+ IF(AND(OR(AD1470="GK",AD1470="DEF"),J1470&gt;=3),1*'Scoring System'!$B$9,0)+ (I1470*'Scoring System'!$B$10)+ (K1470*'Scoring System'!$B$11)+ (M1470*'Scoring System'!$B$12)+ (L1470*'Scoring System'!$B$13)+ (O1470*'Scoring System'!$B$14)+ (Q1470*'Scoring System'!$B$15)+ (R1470*'Scoring System'!$B$16)</f>
        <v>6</v>
      </c>
      <c r="AB1470" s="3" t="b">
        <f>IFERROR(match(C1470,'Match Day Fees'!$B$2:$B$999,0),0)=0</f>
        <v>0</v>
      </c>
      <c r="AC1470" s="3">
        <f t="shared" si="2"/>
        <v>0</v>
      </c>
      <c r="AD1470" s="3" t="str">
        <f>VLOOKUP(D1470,'Position Lookup'!A:B,2,FALSE)</f>
        <v>ATT</v>
      </c>
    </row>
    <row r="1471" ht="17.25" customHeight="1">
      <c r="A1471" s="32">
        <v>45304.0</v>
      </c>
      <c r="B1471" s="5" t="s">
        <v>309</v>
      </c>
      <c r="C1471" s="5" t="s">
        <v>109</v>
      </c>
      <c r="D1471" s="5" t="s">
        <v>24</v>
      </c>
      <c r="E1471" s="5">
        <v>4.0</v>
      </c>
      <c r="F1471" s="5" t="s">
        <v>1532</v>
      </c>
      <c r="G1471" s="5" t="s">
        <v>224</v>
      </c>
      <c r="H1471" s="5">
        <v>1.0</v>
      </c>
      <c r="I1471" s="5">
        <v>1.0</v>
      </c>
      <c r="J1471" s="5">
        <v>1.0</v>
      </c>
      <c r="N1471" s="5" t="b">
        <v>0</v>
      </c>
      <c r="R1471" s="5">
        <v>0.0</v>
      </c>
      <c r="T1471" s="5">
        <v>5.0</v>
      </c>
      <c r="U1471" s="5">
        <v>8.0</v>
      </c>
      <c r="V1471" s="5" t="s">
        <v>1544</v>
      </c>
      <c r="W1471" s="81" t="s">
        <v>344</v>
      </c>
      <c r="X1471" s="78" t="s">
        <v>1534</v>
      </c>
      <c r="Y1471" s="5">
        <v>2.0</v>
      </c>
      <c r="Z1471" s="5">
        <v>1.0</v>
      </c>
      <c r="AA1471" s="3">
        <f>2+ (P1471*'Scoring System'!$B$3)+ (IF(OR(AD1471="DEF",AD1471="GK"),N1471*'Scoring System'!$B$4,IF(AD1471="MID",N1471*'Scoring System'!$B$5,0)))+ (IF(OR(AD1471="DEF",AD1471="GK"),H1471*'Scoring System'!$B$6,IF(AD1471="MID",H1471*'Scoring System'!$B$7,IF(AD1471="ATT",H1471*'Scoring System'!$B$8,0))))+ IF(AND(OR(AD1471="GK",AD1471="DEF"),J1471&gt;=3),1*'Scoring System'!$B$9,0)+ (I1471*'Scoring System'!$B$10)+ (K1471*'Scoring System'!$B$11)+ (M1471*'Scoring System'!$B$12)+ (L1471*'Scoring System'!$B$13)+ (O1471*'Scoring System'!$B$14)+ (Q1471*'Scoring System'!$B$15)+ (R1471*'Scoring System'!$B$16)</f>
        <v>9</v>
      </c>
      <c r="AB1471" s="3" t="b">
        <f>IFERROR(match(C1471,'Match Day Fees'!$B$2:$B$999,0),0)=0</f>
        <v>0</v>
      </c>
      <c r="AC1471" s="3">
        <f t="shared" si="2"/>
        <v>0</v>
      </c>
      <c r="AD1471" s="3" t="str">
        <f>VLOOKUP(D1471,'Position Lookup'!A:B,2,FALSE)</f>
        <v>ATT</v>
      </c>
    </row>
    <row r="1472" ht="17.25" customHeight="1">
      <c r="A1472" s="32">
        <v>45304.0</v>
      </c>
      <c r="B1472" s="5" t="s">
        <v>309</v>
      </c>
      <c r="C1472" s="5" t="s">
        <v>144</v>
      </c>
      <c r="D1472" s="5" t="s">
        <v>12</v>
      </c>
      <c r="E1472" s="5">
        <v>4.0</v>
      </c>
      <c r="F1472" s="5" t="s">
        <v>1532</v>
      </c>
      <c r="G1472" s="5" t="s">
        <v>224</v>
      </c>
      <c r="J1472" s="5">
        <v>1.0</v>
      </c>
      <c r="N1472" s="5" t="b">
        <v>0</v>
      </c>
      <c r="R1472" s="5">
        <v>0.0</v>
      </c>
      <c r="T1472" s="5">
        <v>5.0</v>
      </c>
      <c r="U1472" s="5">
        <v>7.5</v>
      </c>
      <c r="V1472" s="5" t="s">
        <v>1545</v>
      </c>
      <c r="W1472" s="81" t="s">
        <v>344</v>
      </c>
      <c r="X1472" s="78" t="s">
        <v>1534</v>
      </c>
      <c r="Y1472" s="5">
        <v>2.0</v>
      </c>
      <c r="Z1472" s="5">
        <v>1.0</v>
      </c>
      <c r="AA1472" s="3">
        <f>2+ (P1472*'Scoring System'!$B$3)+ (IF(OR(AD1472="DEF",AD1472="GK"),N1472*'Scoring System'!$B$4,IF(AD1472="MID",N1472*'Scoring System'!$B$5,0)))+ (IF(OR(AD1472="DEF",AD1472="GK"),H1472*'Scoring System'!$B$6,IF(AD1472="MID",H1472*'Scoring System'!$B$7,IF(AD1472="ATT",H1472*'Scoring System'!$B$8,0))))+ IF(AND(OR(AD1472="GK",AD1472="DEF"),J1472&gt;=3),1*'Scoring System'!$B$9,0)+ (I1472*'Scoring System'!$B$10)+ (K1472*'Scoring System'!$B$11)+ (M1472*'Scoring System'!$B$12)+ (L1472*'Scoring System'!$B$13)+ (O1472*'Scoring System'!$B$14)+ (Q1472*'Scoring System'!$B$15)+ (R1472*'Scoring System'!$B$16)</f>
        <v>2</v>
      </c>
      <c r="AB1472" s="3" t="b">
        <f>IFERROR(match(C1472,'Match Day Fees'!$B$2:$B$999,0),0)=0</f>
        <v>0</v>
      </c>
      <c r="AC1472" s="3">
        <f t="shared" si="2"/>
        <v>0</v>
      </c>
      <c r="AD1472" s="3" t="str">
        <f>VLOOKUP(D1472,'Position Lookup'!A:B,2,FALSE)</f>
        <v>DEF</v>
      </c>
    </row>
    <row r="1473" ht="17.25" customHeight="1">
      <c r="A1473" s="32">
        <v>45304.0</v>
      </c>
      <c r="B1473" s="5" t="s">
        <v>309</v>
      </c>
      <c r="C1473" s="5" t="s">
        <v>48</v>
      </c>
      <c r="D1473" s="5" t="s">
        <v>22</v>
      </c>
      <c r="E1473" s="5">
        <v>4.0</v>
      </c>
      <c r="F1473" s="5" t="s">
        <v>1532</v>
      </c>
      <c r="G1473" s="5" t="s">
        <v>224</v>
      </c>
      <c r="J1473" s="5">
        <v>1.0</v>
      </c>
      <c r="N1473" s="5" t="b">
        <v>0</v>
      </c>
      <c r="R1473" s="5">
        <v>0.0</v>
      </c>
      <c r="T1473" s="5">
        <v>5.0</v>
      </c>
      <c r="U1473" s="5">
        <v>7.0</v>
      </c>
      <c r="V1473" s="5" t="s">
        <v>1546</v>
      </c>
      <c r="W1473" s="81" t="s">
        <v>344</v>
      </c>
      <c r="X1473" s="78" t="s">
        <v>1534</v>
      </c>
      <c r="Y1473" s="5">
        <v>2.0</v>
      </c>
      <c r="Z1473" s="5">
        <v>1.0</v>
      </c>
      <c r="AA1473" s="3">
        <f>2+ (P1473*'Scoring System'!$B$3)+ (IF(OR(AD1473="DEF",AD1473="GK"),N1473*'Scoring System'!$B$4,IF(AD1473="MID",N1473*'Scoring System'!$B$5,0)))+ (IF(OR(AD1473="DEF",AD1473="GK"),H1473*'Scoring System'!$B$6,IF(AD1473="MID",H1473*'Scoring System'!$B$7,IF(AD1473="ATT",H1473*'Scoring System'!$B$8,0))))+ IF(AND(OR(AD1473="GK",AD1473="DEF"),J1473&gt;=3),1*'Scoring System'!$B$9,0)+ (I1473*'Scoring System'!$B$10)+ (K1473*'Scoring System'!$B$11)+ (M1473*'Scoring System'!$B$12)+ (L1473*'Scoring System'!$B$13)+ (O1473*'Scoring System'!$B$14)+ (Q1473*'Scoring System'!$B$15)+ (R1473*'Scoring System'!$B$16)</f>
        <v>2</v>
      </c>
      <c r="AB1473" s="3" t="b">
        <f>IFERROR(match(C1473,'Match Day Fees'!$B$2:$B$999,0),0)=0</f>
        <v>0</v>
      </c>
      <c r="AC1473" s="3">
        <f t="shared" si="2"/>
        <v>0</v>
      </c>
      <c r="AD1473" s="3" t="str">
        <f>VLOOKUP(D1473,'Position Lookup'!A:B,2,FALSE)</f>
        <v>ATT</v>
      </c>
    </row>
    <row r="1474" ht="17.25" customHeight="1">
      <c r="A1474" s="32">
        <v>45304.0</v>
      </c>
      <c r="B1474" s="5" t="s">
        <v>309</v>
      </c>
      <c r="C1474" s="5" t="s">
        <v>74</v>
      </c>
      <c r="D1474" s="5" t="s">
        <v>24</v>
      </c>
      <c r="E1474" s="5">
        <v>4.0</v>
      </c>
      <c r="F1474" s="5" t="s">
        <v>1532</v>
      </c>
      <c r="G1474" s="5" t="s">
        <v>224</v>
      </c>
      <c r="I1474" s="5">
        <v>1.0</v>
      </c>
      <c r="J1474" s="5">
        <v>1.0</v>
      </c>
      <c r="N1474" s="5" t="b">
        <v>0</v>
      </c>
      <c r="R1474" s="5">
        <v>0.0</v>
      </c>
      <c r="T1474" s="5">
        <v>10.0</v>
      </c>
      <c r="U1474" s="5">
        <v>7.5</v>
      </c>
      <c r="V1474" s="5" t="s">
        <v>1547</v>
      </c>
      <c r="W1474" s="81" t="s">
        <v>344</v>
      </c>
      <c r="X1474" s="78" t="s">
        <v>1534</v>
      </c>
      <c r="Y1474" s="5">
        <v>2.0</v>
      </c>
      <c r="Z1474" s="5">
        <v>1.0</v>
      </c>
      <c r="AA1474" s="3">
        <f>2+ (P1474*'Scoring System'!$B$3)+ (IF(OR(AD1474="DEF",AD1474="GK"),N1474*'Scoring System'!$B$4,IF(AD1474="MID",N1474*'Scoring System'!$B$5,0)))+ (IF(OR(AD1474="DEF",AD1474="GK"),H1474*'Scoring System'!$B$6,IF(AD1474="MID",H1474*'Scoring System'!$B$7,IF(AD1474="ATT",H1474*'Scoring System'!$B$8,0))))+ IF(AND(OR(AD1474="GK",AD1474="DEF"),J1474&gt;=3),1*'Scoring System'!$B$9,0)+ (I1474*'Scoring System'!$B$10)+ (K1474*'Scoring System'!$B$11)+ (M1474*'Scoring System'!$B$12)+ (L1474*'Scoring System'!$B$13)+ (O1474*'Scoring System'!$B$14)+ (Q1474*'Scoring System'!$B$15)+ (R1474*'Scoring System'!$B$16)</f>
        <v>5</v>
      </c>
      <c r="AB1474" s="3" t="b">
        <f>IFERROR(match(C1474,'Match Day Fees'!$B$2:$B$999,0),0)=0</f>
        <v>0</v>
      </c>
      <c r="AC1474" s="3">
        <f t="shared" si="2"/>
        <v>0</v>
      </c>
      <c r="AD1474" s="3" t="str">
        <f>VLOOKUP(D1474,'Position Lookup'!A:B,2,FALSE)</f>
        <v>ATT</v>
      </c>
    </row>
    <row r="1475" ht="17.25" customHeight="1">
      <c r="A1475" s="32">
        <v>45304.0</v>
      </c>
      <c r="B1475" s="5" t="s">
        <v>309</v>
      </c>
      <c r="C1475" s="5" t="s">
        <v>259</v>
      </c>
      <c r="D1475" s="5" t="s">
        <v>8</v>
      </c>
      <c r="E1475" s="5">
        <v>5.0</v>
      </c>
      <c r="F1475" s="5" t="s">
        <v>1548</v>
      </c>
      <c r="G1475" s="5" t="s">
        <v>230</v>
      </c>
      <c r="J1475" s="5">
        <v>9.0</v>
      </c>
      <c r="N1475" s="5" t="b">
        <v>0</v>
      </c>
      <c r="R1475" s="5">
        <v>0.0</v>
      </c>
      <c r="T1475" s="5">
        <v>10.0</v>
      </c>
      <c r="U1475" s="5">
        <v>1.5</v>
      </c>
      <c r="V1475" s="5" t="s">
        <v>1549</v>
      </c>
      <c r="W1475" s="81" t="s">
        <v>311</v>
      </c>
      <c r="X1475" s="78" t="s">
        <v>1550</v>
      </c>
      <c r="Y1475" s="5">
        <v>2.0</v>
      </c>
      <c r="Z1475" s="5">
        <v>9.0</v>
      </c>
      <c r="AA1475" s="3">
        <f>2+ (P1475*'Scoring System'!$B$3)+ (IF(OR(AD1475="DEF",AD1475="GK"),N1475*'Scoring System'!$B$4,IF(AD1475="MID",N1475*'Scoring System'!$B$5,0)))+ (IF(OR(AD1475="DEF",AD1475="GK"),H1475*'Scoring System'!$B$6,IF(AD1475="MID",H1475*'Scoring System'!$B$7,IF(AD1475="ATT",H1475*'Scoring System'!$B$8,0))))+ IF(AND(OR(AD1475="GK",AD1475="DEF"),J1475&gt;=3),1*'Scoring System'!$B$9,0)+ (I1475*'Scoring System'!$B$10)+ (K1475*'Scoring System'!$B$11)+ (M1475*'Scoring System'!$B$12)+ (L1475*'Scoring System'!$B$13)+ (O1475*'Scoring System'!$B$14)+ (Q1475*'Scoring System'!$B$15)+ (R1475*'Scoring System'!$B$16)</f>
        <v>1</v>
      </c>
      <c r="AB1475" s="3" t="b">
        <f>IFERROR(match(C1475,'Match Day Fees'!$B$2:$B$999,0),0)=0</f>
        <v>0</v>
      </c>
      <c r="AC1475" s="3">
        <f t="shared" si="2"/>
        <v>0</v>
      </c>
      <c r="AD1475" s="3" t="str">
        <f>VLOOKUP(D1475,'Position Lookup'!A:B,2,FALSE)</f>
        <v>GK</v>
      </c>
    </row>
    <row r="1476" ht="17.25" customHeight="1">
      <c r="A1476" s="32">
        <v>45304.0</v>
      </c>
      <c r="B1476" s="5" t="s">
        <v>309</v>
      </c>
      <c r="C1476" s="5" t="s">
        <v>133</v>
      </c>
      <c r="D1476" s="5" t="s">
        <v>18</v>
      </c>
      <c r="E1476" s="5">
        <v>5.0</v>
      </c>
      <c r="F1476" s="5" t="s">
        <v>1548</v>
      </c>
      <c r="G1476" s="5" t="s">
        <v>230</v>
      </c>
      <c r="J1476" s="5">
        <v>9.0</v>
      </c>
      <c r="N1476" s="5" t="b">
        <v>0</v>
      </c>
      <c r="R1476" s="5">
        <v>0.0</v>
      </c>
      <c r="T1476" s="5">
        <v>10.0</v>
      </c>
      <c r="U1476" s="5">
        <v>6.0</v>
      </c>
      <c r="V1476" s="5" t="s">
        <v>1551</v>
      </c>
      <c r="W1476" s="81" t="s">
        <v>311</v>
      </c>
      <c r="X1476" s="78" t="s">
        <v>1550</v>
      </c>
      <c r="Y1476" s="5">
        <v>2.0</v>
      </c>
      <c r="Z1476" s="5">
        <v>9.0</v>
      </c>
      <c r="AA1476" s="3">
        <f>2+ (P1476*'Scoring System'!$B$3)+ (IF(OR(AD1476="DEF",AD1476="GK"),N1476*'Scoring System'!$B$4,IF(AD1476="MID",N1476*'Scoring System'!$B$5,0)))+ (IF(OR(AD1476="DEF",AD1476="GK"),H1476*'Scoring System'!$B$6,IF(AD1476="MID",H1476*'Scoring System'!$B$7,IF(AD1476="ATT",H1476*'Scoring System'!$B$8,0))))+ IF(AND(OR(AD1476="GK",AD1476="DEF"),J1476&gt;=3),1*'Scoring System'!$B$9,0)+ (I1476*'Scoring System'!$B$10)+ (K1476*'Scoring System'!$B$11)+ (M1476*'Scoring System'!$B$12)+ (L1476*'Scoring System'!$B$13)+ (O1476*'Scoring System'!$B$14)+ (Q1476*'Scoring System'!$B$15)+ (R1476*'Scoring System'!$B$16)</f>
        <v>1</v>
      </c>
      <c r="AB1476" s="3" t="b">
        <f>IFERROR(match(C1476,'Match Day Fees'!$B$2:$B$999,0),0)=0</f>
        <v>0</v>
      </c>
      <c r="AC1476" s="3">
        <f t="shared" si="2"/>
        <v>0</v>
      </c>
      <c r="AD1476" s="3" t="str">
        <f>VLOOKUP(D1476,'Position Lookup'!A:B,2,FALSE)</f>
        <v>DEF</v>
      </c>
    </row>
    <row r="1477" ht="17.25" customHeight="1">
      <c r="A1477" s="32">
        <v>45304.0</v>
      </c>
      <c r="B1477" s="5" t="s">
        <v>309</v>
      </c>
      <c r="C1477" s="5" t="s">
        <v>116</v>
      </c>
      <c r="D1477" s="5" t="s">
        <v>14</v>
      </c>
      <c r="E1477" s="5">
        <v>5.0</v>
      </c>
      <c r="F1477" s="5" t="s">
        <v>1548</v>
      </c>
      <c r="G1477" s="5" t="s">
        <v>230</v>
      </c>
      <c r="J1477" s="5">
        <v>9.0</v>
      </c>
      <c r="N1477" s="5" t="b">
        <v>0</v>
      </c>
      <c r="R1477" s="5">
        <v>0.0</v>
      </c>
      <c r="T1477" s="5">
        <v>10.0</v>
      </c>
      <c r="U1477" s="5">
        <v>4.5</v>
      </c>
      <c r="V1477" s="5" t="s">
        <v>1552</v>
      </c>
      <c r="W1477" s="81" t="s">
        <v>311</v>
      </c>
      <c r="X1477" s="78" t="s">
        <v>1550</v>
      </c>
      <c r="Y1477" s="5">
        <v>2.0</v>
      </c>
      <c r="Z1477" s="5">
        <v>9.0</v>
      </c>
      <c r="AA1477" s="3">
        <f>2+ (P1477*'Scoring System'!$B$3)+ (IF(OR(AD1477="DEF",AD1477="GK"),N1477*'Scoring System'!$B$4,IF(AD1477="MID",N1477*'Scoring System'!$B$5,0)))+ (IF(OR(AD1477="DEF",AD1477="GK"),H1477*'Scoring System'!$B$6,IF(AD1477="MID",H1477*'Scoring System'!$B$7,IF(AD1477="ATT",H1477*'Scoring System'!$B$8,0))))+ IF(AND(OR(AD1477="GK",AD1477="DEF"),J1477&gt;=3),1*'Scoring System'!$B$9,0)+ (I1477*'Scoring System'!$B$10)+ (K1477*'Scoring System'!$B$11)+ (M1477*'Scoring System'!$B$12)+ (L1477*'Scoring System'!$B$13)+ (O1477*'Scoring System'!$B$14)+ (Q1477*'Scoring System'!$B$15)+ (R1477*'Scoring System'!$B$16)</f>
        <v>1</v>
      </c>
      <c r="AB1477" s="3" t="b">
        <f>IFERROR(match(C1477,'Match Day Fees'!$B$2:$B$999,0),0)=0</f>
        <v>0</v>
      </c>
      <c r="AC1477" s="3">
        <f t="shared" si="2"/>
        <v>0</v>
      </c>
      <c r="AD1477" s="3" t="str">
        <f>VLOOKUP(D1477,'Position Lookup'!A:B,2,FALSE)</f>
        <v>DEF</v>
      </c>
    </row>
    <row r="1478" ht="17.25" customHeight="1">
      <c r="A1478" s="32">
        <v>45304.0</v>
      </c>
      <c r="B1478" s="5" t="s">
        <v>309</v>
      </c>
      <c r="C1478" s="5" t="s">
        <v>154</v>
      </c>
      <c r="D1478" s="5" t="s">
        <v>14</v>
      </c>
      <c r="E1478" s="5">
        <v>5.0</v>
      </c>
      <c r="F1478" s="5" t="s">
        <v>1548</v>
      </c>
      <c r="G1478" s="5" t="s">
        <v>230</v>
      </c>
      <c r="J1478" s="5">
        <v>9.0</v>
      </c>
      <c r="N1478" s="5" t="b">
        <v>0</v>
      </c>
      <c r="R1478" s="5">
        <v>0.0</v>
      </c>
      <c r="T1478" s="5">
        <v>10.0</v>
      </c>
      <c r="U1478" s="5">
        <v>1.0</v>
      </c>
      <c r="V1478" s="5" t="s">
        <v>1553</v>
      </c>
      <c r="W1478" s="81" t="s">
        <v>311</v>
      </c>
      <c r="X1478" s="78" t="s">
        <v>1550</v>
      </c>
      <c r="Y1478" s="5">
        <v>2.0</v>
      </c>
      <c r="Z1478" s="5">
        <v>9.0</v>
      </c>
      <c r="AA1478" s="3">
        <f>2+ (P1478*'Scoring System'!$B$3)+ (IF(OR(AD1478="DEF",AD1478="GK"),N1478*'Scoring System'!$B$4,IF(AD1478="MID",N1478*'Scoring System'!$B$5,0)))+ (IF(OR(AD1478="DEF",AD1478="GK"),H1478*'Scoring System'!$B$6,IF(AD1478="MID",H1478*'Scoring System'!$B$7,IF(AD1478="ATT",H1478*'Scoring System'!$B$8,0))))+ IF(AND(OR(AD1478="GK",AD1478="DEF"),J1478&gt;=3),1*'Scoring System'!$B$9,0)+ (I1478*'Scoring System'!$B$10)+ (K1478*'Scoring System'!$B$11)+ (M1478*'Scoring System'!$B$12)+ (L1478*'Scoring System'!$B$13)+ (O1478*'Scoring System'!$B$14)+ (Q1478*'Scoring System'!$B$15)+ (R1478*'Scoring System'!$B$16)</f>
        <v>1</v>
      </c>
      <c r="AB1478" s="3" t="b">
        <f>IFERROR(match(C1478,'Match Day Fees'!$B$2:$B$999,0),0)=0</f>
        <v>0</v>
      </c>
      <c r="AC1478" s="3">
        <f t="shared" si="2"/>
        <v>0</v>
      </c>
      <c r="AD1478" s="3" t="str">
        <f>VLOOKUP(D1478,'Position Lookup'!A:B,2,FALSE)</f>
        <v>DEF</v>
      </c>
    </row>
    <row r="1479" ht="17.25" customHeight="1">
      <c r="A1479" s="32">
        <v>45304.0</v>
      </c>
      <c r="B1479" s="5" t="s">
        <v>309</v>
      </c>
      <c r="C1479" s="5" t="s">
        <v>138</v>
      </c>
      <c r="D1479" s="5" t="s">
        <v>13</v>
      </c>
      <c r="E1479" s="5">
        <v>5.0</v>
      </c>
      <c r="F1479" s="5" t="s">
        <v>1548</v>
      </c>
      <c r="G1479" s="5" t="s">
        <v>230</v>
      </c>
      <c r="J1479" s="5">
        <v>9.0</v>
      </c>
      <c r="N1479" s="5" t="b">
        <v>0</v>
      </c>
      <c r="R1479" s="5">
        <v>0.0</v>
      </c>
      <c r="T1479" s="5">
        <v>7.0</v>
      </c>
      <c r="U1479" s="5">
        <v>5.0</v>
      </c>
      <c r="V1479" s="5" t="s">
        <v>1554</v>
      </c>
      <c r="W1479" s="81" t="s">
        <v>311</v>
      </c>
      <c r="X1479" s="78" t="s">
        <v>1550</v>
      </c>
      <c r="Y1479" s="5">
        <v>2.0</v>
      </c>
      <c r="Z1479" s="5">
        <v>9.0</v>
      </c>
      <c r="AA1479" s="3">
        <f>2+ (P1479*'Scoring System'!$B$3)+ (IF(OR(AD1479="DEF",AD1479="GK"),N1479*'Scoring System'!$B$4,IF(AD1479="MID",N1479*'Scoring System'!$B$5,0)))+ (IF(OR(AD1479="DEF",AD1479="GK"),H1479*'Scoring System'!$B$6,IF(AD1479="MID",H1479*'Scoring System'!$B$7,IF(AD1479="ATT",H1479*'Scoring System'!$B$8,0))))+ IF(AND(OR(AD1479="GK",AD1479="DEF"),J1479&gt;=3),1*'Scoring System'!$B$9,0)+ (I1479*'Scoring System'!$B$10)+ (K1479*'Scoring System'!$B$11)+ (M1479*'Scoring System'!$B$12)+ (L1479*'Scoring System'!$B$13)+ (O1479*'Scoring System'!$B$14)+ (Q1479*'Scoring System'!$B$15)+ (R1479*'Scoring System'!$B$16)</f>
        <v>1</v>
      </c>
      <c r="AB1479" s="3" t="b">
        <f>IFERROR(match(C1479,'Match Day Fees'!$B$2:$B$999,0),0)=0</f>
        <v>0</v>
      </c>
      <c r="AC1479" s="3">
        <f t="shared" si="2"/>
        <v>0</v>
      </c>
      <c r="AD1479" s="3" t="str">
        <f>VLOOKUP(D1479,'Position Lookup'!A:B,2,FALSE)</f>
        <v>DEF</v>
      </c>
    </row>
    <row r="1480" ht="17.25" customHeight="1">
      <c r="A1480" s="32">
        <v>45304.0</v>
      </c>
      <c r="B1480" s="5" t="s">
        <v>309</v>
      </c>
      <c r="C1480" s="5" t="s">
        <v>134</v>
      </c>
      <c r="D1480" s="5" t="s">
        <v>17</v>
      </c>
      <c r="E1480" s="5">
        <v>5.0</v>
      </c>
      <c r="F1480" s="5" t="s">
        <v>1548</v>
      </c>
      <c r="G1480" s="5" t="s">
        <v>230</v>
      </c>
      <c r="J1480" s="5">
        <v>9.0</v>
      </c>
      <c r="N1480" s="5" t="b">
        <v>0</v>
      </c>
      <c r="R1480" s="5">
        <v>0.0</v>
      </c>
      <c r="T1480" s="5">
        <v>5.0</v>
      </c>
      <c r="U1480" s="5">
        <v>7.5</v>
      </c>
      <c r="V1480" s="5" t="s">
        <v>1555</v>
      </c>
      <c r="W1480" s="81" t="s">
        <v>311</v>
      </c>
      <c r="X1480" s="78" t="s">
        <v>1550</v>
      </c>
      <c r="Y1480" s="5">
        <v>2.0</v>
      </c>
      <c r="Z1480" s="5">
        <v>9.0</v>
      </c>
      <c r="AA1480" s="3">
        <f>2+ (P1480*'Scoring System'!$B$3)+ (IF(OR(AD1480="DEF",AD1480="GK"),N1480*'Scoring System'!$B$4,IF(AD1480="MID",N1480*'Scoring System'!$B$5,0)))+ (IF(OR(AD1480="DEF",AD1480="GK"),H1480*'Scoring System'!$B$6,IF(AD1480="MID",H1480*'Scoring System'!$B$7,IF(AD1480="ATT",H1480*'Scoring System'!$B$8,0))))+ IF(AND(OR(AD1480="GK",AD1480="DEF"),J1480&gt;=3),1*'Scoring System'!$B$9,0)+ (I1480*'Scoring System'!$B$10)+ (K1480*'Scoring System'!$B$11)+ (M1480*'Scoring System'!$B$12)+ (L1480*'Scoring System'!$B$13)+ (O1480*'Scoring System'!$B$14)+ (Q1480*'Scoring System'!$B$15)+ (R1480*'Scoring System'!$B$16)</f>
        <v>1</v>
      </c>
      <c r="AB1480" s="3" t="b">
        <f>IFERROR(match(C1480,'Match Day Fees'!$B$2:$B$999,0),0)=0</f>
        <v>0</v>
      </c>
      <c r="AC1480" s="3">
        <f t="shared" si="2"/>
        <v>0</v>
      </c>
      <c r="AD1480" s="3" t="str">
        <f>VLOOKUP(D1480,'Position Lookup'!A:B,2,FALSE)</f>
        <v>DEF</v>
      </c>
    </row>
    <row r="1481" ht="17.25" customHeight="1">
      <c r="A1481" s="32">
        <v>45304.0</v>
      </c>
      <c r="B1481" s="5" t="s">
        <v>309</v>
      </c>
      <c r="C1481" s="5" t="s">
        <v>58</v>
      </c>
      <c r="D1481" s="5" t="s">
        <v>20</v>
      </c>
      <c r="E1481" s="5">
        <v>5.0</v>
      </c>
      <c r="F1481" s="5" t="s">
        <v>1548</v>
      </c>
      <c r="G1481" s="5" t="s">
        <v>230</v>
      </c>
      <c r="J1481" s="5">
        <v>9.0</v>
      </c>
      <c r="N1481" s="5" t="b">
        <v>0</v>
      </c>
      <c r="R1481" s="5">
        <v>0.0</v>
      </c>
      <c r="T1481" s="5">
        <v>10.0</v>
      </c>
      <c r="U1481" s="5">
        <v>6.0</v>
      </c>
      <c r="V1481" s="5" t="s">
        <v>1556</v>
      </c>
      <c r="W1481" s="81" t="s">
        <v>311</v>
      </c>
      <c r="X1481" s="78" t="s">
        <v>1550</v>
      </c>
      <c r="Y1481" s="5">
        <v>2.0</v>
      </c>
      <c r="Z1481" s="5">
        <v>9.0</v>
      </c>
      <c r="AA1481" s="3">
        <f>2+ (P1481*'Scoring System'!$B$3)+ (IF(OR(AD1481="DEF",AD1481="GK"),N1481*'Scoring System'!$B$4,IF(AD1481="MID",N1481*'Scoring System'!$B$5,0)))+ (IF(OR(AD1481="DEF",AD1481="GK"),H1481*'Scoring System'!$B$6,IF(AD1481="MID",H1481*'Scoring System'!$B$7,IF(AD1481="ATT",H1481*'Scoring System'!$B$8,0))))+ IF(AND(OR(AD1481="GK",AD1481="DEF"),J1481&gt;=3),1*'Scoring System'!$B$9,0)+ (I1481*'Scoring System'!$B$10)+ (K1481*'Scoring System'!$B$11)+ (M1481*'Scoring System'!$B$12)+ (L1481*'Scoring System'!$B$13)+ (O1481*'Scoring System'!$B$14)+ (Q1481*'Scoring System'!$B$15)+ (R1481*'Scoring System'!$B$16)</f>
        <v>2</v>
      </c>
      <c r="AB1481" s="3" t="b">
        <f>IFERROR(match(C1481,'Match Day Fees'!$B$2:$B$999,0),0)=0</f>
        <v>0</v>
      </c>
      <c r="AC1481" s="3">
        <f t="shared" si="2"/>
        <v>0</v>
      </c>
      <c r="AD1481" s="3" t="str">
        <f>VLOOKUP(D1481,'Position Lookup'!A:B,2,FALSE)</f>
        <v>MID</v>
      </c>
    </row>
    <row r="1482" ht="17.25" customHeight="1">
      <c r="A1482" s="32">
        <v>45304.0</v>
      </c>
      <c r="B1482" s="5" t="s">
        <v>309</v>
      </c>
      <c r="C1482" s="5" t="s">
        <v>103</v>
      </c>
      <c r="D1482" s="5" t="s">
        <v>20</v>
      </c>
      <c r="E1482" s="5">
        <v>5.0</v>
      </c>
      <c r="F1482" s="5" t="s">
        <v>1548</v>
      </c>
      <c r="G1482" s="5" t="s">
        <v>230</v>
      </c>
      <c r="J1482" s="5">
        <v>9.0</v>
      </c>
      <c r="N1482" s="5" t="b">
        <v>0</v>
      </c>
      <c r="R1482" s="5">
        <v>0.0</v>
      </c>
      <c r="T1482" s="5">
        <v>10.0</v>
      </c>
      <c r="U1482" s="5">
        <v>6.0</v>
      </c>
      <c r="V1482" s="5" t="s">
        <v>1557</v>
      </c>
      <c r="W1482" s="81" t="s">
        <v>311</v>
      </c>
      <c r="X1482" s="78" t="s">
        <v>1550</v>
      </c>
      <c r="Y1482" s="5">
        <v>2.0</v>
      </c>
      <c r="Z1482" s="5">
        <v>9.0</v>
      </c>
      <c r="AA1482" s="3">
        <f>2+ (P1482*'Scoring System'!$B$3)+ (IF(OR(AD1482="DEF",AD1482="GK"),N1482*'Scoring System'!$B$4,IF(AD1482="MID",N1482*'Scoring System'!$B$5,0)))+ (IF(OR(AD1482="DEF",AD1482="GK"),H1482*'Scoring System'!$B$6,IF(AD1482="MID",H1482*'Scoring System'!$B$7,IF(AD1482="ATT",H1482*'Scoring System'!$B$8,0))))+ IF(AND(OR(AD1482="GK",AD1482="DEF"),J1482&gt;=3),1*'Scoring System'!$B$9,0)+ (I1482*'Scoring System'!$B$10)+ (K1482*'Scoring System'!$B$11)+ (M1482*'Scoring System'!$B$12)+ (L1482*'Scoring System'!$B$13)+ (O1482*'Scoring System'!$B$14)+ (Q1482*'Scoring System'!$B$15)+ (R1482*'Scoring System'!$B$16)</f>
        <v>2</v>
      </c>
      <c r="AB1482" s="3" t="b">
        <f>IFERROR(match(C1482,'Match Day Fees'!$B$2:$B$999,0),0)=0</f>
        <v>0</v>
      </c>
      <c r="AC1482" s="3">
        <f t="shared" si="2"/>
        <v>0</v>
      </c>
      <c r="AD1482" s="3" t="str">
        <f>VLOOKUP(D1482,'Position Lookup'!A:B,2,FALSE)</f>
        <v>MID</v>
      </c>
    </row>
    <row r="1483" ht="17.25" customHeight="1">
      <c r="A1483" s="32">
        <v>45304.0</v>
      </c>
      <c r="B1483" s="5" t="s">
        <v>309</v>
      </c>
      <c r="C1483" s="5" t="s">
        <v>105</v>
      </c>
      <c r="D1483" s="5" t="s">
        <v>21</v>
      </c>
      <c r="E1483" s="5">
        <v>5.0</v>
      </c>
      <c r="F1483" s="5" t="s">
        <v>1548</v>
      </c>
      <c r="G1483" s="5" t="s">
        <v>230</v>
      </c>
      <c r="J1483" s="5">
        <v>9.0</v>
      </c>
      <c r="N1483" s="5" t="b">
        <v>0</v>
      </c>
      <c r="R1483" s="5">
        <v>0.0</v>
      </c>
      <c r="T1483" s="5">
        <v>7.0</v>
      </c>
      <c r="U1483" s="5">
        <v>6.0</v>
      </c>
      <c r="V1483" s="5" t="s">
        <v>1558</v>
      </c>
      <c r="W1483" s="81" t="s">
        <v>311</v>
      </c>
      <c r="X1483" s="78" t="s">
        <v>1550</v>
      </c>
      <c r="Y1483" s="5">
        <v>2.0</v>
      </c>
      <c r="Z1483" s="5">
        <v>9.0</v>
      </c>
      <c r="AA1483" s="3">
        <f>2+ (P1483*'Scoring System'!$B$3)+ (IF(OR(AD1483="DEF",AD1483="GK"),N1483*'Scoring System'!$B$4,IF(AD1483="MID",N1483*'Scoring System'!$B$5,0)))+ (IF(OR(AD1483="DEF",AD1483="GK"),H1483*'Scoring System'!$B$6,IF(AD1483="MID",H1483*'Scoring System'!$B$7,IF(AD1483="ATT",H1483*'Scoring System'!$B$8,0))))+ IF(AND(OR(AD1483="GK",AD1483="DEF"),J1483&gt;=3),1*'Scoring System'!$B$9,0)+ (I1483*'Scoring System'!$B$10)+ (K1483*'Scoring System'!$B$11)+ (M1483*'Scoring System'!$B$12)+ (L1483*'Scoring System'!$B$13)+ (O1483*'Scoring System'!$B$14)+ (Q1483*'Scoring System'!$B$15)+ (R1483*'Scoring System'!$B$16)</f>
        <v>2</v>
      </c>
      <c r="AB1483" s="3" t="b">
        <f>IFERROR(match(C1483,'Match Day Fees'!$B$2:$B$999,0),0)=0</f>
        <v>0</v>
      </c>
      <c r="AC1483" s="3">
        <f t="shared" si="2"/>
        <v>0</v>
      </c>
      <c r="AD1483" s="3" t="str">
        <f>VLOOKUP(D1483,'Position Lookup'!A:B,2,FALSE)</f>
        <v>MID</v>
      </c>
    </row>
    <row r="1484" ht="17.25" customHeight="1">
      <c r="A1484" s="32">
        <v>45304.0</v>
      </c>
      <c r="B1484" s="5" t="s">
        <v>309</v>
      </c>
      <c r="C1484" s="5" t="s">
        <v>139</v>
      </c>
      <c r="D1484" s="5" t="s">
        <v>24</v>
      </c>
      <c r="E1484" s="5">
        <v>5.0</v>
      </c>
      <c r="F1484" s="5" t="s">
        <v>1548</v>
      </c>
      <c r="G1484" s="5" t="s">
        <v>230</v>
      </c>
      <c r="H1484" s="5">
        <v>2.0</v>
      </c>
      <c r="J1484" s="5">
        <v>9.0</v>
      </c>
      <c r="N1484" s="5" t="b">
        <v>0</v>
      </c>
      <c r="R1484" s="5">
        <v>1.0</v>
      </c>
      <c r="T1484" s="5">
        <v>10.0</v>
      </c>
      <c r="U1484" s="5">
        <v>8.0</v>
      </c>
      <c r="V1484" s="5" t="s">
        <v>1559</v>
      </c>
      <c r="W1484" s="81" t="s">
        <v>311</v>
      </c>
      <c r="X1484" s="78" t="s">
        <v>1550</v>
      </c>
      <c r="Y1484" s="5">
        <v>2.0</v>
      </c>
      <c r="Z1484" s="5">
        <v>9.0</v>
      </c>
      <c r="AA1484" s="3">
        <f>2+ (P1484*'Scoring System'!$B$3)+ (IF(OR(AD1484="DEF",AD1484="GK"),N1484*'Scoring System'!$B$4,IF(AD1484="MID",N1484*'Scoring System'!$B$5,0)))+ (IF(OR(AD1484="DEF",AD1484="GK"),H1484*'Scoring System'!$B$6,IF(AD1484="MID",H1484*'Scoring System'!$B$7,IF(AD1484="ATT",H1484*'Scoring System'!$B$8,0))))+ IF(AND(OR(AD1484="GK",AD1484="DEF"),J1484&gt;=3),1*'Scoring System'!$B$9,0)+ (I1484*'Scoring System'!$B$10)+ (K1484*'Scoring System'!$B$11)+ (M1484*'Scoring System'!$B$12)+ (L1484*'Scoring System'!$B$13)+ (O1484*'Scoring System'!$B$14)+ (Q1484*'Scoring System'!$B$15)+ (R1484*'Scoring System'!$B$16)</f>
        <v>15</v>
      </c>
      <c r="AB1484" s="3" t="b">
        <f>IFERROR(match(C1484,'Match Day Fees'!$B$2:$B$999,0),0)=0</f>
        <v>0</v>
      </c>
      <c r="AC1484" s="3">
        <f t="shared" si="2"/>
        <v>0</v>
      </c>
      <c r="AD1484" s="3" t="str">
        <f>VLOOKUP(D1484,'Position Lookup'!A:B,2,FALSE)</f>
        <v>ATT</v>
      </c>
    </row>
    <row r="1485" ht="17.25" customHeight="1">
      <c r="A1485" s="32">
        <v>45304.0</v>
      </c>
      <c r="B1485" s="5" t="s">
        <v>309</v>
      </c>
      <c r="C1485" s="5" t="s">
        <v>1372</v>
      </c>
      <c r="D1485" s="5" t="s">
        <v>24</v>
      </c>
      <c r="E1485" s="5">
        <v>5.0</v>
      </c>
      <c r="F1485" s="5" t="s">
        <v>1548</v>
      </c>
      <c r="G1485" s="5" t="s">
        <v>230</v>
      </c>
      <c r="I1485" s="5">
        <v>1.0</v>
      </c>
      <c r="J1485" s="5">
        <v>9.0</v>
      </c>
      <c r="N1485" s="5" t="b">
        <v>0</v>
      </c>
      <c r="R1485" s="5">
        <v>0.0</v>
      </c>
      <c r="T1485" s="5">
        <v>10.0</v>
      </c>
      <c r="U1485" s="5">
        <v>7.5</v>
      </c>
      <c r="V1485" s="5" t="s">
        <v>1560</v>
      </c>
      <c r="W1485" s="81" t="s">
        <v>311</v>
      </c>
      <c r="X1485" s="78" t="s">
        <v>1550</v>
      </c>
      <c r="Y1485" s="5">
        <v>2.0</v>
      </c>
      <c r="Z1485" s="5">
        <v>9.0</v>
      </c>
      <c r="AA1485" s="3">
        <f>2+ (P1485*'Scoring System'!$B$3)+ (IF(OR(AD1485="DEF",AD1485="GK"),N1485*'Scoring System'!$B$4,IF(AD1485="MID",N1485*'Scoring System'!$B$5,0)))+ (IF(OR(AD1485="DEF",AD1485="GK"),H1485*'Scoring System'!$B$6,IF(AD1485="MID",H1485*'Scoring System'!$B$7,IF(AD1485="ATT",H1485*'Scoring System'!$B$8,0))))+ IF(AND(OR(AD1485="GK",AD1485="DEF"),J1485&gt;=3),1*'Scoring System'!$B$9,0)+ (I1485*'Scoring System'!$B$10)+ (K1485*'Scoring System'!$B$11)+ (M1485*'Scoring System'!$B$12)+ (L1485*'Scoring System'!$B$13)+ (O1485*'Scoring System'!$B$14)+ (Q1485*'Scoring System'!$B$15)+ (R1485*'Scoring System'!$B$16)</f>
        <v>5</v>
      </c>
      <c r="AB1485" s="3" t="b">
        <f>IFERROR(match(C1485,'Match Day Fees'!$B$2:$B$999,0),0)=0</f>
        <v>0</v>
      </c>
      <c r="AC1485" s="3">
        <f t="shared" si="2"/>
        <v>0</v>
      </c>
      <c r="AD1485" s="3" t="str">
        <f>VLOOKUP(D1485,'Position Lookup'!A:B,2,FALSE)</f>
        <v>ATT</v>
      </c>
    </row>
    <row r="1486" ht="17.25" customHeight="1">
      <c r="A1486" s="32">
        <v>45304.0</v>
      </c>
      <c r="B1486" s="5" t="s">
        <v>309</v>
      </c>
      <c r="C1486" s="5" t="s">
        <v>95</v>
      </c>
      <c r="D1486" s="5" t="s">
        <v>22</v>
      </c>
      <c r="E1486" s="5">
        <v>5.0</v>
      </c>
      <c r="F1486" s="5" t="s">
        <v>1548</v>
      </c>
      <c r="G1486" s="5" t="s">
        <v>230</v>
      </c>
      <c r="J1486" s="5">
        <v>9.0</v>
      </c>
      <c r="N1486" s="5" t="b">
        <v>0</v>
      </c>
      <c r="R1486" s="5">
        <v>0.0</v>
      </c>
      <c r="T1486" s="5">
        <v>7.0</v>
      </c>
      <c r="U1486" s="5">
        <v>7.5</v>
      </c>
      <c r="V1486" s="5" t="s">
        <v>1561</v>
      </c>
      <c r="W1486" s="81" t="s">
        <v>311</v>
      </c>
      <c r="X1486" s="78" t="s">
        <v>1550</v>
      </c>
      <c r="Y1486" s="5">
        <v>2.0</v>
      </c>
      <c r="Z1486" s="5">
        <v>9.0</v>
      </c>
      <c r="AA1486" s="3">
        <f>2+ (P1486*'Scoring System'!$B$3)+ (IF(OR(AD1486="DEF",AD1486="GK"),N1486*'Scoring System'!$B$4,IF(AD1486="MID",N1486*'Scoring System'!$B$5,0)))+ (IF(OR(AD1486="DEF",AD1486="GK"),H1486*'Scoring System'!$B$6,IF(AD1486="MID",H1486*'Scoring System'!$B$7,IF(AD1486="ATT",H1486*'Scoring System'!$B$8,0))))+ IF(AND(OR(AD1486="GK",AD1486="DEF"),J1486&gt;=3),1*'Scoring System'!$B$9,0)+ (I1486*'Scoring System'!$B$10)+ (K1486*'Scoring System'!$B$11)+ (M1486*'Scoring System'!$B$12)+ (L1486*'Scoring System'!$B$13)+ (O1486*'Scoring System'!$B$14)+ (Q1486*'Scoring System'!$B$15)+ (R1486*'Scoring System'!$B$16)</f>
        <v>2</v>
      </c>
      <c r="AB1486" s="3" t="b">
        <f>IFERROR(match(C1486,'Match Day Fees'!$B$2:$B$999,0),0)=0</f>
        <v>0</v>
      </c>
      <c r="AC1486" s="3">
        <f t="shared" si="2"/>
        <v>0</v>
      </c>
      <c r="AD1486" s="3" t="str">
        <f>VLOOKUP(D1486,'Position Lookup'!A:B,2,FALSE)</f>
        <v>ATT</v>
      </c>
    </row>
    <row r="1487" ht="17.25" customHeight="1">
      <c r="A1487" s="32">
        <v>45304.0</v>
      </c>
      <c r="B1487" s="5" t="s">
        <v>309</v>
      </c>
      <c r="C1487" s="5" t="s">
        <v>72</v>
      </c>
      <c r="D1487" s="5" t="s">
        <v>20</v>
      </c>
      <c r="E1487" s="5">
        <v>5.0</v>
      </c>
      <c r="F1487" s="5" t="s">
        <v>1548</v>
      </c>
      <c r="G1487" s="5" t="s">
        <v>230</v>
      </c>
      <c r="J1487" s="5">
        <v>9.0</v>
      </c>
      <c r="N1487" s="5" t="b">
        <v>0</v>
      </c>
      <c r="R1487" s="5">
        <v>0.0</v>
      </c>
      <c r="T1487" s="5">
        <v>7.0</v>
      </c>
      <c r="U1487" s="5">
        <v>7.5</v>
      </c>
      <c r="V1487" s="5" t="s">
        <v>1562</v>
      </c>
      <c r="W1487" s="81" t="s">
        <v>311</v>
      </c>
      <c r="X1487" s="78" t="s">
        <v>1550</v>
      </c>
      <c r="Y1487" s="5">
        <v>2.0</v>
      </c>
      <c r="Z1487" s="5">
        <v>9.0</v>
      </c>
      <c r="AA1487" s="3">
        <f>2+ (P1487*'Scoring System'!$B$3)+ (IF(OR(AD1487="DEF",AD1487="GK"),N1487*'Scoring System'!$B$4,IF(AD1487="MID",N1487*'Scoring System'!$B$5,0)))+ (IF(OR(AD1487="DEF",AD1487="GK"),H1487*'Scoring System'!$B$6,IF(AD1487="MID",H1487*'Scoring System'!$B$7,IF(AD1487="ATT",H1487*'Scoring System'!$B$8,0))))+ IF(AND(OR(AD1487="GK",AD1487="DEF"),J1487&gt;=3),1*'Scoring System'!$B$9,0)+ (I1487*'Scoring System'!$B$10)+ (K1487*'Scoring System'!$B$11)+ (M1487*'Scoring System'!$B$12)+ (L1487*'Scoring System'!$B$13)+ (O1487*'Scoring System'!$B$14)+ (Q1487*'Scoring System'!$B$15)+ (R1487*'Scoring System'!$B$16)</f>
        <v>2</v>
      </c>
      <c r="AB1487" s="3" t="b">
        <f>IFERROR(match(C1487,'Match Day Fees'!$B$2:$B$999,0),0)=0</f>
        <v>0</v>
      </c>
      <c r="AC1487" s="3">
        <f t="shared" si="2"/>
        <v>0</v>
      </c>
      <c r="AD1487" s="3" t="str">
        <f>VLOOKUP(D1487,'Position Lookup'!A:B,2,FALSE)</f>
        <v>MID</v>
      </c>
    </row>
    <row r="1488" ht="17.25" customHeight="1">
      <c r="A1488" s="32">
        <v>45304.0</v>
      </c>
      <c r="B1488" s="5" t="s">
        <v>309</v>
      </c>
      <c r="C1488" s="5" t="s">
        <v>135</v>
      </c>
      <c r="D1488" s="5" t="s">
        <v>14</v>
      </c>
      <c r="E1488" s="5">
        <v>5.0</v>
      </c>
      <c r="F1488" s="5" t="s">
        <v>1548</v>
      </c>
      <c r="G1488" s="5" t="s">
        <v>230</v>
      </c>
      <c r="I1488" s="5">
        <v>1.0</v>
      </c>
      <c r="J1488" s="5">
        <v>9.0</v>
      </c>
      <c r="N1488" s="5" t="b">
        <v>0</v>
      </c>
      <c r="R1488" s="5">
        <v>0.0</v>
      </c>
      <c r="T1488" s="5">
        <v>7.0</v>
      </c>
      <c r="U1488" s="5">
        <v>6.5</v>
      </c>
      <c r="V1488" s="5" t="s">
        <v>1563</v>
      </c>
      <c r="W1488" s="81" t="s">
        <v>311</v>
      </c>
      <c r="X1488" s="78" t="s">
        <v>1550</v>
      </c>
      <c r="Y1488" s="5">
        <v>2.0</v>
      </c>
      <c r="Z1488" s="5">
        <v>9.0</v>
      </c>
      <c r="AA1488" s="3">
        <f>2+ (P1488*'Scoring System'!$B$3)+ (IF(OR(AD1488="DEF",AD1488="GK"),N1488*'Scoring System'!$B$4,IF(AD1488="MID",N1488*'Scoring System'!$B$5,0)))+ (IF(OR(AD1488="DEF",AD1488="GK"),H1488*'Scoring System'!$B$6,IF(AD1488="MID",H1488*'Scoring System'!$B$7,IF(AD1488="ATT",H1488*'Scoring System'!$B$8,0))))+ IF(AND(OR(AD1488="GK",AD1488="DEF"),J1488&gt;=3),1*'Scoring System'!$B$9,0)+ (I1488*'Scoring System'!$B$10)+ (K1488*'Scoring System'!$B$11)+ (M1488*'Scoring System'!$B$12)+ (L1488*'Scoring System'!$B$13)+ (O1488*'Scoring System'!$B$14)+ (Q1488*'Scoring System'!$B$15)+ (R1488*'Scoring System'!$B$16)</f>
        <v>4</v>
      </c>
      <c r="AB1488" s="3" t="b">
        <f>IFERROR(match(C1488,'Match Day Fees'!$B$2:$B$999,0),0)=0</f>
        <v>0</v>
      </c>
      <c r="AC1488" s="3">
        <f t="shared" si="2"/>
        <v>0</v>
      </c>
      <c r="AD1488" s="3" t="str">
        <f>VLOOKUP(D1488,'Position Lookup'!A:B,2,FALSE)</f>
        <v>DEF</v>
      </c>
    </row>
    <row r="1489" ht="17.25" customHeight="1">
      <c r="A1489" s="32">
        <v>45304.0</v>
      </c>
      <c r="B1489" s="5" t="s">
        <v>309</v>
      </c>
      <c r="C1489" s="5" t="s">
        <v>55</v>
      </c>
      <c r="D1489" s="5" t="s">
        <v>8</v>
      </c>
      <c r="E1489" s="5">
        <v>6.0</v>
      </c>
      <c r="F1489" s="5" t="s">
        <v>1453</v>
      </c>
      <c r="G1489" s="5" t="s">
        <v>224</v>
      </c>
      <c r="J1489" s="5">
        <v>0.0</v>
      </c>
      <c r="N1489" s="5" t="b">
        <v>1</v>
      </c>
      <c r="R1489" s="5">
        <v>0.0</v>
      </c>
      <c r="T1489" s="5">
        <v>10.0</v>
      </c>
      <c r="U1489" s="3">
        <v>8.5</v>
      </c>
      <c r="V1489" s="3" t="s">
        <v>1564</v>
      </c>
      <c r="W1489" s="3" t="s">
        <v>1375</v>
      </c>
      <c r="X1489" s="77" t="s">
        <v>1565</v>
      </c>
      <c r="Y1489" s="5">
        <v>2.0</v>
      </c>
      <c r="Z1489" s="5">
        <v>0.0</v>
      </c>
      <c r="AA1489" s="3">
        <f>2+ (P1489*'Scoring System'!$B$3)+ (IF(OR(AD1489="DEF",AD1489="GK"),N1489*'Scoring System'!$B$4,IF(AD1489="MID",N1489*'Scoring System'!$B$5,0)))+ (IF(OR(AD1489="DEF",AD1489="GK"),H1489*'Scoring System'!$B$6,IF(AD1489="MID",H1489*'Scoring System'!$B$7,IF(AD1489="ATT",H1489*'Scoring System'!$B$8,0))))+ IF(AND(OR(AD1489="GK",AD1489="DEF"),J1489&gt;=3),1*'Scoring System'!$B$9,0)+ (I1489*'Scoring System'!$B$10)+ (K1489*'Scoring System'!$B$11)+ (M1489*'Scoring System'!$B$12)+ (L1489*'Scoring System'!$B$13)+ (O1489*'Scoring System'!$B$14)+ (Q1489*'Scoring System'!$B$15)+ (R1489*'Scoring System'!$B$16)</f>
        <v>8</v>
      </c>
      <c r="AB1489" s="3" t="b">
        <f>IFERROR(match(C1489,'Match Day Fees'!$B$2:$B$999,0),0)=0</f>
        <v>0</v>
      </c>
      <c r="AC1489" s="3">
        <f t="shared" si="2"/>
        <v>0</v>
      </c>
      <c r="AD1489" s="3" t="str">
        <f>VLOOKUP(D1489,'Position Lookup'!A:B,2,FALSE)</f>
        <v>GK</v>
      </c>
    </row>
    <row r="1490" ht="17.25" customHeight="1">
      <c r="A1490" s="32">
        <v>45304.0</v>
      </c>
      <c r="B1490" s="5" t="s">
        <v>309</v>
      </c>
      <c r="C1490" s="5" t="s">
        <v>128</v>
      </c>
      <c r="D1490" s="5" t="s">
        <v>14</v>
      </c>
      <c r="E1490" s="5">
        <v>6.0</v>
      </c>
      <c r="F1490" s="5" t="s">
        <v>1453</v>
      </c>
      <c r="G1490" s="5" t="s">
        <v>224</v>
      </c>
      <c r="J1490" s="5">
        <v>0.0</v>
      </c>
      <c r="N1490" s="5" t="b">
        <v>1</v>
      </c>
      <c r="R1490" s="5">
        <v>1.0</v>
      </c>
      <c r="T1490" s="5">
        <v>10.0</v>
      </c>
      <c r="U1490" s="3">
        <v>8.5</v>
      </c>
      <c r="V1490" s="3" t="s">
        <v>1566</v>
      </c>
      <c r="W1490" s="3" t="s">
        <v>1375</v>
      </c>
      <c r="X1490" s="77" t="s">
        <v>1565</v>
      </c>
      <c r="Y1490" s="5">
        <v>2.0</v>
      </c>
      <c r="Z1490" s="5">
        <v>0.0</v>
      </c>
      <c r="AA1490" s="3">
        <f>2+ (P1490*'Scoring System'!$B$3)+ (IF(OR(AD1490="DEF",AD1490="GK"),N1490*'Scoring System'!$B$4,IF(AD1490="MID",N1490*'Scoring System'!$B$5,0)))+ (IF(OR(AD1490="DEF",AD1490="GK"),H1490*'Scoring System'!$B$6,IF(AD1490="MID",H1490*'Scoring System'!$B$7,IF(AD1490="ATT",H1490*'Scoring System'!$B$8,0))))+ IF(AND(OR(AD1490="GK",AD1490="DEF"),J1490&gt;=3),1*'Scoring System'!$B$9,0)+ (I1490*'Scoring System'!$B$10)+ (K1490*'Scoring System'!$B$11)+ (M1490*'Scoring System'!$B$12)+ (L1490*'Scoring System'!$B$13)+ (O1490*'Scoring System'!$B$14)+ (Q1490*'Scoring System'!$B$15)+ (R1490*'Scoring System'!$B$16)</f>
        <v>13</v>
      </c>
      <c r="AB1490" s="3" t="b">
        <f>IFERROR(match(C1490,'Match Day Fees'!$B$2:$B$999,0),0)=0</f>
        <v>0</v>
      </c>
      <c r="AC1490" s="3">
        <f t="shared" si="2"/>
        <v>0</v>
      </c>
      <c r="AD1490" s="3" t="str">
        <f>VLOOKUP(D1490,'Position Lookup'!A:B,2,FALSE)</f>
        <v>DEF</v>
      </c>
    </row>
    <row r="1491" ht="17.25" customHeight="1">
      <c r="A1491" s="32">
        <v>45304.0</v>
      </c>
      <c r="B1491" s="5" t="s">
        <v>309</v>
      </c>
      <c r="C1491" s="5" t="s">
        <v>149</v>
      </c>
      <c r="D1491" s="5" t="s">
        <v>14</v>
      </c>
      <c r="E1491" s="5">
        <v>6.0</v>
      </c>
      <c r="F1491" s="5" t="s">
        <v>1453</v>
      </c>
      <c r="G1491" s="5" t="s">
        <v>224</v>
      </c>
      <c r="J1491" s="5">
        <v>0.0</v>
      </c>
      <c r="N1491" s="5" t="b">
        <v>1</v>
      </c>
      <c r="R1491" s="5">
        <v>0.0</v>
      </c>
      <c r="T1491" s="5">
        <v>10.0</v>
      </c>
      <c r="U1491" s="3">
        <v>7.5</v>
      </c>
      <c r="V1491" s="3" t="s">
        <v>1567</v>
      </c>
      <c r="W1491" s="3" t="s">
        <v>1375</v>
      </c>
      <c r="X1491" s="77" t="s">
        <v>1565</v>
      </c>
      <c r="Y1491" s="5">
        <v>2.0</v>
      </c>
      <c r="Z1491" s="5">
        <v>0.0</v>
      </c>
      <c r="AA1491" s="3">
        <f>2+ (P1491*'Scoring System'!$B$3)+ (IF(OR(AD1491="DEF",AD1491="GK"),N1491*'Scoring System'!$B$4,IF(AD1491="MID",N1491*'Scoring System'!$B$5,0)))+ (IF(OR(AD1491="DEF",AD1491="GK"),H1491*'Scoring System'!$B$6,IF(AD1491="MID",H1491*'Scoring System'!$B$7,IF(AD1491="ATT",H1491*'Scoring System'!$B$8,0))))+ IF(AND(OR(AD1491="GK",AD1491="DEF"),J1491&gt;=3),1*'Scoring System'!$B$9,0)+ (I1491*'Scoring System'!$B$10)+ (K1491*'Scoring System'!$B$11)+ (M1491*'Scoring System'!$B$12)+ (L1491*'Scoring System'!$B$13)+ (O1491*'Scoring System'!$B$14)+ (Q1491*'Scoring System'!$B$15)+ (R1491*'Scoring System'!$B$16)</f>
        <v>8</v>
      </c>
      <c r="AB1491" s="3" t="b">
        <f>IFERROR(match(C1491,'Match Day Fees'!$B$2:$B$999,0),0)=0</f>
        <v>0</v>
      </c>
      <c r="AC1491" s="3">
        <f t="shared" si="2"/>
        <v>0</v>
      </c>
      <c r="AD1491" s="3" t="str">
        <f>VLOOKUP(D1491,'Position Lookup'!A:B,2,FALSE)</f>
        <v>DEF</v>
      </c>
    </row>
    <row r="1492" ht="17.25" customHeight="1">
      <c r="A1492" s="32">
        <v>45304.0</v>
      </c>
      <c r="B1492" s="5" t="s">
        <v>309</v>
      </c>
      <c r="C1492" s="5" t="s">
        <v>97</v>
      </c>
      <c r="D1492" s="5" t="s">
        <v>12</v>
      </c>
      <c r="E1492" s="5">
        <v>6.0</v>
      </c>
      <c r="F1492" s="5" t="s">
        <v>1453</v>
      </c>
      <c r="G1492" s="5" t="s">
        <v>224</v>
      </c>
      <c r="J1492" s="5">
        <v>0.0</v>
      </c>
      <c r="N1492" s="5" t="b">
        <v>1</v>
      </c>
      <c r="R1492" s="5">
        <v>0.0</v>
      </c>
      <c r="T1492" s="5">
        <v>5.0</v>
      </c>
      <c r="U1492" s="3">
        <v>7.0</v>
      </c>
      <c r="V1492" s="3" t="s">
        <v>1568</v>
      </c>
      <c r="W1492" s="3" t="s">
        <v>1375</v>
      </c>
      <c r="X1492" s="77" t="s">
        <v>1565</v>
      </c>
      <c r="Y1492" s="5">
        <v>2.0</v>
      </c>
      <c r="Z1492" s="5">
        <v>0.0</v>
      </c>
      <c r="AA1492" s="3">
        <f>2+ (P1492*'Scoring System'!$B$3)+ (IF(OR(AD1492="DEF",AD1492="GK"),N1492*'Scoring System'!$B$4,IF(AD1492="MID",N1492*'Scoring System'!$B$5,0)))+ (IF(OR(AD1492="DEF",AD1492="GK"),H1492*'Scoring System'!$B$6,IF(AD1492="MID",H1492*'Scoring System'!$B$7,IF(AD1492="ATT",H1492*'Scoring System'!$B$8,0))))+ IF(AND(OR(AD1492="GK",AD1492="DEF"),J1492&gt;=3),1*'Scoring System'!$B$9,0)+ (I1492*'Scoring System'!$B$10)+ (K1492*'Scoring System'!$B$11)+ (M1492*'Scoring System'!$B$12)+ (L1492*'Scoring System'!$B$13)+ (O1492*'Scoring System'!$B$14)+ (Q1492*'Scoring System'!$B$15)+ (R1492*'Scoring System'!$B$16)</f>
        <v>8</v>
      </c>
      <c r="AB1492" s="3" t="b">
        <f>IFERROR(match(C1492,'Match Day Fees'!$B$2:$B$999,0),0)=0</f>
        <v>0</v>
      </c>
      <c r="AC1492" s="3">
        <f t="shared" si="2"/>
        <v>0</v>
      </c>
      <c r="AD1492" s="3" t="str">
        <f>VLOOKUP(D1492,'Position Lookup'!A:B,2,FALSE)</f>
        <v>DEF</v>
      </c>
    </row>
    <row r="1493" ht="17.25" customHeight="1">
      <c r="A1493" s="32">
        <v>45304.0</v>
      </c>
      <c r="B1493" s="5" t="s">
        <v>309</v>
      </c>
      <c r="C1493" s="5" t="s">
        <v>142</v>
      </c>
      <c r="D1493" s="5" t="s">
        <v>16</v>
      </c>
      <c r="E1493" s="5">
        <v>6.0</v>
      </c>
      <c r="F1493" s="5" t="s">
        <v>1453</v>
      </c>
      <c r="G1493" s="5" t="s">
        <v>224</v>
      </c>
      <c r="J1493" s="5">
        <v>0.0</v>
      </c>
      <c r="N1493" s="5" t="b">
        <v>1</v>
      </c>
      <c r="R1493" s="5">
        <v>0.0</v>
      </c>
      <c r="T1493" s="5">
        <v>10.0</v>
      </c>
      <c r="U1493" s="3">
        <v>8.0</v>
      </c>
      <c r="V1493" s="3" t="s">
        <v>1569</v>
      </c>
      <c r="W1493" s="3" t="s">
        <v>1375</v>
      </c>
      <c r="X1493" s="77" t="s">
        <v>1565</v>
      </c>
      <c r="Y1493" s="5">
        <v>2.0</v>
      </c>
      <c r="Z1493" s="5">
        <v>0.0</v>
      </c>
      <c r="AA1493" s="3">
        <f>2+ (P1493*'Scoring System'!$B$3)+ (IF(OR(AD1493="DEF",AD1493="GK"),N1493*'Scoring System'!$B$4,IF(AD1493="MID",N1493*'Scoring System'!$B$5,0)))+ (IF(OR(AD1493="DEF",AD1493="GK"),H1493*'Scoring System'!$B$6,IF(AD1493="MID",H1493*'Scoring System'!$B$7,IF(AD1493="ATT",H1493*'Scoring System'!$B$8,0))))+ IF(AND(OR(AD1493="GK",AD1493="DEF"),J1493&gt;=3),1*'Scoring System'!$B$9,0)+ (I1493*'Scoring System'!$B$10)+ (K1493*'Scoring System'!$B$11)+ (M1493*'Scoring System'!$B$12)+ (L1493*'Scoring System'!$B$13)+ (O1493*'Scoring System'!$B$14)+ (Q1493*'Scoring System'!$B$15)+ (R1493*'Scoring System'!$B$16)</f>
        <v>8</v>
      </c>
      <c r="AB1493" s="3" t="b">
        <f>IFERROR(match(C1493,'Match Day Fees'!$B$2:$B$999,0),0)=0</f>
        <v>0</v>
      </c>
      <c r="AC1493" s="3">
        <f t="shared" si="2"/>
        <v>0</v>
      </c>
      <c r="AD1493" s="3" t="str">
        <f>VLOOKUP(D1493,'Position Lookup'!A:B,2,FALSE)</f>
        <v>DEF</v>
      </c>
    </row>
    <row r="1494" ht="17.25" customHeight="1">
      <c r="A1494" s="32">
        <v>45304.0</v>
      </c>
      <c r="B1494" s="5" t="s">
        <v>309</v>
      </c>
      <c r="C1494" s="5" t="s">
        <v>140</v>
      </c>
      <c r="D1494" s="5" t="s">
        <v>20</v>
      </c>
      <c r="E1494" s="5">
        <v>6.0</v>
      </c>
      <c r="F1494" s="5" t="s">
        <v>1453</v>
      </c>
      <c r="G1494" s="5" t="s">
        <v>224</v>
      </c>
      <c r="I1494" s="5">
        <v>1.0</v>
      </c>
      <c r="J1494" s="5">
        <v>0.0</v>
      </c>
      <c r="N1494" s="5" t="b">
        <v>1</v>
      </c>
      <c r="R1494" s="5">
        <v>0.0</v>
      </c>
      <c r="T1494" s="5">
        <v>10.0</v>
      </c>
      <c r="U1494" s="3">
        <v>8.0</v>
      </c>
      <c r="V1494" s="3" t="s">
        <v>1570</v>
      </c>
      <c r="W1494" s="3" t="s">
        <v>1375</v>
      </c>
      <c r="X1494" s="77" t="s">
        <v>1565</v>
      </c>
      <c r="Y1494" s="5">
        <v>2.0</v>
      </c>
      <c r="Z1494" s="5">
        <v>0.0</v>
      </c>
      <c r="AA1494" s="3">
        <f>2+ (P1494*'Scoring System'!$B$3)+ (IF(OR(AD1494="DEF",AD1494="GK"),N1494*'Scoring System'!$B$4,IF(AD1494="MID",N1494*'Scoring System'!$B$5,0)))+ (IF(OR(AD1494="DEF",AD1494="GK"),H1494*'Scoring System'!$B$6,IF(AD1494="MID",H1494*'Scoring System'!$B$7,IF(AD1494="ATT",H1494*'Scoring System'!$B$8,0))))+ IF(AND(OR(AD1494="GK",AD1494="DEF"),J1494&gt;=3),1*'Scoring System'!$B$9,0)+ (I1494*'Scoring System'!$B$10)+ (K1494*'Scoring System'!$B$11)+ (M1494*'Scoring System'!$B$12)+ (L1494*'Scoring System'!$B$13)+ (O1494*'Scoring System'!$B$14)+ (Q1494*'Scoring System'!$B$15)+ (R1494*'Scoring System'!$B$16)</f>
        <v>7</v>
      </c>
      <c r="AB1494" s="3" t="b">
        <f>IFERROR(match(C1494,'Match Day Fees'!$B$2:$B$999,0),0)=0</f>
        <v>0</v>
      </c>
      <c r="AC1494" s="3">
        <f t="shared" si="2"/>
        <v>0</v>
      </c>
      <c r="AD1494" s="3" t="str">
        <f>VLOOKUP(D1494,'Position Lookup'!A:B,2,FALSE)</f>
        <v>MID</v>
      </c>
    </row>
    <row r="1495" ht="17.25" customHeight="1">
      <c r="A1495" s="32">
        <v>45304.0</v>
      </c>
      <c r="B1495" s="5" t="s">
        <v>309</v>
      </c>
      <c r="C1495" s="5" t="s">
        <v>591</v>
      </c>
      <c r="D1495" s="5" t="s">
        <v>22</v>
      </c>
      <c r="E1495" s="5">
        <v>6.0</v>
      </c>
      <c r="F1495" s="5" t="s">
        <v>1453</v>
      </c>
      <c r="G1495" s="5" t="s">
        <v>224</v>
      </c>
      <c r="J1495" s="5">
        <v>0.0</v>
      </c>
      <c r="N1495" s="5" t="b">
        <v>1</v>
      </c>
      <c r="R1495" s="5">
        <v>0.0</v>
      </c>
      <c r="T1495" s="5">
        <v>5.0</v>
      </c>
      <c r="U1495" s="3">
        <v>6.0</v>
      </c>
      <c r="V1495" s="3" t="s">
        <v>1571</v>
      </c>
      <c r="W1495" s="3" t="s">
        <v>1375</v>
      </c>
      <c r="X1495" s="77" t="s">
        <v>1565</v>
      </c>
      <c r="Y1495" s="5">
        <v>2.0</v>
      </c>
      <c r="Z1495" s="5">
        <v>0.0</v>
      </c>
      <c r="AA1495" s="3">
        <f>2+ (P1495*'Scoring System'!$B$3)+ (IF(OR(AD1495="DEF",AD1495="GK"),N1495*'Scoring System'!$B$4,IF(AD1495="MID",N1495*'Scoring System'!$B$5,0)))+ (IF(OR(AD1495="DEF",AD1495="GK"),H1495*'Scoring System'!$B$6,IF(AD1495="MID",H1495*'Scoring System'!$B$7,IF(AD1495="ATT",H1495*'Scoring System'!$B$8,0))))+ IF(AND(OR(AD1495="GK",AD1495="DEF"),J1495&gt;=3),1*'Scoring System'!$B$9,0)+ (I1495*'Scoring System'!$B$10)+ (K1495*'Scoring System'!$B$11)+ (M1495*'Scoring System'!$B$12)+ (L1495*'Scoring System'!$B$13)+ (O1495*'Scoring System'!$B$14)+ (Q1495*'Scoring System'!$B$15)+ (R1495*'Scoring System'!$B$16)</f>
        <v>2</v>
      </c>
      <c r="AB1495" s="3" t="b">
        <f>IFERROR(match(C1495,'Match Day Fees'!$B$2:$B$999,0),0)=0</f>
        <v>0</v>
      </c>
      <c r="AC1495" s="3">
        <f t="shared" si="2"/>
        <v>0</v>
      </c>
      <c r="AD1495" s="3" t="str">
        <f>VLOOKUP(D1495,'Position Lookup'!A:B,2,FALSE)</f>
        <v>ATT</v>
      </c>
    </row>
    <row r="1496" ht="17.25" customHeight="1">
      <c r="A1496" s="32">
        <v>45304.0</v>
      </c>
      <c r="B1496" s="5" t="s">
        <v>309</v>
      </c>
      <c r="C1496" s="5" t="s">
        <v>147</v>
      </c>
      <c r="D1496" s="5" t="s">
        <v>19</v>
      </c>
      <c r="E1496" s="5">
        <v>6.0</v>
      </c>
      <c r="F1496" s="5" t="s">
        <v>1453</v>
      </c>
      <c r="G1496" s="5" t="s">
        <v>224</v>
      </c>
      <c r="J1496" s="5">
        <v>0.0</v>
      </c>
      <c r="N1496" s="5" t="b">
        <v>1</v>
      </c>
      <c r="R1496" s="5">
        <v>0.0</v>
      </c>
      <c r="S1496" s="5" t="b">
        <v>1</v>
      </c>
      <c r="T1496" s="5">
        <v>0.0</v>
      </c>
      <c r="U1496" s="3">
        <v>6.5</v>
      </c>
      <c r="V1496" s="3" t="s">
        <v>1572</v>
      </c>
      <c r="W1496" s="3" t="s">
        <v>1375</v>
      </c>
      <c r="X1496" s="77" t="s">
        <v>1565</v>
      </c>
      <c r="Y1496" s="5">
        <v>2.0</v>
      </c>
      <c r="Z1496" s="5">
        <v>0.0</v>
      </c>
      <c r="AA1496" s="3">
        <f>2+ (P1496*'Scoring System'!$B$3)+ (IF(OR(AD1496="DEF",AD1496="GK"),N1496*'Scoring System'!$B$4,IF(AD1496="MID",N1496*'Scoring System'!$B$5,0)))+ (IF(OR(AD1496="DEF",AD1496="GK"),H1496*'Scoring System'!$B$6,IF(AD1496="MID",H1496*'Scoring System'!$B$7,IF(AD1496="ATT",H1496*'Scoring System'!$B$8,0))))+ IF(AND(OR(AD1496="GK",AD1496="DEF"),J1496&gt;=3),1*'Scoring System'!$B$9,0)+ (I1496*'Scoring System'!$B$10)+ (K1496*'Scoring System'!$B$11)+ (M1496*'Scoring System'!$B$12)+ (L1496*'Scoring System'!$B$13)+ (O1496*'Scoring System'!$B$14)+ (Q1496*'Scoring System'!$B$15)+ (R1496*'Scoring System'!$B$16)</f>
        <v>4</v>
      </c>
      <c r="AB1496" s="3" t="b">
        <f>IFERROR(match(C1496,'Match Day Fees'!$B$2:$B$999,0),0)=0</f>
        <v>0</v>
      </c>
      <c r="AC1496" s="3">
        <f t="shared" si="2"/>
        <v>0</v>
      </c>
      <c r="AD1496" s="3" t="str">
        <f>VLOOKUP(D1496,'Position Lookup'!A:B,2,FALSE)</f>
        <v>MID</v>
      </c>
    </row>
    <row r="1497" ht="17.25" customHeight="1">
      <c r="A1497" s="32">
        <v>45304.0</v>
      </c>
      <c r="B1497" s="5" t="s">
        <v>309</v>
      </c>
      <c r="C1497" s="5" t="s">
        <v>143</v>
      </c>
      <c r="D1497" s="5" t="s">
        <v>24</v>
      </c>
      <c r="E1497" s="5">
        <v>6.0</v>
      </c>
      <c r="F1497" s="5" t="s">
        <v>1453</v>
      </c>
      <c r="G1497" s="5" t="s">
        <v>224</v>
      </c>
      <c r="H1497" s="5">
        <v>2.0</v>
      </c>
      <c r="J1497" s="5">
        <v>0.0</v>
      </c>
      <c r="N1497" s="5" t="b">
        <v>1</v>
      </c>
      <c r="R1497" s="5">
        <v>0.0</v>
      </c>
      <c r="T1497" s="5">
        <v>10.0</v>
      </c>
      <c r="U1497" s="3">
        <v>8.0</v>
      </c>
      <c r="V1497" s="3" t="s">
        <v>1573</v>
      </c>
      <c r="W1497" s="3" t="s">
        <v>1375</v>
      </c>
      <c r="X1497" s="77" t="s">
        <v>1565</v>
      </c>
      <c r="Y1497" s="5">
        <v>2.0</v>
      </c>
      <c r="Z1497" s="5">
        <v>0.0</v>
      </c>
      <c r="AA1497" s="3">
        <f>2+ (P1497*'Scoring System'!$B$3)+ (IF(OR(AD1497="DEF",AD1497="GK"),N1497*'Scoring System'!$B$4,IF(AD1497="MID",N1497*'Scoring System'!$B$5,0)))+ (IF(OR(AD1497="DEF",AD1497="GK"),H1497*'Scoring System'!$B$6,IF(AD1497="MID",H1497*'Scoring System'!$B$7,IF(AD1497="ATT",H1497*'Scoring System'!$B$8,0))))+ IF(AND(OR(AD1497="GK",AD1497="DEF"),J1497&gt;=3),1*'Scoring System'!$B$9,0)+ (I1497*'Scoring System'!$B$10)+ (K1497*'Scoring System'!$B$11)+ (M1497*'Scoring System'!$B$12)+ (L1497*'Scoring System'!$B$13)+ (O1497*'Scoring System'!$B$14)+ (Q1497*'Scoring System'!$B$15)+ (R1497*'Scoring System'!$B$16)</f>
        <v>10</v>
      </c>
      <c r="AB1497" s="3" t="b">
        <f>IFERROR(match(C1497,'Match Day Fees'!$B$2:$B$999,0),0)=0</f>
        <v>0</v>
      </c>
      <c r="AC1497" s="3">
        <f t="shared" si="2"/>
        <v>0</v>
      </c>
      <c r="AD1497" s="3" t="str">
        <f>VLOOKUP(D1497,'Position Lookup'!A:B,2,FALSE)</f>
        <v>ATT</v>
      </c>
    </row>
    <row r="1498" ht="17.25" customHeight="1">
      <c r="A1498" s="32">
        <v>45304.0</v>
      </c>
      <c r="B1498" s="5" t="s">
        <v>309</v>
      </c>
      <c r="C1498" s="5" t="s">
        <v>808</v>
      </c>
      <c r="D1498" s="5" t="s">
        <v>22</v>
      </c>
      <c r="E1498" s="5">
        <v>6.0</v>
      </c>
      <c r="F1498" s="5" t="s">
        <v>1453</v>
      </c>
      <c r="G1498" s="5" t="s">
        <v>224</v>
      </c>
      <c r="J1498" s="5">
        <v>0.0</v>
      </c>
      <c r="N1498" s="5" t="b">
        <v>1</v>
      </c>
      <c r="R1498" s="5">
        <v>0.0</v>
      </c>
      <c r="T1498" s="5">
        <v>5.0</v>
      </c>
      <c r="U1498" s="3">
        <v>6.0</v>
      </c>
      <c r="V1498" s="3" t="s">
        <v>1574</v>
      </c>
      <c r="W1498" s="3" t="s">
        <v>1375</v>
      </c>
      <c r="X1498" s="77" t="s">
        <v>1565</v>
      </c>
      <c r="Y1498" s="5">
        <v>2.0</v>
      </c>
      <c r="Z1498" s="5">
        <v>0.0</v>
      </c>
      <c r="AA1498" s="3">
        <f>2+ (P1498*'Scoring System'!$B$3)+ (IF(OR(AD1498="DEF",AD1498="GK"),N1498*'Scoring System'!$B$4,IF(AD1498="MID",N1498*'Scoring System'!$B$5,0)))+ (IF(OR(AD1498="DEF",AD1498="GK"),H1498*'Scoring System'!$B$6,IF(AD1498="MID",H1498*'Scoring System'!$B$7,IF(AD1498="ATT",H1498*'Scoring System'!$B$8,0))))+ IF(AND(OR(AD1498="GK",AD1498="DEF"),J1498&gt;=3),1*'Scoring System'!$B$9,0)+ (I1498*'Scoring System'!$B$10)+ (K1498*'Scoring System'!$B$11)+ (M1498*'Scoring System'!$B$12)+ (L1498*'Scoring System'!$B$13)+ (O1498*'Scoring System'!$B$14)+ (Q1498*'Scoring System'!$B$15)+ (R1498*'Scoring System'!$B$16)</f>
        <v>2</v>
      </c>
      <c r="AB1498" s="3" t="b">
        <f>IFERROR(match(C1498,'Match Day Fees'!$B$2:$B$999,0),0)=0</f>
        <v>0</v>
      </c>
      <c r="AC1498" s="3">
        <f t="shared" si="2"/>
        <v>0</v>
      </c>
      <c r="AD1498" s="3" t="str">
        <f>VLOOKUP(D1498,'Position Lookup'!A:B,2,FALSE)</f>
        <v>ATT</v>
      </c>
    </row>
    <row r="1499" ht="17.25" customHeight="1">
      <c r="A1499" s="32">
        <v>45304.0</v>
      </c>
      <c r="B1499" s="5" t="s">
        <v>309</v>
      </c>
      <c r="C1499" s="5" t="s">
        <v>122</v>
      </c>
      <c r="D1499" s="5" t="s">
        <v>19</v>
      </c>
      <c r="E1499" s="5">
        <v>6.0</v>
      </c>
      <c r="F1499" s="5" t="s">
        <v>1453</v>
      </c>
      <c r="G1499" s="5" t="s">
        <v>224</v>
      </c>
      <c r="J1499" s="5">
        <v>0.0</v>
      </c>
      <c r="N1499" s="5" t="b">
        <v>1</v>
      </c>
      <c r="R1499" s="5">
        <v>0.0</v>
      </c>
      <c r="T1499" s="5">
        <v>5.0</v>
      </c>
      <c r="U1499" s="3">
        <v>7.5</v>
      </c>
      <c r="V1499" s="3" t="s">
        <v>1575</v>
      </c>
      <c r="W1499" s="3" t="s">
        <v>1375</v>
      </c>
      <c r="X1499" s="77" t="s">
        <v>1565</v>
      </c>
      <c r="Y1499" s="5">
        <v>2.0</v>
      </c>
      <c r="Z1499" s="5">
        <v>0.0</v>
      </c>
      <c r="AA1499" s="3">
        <f>2+ (P1499*'Scoring System'!$B$3)+ (IF(OR(AD1499="DEF",AD1499="GK"),N1499*'Scoring System'!$B$4,IF(AD1499="MID",N1499*'Scoring System'!$B$5,0)))+ (IF(OR(AD1499="DEF",AD1499="GK"),H1499*'Scoring System'!$B$6,IF(AD1499="MID",H1499*'Scoring System'!$B$7,IF(AD1499="ATT",H1499*'Scoring System'!$B$8,0))))+ IF(AND(OR(AD1499="GK",AD1499="DEF"),J1499&gt;=3),1*'Scoring System'!$B$9,0)+ (I1499*'Scoring System'!$B$10)+ (K1499*'Scoring System'!$B$11)+ (M1499*'Scoring System'!$B$12)+ (L1499*'Scoring System'!$B$13)+ (O1499*'Scoring System'!$B$14)+ (Q1499*'Scoring System'!$B$15)+ (R1499*'Scoring System'!$B$16)</f>
        <v>4</v>
      </c>
      <c r="AB1499" s="3" t="b">
        <f>IFERROR(match(C1499,'Match Day Fees'!$B$2:$B$999,0),0)=0</f>
        <v>0</v>
      </c>
      <c r="AC1499" s="3">
        <f t="shared" si="2"/>
        <v>0</v>
      </c>
      <c r="AD1499" s="3" t="str">
        <f>VLOOKUP(D1499,'Position Lookup'!A:B,2,FALSE)</f>
        <v>MID</v>
      </c>
    </row>
    <row r="1500" ht="17.25" customHeight="1">
      <c r="A1500" s="32">
        <v>45304.0</v>
      </c>
      <c r="B1500" s="5" t="s">
        <v>309</v>
      </c>
      <c r="C1500" s="5" t="s">
        <v>272</v>
      </c>
      <c r="D1500" s="5" t="s">
        <v>20</v>
      </c>
      <c r="E1500" s="5">
        <v>6.0</v>
      </c>
      <c r="F1500" s="5" t="s">
        <v>1453</v>
      </c>
      <c r="G1500" s="5" t="s">
        <v>224</v>
      </c>
      <c r="I1500" s="5">
        <v>1.0</v>
      </c>
      <c r="J1500" s="5">
        <v>0.0</v>
      </c>
      <c r="N1500" s="5" t="b">
        <v>1</v>
      </c>
      <c r="R1500" s="5">
        <v>0.0</v>
      </c>
      <c r="T1500" s="5">
        <v>10.0</v>
      </c>
      <c r="U1500" s="3">
        <v>8.0</v>
      </c>
      <c r="V1500" s="3" t="s">
        <v>1576</v>
      </c>
      <c r="W1500" s="3" t="s">
        <v>1375</v>
      </c>
      <c r="X1500" s="77" t="s">
        <v>1565</v>
      </c>
      <c r="Y1500" s="5">
        <v>2.0</v>
      </c>
      <c r="Z1500" s="5">
        <v>0.0</v>
      </c>
      <c r="AA1500" s="3">
        <f>2+ (P1500*'Scoring System'!$B$3)+ (IF(OR(AD1500="DEF",AD1500="GK"),N1500*'Scoring System'!$B$4,IF(AD1500="MID",N1500*'Scoring System'!$B$5,0)))+ (IF(OR(AD1500="DEF",AD1500="GK"),H1500*'Scoring System'!$B$6,IF(AD1500="MID",H1500*'Scoring System'!$B$7,IF(AD1500="ATT",H1500*'Scoring System'!$B$8,0))))+ IF(AND(OR(AD1500="GK",AD1500="DEF"),J1500&gt;=3),1*'Scoring System'!$B$9,0)+ (I1500*'Scoring System'!$B$10)+ (K1500*'Scoring System'!$B$11)+ (M1500*'Scoring System'!$B$12)+ (L1500*'Scoring System'!$B$13)+ (O1500*'Scoring System'!$B$14)+ (Q1500*'Scoring System'!$B$15)+ (R1500*'Scoring System'!$B$16)</f>
        <v>7</v>
      </c>
      <c r="AB1500" s="3" t="b">
        <f>IFERROR(match(C1500,'Match Day Fees'!$B$2:$B$999,0),0)=0</f>
        <v>0</v>
      </c>
      <c r="AC1500" s="3">
        <f t="shared" si="2"/>
        <v>0</v>
      </c>
      <c r="AD1500" s="3" t="str">
        <f>VLOOKUP(D1500,'Position Lookup'!A:B,2,FALSE)</f>
        <v>MID</v>
      </c>
    </row>
    <row r="1501" ht="17.25" customHeight="1">
      <c r="A1501" s="32">
        <v>45304.0</v>
      </c>
      <c r="B1501" s="5" t="s">
        <v>309</v>
      </c>
      <c r="C1501" s="5" t="s">
        <v>588</v>
      </c>
      <c r="D1501" s="5" t="s">
        <v>14</v>
      </c>
      <c r="E1501" s="5">
        <v>6.0</v>
      </c>
      <c r="F1501" s="5" t="s">
        <v>1453</v>
      </c>
      <c r="G1501" s="5" t="s">
        <v>224</v>
      </c>
      <c r="J1501" s="5">
        <v>0.0</v>
      </c>
      <c r="N1501" s="5" t="b">
        <v>1</v>
      </c>
      <c r="R1501" s="5">
        <v>0.0</v>
      </c>
      <c r="T1501" s="5">
        <v>5.0</v>
      </c>
      <c r="U1501" s="3">
        <v>7.0</v>
      </c>
      <c r="V1501" s="3" t="s">
        <v>1577</v>
      </c>
      <c r="W1501" s="3" t="s">
        <v>1375</v>
      </c>
      <c r="X1501" s="77" t="s">
        <v>1565</v>
      </c>
      <c r="Y1501" s="5">
        <v>2.0</v>
      </c>
      <c r="Z1501" s="5">
        <v>0.0</v>
      </c>
      <c r="AA1501" s="3">
        <f>2+ (P1501*'Scoring System'!$B$3)+ (IF(OR(AD1501="DEF",AD1501="GK"),N1501*'Scoring System'!$B$4,IF(AD1501="MID",N1501*'Scoring System'!$B$5,0)))+ (IF(OR(AD1501="DEF",AD1501="GK"),H1501*'Scoring System'!$B$6,IF(AD1501="MID",H1501*'Scoring System'!$B$7,IF(AD1501="ATT",H1501*'Scoring System'!$B$8,0))))+ IF(AND(OR(AD1501="GK",AD1501="DEF"),J1501&gt;=3),1*'Scoring System'!$B$9,0)+ (I1501*'Scoring System'!$B$10)+ (K1501*'Scoring System'!$B$11)+ (M1501*'Scoring System'!$B$12)+ (L1501*'Scoring System'!$B$13)+ (O1501*'Scoring System'!$B$14)+ (Q1501*'Scoring System'!$B$15)+ (R1501*'Scoring System'!$B$16)</f>
        <v>8</v>
      </c>
      <c r="AB1501" s="3" t="b">
        <f>IFERROR(match(C1501,'Match Day Fees'!$B$2:$B$999,0),0)=0</f>
        <v>0</v>
      </c>
      <c r="AC1501" s="3">
        <f t="shared" si="2"/>
        <v>0</v>
      </c>
      <c r="AD1501" s="3" t="str">
        <f>VLOOKUP(D1501,'Position Lookup'!A:B,2,FALSE)</f>
        <v>DEF</v>
      </c>
    </row>
    <row r="1502" ht="17.25" customHeight="1">
      <c r="A1502" s="32">
        <v>45304.0</v>
      </c>
      <c r="B1502" s="5" t="s">
        <v>309</v>
      </c>
      <c r="C1502" s="5" t="s">
        <v>148</v>
      </c>
      <c r="D1502" s="5" t="s">
        <v>23</v>
      </c>
      <c r="E1502" s="5">
        <v>6.0</v>
      </c>
      <c r="F1502" s="5" t="s">
        <v>1453</v>
      </c>
      <c r="G1502" s="5" t="s">
        <v>224</v>
      </c>
      <c r="J1502" s="5">
        <v>0.0</v>
      </c>
      <c r="N1502" s="5" t="b">
        <v>1</v>
      </c>
      <c r="R1502" s="5">
        <v>0.0</v>
      </c>
      <c r="T1502" s="5">
        <v>10.0</v>
      </c>
      <c r="U1502" s="3">
        <v>7.5</v>
      </c>
      <c r="V1502" s="3" t="s">
        <v>1578</v>
      </c>
      <c r="W1502" s="3" t="s">
        <v>1375</v>
      </c>
      <c r="X1502" s="77" t="s">
        <v>1565</v>
      </c>
      <c r="Y1502" s="5">
        <v>2.0</v>
      </c>
      <c r="Z1502" s="5">
        <v>0.0</v>
      </c>
      <c r="AA1502" s="3">
        <f>2+ (P1502*'Scoring System'!$B$3)+ (IF(OR(AD1502="DEF",AD1502="GK"),N1502*'Scoring System'!$B$4,IF(AD1502="MID",N1502*'Scoring System'!$B$5,0)))+ (IF(OR(AD1502="DEF",AD1502="GK"),H1502*'Scoring System'!$B$6,IF(AD1502="MID",H1502*'Scoring System'!$B$7,IF(AD1502="ATT",H1502*'Scoring System'!$B$8,0))))+ IF(AND(OR(AD1502="GK",AD1502="DEF"),J1502&gt;=3),1*'Scoring System'!$B$9,0)+ (I1502*'Scoring System'!$B$10)+ (K1502*'Scoring System'!$B$11)+ (M1502*'Scoring System'!$B$12)+ (L1502*'Scoring System'!$B$13)+ (O1502*'Scoring System'!$B$14)+ (Q1502*'Scoring System'!$B$15)+ (R1502*'Scoring System'!$B$16)</f>
        <v>2</v>
      </c>
      <c r="AB1502" s="3" t="b">
        <f>IFERROR(match(C1502,'Match Day Fees'!$B$2:$B$999,0),0)=0</f>
        <v>0</v>
      </c>
      <c r="AC1502" s="3">
        <f t="shared" si="2"/>
        <v>0</v>
      </c>
      <c r="AD1502" s="3" t="str">
        <f>VLOOKUP(D1502,'Position Lookup'!A:B,2,FALSE)</f>
        <v>ATT</v>
      </c>
    </row>
    <row r="1503" ht="17.25" customHeight="1">
      <c r="A1503" s="32">
        <v>45311.0</v>
      </c>
      <c r="B1503" s="5" t="s">
        <v>309</v>
      </c>
      <c r="C1503" s="3" t="s">
        <v>53</v>
      </c>
      <c r="D1503" s="3" t="s">
        <v>8</v>
      </c>
      <c r="E1503" s="5">
        <v>1.0</v>
      </c>
      <c r="F1503" s="3" t="s">
        <v>1579</v>
      </c>
      <c r="G1503" s="3" t="s">
        <v>242</v>
      </c>
      <c r="J1503" s="5">
        <v>1.0</v>
      </c>
      <c r="N1503" s="3" t="b">
        <v>0</v>
      </c>
      <c r="R1503" s="3">
        <v>0.0</v>
      </c>
      <c r="T1503" s="3">
        <v>10.0</v>
      </c>
      <c r="U1503" s="3">
        <v>8.0</v>
      </c>
      <c r="V1503" s="3" t="s">
        <v>1580</v>
      </c>
      <c r="W1503" s="3" t="s">
        <v>311</v>
      </c>
      <c r="X1503" s="77" t="s">
        <v>1581</v>
      </c>
      <c r="Y1503" s="3">
        <v>1.0</v>
      </c>
      <c r="Z1503" s="3">
        <v>1.0</v>
      </c>
      <c r="AA1503" s="3">
        <f>2+ (P1503*'Scoring System'!$B$3)+ (IF(OR(AD1503="DEF",AD1503="GK"),N1503*'Scoring System'!$B$4,IF(AD1503="MID",N1503*'Scoring System'!$B$5,0)))+ (IF(OR(AD1503="DEF",AD1503="GK"),H1503*'Scoring System'!$B$6,IF(AD1503="MID",H1503*'Scoring System'!$B$7,IF(AD1503="ATT",H1503*'Scoring System'!$B$8,0))))+ IF(AND(OR(AD1503="GK",AD1503="DEF"),J1503&gt;=3),1*'Scoring System'!$B$9,0)+ (I1503*'Scoring System'!$B$10)+ (K1503*'Scoring System'!$B$11)+ (M1503*'Scoring System'!$B$12)+ (L1503*'Scoring System'!$B$13)+ (O1503*'Scoring System'!$B$14)+ (Q1503*'Scoring System'!$B$15)+ (R1503*'Scoring System'!$B$16)</f>
        <v>2</v>
      </c>
      <c r="AB1503" s="3" t="b">
        <f>IFERROR(match(C1503,'Match Day Fees'!$B$2:$B$999,0),0)=0</f>
        <v>0</v>
      </c>
      <c r="AC1503" s="3">
        <f t="shared" si="2"/>
        <v>0</v>
      </c>
      <c r="AD1503" s="3" t="str">
        <f>VLOOKUP(D1503,'Position Lookup'!A:B,2,FALSE)</f>
        <v>GK</v>
      </c>
    </row>
    <row r="1504" ht="17.25" customHeight="1">
      <c r="A1504" s="32">
        <v>45311.0</v>
      </c>
      <c r="B1504" s="5" t="s">
        <v>309</v>
      </c>
      <c r="C1504" s="3" t="s">
        <v>68</v>
      </c>
      <c r="D1504" s="3" t="s">
        <v>15</v>
      </c>
      <c r="E1504" s="5">
        <v>1.0</v>
      </c>
      <c r="F1504" s="3" t="s">
        <v>1579</v>
      </c>
      <c r="G1504" s="3" t="s">
        <v>242</v>
      </c>
      <c r="J1504" s="5">
        <v>1.0</v>
      </c>
      <c r="N1504" s="3" t="b">
        <v>0</v>
      </c>
      <c r="R1504" s="3">
        <v>0.0</v>
      </c>
      <c r="T1504" s="3">
        <v>10.0</v>
      </c>
      <c r="U1504" s="3">
        <v>7.0</v>
      </c>
      <c r="V1504" s="3" t="s">
        <v>1582</v>
      </c>
      <c r="W1504" s="3" t="s">
        <v>311</v>
      </c>
      <c r="X1504" s="77" t="s">
        <v>1581</v>
      </c>
      <c r="Y1504" s="3">
        <v>1.0</v>
      </c>
      <c r="Z1504" s="3">
        <v>1.0</v>
      </c>
      <c r="AA1504" s="3">
        <f>2+ (P1504*'Scoring System'!$B$3)+ (IF(OR(AD1504="DEF",AD1504="GK"),N1504*'Scoring System'!$B$4,IF(AD1504="MID",N1504*'Scoring System'!$B$5,0)))+ (IF(OR(AD1504="DEF",AD1504="GK"),H1504*'Scoring System'!$B$6,IF(AD1504="MID",H1504*'Scoring System'!$B$7,IF(AD1504="ATT",H1504*'Scoring System'!$B$8,0))))+ IF(AND(OR(AD1504="GK",AD1504="DEF"),J1504&gt;=3),1*'Scoring System'!$B$9,0)+ (I1504*'Scoring System'!$B$10)+ (K1504*'Scoring System'!$B$11)+ (M1504*'Scoring System'!$B$12)+ (L1504*'Scoring System'!$B$13)+ (O1504*'Scoring System'!$B$14)+ (Q1504*'Scoring System'!$B$15)+ (R1504*'Scoring System'!$B$16)</f>
        <v>2</v>
      </c>
      <c r="AB1504" s="3" t="b">
        <f>IFERROR(match(C1504,'Match Day Fees'!$B$2:$B$999,0),0)=0</f>
        <v>0</v>
      </c>
      <c r="AC1504" s="3">
        <f t="shared" si="2"/>
        <v>0</v>
      </c>
      <c r="AD1504" s="3" t="str">
        <f>VLOOKUP(D1504,'Position Lookup'!A:B,2,FALSE)</f>
        <v>DEF</v>
      </c>
    </row>
    <row r="1505" ht="17.25" customHeight="1">
      <c r="A1505" s="32">
        <v>45311.0</v>
      </c>
      <c r="B1505" s="5" t="s">
        <v>309</v>
      </c>
      <c r="C1505" s="3" t="s">
        <v>69</v>
      </c>
      <c r="D1505" s="3" t="s">
        <v>14</v>
      </c>
      <c r="E1505" s="5">
        <v>1.0</v>
      </c>
      <c r="F1505" s="3" t="s">
        <v>1579</v>
      </c>
      <c r="G1505" s="3" t="s">
        <v>242</v>
      </c>
      <c r="J1505" s="5">
        <v>1.0</v>
      </c>
      <c r="N1505" s="3" t="b">
        <v>0</v>
      </c>
      <c r="R1505" s="3">
        <v>1.0</v>
      </c>
      <c r="T1505" s="3">
        <v>10.0</v>
      </c>
      <c r="U1505" s="3">
        <v>9.0</v>
      </c>
      <c r="V1505" s="3" t="s">
        <v>1583</v>
      </c>
      <c r="W1505" s="3" t="s">
        <v>311</v>
      </c>
      <c r="X1505" s="77" t="s">
        <v>1581</v>
      </c>
      <c r="Y1505" s="3">
        <v>1.0</v>
      </c>
      <c r="Z1505" s="3">
        <v>1.0</v>
      </c>
      <c r="AA1505" s="3">
        <f>2+ (P1505*'Scoring System'!$B$3)+ (IF(OR(AD1505="DEF",AD1505="GK"),N1505*'Scoring System'!$B$4,IF(AD1505="MID",N1505*'Scoring System'!$B$5,0)))+ (IF(OR(AD1505="DEF",AD1505="GK"),H1505*'Scoring System'!$B$6,IF(AD1505="MID",H1505*'Scoring System'!$B$7,IF(AD1505="ATT",H1505*'Scoring System'!$B$8,0))))+ IF(AND(OR(AD1505="GK",AD1505="DEF"),J1505&gt;=3),1*'Scoring System'!$B$9,0)+ (I1505*'Scoring System'!$B$10)+ (K1505*'Scoring System'!$B$11)+ (M1505*'Scoring System'!$B$12)+ (L1505*'Scoring System'!$B$13)+ (O1505*'Scoring System'!$B$14)+ (Q1505*'Scoring System'!$B$15)+ (R1505*'Scoring System'!$B$16)</f>
        <v>7</v>
      </c>
      <c r="AB1505" s="3" t="b">
        <f>IFERROR(match(C1505,'Match Day Fees'!$B$2:$B$999,0),0)=0</f>
        <v>0</v>
      </c>
      <c r="AC1505" s="3">
        <f t="shared" si="2"/>
        <v>0</v>
      </c>
      <c r="AD1505" s="3" t="str">
        <f>VLOOKUP(D1505,'Position Lookup'!A:B,2,FALSE)</f>
        <v>DEF</v>
      </c>
    </row>
    <row r="1506" ht="17.25" customHeight="1">
      <c r="A1506" s="32">
        <v>45311.0</v>
      </c>
      <c r="B1506" s="5" t="s">
        <v>309</v>
      </c>
      <c r="C1506" s="3" t="s">
        <v>76</v>
      </c>
      <c r="D1506" s="3" t="s">
        <v>13</v>
      </c>
      <c r="E1506" s="5">
        <v>1.0</v>
      </c>
      <c r="F1506" s="3" t="s">
        <v>1579</v>
      </c>
      <c r="G1506" s="3" t="s">
        <v>242</v>
      </c>
      <c r="J1506" s="5">
        <v>1.0</v>
      </c>
      <c r="N1506" s="3" t="b">
        <v>0</v>
      </c>
      <c r="R1506" s="3">
        <v>0.0</v>
      </c>
      <c r="T1506" s="3">
        <v>10.0</v>
      </c>
      <c r="U1506" s="3">
        <v>8.5</v>
      </c>
      <c r="V1506" s="3" t="s">
        <v>1584</v>
      </c>
      <c r="W1506" s="3" t="s">
        <v>311</v>
      </c>
      <c r="X1506" s="77" t="s">
        <v>1581</v>
      </c>
      <c r="Y1506" s="3">
        <v>1.0</v>
      </c>
      <c r="Z1506" s="3">
        <v>1.0</v>
      </c>
      <c r="AA1506" s="3">
        <f>2+ (P1506*'Scoring System'!$B$3)+ (IF(OR(AD1506="DEF",AD1506="GK"),N1506*'Scoring System'!$B$4,IF(AD1506="MID",N1506*'Scoring System'!$B$5,0)))+ (IF(OR(AD1506="DEF",AD1506="GK"),H1506*'Scoring System'!$B$6,IF(AD1506="MID",H1506*'Scoring System'!$B$7,IF(AD1506="ATT",H1506*'Scoring System'!$B$8,0))))+ IF(AND(OR(AD1506="GK",AD1506="DEF"),J1506&gt;=3),1*'Scoring System'!$B$9,0)+ (I1506*'Scoring System'!$B$10)+ (K1506*'Scoring System'!$B$11)+ (M1506*'Scoring System'!$B$12)+ (L1506*'Scoring System'!$B$13)+ (O1506*'Scoring System'!$B$14)+ (Q1506*'Scoring System'!$B$15)+ (R1506*'Scoring System'!$B$16)</f>
        <v>2</v>
      </c>
      <c r="AB1506" s="3" t="b">
        <f>IFERROR(match(C1506,'Match Day Fees'!$B$2:$B$999,0),0)=0</f>
        <v>0</v>
      </c>
      <c r="AC1506" s="3">
        <f t="shared" si="2"/>
        <v>0</v>
      </c>
      <c r="AD1506" s="3" t="str">
        <f>VLOOKUP(D1506,'Position Lookup'!A:B,2,FALSE)</f>
        <v>DEF</v>
      </c>
    </row>
    <row r="1507" ht="17.25" customHeight="1">
      <c r="A1507" s="32">
        <v>45311.0</v>
      </c>
      <c r="B1507" s="5" t="s">
        <v>309</v>
      </c>
      <c r="C1507" s="3" t="s">
        <v>107</v>
      </c>
      <c r="D1507" s="3" t="s">
        <v>17</v>
      </c>
      <c r="E1507" s="5">
        <v>1.0</v>
      </c>
      <c r="F1507" s="3" t="s">
        <v>1579</v>
      </c>
      <c r="G1507" s="3" t="s">
        <v>242</v>
      </c>
      <c r="J1507" s="5">
        <v>1.0</v>
      </c>
      <c r="N1507" s="3" t="b">
        <v>0</v>
      </c>
      <c r="R1507" s="3">
        <v>0.0</v>
      </c>
      <c r="T1507" s="3">
        <v>10.0</v>
      </c>
      <c r="U1507" s="3">
        <v>7.5</v>
      </c>
      <c r="V1507" s="3" t="s">
        <v>1585</v>
      </c>
      <c r="W1507" s="3" t="s">
        <v>311</v>
      </c>
      <c r="X1507" s="77" t="s">
        <v>1581</v>
      </c>
      <c r="Y1507" s="3">
        <v>1.0</v>
      </c>
      <c r="Z1507" s="3">
        <v>1.0</v>
      </c>
      <c r="AA1507" s="3">
        <f>2+ (P1507*'Scoring System'!$B$3)+ (IF(OR(AD1507="DEF",AD1507="GK"),N1507*'Scoring System'!$B$4,IF(AD1507="MID",N1507*'Scoring System'!$B$5,0)))+ (IF(OR(AD1507="DEF",AD1507="GK"),H1507*'Scoring System'!$B$6,IF(AD1507="MID",H1507*'Scoring System'!$B$7,IF(AD1507="ATT",H1507*'Scoring System'!$B$8,0))))+ IF(AND(OR(AD1507="GK",AD1507="DEF"),J1507&gt;=3),1*'Scoring System'!$B$9,0)+ (I1507*'Scoring System'!$B$10)+ (K1507*'Scoring System'!$B$11)+ (M1507*'Scoring System'!$B$12)+ (L1507*'Scoring System'!$B$13)+ (O1507*'Scoring System'!$B$14)+ (Q1507*'Scoring System'!$B$15)+ (R1507*'Scoring System'!$B$16)</f>
        <v>2</v>
      </c>
      <c r="AB1507" s="3" t="b">
        <f>IFERROR(match(C1507,'Match Day Fees'!$B$2:$B$999,0),0)=0</f>
        <v>0</v>
      </c>
      <c r="AC1507" s="3">
        <f t="shared" si="2"/>
        <v>0</v>
      </c>
      <c r="AD1507" s="3" t="str">
        <f>VLOOKUP(D1507,'Position Lookup'!A:B,2,FALSE)</f>
        <v>DEF</v>
      </c>
    </row>
    <row r="1508" ht="17.25" customHeight="1">
      <c r="A1508" s="32">
        <v>45311.0</v>
      </c>
      <c r="B1508" s="5" t="s">
        <v>309</v>
      </c>
      <c r="C1508" s="3" t="s">
        <v>57</v>
      </c>
      <c r="D1508" s="3" t="s">
        <v>18</v>
      </c>
      <c r="E1508" s="5">
        <v>1.0</v>
      </c>
      <c r="F1508" s="3" t="s">
        <v>1579</v>
      </c>
      <c r="G1508" s="3" t="s">
        <v>242</v>
      </c>
      <c r="I1508" s="3">
        <v>1.0</v>
      </c>
      <c r="J1508" s="5">
        <v>1.0</v>
      </c>
      <c r="N1508" s="3" t="b">
        <v>0</v>
      </c>
      <c r="R1508" s="3">
        <v>0.0</v>
      </c>
      <c r="T1508" s="3">
        <v>5.0</v>
      </c>
      <c r="U1508" s="3">
        <v>8.0</v>
      </c>
      <c r="V1508" s="3" t="s">
        <v>1586</v>
      </c>
      <c r="W1508" s="3" t="s">
        <v>311</v>
      </c>
      <c r="X1508" s="77" t="s">
        <v>1581</v>
      </c>
      <c r="Y1508" s="3">
        <v>1.0</v>
      </c>
      <c r="Z1508" s="3">
        <v>1.0</v>
      </c>
      <c r="AA1508" s="3">
        <f>2+ (P1508*'Scoring System'!$B$3)+ (IF(OR(AD1508="DEF",AD1508="GK"),N1508*'Scoring System'!$B$4,IF(AD1508="MID",N1508*'Scoring System'!$B$5,0)))+ (IF(OR(AD1508="DEF",AD1508="GK"),H1508*'Scoring System'!$B$6,IF(AD1508="MID",H1508*'Scoring System'!$B$7,IF(AD1508="ATT",H1508*'Scoring System'!$B$8,0))))+ IF(AND(OR(AD1508="GK",AD1508="DEF"),J1508&gt;=3),1*'Scoring System'!$B$9,0)+ (I1508*'Scoring System'!$B$10)+ (K1508*'Scoring System'!$B$11)+ (M1508*'Scoring System'!$B$12)+ (L1508*'Scoring System'!$B$13)+ (O1508*'Scoring System'!$B$14)+ (Q1508*'Scoring System'!$B$15)+ (R1508*'Scoring System'!$B$16)</f>
        <v>5</v>
      </c>
      <c r="AB1508" s="3" t="b">
        <f>IFERROR(match(C1508,'Match Day Fees'!$B$2:$B$999,0),0)=0</f>
        <v>0</v>
      </c>
      <c r="AC1508" s="3">
        <f t="shared" si="2"/>
        <v>0</v>
      </c>
      <c r="AD1508" s="3" t="str">
        <f>VLOOKUP(D1508,'Position Lookup'!A:B,2,FALSE)</f>
        <v>DEF</v>
      </c>
    </row>
    <row r="1509" ht="17.25" customHeight="1">
      <c r="A1509" s="32">
        <v>45311.0</v>
      </c>
      <c r="B1509" s="5" t="s">
        <v>309</v>
      </c>
      <c r="C1509" s="3" t="s">
        <v>67</v>
      </c>
      <c r="D1509" s="3" t="s">
        <v>20</v>
      </c>
      <c r="E1509" s="5">
        <v>1.0</v>
      </c>
      <c r="F1509" s="3" t="s">
        <v>1579</v>
      </c>
      <c r="G1509" s="3" t="s">
        <v>242</v>
      </c>
      <c r="J1509" s="5">
        <v>1.0</v>
      </c>
      <c r="N1509" s="3" t="b">
        <v>0</v>
      </c>
      <c r="R1509" s="3">
        <v>0.0</v>
      </c>
      <c r="T1509" s="3">
        <v>10.0</v>
      </c>
      <c r="U1509" s="3">
        <v>7.5</v>
      </c>
      <c r="V1509" s="3" t="s">
        <v>1587</v>
      </c>
      <c r="W1509" s="3" t="s">
        <v>311</v>
      </c>
      <c r="X1509" s="77" t="s">
        <v>1581</v>
      </c>
      <c r="Y1509" s="3">
        <v>1.0</v>
      </c>
      <c r="Z1509" s="3">
        <v>1.0</v>
      </c>
      <c r="AA1509" s="3">
        <f>2+ (P1509*'Scoring System'!$B$3)+ (IF(OR(AD1509="DEF",AD1509="GK"),N1509*'Scoring System'!$B$4,IF(AD1509="MID",N1509*'Scoring System'!$B$5,0)))+ (IF(OR(AD1509="DEF",AD1509="GK"),H1509*'Scoring System'!$B$6,IF(AD1509="MID",H1509*'Scoring System'!$B$7,IF(AD1509="ATT",H1509*'Scoring System'!$B$8,0))))+ IF(AND(OR(AD1509="GK",AD1509="DEF"),J1509&gt;=3),1*'Scoring System'!$B$9,0)+ (I1509*'Scoring System'!$B$10)+ (K1509*'Scoring System'!$B$11)+ (M1509*'Scoring System'!$B$12)+ (L1509*'Scoring System'!$B$13)+ (O1509*'Scoring System'!$B$14)+ (Q1509*'Scoring System'!$B$15)+ (R1509*'Scoring System'!$B$16)</f>
        <v>2</v>
      </c>
      <c r="AB1509" s="3" t="b">
        <f>IFERROR(match(C1509,'Match Day Fees'!$B$2:$B$999,0),0)=0</f>
        <v>0</v>
      </c>
      <c r="AC1509" s="3">
        <f t="shared" si="2"/>
        <v>0</v>
      </c>
      <c r="AD1509" s="3" t="str">
        <f>VLOOKUP(D1509,'Position Lookup'!A:B,2,FALSE)</f>
        <v>MID</v>
      </c>
    </row>
    <row r="1510" ht="17.25" customHeight="1">
      <c r="A1510" s="32">
        <v>45311.0</v>
      </c>
      <c r="B1510" s="5" t="s">
        <v>309</v>
      </c>
      <c r="C1510" s="3" t="s">
        <v>60</v>
      </c>
      <c r="D1510" s="3" t="s">
        <v>21</v>
      </c>
      <c r="E1510" s="5">
        <v>1.0</v>
      </c>
      <c r="F1510" s="3" t="s">
        <v>1579</v>
      </c>
      <c r="G1510" s="3" t="s">
        <v>242</v>
      </c>
      <c r="J1510" s="5">
        <v>1.0</v>
      </c>
      <c r="N1510" s="3" t="b">
        <v>0</v>
      </c>
      <c r="R1510" s="3">
        <v>0.0</v>
      </c>
      <c r="S1510" s="3" t="b">
        <v>1</v>
      </c>
      <c r="T1510" s="3">
        <v>0.0</v>
      </c>
      <c r="U1510" s="3">
        <v>7.5</v>
      </c>
      <c r="V1510" s="3" t="s">
        <v>1588</v>
      </c>
      <c r="W1510" s="3" t="s">
        <v>311</v>
      </c>
      <c r="X1510" s="77" t="s">
        <v>1581</v>
      </c>
      <c r="Y1510" s="3">
        <v>1.0</v>
      </c>
      <c r="Z1510" s="3">
        <v>1.0</v>
      </c>
      <c r="AA1510" s="3">
        <f>2+ (P1510*'Scoring System'!$B$3)+ (IF(OR(AD1510="DEF",AD1510="GK"),N1510*'Scoring System'!$B$4,IF(AD1510="MID",N1510*'Scoring System'!$B$5,0)))+ (IF(OR(AD1510="DEF",AD1510="GK"),H1510*'Scoring System'!$B$6,IF(AD1510="MID",H1510*'Scoring System'!$B$7,IF(AD1510="ATT",H1510*'Scoring System'!$B$8,0))))+ IF(AND(OR(AD1510="GK",AD1510="DEF"),J1510&gt;=3),1*'Scoring System'!$B$9,0)+ (I1510*'Scoring System'!$B$10)+ (K1510*'Scoring System'!$B$11)+ (M1510*'Scoring System'!$B$12)+ (L1510*'Scoring System'!$B$13)+ (O1510*'Scoring System'!$B$14)+ (Q1510*'Scoring System'!$B$15)+ (R1510*'Scoring System'!$B$16)</f>
        <v>2</v>
      </c>
      <c r="AB1510" s="3" t="b">
        <f>IFERROR(match(C1510,'Match Day Fees'!$B$2:$B$999,0),0)=0</f>
        <v>0</v>
      </c>
      <c r="AC1510" s="3">
        <f t="shared" si="2"/>
        <v>0</v>
      </c>
      <c r="AD1510" s="3" t="str">
        <f>VLOOKUP(D1510,'Position Lookup'!A:B,2,FALSE)</f>
        <v>MID</v>
      </c>
    </row>
    <row r="1511" ht="17.25" customHeight="1">
      <c r="A1511" s="32">
        <v>45311.0</v>
      </c>
      <c r="B1511" s="5" t="s">
        <v>309</v>
      </c>
      <c r="C1511" s="3" t="s">
        <v>137</v>
      </c>
      <c r="D1511" s="3" t="s">
        <v>20</v>
      </c>
      <c r="E1511" s="5">
        <v>1.0</v>
      </c>
      <c r="F1511" s="3" t="s">
        <v>1579</v>
      </c>
      <c r="G1511" s="3" t="s">
        <v>242</v>
      </c>
      <c r="H1511" s="3">
        <v>1.0</v>
      </c>
      <c r="J1511" s="5">
        <v>1.0</v>
      </c>
      <c r="N1511" s="3" t="b">
        <v>0</v>
      </c>
      <c r="R1511" s="3">
        <v>0.0</v>
      </c>
      <c r="T1511" s="3">
        <v>7.0</v>
      </c>
      <c r="U1511" s="3">
        <v>8.0</v>
      </c>
      <c r="V1511" s="3" t="s">
        <v>1589</v>
      </c>
      <c r="W1511" s="3" t="s">
        <v>311</v>
      </c>
      <c r="X1511" s="77" t="s">
        <v>1581</v>
      </c>
      <c r="Y1511" s="3">
        <v>1.0</v>
      </c>
      <c r="Z1511" s="3">
        <v>1.0</v>
      </c>
      <c r="AA1511" s="3">
        <f>2+ (P1511*'Scoring System'!$B$3)+ (IF(OR(AD1511="DEF",AD1511="GK"),N1511*'Scoring System'!$B$4,IF(AD1511="MID",N1511*'Scoring System'!$B$5,0)))+ (IF(OR(AD1511="DEF",AD1511="GK"),H1511*'Scoring System'!$B$6,IF(AD1511="MID",H1511*'Scoring System'!$B$7,IF(AD1511="ATT",H1511*'Scoring System'!$B$8,0))))+ IF(AND(OR(AD1511="GK",AD1511="DEF"),J1511&gt;=3),1*'Scoring System'!$B$9,0)+ (I1511*'Scoring System'!$B$10)+ (K1511*'Scoring System'!$B$11)+ (M1511*'Scoring System'!$B$12)+ (L1511*'Scoring System'!$B$13)+ (O1511*'Scoring System'!$B$14)+ (Q1511*'Scoring System'!$B$15)+ (R1511*'Scoring System'!$B$16)</f>
        <v>7</v>
      </c>
      <c r="AB1511" s="3" t="b">
        <f>IFERROR(match(C1511,'Match Day Fees'!$B$2:$B$999,0),0)=0</f>
        <v>0</v>
      </c>
      <c r="AC1511" s="3">
        <f t="shared" si="2"/>
        <v>0</v>
      </c>
      <c r="AD1511" s="3" t="str">
        <f>VLOOKUP(D1511,'Position Lookup'!A:B,2,FALSE)</f>
        <v>MID</v>
      </c>
    </row>
    <row r="1512" ht="17.25" customHeight="1">
      <c r="A1512" s="32">
        <v>45311.0</v>
      </c>
      <c r="B1512" s="5" t="s">
        <v>309</v>
      </c>
      <c r="C1512" s="3" t="s">
        <v>47</v>
      </c>
      <c r="D1512" s="3" t="s">
        <v>24</v>
      </c>
      <c r="E1512" s="5">
        <v>1.0</v>
      </c>
      <c r="F1512" s="3" t="s">
        <v>1579</v>
      </c>
      <c r="G1512" s="3" t="s">
        <v>242</v>
      </c>
      <c r="J1512" s="5">
        <v>1.0</v>
      </c>
      <c r="N1512" s="3" t="b">
        <v>0</v>
      </c>
      <c r="R1512" s="3">
        <v>0.0</v>
      </c>
      <c r="T1512" s="3">
        <v>10.0</v>
      </c>
      <c r="U1512" s="3">
        <v>7.5</v>
      </c>
      <c r="V1512" s="3" t="s">
        <v>1590</v>
      </c>
      <c r="W1512" s="3" t="s">
        <v>311</v>
      </c>
      <c r="X1512" s="77" t="s">
        <v>1581</v>
      </c>
      <c r="Y1512" s="3">
        <v>1.0</v>
      </c>
      <c r="Z1512" s="3">
        <v>1.0</v>
      </c>
      <c r="AA1512" s="3">
        <f>2+ (P1512*'Scoring System'!$B$3)+ (IF(OR(AD1512="DEF",AD1512="GK"),N1512*'Scoring System'!$B$4,IF(AD1512="MID",N1512*'Scoring System'!$B$5,0)))+ (IF(OR(AD1512="DEF",AD1512="GK"),H1512*'Scoring System'!$B$6,IF(AD1512="MID",H1512*'Scoring System'!$B$7,IF(AD1512="ATT",H1512*'Scoring System'!$B$8,0))))+ IF(AND(OR(AD1512="GK",AD1512="DEF"),J1512&gt;=3),1*'Scoring System'!$B$9,0)+ (I1512*'Scoring System'!$B$10)+ (K1512*'Scoring System'!$B$11)+ (M1512*'Scoring System'!$B$12)+ (L1512*'Scoring System'!$B$13)+ (O1512*'Scoring System'!$B$14)+ (Q1512*'Scoring System'!$B$15)+ (R1512*'Scoring System'!$B$16)</f>
        <v>2</v>
      </c>
      <c r="AB1512" s="3" t="b">
        <f>IFERROR(match(C1512,'Match Day Fees'!$B$2:$B$999,0),0)=0</f>
        <v>0</v>
      </c>
      <c r="AC1512" s="3">
        <f t="shared" si="2"/>
        <v>0</v>
      </c>
      <c r="AD1512" s="3" t="str">
        <f>VLOOKUP(D1512,'Position Lookup'!A:B,2,FALSE)</f>
        <v>ATT</v>
      </c>
    </row>
    <row r="1513" ht="17.25" customHeight="1">
      <c r="A1513" s="32">
        <v>45311.0</v>
      </c>
      <c r="B1513" s="5" t="s">
        <v>309</v>
      </c>
      <c r="C1513" s="3" t="s">
        <v>62</v>
      </c>
      <c r="D1513" s="3" t="s">
        <v>24</v>
      </c>
      <c r="E1513" s="5">
        <v>1.0</v>
      </c>
      <c r="F1513" s="3" t="s">
        <v>1579</v>
      </c>
      <c r="G1513" s="3" t="s">
        <v>242</v>
      </c>
      <c r="J1513" s="5">
        <v>1.0</v>
      </c>
      <c r="N1513" s="3" t="b">
        <v>0</v>
      </c>
      <c r="R1513" s="3">
        <v>0.0</v>
      </c>
      <c r="T1513" s="3">
        <v>7.0</v>
      </c>
      <c r="U1513" s="3">
        <v>7.5</v>
      </c>
      <c r="V1513" s="3" t="s">
        <v>1591</v>
      </c>
      <c r="W1513" s="3" t="s">
        <v>311</v>
      </c>
      <c r="X1513" s="77" t="s">
        <v>1581</v>
      </c>
      <c r="Y1513" s="3">
        <v>1.0</v>
      </c>
      <c r="Z1513" s="3">
        <v>1.0</v>
      </c>
      <c r="AA1513" s="3">
        <f>2+ (P1513*'Scoring System'!$B$3)+ (IF(OR(AD1513="DEF",AD1513="GK"),N1513*'Scoring System'!$B$4,IF(AD1513="MID",N1513*'Scoring System'!$B$5,0)))+ (IF(OR(AD1513="DEF",AD1513="GK"),H1513*'Scoring System'!$B$6,IF(AD1513="MID",H1513*'Scoring System'!$B$7,IF(AD1513="ATT",H1513*'Scoring System'!$B$8,0))))+ IF(AND(OR(AD1513="GK",AD1513="DEF"),J1513&gt;=3),1*'Scoring System'!$B$9,0)+ (I1513*'Scoring System'!$B$10)+ (K1513*'Scoring System'!$B$11)+ (M1513*'Scoring System'!$B$12)+ (L1513*'Scoring System'!$B$13)+ (O1513*'Scoring System'!$B$14)+ (Q1513*'Scoring System'!$B$15)+ (R1513*'Scoring System'!$B$16)</f>
        <v>2</v>
      </c>
      <c r="AB1513" s="3" t="b">
        <f>IFERROR(match(C1513,'Match Day Fees'!$B$2:$B$999,0),0)=0</f>
        <v>0</v>
      </c>
      <c r="AC1513" s="3">
        <f t="shared" si="2"/>
        <v>0</v>
      </c>
      <c r="AD1513" s="3" t="str">
        <f>VLOOKUP(D1513,'Position Lookup'!A:B,2,FALSE)</f>
        <v>ATT</v>
      </c>
    </row>
    <row r="1514" ht="17.25" customHeight="1">
      <c r="A1514" s="32">
        <v>45311.0</v>
      </c>
      <c r="B1514" s="5" t="s">
        <v>309</v>
      </c>
      <c r="C1514" s="3" t="s">
        <v>96</v>
      </c>
      <c r="D1514" s="3" t="s">
        <v>24</v>
      </c>
      <c r="E1514" s="5">
        <v>1.0</v>
      </c>
      <c r="F1514" s="3" t="s">
        <v>1579</v>
      </c>
      <c r="G1514" s="3" t="s">
        <v>242</v>
      </c>
      <c r="J1514" s="5">
        <v>1.0</v>
      </c>
      <c r="N1514" s="3" t="b">
        <v>0</v>
      </c>
      <c r="R1514" s="3">
        <v>0.0</v>
      </c>
      <c r="T1514" s="3">
        <v>3.0</v>
      </c>
      <c r="U1514" s="3">
        <v>7.5</v>
      </c>
      <c r="V1514" s="3" t="s">
        <v>1592</v>
      </c>
      <c r="W1514" s="3" t="s">
        <v>311</v>
      </c>
      <c r="X1514" s="77" t="s">
        <v>1581</v>
      </c>
      <c r="Y1514" s="3">
        <v>1.0</v>
      </c>
      <c r="Z1514" s="3">
        <v>1.0</v>
      </c>
      <c r="AA1514" s="3">
        <f>2+ (P1514*'Scoring System'!$B$3)+ (IF(OR(AD1514="DEF",AD1514="GK"),N1514*'Scoring System'!$B$4,IF(AD1514="MID",N1514*'Scoring System'!$B$5,0)))+ (IF(OR(AD1514="DEF",AD1514="GK"),H1514*'Scoring System'!$B$6,IF(AD1514="MID",H1514*'Scoring System'!$B$7,IF(AD1514="ATT",H1514*'Scoring System'!$B$8,0))))+ IF(AND(OR(AD1514="GK",AD1514="DEF"),J1514&gt;=3),1*'Scoring System'!$B$9,0)+ (I1514*'Scoring System'!$B$10)+ (K1514*'Scoring System'!$B$11)+ (M1514*'Scoring System'!$B$12)+ (L1514*'Scoring System'!$B$13)+ (O1514*'Scoring System'!$B$14)+ (Q1514*'Scoring System'!$B$15)+ (R1514*'Scoring System'!$B$16)</f>
        <v>2</v>
      </c>
      <c r="AB1514" s="3" t="b">
        <f>IFERROR(match(C1514,'Match Day Fees'!$B$2:$B$999,0),0)=0</f>
        <v>0</v>
      </c>
      <c r="AC1514" s="3">
        <f t="shared" si="2"/>
        <v>0</v>
      </c>
      <c r="AD1514" s="3" t="str">
        <f>VLOOKUP(D1514,'Position Lookup'!A:B,2,FALSE)</f>
        <v>ATT</v>
      </c>
    </row>
    <row r="1515" ht="17.25" customHeight="1">
      <c r="A1515" s="32">
        <v>45311.0</v>
      </c>
      <c r="B1515" s="5" t="s">
        <v>309</v>
      </c>
      <c r="C1515" s="3" t="s">
        <v>110</v>
      </c>
      <c r="D1515" s="3" t="s">
        <v>24</v>
      </c>
      <c r="E1515" s="5">
        <v>1.0</v>
      </c>
      <c r="F1515" s="3" t="s">
        <v>1579</v>
      </c>
      <c r="G1515" s="3" t="s">
        <v>242</v>
      </c>
      <c r="J1515" s="5">
        <v>1.0</v>
      </c>
      <c r="N1515" s="3" t="b">
        <v>0</v>
      </c>
      <c r="R1515" s="3">
        <v>0.0</v>
      </c>
      <c r="T1515" s="3">
        <v>3.0</v>
      </c>
      <c r="U1515" s="3">
        <v>7.5</v>
      </c>
      <c r="V1515" s="3" t="s">
        <v>1593</v>
      </c>
      <c r="W1515" s="3" t="s">
        <v>311</v>
      </c>
      <c r="X1515" s="77" t="s">
        <v>1581</v>
      </c>
      <c r="Y1515" s="3">
        <v>1.0</v>
      </c>
      <c r="Z1515" s="3">
        <v>1.0</v>
      </c>
      <c r="AA1515" s="3">
        <f>2+ (P1515*'Scoring System'!$B$3)+ (IF(OR(AD1515="DEF",AD1515="GK"),N1515*'Scoring System'!$B$4,IF(AD1515="MID",N1515*'Scoring System'!$B$5,0)))+ (IF(OR(AD1515="DEF",AD1515="GK"),H1515*'Scoring System'!$B$6,IF(AD1515="MID",H1515*'Scoring System'!$B$7,IF(AD1515="ATT",H1515*'Scoring System'!$B$8,0))))+ IF(AND(OR(AD1515="GK",AD1515="DEF"),J1515&gt;=3),1*'Scoring System'!$B$9,0)+ (I1515*'Scoring System'!$B$10)+ (K1515*'Scoring System'!$B$11)+ (M1515*'Scoring System'!$B$12)+ (L1515*'Scoring System'!$B$13)+ (O1515*'Scoring System'!$B$14)+ (Q1515*'Scoring System'!$B$15)+ (R1515*'Scoring System'!$B$16)</f>
        <v>2</v>
      </c>
      <c r="AB1515" s="3" t="b">
        <f>IFERROR(match(C1515,'Match Day Fees'!$B$2:$B$999,0),0)=0</f>
        <v>0</v>
      </c>
      <c r="AC1515" s="3">
        <f t="shared" si="2"/>
        <v>0</v>
      </c>
      <c r="AD1515" s="3" t="str">
        <f>VLOOKUP(D1515,'Position Lookup'!A:B,2,FALSE)</f>
        <v>ATT</v>
      </c>
    </row>
    <row r="1516" ht="17.25" customHeight="1">
      <c r="A1516" s="32">
        <v>45311.0</v>
      </c>
      <c r="B1516" s="5" t="s">
        <v>309</v>
      </c>
      <c r="C1516" s="3" t="s">
        <v>93</v>
      </c>
      <c r="D1516" s="3" t="s">
        <v>20</v>
      </c>
      <c r="E1516" s="5">
        <v>1.0</v>
      </c>
      <c r="F1516" s="3" t="s">
        <v>1579</v>
      </c>
      <c r="G1516" s="3" t="s">
        <v>242</v>
      </c>
      <c r="J1516" s="5">
        <v>1.0</v>
      </c>
      <c r="N1516" s="3" t="b">
        <v>0</v>
      </c>
      <c r="R1516" s="3">
        <v>0.0</v>
      </c>
      <c r="T1516" s="3">
        <v>4.0</v>
      </c>
      <c r="U1516" s="3">
        <v>4.5</v>
      </c>
      <c r="V1516" s="3" t="s">
        <v>1594</v>
      </c>
      <c r="W1516" s="3" t="s">
        <v>311</v>
      </c>
      <c r="X1516" s="77" t="s">
        <v>1581</v>
      </c>
      <c r="Y1516" s="3">
        <v>1.0</v>
      </c>
      <c r="Z1516" s="3">
        <v>1.0</v>
      </c>
      <c r="AA1516" s="3">
        <f>2+ (P1516*'Scoring System'!$B$3)+ (IF(OR(AD1516="DEF",AD1516="GK"),N1516*'Scoring System'!$B$4,IF(AD1516="MID",N1516*'Scoring System'!$B$5,0)))+ (IF(OR(AD1516="DEF",AD1516="GK"),H1516*'Scoring System'!$B$6,IF(AD1516="MID",H1516*'Scoring System'!$B$7,IF(AD1516="ATT",H1516*'Scoring System'!$B$8,0))))+ IF(AND(OR(AD1516="GK",AD1516="DEF"),J1516&gt;=3),1*'Scoring System'!$B$9,0)+ (I1516*'Scoring System'!$B$10)+ (K1516*'Scoring System'!$B$11)+ (M1516*'Scoring System'!$B$12)+ (L1516*'Scoring System'!$B$13)+ (O1516*'Scoring System'!$B$14)+ (Q1516*'Scoring System'!$B$15)+ (R1516*'Scoring System'!$B$16)</f>
        <v>2</v>
      </c>
      <c r="AB1516" s="3" t="b">
        <f>IFERROR(match(C1516,'Match Day Fees'!$B$2:$B$999,0),0)=0</f>
        <v>0</v>
      </c>
      <c r="AC1516" s="3">
        <f t="shared" si="2"/>
        <v>0</v>
      </c>
      <c r="AD1516" s="3" t="str">
        <f>VLOOKUP(D1516,'Position Lookup'!A:B,2,FALSE)</f>
        <v>MID</v>
      </c>
    </row>
    <row r="1517" ht="17.25" customHeight="1">
      <c r="A1517" s="32">
        <v>45311.0</v>
      </c>
      <c r="B1517" s="5" t="s">
        <v>309</v>
      </c>
      <c r="C1517" s="3" t="s">
        <v>38</v>
      </c>
      <c r="D1517" s="3" t="s">
        <v>8</v>
      </c>
      <c r="E1517" s="5">
        <v>2.0</v>
      </c>
      <c r="F1517" s="3" t="s">
        <v>1595</v>
      </c>
      <c r="G1517" s="3" t="s">
        <v>230</v>
      </c>
      <c r="J1517" s="5">
        <v>3.0</v>
      </c>
      <c r="N1517" s="3" t="b">
        <v>0</v>
      </c>
      <c r="R1517" s="3">
        <v>0.0</v>
      </c>
      <c r="T1517" s="3">
        <v>10.0</v>
      </c>
      <c r="U1517" s="3">
        <v>6.5</v>
      </c>
      <c r="V1517" s="3" t="s">
        <v>1596</v>
      </c>
      <c r="W1517" s="3" t="s">
        <v>327</v>
      </c>
      <c r="X1517" s="77" t="s">
        <v>1597</v>
      </c>
      <c r="Y1517" s="3">
        <v>0.0</v>
      </c>
      <c r="Z1517" s="3">
        <v>3.0</v>
      </c>
      <c r="AA1517" s="3">
        <f>2+ (P1517*'Scoring System'!$B$3)+ (IF(OR(AD1517="DEF",AD1517="GK"),N1517*'Scoring System'!$B$4,IF(AD1517="MID",N1517*'Scoring System'!$B$5,0)))+ (IF(OR(AD1517="DEF",AD1517="GK"),H1517*'Scoring System'!$B$6,IF(AD1517="MID",H1517*'Scoring System'!$B$7,IF(AD1517="ATT",H1517*'Scoring System'!$B$8,0))))+ IF(AND(OR(AD1517="GK",AD1517="DEF"),J1517&gt;=3),1*'Scoring System'!$B$9,0)+ (I1517*'Scoring System'!$B$10)+ (K1517*'Scoring System'!$B$11)+ (M1517*'Scoring System'!$B$12)+ (L1517*'Scoring System'!$B$13)+ (O1517*'Scoring System'!$B$14)+ (Q1517*'Scoring System'!$B$15)+ (R1517*'Scoring System'!$B$16)</f>
        <v>1</v>
      </c>
      <c r="AB1517" s="3" t="b">
        <f>IFERROR(match(C1517,'Match Day Fees'!$B$2:$B$999,0),0)=0</f>
        <v>0</v>
      </c>
      <c r="AC1517" s="3">
        <f t="shared" si="2"/>
        <v>0</v>
      </c>
      <c r="AD1517" s="3" t="str">
        <f>VLOOKUP(D1517,'Position Lookup'!A:B,2,FALSE)</f>
        <v>GK</v>
      </c>
    </row>
    <row r="1518" ht="17.25" customHeight="1">
      <c r="A1518" s="32">
        <v>45311.0</v>
      </c>
      <c r="B1518" s="5" t="s">
        <v>309</v>
      </c>
      <c r="C1518" s="3" t="s">
        <v>56</v>
      </c>
      <c r="D1518" s="3" t="s">
        <v>16</v>
      </c>
      <c r="E1518" s="5">
        <v>2.0</v>
      </c>
      <c r="F1518" s="3" t="s">
        <v>1595</v>
      </c>
      <c r="G1518" s="3" t="s">
        <v>230</v>
      </c>
      <c r="J1518" s="5">
        <v>3.0</v>
      </c>
      <c r="N1518" s="3" t="b">
        <v>0</v>
      </c>
      <c r="R1518" s="3">
        <v>0.0</v>
      </c>
      <c r="T1518" s="3">
        <v>10.0</v>
      </c>
      <c r="U1518" s="3">
        <v>5.5</v>
      </c>
      <c r="V1518" s="3" t="s">
        <v>1598</v>
      </c>
      <c r="W1518" s="3" t="s">
        <v>327</v>
      </c>
      <c r="X1518" s="77" t="s">
        <v>1597</v>
      </c>
      <c r="Y1518" s="3">
        <v>0.0</v>
      </c>
      <c r="Z1518" s="3">
        <v>3.0</v>
      </c>
      <c r="AA1518" s="3">
        <f>2+ (P1518*'Scoring System'!$B$3)+ (IF(OR(AD1518="DEF",AD1518="GK"),N1518*'Scoring System'!$B$4,IF(AD1518="MID",N1518*'Scoring System'!$B$5,0)))+ (IF(OR(AD1518="DEF",AD1518="GK"),H1518*'Scoring System'!$B$6,IF(AD1518="MID",H1518*'Scoring System'!$B$7,IF(AD1518="ATT",H1518*'Scoring System'!$B$8,0))))+ IF(AND(OR(AD1518="GK",AD1518="DEF"),J1518&gt;=3),1*'Scoring System'!$B$9,0)+ (I1518*'Scoring System'!$B$10)+ (K1518*'Scoring System'!$B$11)+ (M1518*'Scoring System'!$B$12)+ (L1518*'Scoring System'!$B$13)+ (O1518*'Scoring System'!$B$14)+ (Q1518*'Scoring System'!$B$15)+ (R1518*'Scoring System'!$B$16)</f>
        <v>1</v>
      </c>
      <c r="AB1518" s="3" t="b">
        <f>IFERROR(match(C1518,'Match Day Fees'!$B$2:$B$999,0),0)=0</f>
        <v>0</v>
      </c>
      <c r="AC1518" s="3">
        <f t="shared" si="2"/>
        <v>0</v>
      </c>
      <c r="AD1518" s="3" t="str">
        <f>VLOOKUP(D1518,'Position Lookup'!A:B,2,FALSE)</f>
        <v>DEF</v>
      </c>
    </row>
    <row r="1519" ht="17.25" customHeight="1">
      <c r="A1519" s="32">
        <v>45311.0</v>
      </c>
      <c r="B1519" s="5" t="s">
        <v>309</v>
      </c>
      <c r="C1519" s="3" t="s">
        <v>40</v>
      </c>
      <c r="D1519" s="3" t="s">
        <v>14</v>
      </c>
      <c r="E1519" s="5">
        <v>2.0</v>
      </c>
      <c r="F1519" s="3" t="s">
        <v>1595</v>
      </c>
      <c r="G1519" s="3" t="s">
        <v>230</v>
      </c>
      <c r="J1519" s="5">
        <v>3.0</v>
      </c>
      <c r="N1519" s="3" t="b">
        <v>0</v>
      </c>
      <c r="R1519" s="3">
        <v>0.0</v>
      </c>
      <c r="T1519" s="3">
        <v>10.0</v>
      </c>
      <c r="U1519" s="3">
        <v>5.0</v>
      </c>
      <c r="V1519" s="3" t="s">
        <v>1599</v>
      </c>
      <c r="W1519" s="3" t="s">
        <v>327</v>
      </c>
      <c r="X1519" s="77" t="s">
        <v>1597</v>
      </c>
      <c r="Y1519" s="3">
        <v>0.0</v>
      </c>
      <c r="Z1519" s="3">
        <v>3.0</v>
      </c>
      <c r="AA1519" s="3">
        <f>2+ (P1519*'Scoring System'!$B$3)+ (IF(OR(AD1519="DEF",AD1519="GK"),N1519*'Scoring System'!$B$4,IF(AD1519="MID",N1519*'Scoring System'!$B$5,0)))+ (IF(OR(AD1519="DEF",AD1519="GK"),H1519*'Scoring System'!$B$6,IF(AD1519="MID",H1519*'Scoring System'!$B$7,IF(AD1519="ATT",H1519*'Scoring System'!$B$8,0))))+ IF(AND(OR(AD1519="GK",AD1519="DEF"),J1519&gt;=3),1*'Scoring System'!$B$9,0)+ (I1519*'Scoring System'!$B$10)+ (K1519*'Scoring System'!$B$11)+ (M1519*'Scoring System'!$B$12)+ (L1519*'Scoring System'!$B$13)+ (O1519*'Scoring System'!$B$14)+ (Q1519*'Scoring System'!$B$15)+ (R1519*'Scoring System'!$B$16)</f>
        <v>1</v>
      </c>
      <c r="AB1519" s="3" t="b">
        <f>IFERROR(match(C1519,'Match Day Fees'!$B$2:$B$999,0),0)=0</f>
        <v>0</v>
      </c>
      <c r="AC1519" s="3">
        <f t="shared" si="2"/>
        <v>0</v>
      </c>
      <c r="AD1519" s="3" t="str">
        <f>VLOOKUP(D1519,'Position Lookup'!A:B,2,FALSE)</f>
        <v>DEF</v>
      </c>
    </row>
    <row r="1520" ht="17.25" customHeight="1">
      <c r="A1520" s="32">
        <v>45311.0</v>
      </c>
      <c r="B1520" s="5" t="s">
        <v>309</v>
      </c>
      <c r="C1520" s="3" t="s">
        <v>120</v>
      </c>
      <c r="D1520" s="3" t="s">
        <v>14</v>
      </c>
      <c r="E1520" s="5">
        <v>2.0</v>
      </c>
      <c r="F1520" s="3" t="s">
        <v>1595</v>
      </c>
      <c r="G1520" s="3" t="s">
        <v>230</v>
      </c>
      <c r="J1520" s="5">
        <v>3.0</v>
      </c>
      <c r="N1520" s="3" t="b">
        <v>0</v>
      </c>
      <c r="R1520" s="3">
        <v>0.0</v>
      </c>
      <c r="T1520" s="3">
        <v>10.0</v>
      </c>
      <c r="U1520" s="3">
        <v>6.0</v>
      </c>
      <c r="V1520" s="3" t="s">
        <v>1600</v>
      </c>
      <c r="W1520" s="3" t="s">
        <v>327</v>
      </c>
      <c r="X1520" s="77" t="s">
        <v>1597</v>
      </c>
      <c r="Y1520" s="3">
        <v>0.0</v>
      </c>
      <c r="Z1520" s="3">
        <v>3.0</v>
      </c>
      <c r="AA1520" s="3">
        <f>2+ (P1520*'Scoring System'!$B$3)+ (IF(OR(AD1520="DEF",AD1520="GK"),N1520*'Scoring System'!$B$4,IF(AD1520="MID",N1520*'Scoring System'!$B$5,0)))+ (IF(OR(AD1520="DEF",AD1520="GK"),H1520*'Scoring System'!$B$6,IF(AD1520="MID",H1520*'Scoring System'!$B$7,IF(AD1520="ATT",H1520*'Scoring System'!$B$8,0))))+ IF(AND(OR(AD1520="GK",AD1520="DEF"),J1520&gt;=3),1*'Scoring System'!$B$9,0)+ (I1520*'Scoring System'!$B$10)+ (K1520*'Scoring System'!$B$11)+ (M1520*'Scoring System'!$B$12)+ (L1520*'Scoring System'!$B$13)+ (O1520*'Scoring System'!$B$14)+ (Q1520*'Scoring System'!$B$15)+ (R1520*'Scoring System'!$B$16)</f>
        <v>1</v>
      </c>
      <c r="AB1520" s="3" t="b">
        <f>IFERROR(match(C1520,'Match Day Fees'!$B$2:$B$999,0),0)=0</f>
        <v>0</v>
      </c>
      <c r="AC1520" s="3">
        <f t="shared" si="2"/>
        <v>0</v>
      </c>
      <c r="AD1520" s="3" t="str">
        <f>VLOOKUP(D1520,'Position Lookup'!A:B,2,FALSE)</f>
        <v>DEF</v>
      </c>
    </row>
    <row r="1521" ht="17.25" customHeight="1">
      <c r="A1521" s="32">
        <v>45311.0</v>
      </c>
      <c r="B1521" s="5" t="s">
        <v>309</v>
      </c>
      <c r="C1521" s="3" t="s">
        <v>111</v>
      </c>
      <c r="D1521" s="5" t="s">
        <v>23</v>
      </c>
      <c r="E1521" s="5">
        <v>2.0</v>
      </c>
      <c r="F1521" s="3" t="s">
        <v>1595</v>
      </c>
      <c r="G1521" s="3" t="s">
        <v>230</v>
      </c>
      <c r="J1521" s="5">
        <v>3.0</v>
      </c>
      <c r="N1521" s="3" t="b">
        <v>0</v>
      </c>
      <c r="R1521" s="3">
        <v>0.0</v>
      </c>
      <c r="T1521" s="3">
        <v>10.0</v>
      </c>
      <c r="U1521" s="3">
        <v>6.0</v>
      </c>
      <c r="V1521" s="3" t="s">
        <v>1601</v>
      </c>
      <c r="W1521" s="3" t="s">
        <v>327</v>
      </c>
      <c r="X1521" s="77" t="s">
        <v>1597</v>
      </c>
      <c r="Y1521" s="3">
        <v>0.0</v>
      </c>
      <c r="Z1521" s="3">
        <v>3.0</v>
      </c>
      <c r="AA1521" s="3">
        <f>2+ (P1521*'Scoring System'!$B$3)+ (IF(OR(AD1521="DEF",AD1521="GK"),N1521*'Scoring System'!$B$4,IF(AD1521="MID",N1521*'Scoring System'!$B$5,0)))+ (IF(OR(AD1521="DEF",AD1521="GK"),H1521*'Scoring System'!$B$6,IF(AD1521="MID",H1521*'Scoring System'!$B$7,IF(AD1521="ATT",H1521*'Scoring System'!$B$8,0))))+ IF(AND(OR(AD1521="GK",AD1521="DEF"),J1521&gt;=3),1*'Scoring System'!$B$9,0)+ (I1521*'Scoring System'!$B$10)+ (K1521*'Scoring System'!$B$11)+ (M1521*'Scoring System'!$B$12)+ (L1521*'Scoring System'!$B$13)+ (O1521*'Scoring System'!$B$14)+ (Q1521*'Scoring System'!$B$15)+ (R1521*'Scoring System'!$B$16)</f>
        <v>2</v>
      </c>
      <c r="AB1521" s="3" t="b">
        <f>IFERROR(match(C1521,'Match Day Fees'!$B$2:$B$999,0),0)=0</f>
        <v>0</v>
      </c>
      <c r="AC1521" s="3">
        <f t="shared" si="2"/>
        <v>0</v>
      </c>
      <c r="AD1521" s="3" t="str">
        <f>VLOOKUP(D1521,'Position Lookup'!A:B,2,FALSE)</f>
        <v>ATT</v>
      </c>
    </row>
    <row r="1522" ht="17.25" customHeight="1">
      <c r="A1522" s="32">
        <v>45311.0</v>
      </c>
      <c r="B1522" s="5" t="s">
        <v>309</v>
      </c>
      <c r="C1522" s="3" t="s">
        <v>43</v>
      </c>
      <c r="D1522" s="3" t="s">
        <v>12</v>
      </c>
      <c r="E1522" s="5">
        <v>2.0</v>
      </c>
      <c r="F1522" s="3" t="s">
        <v>1595</v>
      </c>
      <c r="G1522" s="3" t="s">
        <v>230</v>
      </c>
      <c r="J1522" s="5">
        <v>3.0</v>
      </c>
      <c r="N1522" s="3" t="b">
        <v>0</v>
      </c>
      <c r="R1522" s="3">
        <v>0.0</v>
      </c>
      <c r="T1522" s="3">
        <v>10.0</v>
      </c>
      <c r="U1522" s="3">
        <v>5.0</v>
      </c>
      <c r="V1522" s="3" t="s">
        <v>1602</v>
      </c>
      <c r="W1522" s="3" t="s">
        <v>327</v>
      </c>
      <c r="X1522" s="77" t="s">
        <v>1597</v>
      </c>
      <c r="Y1522" s="3">
        <v>0.0</v>
      </c>
      <c r="Z1522" s="3">
        <v>3.0</v>
      </c>
      <c r="AA1522" s="3">
        <f>2+ (P1522*'Scoring System'!$B$3)+ (IF(OR(AD1522="DEF",AD1522="GK"),N1522*'Scoring System'!$B$4,IF(AD1522="MID",N1522*'Scoring System'!$B$5,0)))+ (IF(OR(AD1522="DEF",AD1522="GK"),H1522*'Scoring System'!$B$6,IF(AD1522="MID",H1522*'Scoring System'!$B$7,IF(AD1522="ATT",H1522*'Scoring System'!$B$8,0))))+ IF(AND(OR(AD1522="GK",AD1522="DEF"),J1522&gt;=3),1*'Scoring System'!$B$9,0)+ (I1522*'Scoring System'!$B$10)+ (K1522*'Scoring System'!$B$11)+ (M1522*'Scoring System'!$B$12)+ (L1522*'Scoring System'!$B$13)+ (O1522*'Scoring System'!$B$14)+ (Q1522*'Scoring System'!$B$15)+ (R1522*'Scoring System'!$B$16)</f>
        <v>1</v>
      </c>
      <c r="AB1522" s="3" t="b">
        <f>IFERROR(match(C1522,'Match Day Fees'!$B$2:$B$999,0),0)=0</f>
        <v>0</v>
      </c>
      <c r="AC1522" s="3">
        <f t="shared" si="2"/>
        <v>0</v>
      </c>
      <c r="AD1522" s="3" t="str">
        <f>VLOOKUP(D1522,'Position Lookup'!A:B,2,FALSE)</f>
        <v>DEF</v>
      </c>
    </row>
    <row r="1523" ht="17.25" customHeight="1">
      <c r="A1523" s="32">
        <v>45311.0</v>
      </c>
      <c r="B1523" s="5" t="s">
        <v>309</v>
      </c>
      <c r="C1523" s="3" t="s">
        <v>81</v>
      </c>
      <c r="D1523" s="3" t="s">
        <v>16</v>
      </c>
      <c r="E1523" s="5">
        <v>2.0</v>
      </c>
      <c r="F1523" s="3" t="s">
        <v>1595</v>
      </c>
      <c r="G1523" s="3" t="s">
        <v>230</v>
      </c>
      <c r="J1523" s="5">
        <v>3.0</v>
      </c>
      <c r="N1523" s="3" t="b">
        <v>0</v>
      </c>
      <c r="R1523" s="3">
        <v>1.0</v>
      </c>
      <c r="T1523" s="3">
        <v>10.0</v>
      </c>
      <c r="U1523" s="3">
        <v>6.5</v>
      </c>
      <c r="V1523" s="3" t="s">
        <v>1603</v>
      </c>
      <c r="W1523" s="3" t="s">
        <v>327</v>
      </c>
      <c r="X1523" s="77" t="s">
        <v>1597</v>
      </c>
      <c r="Y1523" s="3">
        <v>0.0</v>
      </c>
      <c r="Z1523" s="3">
        <v>3.0</v>
      </c>
      <c r="AA1523" s="3">
        <f>2+ (P1523*'Scoring System'!$B$3)+ (IF(OR(AD1523="DEF",AD1523="GK"),N1523*'Scoring System'!$B$4,IF(AD1523="MID",N1523*'Scoring System'!$B$5,0)))+ (IF(OR(AD1523="DEF",AD1523="GK"),H1523*'Scoring System'!$B$6,IF(AD1523="MID",H1523*'Scoring System'!$B$7,IF(AD1523="ATT",H1523*'Scoring System'!$B$8,0))))+ IF(AND(OR(AD1523="GK",AD1523="DEF"),J1523&gt;=3),1*'Scoring System'!$B$9,0)+ (I1523*'Scoring System'!$B$10)+ (K1523*'Scoring System'!$B$11)+ (M1523*'Scoring System'!$B$12)+ (L1523*'Scoring System'!$B$13)+ (O1523*'Scoring System'!$B$14)+ (Q1523*'Scoring System'!$B$15)+ (R1523*'Scoring System'!$B$16)</f>
        <v>6</v>
      </c>
      <c r="AB1523" s="3" t="b">
        <f>IFERROR(match(C1523,'Match Day Fees'!$B$2:$B$999,0),0)=0</f>
        <v>0</v>
      </c>
      <c r="AC1523" s="3">
        <f t="shared" si="2"/>
        <v>0</v>
      </c>
      <c r="AD1523" s="3" t="str">
        <f>VLOOKUP(D1523,'Position Lookup'!A:B,2,FALSE)</f>
        <v>DEF</v>
      </c>
    </row>
    <row r="1524" ht="17.25" customHeight="1">
      <c r="A1524" s="32">
        <v>45311.0</v>
      </c>
      <c r="B1524" s="5" t="s">
        <v>309</v>
      </c>
      <c r="C1524" s="3" t="s">
        <v>61</v>
      </c>
      <c r="D1524" s="3" t="s">
        <v>23</v>
      </c>
      <c r="E1524" s="5">
        <v>2.0</v>
      </c>
      <c r="F1524" s="3" t="s">
        <v>1595</v>
      </c>
      <c r="G1524" s="3" t="s">
        <v>230</v>
      </c>
      <c r="J1524" s="5">
        <v>3.0</v>
      </c>
      <c r="N1524" s="3" t="b">
        <v>0</v>
      </c>
      <c r="R1524" s="3">
        <v>0.0</v>
      </c>
      <c r="T1524" s="3">
        <v>10.0</v>
      </c>
      <c r="U1524" s="3">
        <v>6.5</v>
      </c>
      <c r="V1524" s="3" t="s">
        <v>1604</v>
      </c>
      <c r="W1524" s="3" t="s">
        <v>327</v>
      </c>
      <c r="X1524" s="77" t="s">
        <v>1597</v>
      </c>
      <c r="Y1524" s="3">
        <v>0.0</v>
      </c>
      <c r="Z1524" s="3">
        <v>3.0</v>
      </c>
      <c r="AA1524" s="3">
        <f>2+ (P1524*'Scoring System'!$B$3)+ (IF(OR(AD1524="DEF",AD1524="GK"),N1524*'Scoring System'!$B$4,IF(AD1524="MID",N1524*'Scoring System'!$B$5,0)))+ (IF(OR(AD1524="DEF",AD1524="GK"),H1524*'Scoring System'!$B$6,IF(AD1524="MID",H1524*'Scoring System'!$B$7,IF(AD1524="ATT",H1524*'Scoring System'!$B$8,0))))+ IF(AND(OR(AD1524="GK",AD1524="DEF"),J1524&gt;=3),1*'Scoring System'!$B$9,0)+ (I1524*'Scoring System'!$B$10)+ (K1524*'Scoring System'!$B$11)+ (M1524*'Scoring System'!$B$12)+ (L1524*'Scoring System'!$B$13)+ (O1524*'Scoring System'!$B$14)+ (Q1524*'Scoring System'!$B$15)+ (R1524*'Scoring System'!$B$16)</f>
        <v>2</v>
      </c>
      <c r="AB1524" s="3" t="b">
        <f>IFERROR(match(C1524,'Match Day Fees'!$B$2:$B$999,0),0)=0</f>
        <v>0</v>
      </c>
      <c r="AC1524" s="3">
        <f t="shared" si="2"/>
        <v>0</v>
      </c>
      <c r="AD1524" s="3" t="str">
        <f>VLOOKUP(D1524,'Position Lookup'!A:B,2,FALSE)</f>
        <v>ATT</v>
      </c>
    </row>
    <row r="1525" ht="17.25" customHeight="1">
      <c r="A1525" s="32">
        <v>45311.0</v>
      </c>
      <c r="B1525" s="5" t="s">
        <v>309</v>
      </c>
      <c r="C1525" s="3" t="s">
        <v>73</v>
      </c>
      <c r="D1525" s="3" t="s">
        <v>24</v>
      </c>
      <c r="E1525" s="5">
        <v>2.0</v>
      </c>
      <c r="F1525" s="3" t="s">
        <v>1595</v>
      </c>
      <c r="G1525" s="3" t="s">
        <v>230</v>
      </c>
      <c r="J1525" s="5">
        <v>3.0</v>
      </c>
      <c r="N1525" s="3" t="b">
        <v>0</v>
      </c>
      <c r="R1525" s="3">
        <v>0.0</v>
      </c>
      <c r="T1525" s="3">
        <v>10.0</v>
      </c>
      <c r="U1525" s="3">
        <v>6.5</v>
      </c>
      <c r="V1525" s="3" t="s">
        <v>1605</v>
      </c>
      <c r="W1525" s="3" t="s">
        <v>327</v>
      </c>
      <c r="X1525" s="77" t="s">
        <v>1597</v>
      </c>
      <c r="Y1525" s="3">
        <v>0.0</v>
      </c>
      <c r="Z1525" s="3">
        <v>3.0</v>
      </c>
      <c r="AA1525" s="3">
        <f>2+ (P1525*'Scoring System'!$B$3)+ (IF(OR(AD1525="DEF",AD1525="GK"),N1525*'Scoring System'!$B$4,IF(AD1525="MID",N1525*'Scoring System'!$B$5,0)))+ (IF(OR(AD1525="DEF",AD1525="GK"),H1525*'Scoring System'!$B$6,IF(AD1525="MID",H1525*'Scoring System'!$B$7,IF(AD1525="ATT",H1525*'Scoring System'!$B$8,0))))+ IF(AND(OR(AD1525="GK",AD1525="DEF"),J1525&gt;=3),1*'Scoring System'!$B$9,0)+ (I1525*'Scoring System'!$B$10)+ (K1525*'Scoring System'!$B$11)+ (M1525*'Scoring System'!$B$12)+ (L1525*'Scoring System'!$B$13)+ (O1525*'Scoring System'!$B$14)+ (Q1525*'Scoring System'!$B$15)+ (R1525*'Scoring System'!$B$16)</f>
        <v>2</v>
      </c>
      <c r="AB1525" s="3" t="b">
        <f>IFERROR(match(C1525,'Match Day Fees'!$B$2:$B$999,0),0)=0</f>
        <v>0</v>
      </c>
      <c r="AC1525" s="3">
        <f t="shared" si="2"/>
        <v>0</v>
      </c>
      <c r="AD1525" s="3" t="str">
        <f>VLOOKUP(D1525,'Position Lookup'!A:B,2,FALSE)</f>
        <v>ATT</v>
      </c>
    </row>
    <row r="1526" ht="17.25" customHeight="1">
      <c r="A1526" s="32">
        <v>45311.0</v>
      </c>
      <c r="B1526" s="5" t="s">
        <v>309</v>
      </c>
      <c r="C1526" s="3" t="s">
        <v>46</v>
      </c>
      <c r="D1526" s="3" t="s">
        <v>24</v>
      </c>
      <c r="E1526" s="5">
        <v>2.0</v>
      </c>
      <c r="F1526" s="3" t="s">
        <v>1595</v>
      </c>
      <c r="G1526" s="3" t="s">
        <v>230</v>
      </c>
      <c r="J1526" s="5">
        <v>3.0</v>
      </c>
      <c r="N1526" s="3" t="b">
        <v>0</v>
      </c>
      <c r="R1526" s="3">
        <v>0.0</v>
      </c>
      <c r="T1526" s="3">
        <v>10.0</v>
      </c>
      <c r="U1526" s="3">
        <v>6.0</v>
      </c>
      <c r="V1526" s="3" t="s">
        <v>1606</v>
      </c>
      <c r="W1526" s="3" t="s">
        <v>327</v>
      </c>
      <c r="X1526" s="77" t="s">
        <v>1597</v>
      </c>
      <c r="Y1526" s="3">
        <v>0.0</v>
      </c>
      <c r="Z1526" s="3">
        <v>3.0</v>
      </c>
      <c r="AA1526" s="3">
        <f>2+ (P1526*'Scoring System'!$B$3)+ (IF(OR(AD1526="DEF",AD1526="GK"),N1526*'Scoring System'!$B$4,IF(AD1526="MID",N1526*'Scoring System'!$B$5,0)))+ (IF(OR(AD1526="DEF",AD1526="GK"),H1526*'Scoring System'!$B$6,IF(AD1526="MID",H1526*'Scoring System'!$B$7,IF(AD1526="ATT",H1526*'Scoring System'!$B$8,0))))+ IF(AND(OR(AD1526="GK",AD1526="DEF"),J1526&gt;=3),1*'Scoring System'!$B$9,0)+ (I1526*'Scoring System'!$B$10)+ (K1526*'Scoring System'!$B$11)+ (M1526*'Scoring System'!$B$12)+ (L1526*'Scoring System'!$B$13)+ (O1526*'Scoring System'!$B$14)+ (Q1526*'Scoring System'!$B$15)+ (R1526*'Scoring System'!$B$16)</f>
        <v>2</v>
      </c>
      <c r="AB1526" s="3" t="b">
        <f>IFERROR(match(C1526,'Match Day Fees'!$B$2:$B$999,0),0)=0</f>
        <v>0</v>
      </c>
      <c r="AC1526" s="3">
        <f t="shared" si="2"/>
        <v>0</v>
      </c>
      <c r="AD1526" s="3" t="str">
        <f>VLOOKUP(D1526,'Position Lookup'!A:B,2,FALSE)</f>
        <v>ATT</v>
      </c>
    </row>
    <row r="1527" ht="17.25" customHeight="1">
      <c r="A1527" s="32">
        <v>45311.0</v>
      </c>
      <c r="B1527" s="5" t="s">
        <v>309</v>
      </c>
      <c r="C1527" s="3" t="s">
        <v>86</v>
      </c>
      <c r="D1527" s="3" t="s">
        <v>20</v>
      </c>
      <c r="E1527" s="5">
        <v>2.0</v>
      </c>
      <c r="F1527" s="3" t="s">
        <v>1595</v>
      </c>
      <c r="G1527" s="3" t="s">
        <v>230</v>
      </c>
      <c r="J1527" s="5">
        <v>3.0</v>
      </c>
      <c r="N1527" s="3" t="b">
        <v>0</v>
      </c>
      <c r="R1527" s="3">
        <v>0.0</v>
      </c>
      <c r="T1527" s="3">
        <v>10.0</v>
      </c>
      <c r="U1527" s="3">
        <v>6.5</v>
      </c>
      <c r="V1527" s="3" t="s">
        <v>1607</v>
      </c>
      <c r="W1527" s="3" t="s">
        <v>327</v>
      </c>
      <c r="X1527" s="77" t="s">
        <v>1597</v>
      </c>
      <c r="Y1527" s="3">
        <v>0.0</v>
      </c>
      <c r="Z1527" s="3">
        <v>3.0</v>
      </c>
      <c r="AA1527" s="3">
        <f>2+ (P1527*'Scoring System'!$B$3)+ (IF(OR(AD1527="DEF",AD1527="GK"),N1527*'Scoring System'!$B$4,IF(AD1527="MID",N1527*'Scoring System'!$B$5,0)))+ (IF(OR(AD1527="DEF",AD1527="GK"),H1527*'Scoring System'!$B$6,IF(AD1527="MID",H1527*'Scoring System'!$B$7,IF(AD1527="ATT",H1527*'Scoring System'!$B$8,0))))+ IF(AND(OR(AD1527="GK",AD1527="DEF"),J1527&gt;=3),1*'Scoring System'!$B$9,0)+ (I1527*'Scoring System'!$B$10)+ (K1527*'Scoring System'!$B$11)+ (M1527*'Scoring System'!$B$12)+ (L1527*'Scoring System'!$B$13)+ (O1527*'Scoring System'!$B$14)+ (Q1527*'Scoring System'!$B$15)+ (R1527*'Scoring System'!$B$16)</f>
        <v>2</v>
      </c>
      <c r="AB1527" s="3" t="b">
        <f>IFERROR(match(C1527,'Match Day Fees'!$B$2:$B$999,0),0)=0</f>
        <v>0</v>
      </c>
      <c r="AC1527" s="3">
        <f t="shared" si="2"/>
        <v>0</v>
      </c>
      <c r="AD1527" s="3" t="str">
        <f>VLOOKUP(D1527,'Position Lookup'!A:B,2,FALSE)</f>
        <v>MID</v>
      </c>
    </row>
    <row r="1528" ht="17.25" customHeight="1">
      <c r="A1528" s="32">
        <v>45311.0</v>
      </c>
      <c r="B1528" s="5" t="s">
        <v>309</v>
      </c>
      <c r="C1528" s="3" t="s">
        <v>243</v>
      </c>
      <c r="D1528" s="3" t="s">
        <v>20</v>
      </c>
      <c r="E1528" s="5">
        <v>2.0</v>
      </c>
      <c r="F1528" s="3" t="s">
        <v>1595</v>
      </c>
      <c r="G1528" s="3" t="s">
        <v>230</v>
      </c>
      <c r="J1528" s="5">
        <v>3.0</v>
      </c>
      <c r="N1528" s="3" t="b">
        <v>0</v>
      </c>
      <c r="R1528" s="3">
        <v>0.0</v>
      </c>
      <c r="T1528" s="3">
        <v>10.0</v>
      </c>
      <c r="U1528" s="3">
        <v>6.5</v>
      </c>
      <c r="V1528" s="3" t="s">
        <v>1608</v>
      </c>
      <c r="W1528" s="3" t="s">
        <v>327</v>
      </c>
      <c r="X1528" s="77" t="s">
        <v>1597</v>
      </c>
      <c r="Y1528" s="3">
        <v>0.0</v>
      </c>
      <c r="Z1528" s="3">
        <v>3.0</v>
      </c>
      <c r="AA1528" s="3">
        <f>2+ (P1528*'Scoring System'!$B$3)+ (IF(OR(AD1528="DEF",AD1528="GK"),N1528*'Scoring System'!$B$4,IF(AD1528="MID",N1528*'Scoring System'!$B$5,0)))+ (IF(OR(AD1528="DEF",AD1528="GK"),H1528*'Scoring System'!$B$6,IF(AD1528="MID",H1528*'Scoring System'!$B$7,IF(AD1528="ATT",H1528*'Scoring System'!$B$8,0))))+ IF(AND(OR(AD1528="GK",AD1528="DEF"),J1528&gt;=3),1*'Scoring System'!$B$9,0)+ (I1528*'Scoring System'!$B$10)+ (K1528*'Scoring System'!$B$11)+ (M1528*'Scoring System'!$B$12)+ (L1528*'Scoring System'!$B$13)+ (O1528*'Scoring System'!$B$14)+ (Q1528*'Scoring System'!$B$15)+ (R1528*'Scoring System'!$B$16)</f>
        <v>2</v>
      </c>
      <c r="AB1528" s="3" t="b">
        <f>IFERROR(match(C1528,'Match Day Fees'!$B$2:$B$999,0),0)=0</f>
        <v>0</v>
      </c>
      <c r="AC1528" s="3">
        <f t="shared" si="2"/>
        <v>0</v>
      </c>
      <c r="AD1528" s="3" t="str">
        <f>VLOOKUP(D1528,'Position Lookup'!A:B,2,FALSE)</f>
        <v>MID</v>
      </c>
    </row>
    <row r="1529" ht="17.25" customHeight="1">
      <c r="A1529" s="32">
        <v>45311.0</v>
      </c>
      <c r="B1529" s="5" t="s">
        <v>309</v>
      </c>
      <c r="C1529" s="3" t="s">
        <v>78</v>
      </c>
      <c r="D1529" s="3" t="s">
        <v>22</v>
      </c>
      <c r="E1529" s="5">
        <v>2.0</v>
      </c>
      <c r="F1529" s="3" t="s">
        <v>1595</v>
      </c>
      <c r="G1529" s="3" t="s">
        <v>230</v>
      </c>
      <c r="J1529" s="5">
        <v>3.0</v>
      </c>
      <c r="N1529" s="3" t="b">
        <v>0</v>
      </c>
      <c r="R1529" s="3">
        <v>0.0</v>
      </c>
      <c r="T1529" s="3">
        <v>10.0</v>
      </c>
      <c r="U1529" s="3">
        <v>6.0</v>
      </c>
      <c r="V1529" s="3" t="s">
        <v>1609</v>
      </c>
      <c r="W1529" s="3" t="s">
        <v>327</v>
      </c>
      <c r="X1529" s="77" t="s">
        <v>1597</v>
      </c>
      <c r="Y1529" s="3">
        <v>0.0</v>
      </c>
      <c r="Z1529" s="3">
        <v>3.0</v>
      </c>
      <c r="AA1529" s="3">
        <f>2+ (P1529*'Scoring System'!$B$3)+ (IF(OR(AD1529="DEF",AD1529="GK"),N1529*'Scoring System'!$B$4,IF(AD1529="MID",N1529*'Scoring System'!$B$5,0)))+ (IF(OR(AD1529="DEF",AD1529="GK"),H1529*'Scoring System'!$B$6,IF(AD1529="MID",H1529*'Scoring System'!$B$7,IF(AD1529="ATT",H1529*'Scoring System'!$B$8,0))))+ IF(AND(OR(AD1529="GK",AD1529="DEF"),J1529&gt;=3),1*'Scoring System'!$B$9,0)+ (I1529*'Scoring System'!$B$10)+ (K1529*'Scoring System'!$B$11)+ (M1529*'Scoring System'!$B$12)+ (L1529*'Scoring System'!$B$13)+ (O1529*'Scoring System'!$B$14)+ (Q1529*'Scoring System'!$B$15)+ (R1529*'Scoring System'!$B$16)</f>
        <v>2</v>
      </c>
      <c r="AB1529" s="3" t="b">
        <f>IFERROR(match(C1529,'Match Day Fees'!$B$2:$B$999,0),0)=0</f>
        <v>0</v>
      </c>
      <c r="AC1529" s="3">
        <f t="shared" si="2"/>
        <v>0</v>
      </c>
      <c r="AD1529" s="3" t="str">
        <f>VLOOKUP(D1529,'Position Lookup'!A:B,2,FALSE)</f>
        <v>ATT</v>
      </c>
    </row>
    <row r="1530" ht="17.25" customHeight="1">
      <c r="A1530" s="32">
        <v>45311.0</v>
      </c>
      <c r="B1530" s="5" t="s">
        <v>309</v>
      </c>
      <c r="C1530" s="3" t="s">
        <v>104</v>
      </c>
      <c r="D1530" s="3" t="s">
        <v>20</v>
      </c>
      <c r="E1530" s="5">
        <v>2.0</v>
      </c>
      <c r="F1530" s="3" t="s">
        <v>1595</v>
      </c>
      <c r="G1530" s="3" t="s">
        <v>230</v>
      </c>
      <c r="J1530" s="5">
        <v>3.0</v>
      </c>
      <c r="N1530" s="3" t="b">
        <v>0</v>
      </c>
      <c r="R1530" s="3">
        <v>0.0</v>
      </c>
      <c r="T1530" s="3">
        <v>5.0</v>
      </c>
      <c r="U1530" s="3">
        <v>6.5</v>
      </c>
      <c r="W1530" s="3" t="s">
        <v>327</v>
      </c>
      <c r="X1530" s="77" t="s">
        <v>1597</v>
      </c>
      <c r="Y1530" s="3">
        <v>0.0</v>
      </c>
      <c r="Z1530" s="3">
        <v>3.0</v>
      </c>
      <c r="AA1530" s="3">
        <f>2+ (P1530*'Scoring System'!$B$3)+ (IF(OR(AD1530="DEF",AD1530="GK"),N1530*'Scoring System'!$B$4,IF(AD1530="MID",N1530*'Scoring System'!$B$5,0)))+ (IF(OR(AD1530="DEF",AD1530="GK"),H1530*'Scoring System'!$B$6,IF(AD1530="MID",H1530*'Scoring System'!$B$7,IF(AD1530="ATT",H1530*'Scoring System'!$B$8,0))))+ IF(AND(OR(AD1530="GK",AD1530="DEF"),J1530&gt;=3),1*'Scoring System'!$B$9,0)+ (I1530*'Scoring System'!$B$10)+ (K1530*'Scoring System'!$B$11)+ (M1530*'Scoring System'!$B$12)+ (L1530*'Scoring System'!$B$13)+ (O1530*'Scoring System'!$B$14)+ (Q1530*'Scoring System'!$B$15)+ (R1530*'Scoring System'!$B$16)</f>
        <v>2</v>
      </c>
      <c r="AB1530" s="3" t="b">
        <f>IFERROR(match(C1530,'Match Day Fees'!$B$2:$B$999,0),0)=0</f>
        <v>0</v>
      </c>
      <c r="AC1530" s="3">
        <f t="shared" si="2"/>
        <v>0</v>
      </c>
      <c r="AD1530" s="3" t="str">
        <f>VLOOKUP(D1530,'Position Lookup'!A:B,2,FALSE)</f>
        <v>MID</v>
      </c>
    </row>
    <row r="1531" ht="17.25" customHeight="1">
      <c r="A1531" s="32">
        <v>45311.0</v>
      </c>
      <c r="B1531" s="5" t="s">
        <v>309</v>
      </c>
      <c r="C1531" s="3" t="s">
        <v>1231</v>
      </c>
      <c r="D1531" s="3" t="s">
        <v>8</v>
      </c>
      <c r="E1531" s="5">
        <v>3.0</v>
      </c>
      <c r="F1531" s="3" t="s">
        <v>1610</v>
      </c>
      <c r="G1531" s="3" t="s">
        <v>224</v>
      </c>
      <c r="J1531" s="5">
        <v>2.0</v>
      </c>
      <c r="N1531" s="3" t="b">
        <v>0</v>
      </c>
      <c r="R1531" s="3">
        <v>0.0</v>
      </c>
      <c r="T1531" s="3">
        <v>5.0</v>
      </c>
      <c r="U1531" s="3">
        <v>7.0</v>
      </c>
      <c r="V1531" s="3" t="s">
        <v>1611</v>
      </c>
      <c r="X1531" s="77" t="s">
        <v>1612</v>
      </c>
      <c r="Y1531" s="3">
        <v>5.0</v>
      </c>
      <c r="Z1531" s="3">
        <v>2.0</v>
      </c>
      <c r="AA1531" s="3">
        <f>2+ (P1531*'Scoring System'!$B$3)+ (IF(OR(AD1531="DEF",AD1531="GK"),N1531*'Scoring System'!$B$4,IF(AD1531="MID",N1531*'Scoring System'!$B$5,0)))+ (IF(OR(AD1531="DEF",AD1531="GK"),H1531*'Scoring System'!$B$6,IF(AD1531="MID",H1531*'Scoring System'!$B$7,IF(AD1531="ATT",H1531*'Scoring System'!$B$8,0))))+ IF(AND(OR(AD1531="GK",AD1531="DEF"),J1531&gt;=3),1*'Scoring System'!$B$9,0)+ (I1531*'Scoring System'!$B$10)+ (K1531*'Scoring System'!$B$11)+ (M1531*'Scoring System'!$B$12)+ (L1531*'Scoring System'!$B$13)+ (O1531*'Scoring System'!$B$14)+ (Q1531*'Scoring System'!$B$15)+ (R1531*'Scoring System'!$B$16)</f>
        <v>2</v>
      </c>
      <c r="AB1531" s="3" t="b">
        <f>IFERROR(match(C1531,'Match Day Fees'!$B$2:$B$999,0),0)=0</f>
        <v>0</v>
      </c>
      <c r="AC1531" s="3">
        <f t="shared" si="2"/>
        <v>0</v>
      </c>
      <c r="AD1531" s="3" t="str">
        <f>VLOOKUP(D1531,'Position Lookup'!A:B,2,FALSE)</f>
        <v>GK</v>
      </c>
    </row>
    <row r="1532" ht="17.25" customHeight="1">
      <c r="A1532" s="32">
        <v>45311.0</v>
      </c>
      <c r="B1532" s="5" t="s">
        <v>309</v>
      </c>
      <c r="C1532" s="3" t="s">
        <v>333</v>
      </c>
      <c r="D1532" s="3" t="s">
        <v>16</v>
      </c>
      <c r="E1532" s="5">
        <v>3.0</v>
      </c>
      <c r="F1532" s="3" t="s">
        <v>1610</v>
      </c>
      <c r="G1532" s="3" t="s">
        <v>224</v>
      </c>
      <c r="I1532" s="3">
        <v>1.0</v>
      </c>
      <c r="J1532" s="5">
        <v>2.0</v>
      </c>
      <c r="N1532" s="3" t="b">
        <v>0</v>
      </c>
      <c r="R1532" s="3">
        <v>0.0</v>
      </c>
      <c r="T1532" s="3">
        <v>10.0</v>
      </c>
      <c r="U1532" s="3">
        <v>7.0</v>
      </c>
      <c r="V1532" s="3" t="s">
        <v>1613</v>
      </c>
      <c r="X1532" s="77" t="s">
        <v>1612</v>
      </c>
      <c r="Y1532" s="3">
        <v>5.0</v>
      </c>
      <c r="Z1532" s="3">
        <v>2.0</v>
      </c>
      <c r="AA1532" s="3">
        <f>2+ (P1532*'Scoring System'!$B$3)+ (IF(OR(AD1532="DEF",AD1532="GK"),N1532*'Scoring System'!$B$4,IF(AD1532="MID",N1532*'Scoring System'!$B$5,0)))+ (IF(OR(AD1532="DEF",AD1532="GK"),H1532*'Scoring System'!$B$6,IF(AD1532="MID",H1532*'Scoring System'!$B$7,IF(AD1532="ATT",H1532*'Scoring System'!$B$8,0))))+ IF(AND(OR(AD1532="GK",AD1532="DEF"),J1532&gt;=3),1*'Scoring System'!$B$9,0)+ (I1532*'Scoring System'!$B$10)+ (K1532*'Scoring System'!$B$11)+ (M1532*'Scoring System'!$B$12)+ (L1532*'Scoring System'!$B$13)+ (O1532*'Scoring System'!$B$14)+ (Q1532*'Scoring System'!$B$15)+ (R1532*'Scoring System'!$B$16)</f>
        <v>5</v>
      </c>
      <c r="AB1532" s="3" t="b">
        <f>IFERROR(match(C1532,'Match Day Fees'!$B$2:$B$999,0),0)=0</f>
        <v>0</v>
      </c>
      <c r="AC1532" s="3">
        <f t="shared" si="2"/>
        <v>0</v>
      </c>
      <c r="AD1532" s="3" t="str">
        <f>VLOOKUP(D1532,'Position Lookup'!A:B,2,FALSE)</f>
        <v>DEF</v>
      </c>
    </row>
    <row r="1533" ht="17.25" customHeight="1">
      <c r="A1533" s="32">
        <v>45311.0</v>
      </c>
      <c r="B1533" s="5" t="s">
        <v>309</v>
      </c>
      <c r="C1533" s="3" t="s">
        <v>39</v>
      </c>
      <c r="D1533" s="3" t="s">
        <v>14</v>
      </c>
      <c r="E1533" s="5">
        <v>3.0</v>
      </c>
      <c r="F1533" s="3" t="s">
        <v>1610</v>
      </c>
      <c r="G1533" s="3" t="s">
        <v>224</v>
      </c>
      <c r="J1533" s="5">
        <v>2.0</v>
      </c>
      <c r="N1533" s="3" t="b">
        <v>0</v>
      </c>
      <c r="R1533" s="3">
        <v>0.0</v>
      </c>
      <c r="T1533" s="3">
        <v>10.0</v>
      </c>
      <c r="U1533" s="3">
        <v>7.0</v>
      </c>
      <c r="V1533" s="3" t="s">
        <v>1614</v>
      </c>
      <c r="X1533" s="77" t="s">
        <v>1612</v>
      </c>
      <c r="Y1533" s="3">
        <v>5.0</v>
      </c>
      <c r="Z1533" s="3">
        <v>2.0</v>
      </c>
      <c r="AA1533" s="3">
        <f>2+ (P1533*'Scoring System'!$B$3)+ (IF(OR(AD1533="DEF",AD1533="GK"),N1533*'Scoring System'!$B$4,IF(AD1533="MID",N1533*'Scoring System'!$B$5,0)))+ (IF(OR(AD1533="DEF",AD1533="GK"),H1533*'Scoring System'!$B$6,IF(AD1533="MID",H1533*'Scoring System'!$B$7,IF(AD1533="ATT",H1533*'Scoring System'!$B$8,0))))+ IF(AND(OR(AD1533="GK",AD1533="DEF"),J1533&gt;=3),1*'Scoring System'!$B$9,0)+ (I1533*'Scoring System'!$B$10)+ (K1533*'Scoring System'!$B$11)+ (M1533*'Scoring System'!$B$12)+ (L1533*'Scoring System'!$B$13)+ (O1533*'Scoring System'!$B$14)+ (Q1533*'Scoring System'!$B$15)+ (R1533*'Scoring System'!$B$16)</f>
        <v>2</v>
      </c>
      <c r="AB1533" s="3" t="b">
        <f>IFERROR(match(C1533,'Match Day Fees'!$B$2:$B$999,0),0)=0</f>
        <v>0</v>
      </c>
      <c r="AC1533" s="3">
        <f t="shared" si="2"/>
        <v>0</v>
      </c>
      <c r="AD1533" s="3" t="str">
        <f>VLOOKUP(D1533,'Position Lookup'!A:B,2,FALSE)</f>
        <v>DEF</v>
      </c>
    </row>
    <row r="1534" ht="17.25" customHeight="1">
      <c r="A1534" s="32">
        <v>45311.0</v>
      </c>
      <c r="B1534" s="5" t="s">
        <v>309</v>
      </c>
      <c r="C1534" s="3" t="s">
        <v>91</v>
      </c>
      <c r="D1534" s="3" t="s">
        <v>14</v>
      </c>
      <c r="E1534" s="5">
        <v>3.0</v>
      </c>
      <c r="F1534" s="3" t="s">
        <v>1610</v>
      </c>
      <c r="G1534" s="3" t="s">
        <v>224</v>
      </c>
      <c r="J1534" s="5">
        <v>2.0</v>
      </c>
      <c r="N1534" s="3" t="b">
        <v>0</v>
      </c>
      <c r="R1534" s="3">
        <v>0.0</v>
      </c>
      <c r="T1534" s="3">
        <v>5.0</v>
      </c>
      <c r="U1534" s="3">
        <v>7.0</v>
      </c>
      <c r="V1534" s="3" t="s">
        <v>1615</v>
      </c>
      <c r="X1534" s="77" t="s">
        <v>1612</v>
      </c>
      <c r="Y1534" s="3">
        <v>5.0</v>
      </c>
      <c r="Z1534" s="3">
        <v>2.0</v>
      </c>
      <c r="AA1534" s="3">
        <f>2+ (P1534*'Scoring System'!$B$3)+ (IF(OR(AD1534="DEF",AD1534="GK"),N1534*'Scoring System'!$B$4,IF(AD1534="MID",N1534*'Scoring System'!$B$5,0)))+ (IF(OR(AD1534="DEF",AD1534="GK"),H1534*'Scoring System'!$B$6,IF(AD1534="MID",H1534*'Scoring System'!$B$7,IF(AD1534="ATT",H1534*'Scoring System'!$B$8,0))))+ IF(AND(OR(AD1534="GK",AD1534="DEF"),J1534&gt;=3),1*'Scoring System'!$B$9,0)+ (I1534*'Scoring System'!$B$10)+ (K1534*'Scoring System'!$B$11)+ (M1534*'Scoring System'!$B$12)+ (L1534*'Scoring System'!$B$13)+ (O1534*'Scoring System'!$B$14)+ (Q1534*'Scoring System'!$B$15)+ (R1534*'Scoring System'!$B$16)</f>
        <v>2</v>
      </c>
      <c r="AB1534" s="3" t="b">
        <f>IFERROR(match(C1534,'Match Day Fees'!$B$2:$B$999,0),0)=0</f>
        <v>0</v>
      </c>
      <c r="AC1534" s="3">
        <f t="shared" si="2"/>
        <v>0</v>
      </c>
      <c r="AD1534" s="3" t="str">
        <f>VLOOKUP(D1534,'Position Lookup'!A:B,2,FALSE)</f>
        <v>DEF</v>
      </c>
    </row>
    <row r="1535" ht="17.25" customHeight="1">
      <c r="A1535" s="32">
        <v>45311.0</v>
      </c>
      <c r="B1535" s="5" t="s">
        <v>309</v>
      </c>
      <c r="C1535" s="3" t="s">
        <v>42</v>
      </c>
      <c r="D1535" s="3" t="s">
        <v>12</v>
      </c>
      <c r="E1535" s="5">
        <v>3.0</v>
      </c>
      <c r="F1535" s="3" t="s">
        <v>1610</v>
      </c>
      <c r="G1535" s="3" t="s">
        <v>224</v>
      </c>
      <c r="J1535" s="5">
        <v>2.0</v>
      </c>
      <c r="N1535" s="3" t="b">
        <v>0</v>
      </c>
      <c r="R1535" s="3">
        <v>0.0</v>
      </c>
      <c r="T1535" s="3">
        <v>10.0</v>
      </c>
      <c r="U1535" s="3">
        <v>7.5</v>
      </c>
      <c r="V1535" s="3" t="s">
        <v>1616</v>
      </c>
      <c r="X1535" s="77" t="s">
        <v>1612</v>
      </c>
      <c r="Y1535" s="3">
        <v>5.0</v>
      </c>
      <c r="Z1535" s="3">
        <v>2.0</v>
      </c>
      <c r="AA1535" s="3">
        <f>2+ (P1535*'Scoring System'!$B$3)+ (IF(OR(AD1535="DEF",AD1535="GK"),N1535*'Scoring System'!$B$4,IF(AD1535="MID",N1535*'Scoring System'!$B$5,0)))+ (IF(OR(AD1535="DEF",AD1535="GK"),H1535*'Scoring System'!$B$6,IF(AD1535="MID",H1535*'Scoring System'!$B$7,IF(AD1535="ATT",H1535*'Scoring System'!$B$8,0))))+ IF(AND(OR(AD1535="GK",AD1535="DEF"),J1535&gt;=3),1*'Scoring System'!$B$9,0)+ (I1535*'Scoring System'!$B$10)+ (K1535*'Scoring System'!$B$11)+ (M1535*'Scoring System'!$B$12)+ (L1535*'Scoring System'!$B$13)+ (O1535*'Scoring System'!$B$14)+ (Q1535*'Scoring System'!$B$15)+ (R1535*'Scoring System'!$B$16)</f>
        <v>2</v>
      </c>
      <c r="AB1535" s="3" t="b">
        <f>IFERROR(match(C1535,'Match Day Fees'!$B$2:$B$999,0),0)=0</f>
        <v>0</v>
      </c>
      <c r="AC1535" s="3">
        <f t="shared" si="2"/>
        <v>0</v>
      </c>
      <c r="AD1535" s="3" t="str">
        <f>VLOOKUP(D1535,'Position Lookup'!A:B,2,FALSE)</f>
        <v>DEF</v>
      </c>
    </row>
    <row r="1536" ht="17.25" customHeight="1">
      <c r="A1536" s="32">
        <v>45311.0</v>
      </c>
      <c r="B1536" s="5" t="s">
        <v>309</v>
      </c>
      <c r="C1536" s="3" t="s">
        <v>59</v>
      </c>
      <c r="D1536" s="3" t="s">
        <v>20</v>
      </c>
      <c r="E1536" s="5">
        <v>3.0</v>
      </c>
      <c r="F1536" s="3" t="s">
        <v>1610</v>
      </c>
      <c r="G1536" s="3" t="s">
        <v>224</v>
      </c>
      <c r="J1536" s="5">
        <v>2.0</v>
      </c>
      <c r="N1536" s="3" t="b">
        <v>0</v>
      </c>
      <c r="R1536" s="3">
        <v>0.0</v>
      </c>
      <c r="T1536" s="3">
        <v>5.0</v>
      </c>
      <c r="U1536" s="3">
        <v>7.5</v>
      </c>
      <c r="V1536" s="3" t="s">
        <v>1617</v>
      </c>
      <c r="X1536" s="77" t="s">
        <v>1612</v>
      </c>
      <c r="Y1536" s="3">
        <v>5.0</v>
      </c>
      <c r="Z1536" s="3">
        <v>2.0</v>
      </c>
      <c r="AA1536" s="3">
        <f>2+ (P1536*'Scoring System'!$B$3)+ (IF(OR(AD1536="DEF",AD1536="GK"),N1536*'Scoring System'!$B$4,IF(AD1536="MID",N1536*'Scoring System'!$B$5,0)))+ (IF(OR(AD1536="DEF",AD1536="GK"),H1536*'Scoring System'!$B$6,IF(AD1536="MID",H1536*'Scoring System'!$B$7,IF(AD1536="ATT",H1536*'Scoring System'!$B$8,0))))+ IF(AND(OR(AD1536="GK",AD1536="DEF"),J1536&gt;=3),1*'Scoring System'!$B$9,0)+ (I1536*'Scoring System'!$B$10)+ (K1536*'Scoring System'!$B$11)+ (M1536*'Scoring System'!$B$12)+ (L1536*'Scoring System'!$B$13)+ (O1536*'Scoring System'!$B$14)+ (Q1536*'Scoring System'!$B$15)+ (R1536*'Scoring System'!$B$16)</f>
        <v>2</v>
      </c>
      <c r="AB1536" s="3" t="b">
        <f>IFERROR(match(C1536,'Match Day Fees'!$B$2:$B$999,0),0)=0</f>
        <v>0</v>
      </c>
      <c r="AC1536" s="3">
        <f t="shared" si="2"/>
        <v>0</v>
      </c>
      <c r="AD1536" s="3" t="str">
        <f>VLOOKUP(D1536,'Position Lookup'!A:B,2,FALSE)</f>
        <v>MID</v>
      </c>
    </row>
    <row r="1537" ht="17.25" customHeight="1">
      <c r="A1537" s="32">
        <v>45311.0</v>
      </c>
      <c r="B1537" s="5" t="s">
        <v>309</v>
      </c>
      <c r="C1537" s="3" t="s">
        <v>112</v>
      </c>
      <c r="D1537" s="3" t="s">
        <v>20</v>
      </c>
      <c r="E1537" s="5">
        <v>3.0</v>
      </c>
      <c r="F1537" s="3" t="s">
        <v>1610</v>
      </c>
      <c r="G1537" s="3" t="s">
        <v>224</v>
      </c>
      <c r="J1537" s="5">
        <v>2.0</v>
      </c>
      <c r="K1537" s="3">
        <v>1.0</v>
      </c>
      <c r="N1537" s="3" t="b">
        <v>0</v>
      </c>
      <c r="R1537" s="3">
        <v>0.0</v>
      </c>
      <c r="T1537" s="3">
        <v>10.0</v>
      </c>
      <c r="U1537" s="3">
        <v>7.0</v>
      </c>
      <c r="V1537" s="3" t="s">
        <v>1618</v>
      </c>
      <c r="X1537" s="77" t="s">
        <v>1612</v>
      </c>
      <c r="Y1537" s="3">
        <v>5.0</v>
      </c>
      <c r="Z1537" s="3">
        <v>2.0</v>
      </c>
      <c r="AA1537" s="3">
        <f>2+ (P1537*'Scoring System'!$B$3)+ (IF(OR(AD1537="DEF",AD1537="GK"),N1537*'Scoring System'!$B$4,IF(AD1537="MID",N1537*'Scoring System'!$B$5,0)))+ (IF(OR(AD1537="DEF",AD1537="GK"),H1537*'Scoring System'!$B$6,IF(AD1537="MID",H1537*'Scoring System'!$B$7,IF(AD1537="ATT",H1537*'Scoring System'!$B$8,0))))+ IF(AND(OR(AD1537="GK",AD1537="DEF"),J1537&gt;=3),1*'Scoring System'!$B$9,0)+ (I1537*'Scoring System'!$B$10)+ (K1537*'Scoring System'!$B$11)+ (M1537*'Scoring System'!$B$12)+ (L1537*'Scoring System'!$B$13)+ (O1537*'Scoring System'!$B$14)+ (Q1537*'Scoring System'!$B$15)+ (R1537*'Scoring System'!$B$16)</f>
        <v>1</v>
      </c>
      <c r="AB1537" s="3" t="b">
        <f>IFERROR(match(C1537,'Match Day Fees'!$B$2:$B$999,0),0)=0</f>
        <v>0</v>
      </c>
      <c r="AC1537" s="3">
        <f t="shared" si="2"/>
        <v>0</v>
      </c>
      <c r="AD1537" s="3" t="str">
        <f>VLOOKUP(D1537,'Position Lookup'!A:B,2,FALSE)</f>
        <v>MID</v>
      </c>
    </row>
    <row r="1538" ht="17.25" customHeight="1">
      <c r="A1538" s="32">
        <v>45311.0</v>
      </c>
      <c r="B1538" s="5" t="s">
        <v>309</v>
      </c>
      <c r="C1538" s="3" t="s">
        <v>151</v>
      </c>
      <c r="D1538" s="3" t="s">
        <v>20</v>
      </c>
      <c r="E1538" s="5">
        <v>3.0</v>
      </c>
      <c r="F1538" s="3" t="s">
        <v>1610</v>
      </c>
      <c r="G1538" s="3" t="s">
        <v>224</v>
      </c>
      <c r="J1538" s="5">
        <v>2.0</v>
      </c>
      <c r="N1538" s="3" t="b">
        <v>0</v>
      </c>
      <c r="R1538" s="3">
        <v>0.0</v>
      </c>
      <c r="T1538" s="3">
        <v>5.0</v>
      </c>
      <c r="U1538" s="3">
        <v>8.0</v>
      </c>
      <c r="V1538" s="3" t="s">
        <v>1619</v>
      </c>
      <c r="X1538" s="77" t="s">
        <v>1612</v>
      </c>
      <c r="Y1538" s="3">
        <v>5.0</v>
      </c>
      <c r="Z1538" s="3">
        <v>2.0</v>
      </c>
      <c r="AA1538" s="3">
        <f>2+ (P1538*'Scoring System'!$B$3)+ (IF(OR(AD1538="DEF",AD1538="GK"),N1538*'Scoring System'!$B$4,IF(AD1538="MID",N1538*'Scoring System'!$B$5,0)))+ (IF(OR(AD1538="DEF",AD1538="GK"),H1538*'Scoring System'!$B$6,IF(AD1538="MID",H1538*'Scoring System'!$B$7,IF(AD1538="ATT",H1538*'Scoring System'!$B$8,0))))+ IF(AND(OR(AD1538="GK",AD1538="DEF"),J1538&gt;=3),1*'Scoring System'!$B$9,0)+ (I1538*'Scoring System'!$B$10)+ (K1538*'Scoring System'!$B$11)+ (M1538*'Scoring System'!$B$12)+ (L1538*'Scoring System'!$B$13)+ (O1538*'Scoring System'!$B$14)+ (Q1538*'Scoring System'!$B$15)+ (R1538*'Scoring System'!$B$16)</f>
        <v>2</v>
      </c>
      <c r="AB1538" s="3" t="b">
        <f>IFERROR(match(C1538,'Match Day Fees'!$B$2:$B$999,0),0)=0</f>
        <v>0</v>
      </c>
      <c r="AC1538" s="3">
        <f t="shared" si="2"/>
        <v>0</v>
      </c>
      <c r="AD1538" s="3" t="str">
        <f>VLOOKUP(D1538,'Position Lookup'!A:B,2,FALSE)</f>
        <v>MID</v>
      </c>
    </row>
    <row r="1539" ht="17.25" customHeight="1">
      <c r="A1539" s="32">
        <v>45311.0</v>
      </c>
      <c r="B1539" s="5" t="s">
        <v>309</v>
      </c>
      <c r="C1539" s="3" t="s">
        <v>114</v>
      </c>
      <c r="D1539" s="3" t="s">
        <v>23</v>
      </c>
      <c r="E1539" s="5">
        <v>3.0</v>
      </c>
      <c r="F1539" s="3" t="s">
        <v>1610</v>
      </c>
      <c r="G1539" s="3" t="s">
        <v>224</v>
      </c>
      <c r="H1539" s="3">
        <v>2.0</v>
      </c>
      <c r="I1539" s="3">
        <v>1.0</v>
      </c>
      <c r="J1539" s="5">
        <v>2.0</v>
      </c>
      <c r="N1539" s="3" t="b">
        <v>0</v>
      </c>
      <c r="R1539" s="3">
        <v>0.0</v>
      </c>
      <c r="T1539" s="3">
        <v>10.0</v>
      </c>
      <c r="U1539" s="3">
        <v>7.5</v>
      </c>
      <c r="V1539" s="3" t="s">
        <v>1620</v>
      </c>
      <c r="X1539" s="77" t="s">
        <v>1612</v>
      </c>
      <c r="Y1539" s="3">
        <v>5.0</v>
      </c>
      <c r="Z1539" s="3">
        <v>2.0</v>
      </c>
      <c r="AA1539" s="3">
        <f>2+ (P1539*'Scoring System'!$B$3)+ (IF(OR(AD1539="DEF",AD1539="GK"),N1539*'Scoring System'!$B$4,IF(AD1539="MID",N1539*'Scoring System'!$B$5,0)))+ (IF(OR(AD1539="DEF",AD1539="GK"),H1539*'Scoring System'!$B$6,IF(AD1539="MID",H1539*'Scoring System'!$B$7,IF(AD1539="ATT",H1539*'Scoring System'!$B$8,0))))+ IF(AND(OR(AD1539="GK",AD1539="DEF"),J1539&gt;=3),1*'Scoring System'!$B$9,0)+ (I1539*'Scoring System'!$B$10)+ (K1539*'Scoring System'!$B$11)+ (M1539*'Scoring System'!$B$12)+ (L1539*'Scoring System'!$B$13)+ (O1539*'Scoring System'!$B$14)+ (Q1539*'Scoring System'!$B$15)+ (R1539*'Scoring System'!$B$16)</f>
        <v>13</v>
      </c>
      <c r="AB1539" s="3" t="b">
        <f>IFERROR(match(C1539,'Match Day Fees'!$B$2:$B$999,0),0)=0</f>
        <v>0</v>
      </c>
      <c r="AC1539" s="3">
        <f t="shared" si="2"/>
        <v>0</v>
      </c>
      <c r="AD1539" s="3" t="str">
        <f>VLOOKUP(D1539,'Position Lookup'!A:B,2,FALSE)</f>
        <v>ATT</v>
      </c>
    </row>
    <row r="1540" ht="17.25" customHeight="1">
      <c r="A1540" s="32">
        <v>45311.0</v>
      </c>
      <c r="B1540" s="5" t="s">
        <v>309</v>
      </c>
      <c r="C1540" s="3" t="s">
        <v>130</v>
      </c>
      <c r="D1540" s="3" t="s">
        <v>24</v>
      </c>
      <c r="E1540" s="5">
        <v>3.0</v>
      </c>
      <c r="F1540" s="3" t="s">
        <v>1610</v>
      </c>
      <c r="G1540" s="3" t="s">
        <v>224</v>
      </c>
      <c r="J1540" s="5">
        <v>2.0</v>
      </c>
      <c r="N1540" s="3" t="b">
        <v>0</v>
      </c>
      <c r="R1540" s="3">
        <v>0.0</v>
      </c>
      <c r="T1540" s="3">
        <v>10.0</v>
      </c>
      <c r="U1540" s="3">
        <v>7.0</v>
      </c>
      <c r="V1540" s="3" t="s">
        <v>1621</v>
      </c>
      <c r="X1540" s="77" t="s">
        <v>1612</v>
      </c>
      <c r="Y1540" s="3">
        <v>5.0</v>
      </c>
      <c r="Z1540" s="3">
        <v>2.0</v>
      </c>
      <c r="AA1540" s="3">
        <f>2+ (P1540*'Scoring System'!$B$3)+ (IF(OR(AD1540="DEF",AD1540="GK"),N1540*'Scoring System'!$B$4,IF(AD1540="MID",N1540*'Scoring System'!$B$5,0)))+ (IF(OR(AD1540="DEF",AD1540="GK"),H1540*'Scoring System'!$B$6,IF(AD1540="MID",H1540*'Scoring System'!$B$7,IF(AD1540="ATT",H1540*'Scoring System'!$B$8,0))))+ IF(AND(OR(AD1540="GK",AD1540="DEF"),J1540&gt;=3),1*'Scoring System'!$B$9,0)+ (I1540*'Scoring System'!$B$10)+ (K1540*'Scoring System'!$B$11)+ (M1540*'Scoring System'!$B$12)+ (L1540*'Scoring System'!$B$13)+ (O1540*'Scoring System'!$B$14)+ (Q1540*'Scoring System'!$B$15)+ (R1540*'Scoring System'!$B$16)</f>
        <v>2</v>
      </c>
      <c r="AB1540" s="3" t="b">
        <f>IFERROR(match(C1540,'Match Day Fees'!$B$2:$B$999,0),0)=0</f>
        <v>0</v>
      </c>
      <c r="AC1540" s="3">
        <f t="shared" si="2"/>
        <v>0</v>
      </c>
      <c r="AD1540" s="3" t="str">
        <f>VLOOKUP(D1540,'Position Lookup'!A:B,2,FALSE)</f>
        <v>ATT</v>
      </c>
    </row>
    <row r="1541" ht="17.25" customHeight="1">
      <c r="A1541" s="32">
        <v>45311.0</v>
      </c>
      <c r="B1541" s="5" t="s">
        <v>309</v>
      </c>
      <c r="C1541" s="3" t="s">
        <v>254</v>
      </c>
      <c r="D1541" s="3" t="s">
        <v>22</v>
      </c>
      <c r="E1541" s="5">
        <v>3.0</v>
      </c>
      <c r="F1541" s="3" t="s">
        <v>1610</v>
      </c>
      <c r="G1541" s="3" t="s">
        <v>224</v>
      </c>
      <c r="J1541" s="5">
        <v>2.0</v>
      </c>
      <c r="N1541" s="3" t="b">
        <v>0</v>
      </c>
      <c r="R1541" s="3">
        <v>0.0</v>
      </c>
      <c r="S1541" s="3" t="b">
        <v>1</v>
      </c>
      <c r="T1541" s="3">
        <v>0.0</v>
      </c>
      <c r="U1541" s="3">
        <v>7.0</v>
      </c>
      <c r="V1541" s="3" t="s">
        <v>1622</v>
      </c>
      <c r="X1541" s="77" t="s">
        <v>1612</v>
      </c>
      <c r="Y1541" s="3">
        <v>5.0</v>
      </c>
      <c r="Z1541" s="3">
        <v>2.0</v>
      </c>
      <c r="AA1541" s="3">
        <f>2+ (P1541*'Scoring System'!$B$3)+ (IF(OR(AD1541="DEF",AD1541="GK"),N1541*'Scoring System'!$B$4,IF(AD1541="MID",N1541*'Scoring System'!$B$5,0)))+ (IF(OR(AD1541="DEF",AD1541="GK"),H1541*'Scoring System'!$B$6,IF(AD1541="MID",H1541*'Scoring System'!$B$7,IF(AD1541="ATT",H1541*'Scoring System'!$B$8,0))))+ IF(AND(OR(AD1541="GK",AD1541="DEF"),J1541&gt;=3),1*'Scoring System'!$B$9,0)+ (I1541*'Scoring System'!$B$10)+ (K1541*'Scoring System'!$B$11)+ (M1541*'Scoring System'!$B$12)+ (L1541*'Scoring System'!$B$13)+ (O1541*'Scoring System'!$B$14)+ (Q1541*'Scoring System'!$B$15)+ (R1541*'Scoring System'!$B$16)</f>
        <v>2</v>
      </c>
      <c r="AB1541" s="3" t="b">
        <f>IFERROR(match(C1541,'Match Day Fees'!$B$2:$B$999,0),0)=0</f>
        <v>0</v>
      </c>
      <c r="AC1541" s="3">
        <f t="shared" si="2"/>
        <v>0</v>
      </c>
      <c r="AD1541" s="3" t="str">
        <f>VLOOKUP(D1541,'Position Lookup'!A:B,2,FALSE)</f>
        <v>ATT</v>
      </c>
    </row>
    <row r="1542" ht="17.25" customHeight="1">
      <c r="A1542" s="32">
        <v>45311.0</v>
      </c>
      <c r="B1542" s="5" t="s">
        <v>309</v>
      </c>
      <c r="C1542" s="3" t="s">
        <v>119</v>
      </c>
      <c r="D1542" s="3" t="s">
        <v>12</v>
      </c>
      <c r="E1542" s="5">
        <v>3.0</v>
      </c>
      <c r="F1542" s="3" t="s">
        <v>1610</v>
      </c>
      <c r="G1542" s="3" t="s">
        <v>224</v>
      </c>
      <c r="I1542" s="3">
        <v>1.0</v>
      </c>
      <c r="J1542" s="5">
        <v>2.0</v>
      </c>
      <c r="N1542" s="3" t="b">
        <v>0</v>
      </c>
      <c r="R1542" s="3">
        <v>0.0</v>
      </c>
      <c r="T1542" s="3">
        <v>10.0</v>
      </c>
      <c r="U1542" s="3">
        <v>7.0</v>
      </c>
      <c r="V1542" s="3" t="s">
        <v>1623</v>
      </c>
      <c r="X1542" s="77" t="s">
        <v>1612</v>
      </c>
      <c r="Y1542" s="3">
        <v>5.0</v>
      </c>
      <c r="Z1542" s="3">
        <v>2.0</v>
      </c>
      <c r="AA1542" s="3">
        <f>2+ (P1542*'Scoring System'!$B$3)+ (IF(OR(AD1542="DEF",AD1542="GK"),N1542*'Scoring System'!$B$4,IF(AD1542="MID",N1542*'Scoring System'!$B$5,0)))+ (IF(OR(AD1542="DEF",AD1542="GK"),H1542*'Scoring System'!$B$6,IF(AD1542="MID",H1542*'Scoring System'!$B$7,IF(AD1542="ATT",H1542*'Scoring System'!$B$8,0))))+ IF(AND(OR(AD1542="GK",AD1542="DEF"),J1542&gt;=3),1*'Scoring System'!$B$9,0)+ (I1542*'Scoring System'!$B$10)+ (K1542*'Scoring System'!$B$11)+ (M1542*'Scoring System'!$B$12)+ (L1542*'Scoring System'!$B$13)+ (O1542*'Scoring System'!$B$14)+ (Q1542*'Scoring System'!$B$15)+ (R1542*'Scoring System'!$B$16)</f>
        <v>5</v>
      </c>
      <c r="AB1542" s="3" t="b">
        <f>IFERROR(match(C1542,'Match Day Fees'!$B$2:$B$999,0),0)=0</f>
        <v>0</v>
      </c>
      <c r="AC1542" s="3">
        <f t="shared" si="2"/>
        <v>0</v>
      </c>
      <c r="AD1542" s="3" t="str">
        <f>VLOOKUP(D1542,'Position Lookup'!A:B,2,FALSE)</f>
        <v>DEF</v>
      </c>
    </row>
    <row r="1543" ht="17.25" customHeight="1">
      <c r="A1543" s="32">
        <v>45311.0</v>
      </c>
      <c r="B1543" s="5" t="s">
        <v>309</v>
      </c>
      <c r="C1543" s="3" t="s">
        <v>155</v>
      </c>
      <c r="D1543" s="3" t="s">
        <v>20</v>
      </c>
      <c r="E1543" s="5">
        <v>3.0</v>
      </c>
      <c r="F1543" s="3" t="s">
        <v>1610</v>
      </c>
      <c r="G1543" s="3" t="s">
        <v>224</v>
      </c>
      <c r="J1543" s="5">
        <v>2.0</v>
      </c>
      <c r="N1543" s="3" t="b">
        <v>0</v>
      </c>
      <c r="R1543" s="3">
        <v>0.0</v>
      </c>
      <c r="T1543" s="3">
        <v>10.0</v>
      </c>
      <c r="U1543" s="3">
        <v>7.0</v>
      </c>
      <c r="V1543" s="3" t="s">
        <v>1624</v>
      </c>
      <c r="X1543" s="77" t="s">
        <v>1612</v>
      </c>
      <c r="Y1543" s="3">
        <v>5.0</v>
      </c>
      <c r="Z1543" s="3">
        <v>2.0</v>
      </c>
      <c r="AA1543" s="3">
        <f>2+ (P1543*'Scoring System'!$B$3)+ (IF(OR(AD1543="DEF",AD1543="GK"),N1543*'Scoring System'!$B$4,IF(AD1543="MID",N1543*'Scoring System'!$B$5,0)))+ (IF(OR(AD1543="DEF",AD1543="GK"),H1543*'Scoring System'!$B$6,IF(AD1543="MID",H1543*'Scoring System'!$B$7,IF(AD1543="ATT",H1543*'Scoring System'!$B$8,0))))+ IF(AND(OR(AD1543="GK",AD1543="DEF"),J1543&gt;=3),1*'Scoring System'!$B$9,0)+ (I1543*'Scoring System'!$B$10)+ (K1543*'Scoring System'!$B$11)+ (M1543*'Scoring System'!$B$12)+ (L1543*'Scoring System'!$B$13)+ (O1543*'Scoring System'!$B$14)+ (Q1543*'Scoring System'!$B$15)+ (R1543*'Scoring System'!$B$16)</f>
        <v>2</v>
      </c>
      <c r="AB1543" s="3" t="b">
        <f>IFERROR(match(C1543,'Match Day Fees'!$B$2:$B$999,0),0)=0</f>
        <v>0</v>
      </c>
      <c r="AC1543" s="3">
        <f t="shared" si="2"/>
        <v>0</v>
      </c>
      <c r="AD1543" s="3" t="str">
        <f>VLOOKUP(D1543,'Position Lookup'!A:B,2,FALSE)</f>
        <v>MID</v>
      </c>
    </row>
    <row r="1544" ht="17.25" customHeight="1">
      <c r="A1544" s="32">
        <v>45311.0</v>
      </c>
      <c r="B1544" s="5" t="s">
        <v>309</v>
      </c>
      <c r="C1544" s="3" t="s">
        <v>55</v>
      </c>
      <c r="D1544" s="3" t="s">
        <v>24</v>
      </c>
      <c r="E1544" s="5">
        <v>3.0</v>
      </c>
      <c r="F1544" s="3" t="s">
        <v>1610</v>
      </c>
      <c r="G1544" s="3" t="s">
        <v>224</v>
      </c>
      <c r="H1544" s="3">
        <v>3.0</v>
      </c>
      <c r="J1544" s="5">
        <v>2.0</v>
      </c>
      <c r="N1544" s="3" t="b">
        <v>0</v>
      </c>
      <c r="R1544" s="3">
        <v>1.0</v>
      </c>
      <c r="T1544" s="3">
        <v>5.0</v>
      </c>
      <c r="U1544" s="3">
        <v>9.5</v>
      </c>
      <c r="V1544" s="3" t="s">
        <v>1625</v>
      </c>
      <c r="X1544" s="77" t="s">
        <v>1612</v>
      </c>
      <c r="Y1544" s="3">
        <v>5.0</v>
      </c>
      <c r="Z1544" s="3">
        <v>2.0</v>
      </c>
      <c r="AA1544" s="3">
        <f>2+ (P1544*'Scoring System'!$B$3)+ (IF(OR(AD1544="DEF",AD1544="GK"),N1544*'Scoring System'!$B$4,IF(AD1544="MID",N1544*'Scoring System'!$B$5,0)))+ (IF(OR(AD1544="DEF",AD1544="GK"),H1544*'Scoring System'!$B$6,IF(AD1544="MID",H1544*'Scoring System'!$B$7,IF(AD1544="ATT",H1544*'Scoring System'!$B$8,0))))+ IF(AND(OR(AD1544="GK",AD1544="DEF"),J1544&gt;=3),1*'Scoring System'!$B$9,0)+ (I1544*'Scoring System'!$B$10)+ (K1544*'Scoring System'!$B$11)+ (M1544*'Scoring System'!$B$12)+ (L1544*'Scoring System'!$B$13)+ (O1544*'Scoring System'!$B$14)+ (Q1544*'Scoring System'!$B$15)+ (R1544*'Scoring System'!$B$16)</f>
        <v>19</v>
      </c>
      <c r="AB1544" s="3" t="b">
        <f>IFERROR(match(C1544,'Match Day Fees'!$B$2:$B$999,0),0)=0</f>
        <v>0</v>
      </c>
      <c r="AC1544" s="3">
        <f t="shared" si="2"/>
        <v>0</v>
      </c>
      <c r="AD1544" s="3" t="str">
        <f>VLOOKUP(D1544,'Position Lookup'!A:B,2,FALSE)</f>
        <v>ATT</v>
      </c>
    </row>
    <row r="1545" ht="17.25" customHeight="1">
      <c r="A1545" s="32">
        <v>45311.0</v>
      </c>
      <c r="B1545" s="5" t="s">
        <v>309</v>
      </c>
      <c r="C1545" s="3" t="s">
        <v>108</v>
      </c>
      <c r="D1545" s="3" t="s">
        <v>8</v>
      </c>
      <c r="E1545" s="5">
        <v>4.0</v>
      </c>
      <c r="F1545" s="3" t="s">
        <v>1626</v>
      </c>
      <c r="G1545" s="3" t="s">
        <v>224</v>
      </c>
      <c r="J1545" s="5">
        <v>0.0</v>
      </c>
      <c r="N1545" s="3" t="b">
        <v>1</v>
      </c>
      <c r="R1545" s="3">
        <v>0.0</v>
      </c>
      <c r="T1545" s="3">
        <v>0.0</v>
      </c>
      <c r="U1545" s="3">
        <v>8.5</v>
      </c>
      <c r="V1545" s="3" t="s">
        <v>1627</v>
      </c>
      <c r="W1545" s="3" t="s">
        <v>344</v>
      </c>
      <c r="X1545" s="77" t="s">
        <v>1628</v>
      </c>
      <c r="Y1545" s="3">
        <v>3.0</v>
      </c>
      <c r="Z1545" s="3">
        <v>0.0</v>
      </c>
      <c r="AA1545" s="3">
        <f>2+ (P1545*'Scoring System'!$B$3)+ (IF(OR(AD1545="DEF",AD1545="GK"),N1545*'Scoring System'!$B$4,IF(AD1545="MID",N1545*'Scoring System'!$B$5,0)))+ (IF(OR(AD1545="DEF",AD1545="GK"),H1545*'Scoring System'!$B$6,IF(AD1545="MID",H1545*'Scoring System'!$B$7,IF(AD1545="ATT",H1545*'Scoring System'!$B$8,0))))+ IF(AND(OR(AD1545="GK",AD1545="DEF"),J1545&gt;=3),1*'Scoring System'!$B$9,0)+ (I1545*'Scoring System'!$B$10)+ (K1545*'Scoring System'!$B$11)+ (M1545*'Scoring System'!$B$12)+ (L1545*'Scoring System'!$B$13)+ (O1545*'Scoring System'!$B$14)+ (Q1545*'Scoring System'!$B$15)+ (R1545*'Scoring System'!$B$16)</f>
        <v>8</v>
      </c>
      <c r="AB1545" s="3" t="b">
        <f>IFERROR(match(C1545,'Match Day Fees'!$B$2:$B$999,0),0)=0</f>
        <v>0</v>
      </c>
      <c r="AC1545" s="3">
        <f t="shared" si="2"/>
        <v>0</v>
      </c>
      <c r="AD1545" s="3" t="str">
        <f>VLOOKUP(D1545,'Position Lookup'!A:B,2,FALSE)</f>
        <v>GK</v>
      </c>
    </row>
    <row r="1546" ht="17.25" customHeight="1">
      <c r="A1546" s="32">
        <v>45311.0</v>
      </c>
      <c r="B1546" s="5" t="s">
        <v>309</v>
      </c>
      <c r="C1546" s="3" t="s">
        <v>146</v>
      </c>
      <c r="D1546" s="3" t="s">
        <v>14</v>
      </c>
      <c r="E1546" s="5">
        <v>4.0</v>
      </c>
      <c r="F1546" s="3" t="s">
        <v>1626</v>
      </c>
      <c r="G1546" s="3" t="s">
        <v>224</v>
      </c>
      <c r="J1546" s="5">
        <v>0.0</v>
      </c>
      <c r="N1546" s="3" t="b">
        <v>1</v>
      </c>
      <c r="R1546" s="3">
        <v>0.0</v>
      </c>
      <c r="T1546" s="3">
        <v>10.0</v>
      </c>
      <c r="U1546" s="3">
        <v>8.0</v>
      </c>
      <c r="V1546" s="3" t="s">
        <v>1629</v>
      </c>
      <c r="W1546" s="3" t="s">
        <v>344</v>
      </c>
      <c r="X1546" s="77" t="s">
        <v>1628</v>
      </c>
      <c r="Y1546" s="3">
        <v>3.0</v>
      </c>
      <c r="Z1546" s="3">
        <v>0.0</v>
      </c>
      <c r="AA1546" s="3">
        <f>2+ (P1546*'Scoring System'!$B$3)+ (IF(OR(AD1546="DEF",AD1546="GK"),N1546*'Scoring System'!$B$4,IF(AD1546="MID",N1546*'Scoring System'!$B$5,0)))+ (IF(OR(AD1546="DEF",AD1546="GK"),H1546*'Scoring System'!$B$6,IF(AD1546="MID",H1546*'Scoring System'!$B$7,IF(AD1546="ATT",H1546*'Scoring System'!$B$8,0))))+ IF(AND(OR(AD1546="GK",AD1546="DEF"),J1546&gt;=3),1*'Scoring System'!$B$9,0)+ (I1546*'Scoring System'!$B$10)+ (K1546*'Scoring System'!$B$11)+ (M1546*'Scoring System'!$B$12)+ (L1546*'Scoring System'!$B$13)+ (O1546*'Scoring System'!$B$14)+ (Q1546*'Scoring System'!$B$15)+ (R1546*'Scoring System'!$B$16)</f>
        <v>8</v>
      </c>
      <c r="AB1546" s="3" t="b">
        <f>IFERROR(match(C1546,'Match Day Fees'!$B$2:$B$999,0),0)=0</f>
        <v>0</v>
      </c>
      <c r="AC1546" s="3">
        <f t="shared" si="2"/>
        <v>0</v>
      </c>
      <c r="AD1546" s="3" t="str">
        <f>VLOOKUP(D1546,'Position Lookup'!A:B,2,FALSE)</f>
        <v>DEF</v>
      </c>
    </row>
    <row r="1547" ht="17.25" customHeight="1">
      <c r="A1547" s="32">
        <v>45311.0</v>
      </c>
      <c r="B1547" s="5" t="s">
        <v>309</v>
      </c>
      <c r="C1547" s="3" t="s">
        <v>145</v>
      </c>
      <c r="D1547" s="3" t="s">
        <v>14</v>
      </c>
      <c r="E1547" s="5">
        <v>4.0</v>
      </c>
      <c r="F1547" s="3" t="s">
        <v>1626</v>
      </c>
      <c r="G1547" s="3" t="s">
        <v>224</v>
      </c>
      <c r="I1547" s="3">
        <v>1.0</v>
      </c>
      <c r="J1547" s="5">
        <v>0.0</v>
      </c>
      <c r="N1547" s="3" t="b">
        <v>1</v>
      </c>
      <c r="R1547" s="3">
        <v>0.0</v>
      </c>
      <c r="T1547" s="3">
        <v>10.0</v>
      </c>
      <c r="U1547" s="3">
        <v>8.0</v>
      </c>
      <c r="V1547" s="3" t="s">
        <v>1630</v>
      </c>
      <c r="W1547" s="3" t="s">
        <v>344</v>
      </c>
      <c r="X1547" s="77" t="s">
        <v>1628</v>
      </c>
      <c r="Y1547" s="3">
        <v>3.0</v>
      </c>
      <c r="Z1547" s="3">
        <v>0.0</v>
      </c>
      <c r="AA1547" s="3">
        <f>2+ (P1547*'Scoring System'!$B$3)+ (IF(OR(AD1547="DEF",AD1547="GK"),N1547*'Scoring System'!$B$4,IF(AD1547="MID",N1547*'Scoring System'!$B$5,0)))+ (IF(OR(AD1547="DEF",AD1547="GK"),H1547*'Scoring System'!$B$6,IF(AD1547="MID",H1547*'Scoring System'!$B$7,IF(AD1547="ATT",H1547*'Scoring System'!$B$8,0))))+ IF(AND(OR(AD1547="GK",AD1547="DEF"),J1547&gt;=3),1*'Scoring System'!$B$9,0)+ (I1547*'Scoring System'!$B$10)+ (K1547*'Scoring System'!$B$11)+ (M1547*'Scoring System'!$B$12)+ (L1547*'Scoring System'!$B$13)+ (O1547*'Scoring System'!$B$14)+ (Q1547*'Scoring System'!$B$15)+ (R1547*'Scoring System'!$B$16)</f>
        <v>11</v>
      </c>
      <c r="AB1547" s="3" t="b">
        <f>IFERROR(match(C1547,'Match Day Fees'!$B$2:$B$999,0),0)=0</f>
        <v>0</v>
      </c>
      <c r="AC1547" s="3">
        <f t="shared" si="2"/>
        <v>0</v>
      </c>
      <c r="AD1547" s="3" t="str">
        <f>VLOOKUP(D1547,'Position Lookup'!A:B,2,FALSE)</f>
        <v>DEF</v>
      </c>
    </row>
    <row r="1548" ht="17.25" customHeight="1">
      <c r="A1548" s="32">
        <v>45311.0</v>
      </c>
      <c r="B1548" s="5" t="s">
        <v>309</v>
      </c>
      <c r="C1548" s="3" t="s">
        <v>126</v>
      </c>
      <c r="D1548" s="3" t="s">
        <v>12</v>
      </c>
      <c r="E1548" s="5">
        <v>4.0</v>
      </c>
      <c r="F1548" s="3" t="s">
        <v>1626</v>
      </c>
      <c r="G1548" s="3" t="s">
        <v>224</v>
      </c>
      <c r="J1548" s="5">
        <v>0.0</v>
      </c>
      <c r="N1548" s="3" t="b">
        <v>1</v>
      </c>
      <c r="R1548" s="3">
        <v>0.0</v>
      </c>
      <c r="T1548" s="3">
        <v>5.0</v>
      </c>
      <c r="U1548" s="3">
        <v>7.5</v>
      </c>
      <c r="V1548" s="3" t="s">
        <v>1631</v>
      </c>
      <c r="W1548" s="3" t="s">
        <v>344</v>
      </c>
      <c r="X1548" s="77" t="s">
        <v>1628</v>
      </c>
      <c r="Y1548" s="3">
        <v>3.0</v>
      </c>
      <c r="Z1548" s="3">
        <v>0.0</v>
      </c>
      <c r="AA1548" s="3">
        <f>2+ (P1548*'Scoring System'!$B$3)+ (IF(OR(AD1548="DEF",AD1548="GK"),N1548*'Scoring System'!$B$4,IF(AD1548="MID",N1548*'Scoring System'!$B$5,0)))+ (IF(OR(AD1548="DEF",AD1548="GK"),H1548*'Scoring System'!$B$6,IF(AD1548="MID",H1548*'Scoring System'!$B$7,IF(AD1548="ATT",H1548*'Scoring System'!$B$8,0))))+ IF(AND(OR(AD1548="GK",AD1548="DEF"),J1548&gt;=3),1*'Scoring System'!$B$9,0)+ (I1548*'Scoring System'!$B$10)+ (K1548*'Scoring System'!$B$11)+ (M1548*'Scoring System'!$B$12)+ (L1548*'Scoring System'!$B$13)+ (O1548*'Scoring System'!$B$14)+ (Q1548*'Scoring System'!$B$15)+ (R1548*'Scoring System'!$B$16)</f>
        <v>8</v>
      </c>
      <c r="AB1548" s="3" t="b">
        <f>IFERROR(match(C1548,'Match Day Fees'!$B$2:$B$999,0),0)=0</f>
        <v>0</v>
      </c>
      <c r="AC1548" s="3">
        <f t="shared" si="2"/>
        <v>0</v>
      </c>
      <c r="AD1548" s="3" t="str">
        <f>VLOOKUP(D1548,'Position Lookup'!A:B,2,FALSE)</f>
        <v>DEF</v>
      </c>
    </row>
    <row r="1549" ht="17.25" customHeight="1">
      <c r="A1549" s="32">
        <v>45311.0</v>
      </c>
      <c r="B1549" s="5" t="s">
        <v>309</v>
      </c>
      <c r="C1549" s="3" t="s">
        <v>144</v>
      </c>
      <c r="D1549" s="3" t="s">
        <v>16</v>
      </c>
      <c r="E1549" s="5">
        <v>4.0</v>
      </c>
      <c r="F1549" s="3" t="s">
        <v>1626</v>
      </c>
      <c r="G1549" s="3" t="s">
        <v>224</v>
      </c>
      <c r="J1549" s="5">
        <v>0.0</v>
      </c>
      <c r="N1549" s="3" t="b">
        <v>1</v>
      </c>
      <c r="R1549" s="3">
        <v>0.0</v>
      </c>
      <c r="T1549" s="3">
        <v>10.0</v>
      </c>
      <c r="U1549" s="3">
        <v>8.0</v>
      </c>
      <c r="V1549" s="3" t="s">
        <v>1632</v>
      </c>
      <c r="W1549" s="3" t="s">
        <v>344</v>
      </c>
      <c r="X1549" s="77" t="s">
        <v>1628</v>
      </c>
      <c r="Y1549" s="3">
        <v>3.0</v>
      </c>
      <c r="Z1549" s="3">
        <v>0.0</v>
      </c>
      <c r="AA1549" s="3">
        <f>2+ (P1549*'Scoring System'!$B$3)+ (IF(OR(AD1549="DEF",AD1549="GK"),N1549*'Scoring System'!$B$4,IF(AD1549="MID",N1549*'Scoring System'!$B$5,0)))+ (IF(OR(AD1549="DEF",AD1549="GK"),H1549*'Scoring System'!$B$6,IF(AD1549="MID",H1549*'Scoring System'!$B$7,IF(AD1549="ATT",H1549*'Scoring System'!$B$8,0))))+ IF(AND(OR(AD1549="GK",AD1549="DEF"),J1549&gt;=3),1*'Scoring System'!$B$9,0)+ (I1549*'Scoring System'!$B$10)+ (K1549*'Scoring System'!$B$11)+ (M1549*'Scoring System'!$B$12)+ (L1549*'Scoring System'!$B$13)+ (O1549*'Scoring System'!$B$14)+ (Q1549*'Scoring System'!$B$15)+ (R1549*'Scoring System'!$B$16)</f>
        <v>8</v>
      </c>
      <c r="AB1549" s="3" t="b">
        <f>IFERROR(match(C1549,'Match Day Fees'!$B$2:$B$999,0),0)=0</f>
        <v>0</v>
      </c>
      <c r="AC1549" s="3">
        <f t="shared" si="2"/>
        <v>0</v>
      </c>
      <c r="AD1549" s="3" t="str">
        <f>VLOOKUP(D1549,'Position Lookup'!A:B,2,FALSE)</f>
        <v>DEF</v>
      </c>
    </row>
    <row r="1550" ht="17.25" customHeight="1">
      <c r="A1550" s="32">
        <v>45311.0</v>
      </c>
      <c r="B1550" s="5" t="s">
        <v>309</v>
      </c>
      <c r="C1550" s="3" t="s">
        <v>72</v>
      </c>
      <c r="D1550" s="3" t="s">
        <v>20</v>
      </c>
      <c r="E1550" s="5">
        <v>4.0</v>
      </c>
      <c r="F1550" s="3" t="s">
        <v>1626</v>
      </c>
      <c r="G1550" s="3" t="s">
        <v>224</v>
      </c>
      <c r="H1550" s="3">
        <v>1.0</v>
      </c>
      <c r="J1550" s="5">
        <v>0.0</v>
      </c>
      <c r="N1550" s="3" t="b">
        <v>1</v>
      </c>
      <c r="R1550" s="3">
        <v>0.0</v>
      </c>
      <c r="T1550" s="3">
        <v>10.0</v>
      </c>
      <c r="U1550" s="3">
        <v>7.0</v>
      </c>
      <c r="V1550" s="3" t="s">
        <v>1633</v>
      </c>
      <c r="W1550" s="3" t="s">
        <v>344</v>
      </c>
      <c r="X1550" s="77" t="s">
        <v>1628</v>
      </c>
      <c r="Y1550" s="3">
        <v>3.0</v>
      </c>
      <c r="Z1550" s="3">
        <v>0.0</v>
      </c>
      <c r="AA1550" s="3">
        <f>2+ (P1550*'Scoring System'!$B$3)+ (IF(OR(AD1550="DEF",AD1550="GK"),N1550*'Scoring System'!$B$4,IF(AD1550="MID",N1550*'Scoring System'!$B$5,0)))+ (IF(OR(AD1550="DEF",AD1550="GK"),H1550*'Scoring System'!$B$6,IF(AD1550="MID",H1550*'Scoring System'!$B$7,IF(AD1550="ATT",H1550*'Scoring System'!$B$8,0))))+ IF(AND(OR(AD1550="GK",AD1550="DEF"),J1550&gt;=3),1*'Scoring System'!$B$9,0)+ (I1550*'Scoring System'!$B$10)+ (K1550*'Scoring System'!$B$11)+ (M1550*'Scoring System'!$B$12)+ (L1550*'Scoring System'!$B$13)+ (O1550*'Scoring System'!$B$14)+ (Q1550*'Scoring System'!$B$15)+ (R1550*'Scoring System'!$B$16)</f>
        <v>9</v>
      </c>
      <c r="AB1550" s="3" t="b">
        <f>IFERROR(match(C1550,'Match Day Fees'!$B$2:$B$999,0),0)=0</f>
        <v>0</v>
      </c>
      <c r="AC1550" s="3">
        <f t="shared" si="2"/>
        <v>0</v>
      </c>
      <c r="AD1550" s="3" t="str">
        <f>VLOOKUP(D1550,'Position Lookup'!A:B,2,FALSE)</f>
        <v>MID</v>
      </c>
    </row>
    <row r="1551" ht="17.25" customHeight="1">
      <c r="A1551" s="32">
        <v>45311.0</v>
      </c>
      <c r="B1551" s="5" t="s">
        <v>309</v>
      </c>
      <c r="C1551" s="3" t="s">
        <v>136</v>
      </c>
      <c r="D1551" s="3" t="s">
        <v>21</v>
      </c>
      <c r="E1551" s="5">
        <v>4.0</v>
      </c>
      <c r="F1551" s="3" t="s">
        <v>1626</v>
      </c>
      <c r="G1551" s="3" t="s">
        <v>224</v>
      </c>
      <c r="I1551" s="3">
        <v>1.0</v>
      </c>
      <c r="J1551" s="5">
        <v>0.0</v>
      </c>
      <c r="N1551" s="3" t="b">
        <v>1</v>
      </c>
      <c r="R1551" s="3">
        <v>0.0</v>
      </c>
      <c r="S1551" s="3" t="b">
        <v>1</v>
      </c>
      <c r="T1551" s="3">
        <v>0.0</v>
      </c>
      <c r="U1551" s="3">
        <v>7.5</v>
      </c>
      <c r="V1551" s="3" t="s">
        <v>1634</v>
      </c>
      <c r="W1551" s="3" t="s">
        <v>344</v>
      </c>
      <c r="X1551" s="77" t="s">
        <v>1628</v>
      </c>
      <c r="Y1551" s="3">
        <v>3.0</v>
      </c>
      <c r="Z1551" s="3">
        <v>0.0</v>
      </c>
      <c r="AA1551" s="3">
        <f>2+ (P1551*'Scoring System'!$B$3)+ (IF(OR(AD1551="DEF",AD1551="GK"),N1551*'Scoring System'!$B$4,IF(AD1551="MID",N1551*'Scoring System'!$B$5,0)))+ (IF(OR(AD1551="DEF",AD1551="GK"),H1551*'Scoring System'!$B$6,IF(AD1551="MID",H1551*'Scoring System'!$B$7,IF(AD1551="ATT",H1551*'Scoring System'!$B$8,0))))+ IF(AND(OR(AD1551="GK",AD1551="DEF"),J1551&gt;=3),1*'Scoring System'!$B$9,0)+ (I1551*'Scoring System'!$B$10)+ (K1551*'Scoring System'!$B$11)+ (M1551*'Scoring System'!$B$12)+ (L1551*'Scoring System'!$B$13)+ (O1551*'Scoring System'!$B$14)+ (Q1551*'Scoring System'!$B$15)+ (R1551*'Scoring System'!$B$16)</f>
        <v>7</v>
      </c>
      <c r="AB1551" s="3" t="b">
        <f>IFERROR(match(C1551,'Match Day Fees'!$B$2:$B$999,0),0)=0</f>
        <v>0</v>
      </c>
      <c r="AC1551" s="3">
        <f t="shared" si="2"/>
        <v>0</v>
      </c>
      <c r="AD1551" s="3" t="str">
        <f>VLOOKUP(D1551,'Position Lookup'!A:B,2,FALSE)</f>
        <v>MID</v>
      </c>
    </row>
    <row r="1552" ht="17.25" customHeight="1">
      <c r="A1552" s="32">
        <v>45311.0</v>
      </c>
      <c r="B1552" s="5" t="s">
        <v>309</v>
      </c>
      <c r="C1552" s="3" t="s">
        <v>44</v>
      </c>
      <c r="D1552" s="3" t="s">
        <v>20</v>
      </c>
      <c r="E1552" s="5">
        <v>4.0</v>
      </c>
      <c r="F1552" s="3" t="s">
        <v>1626</v>
      </c>
      <c r="G1552" s="3" t="s">
        <v>224</v>
      </c>
      <c r="J1552" s="5">
        <v>0.0</v>
      </c>
      <c r="N1552" s="3" t="b">
        <v>1</v>
      </c>
      <c r="R1552" s="3">
        <v>0.0</v>
      </c>
      <c r="T1552" s="3">
        <v>5.0</v>
      </c>
      <c r="U1552" s="3">
        <v>8.0</v>
      </c>
      <c r="V1552" s="3" t="s">
        <v>1635</v>
      </c>
      <c r="W1552" s="3" t="s">
        <v>344</v>
      </c>
      <c r="X1552" s="77" t="s">
        <v>1628</v>
      </c>
      <c r="Y1552" s="3">
        <v>3.0</v>
      </c>
      <c r="Z1552" s="3">
        <v>0.0</v>
      </c>
      <c r="AA1552" s="3">
        <f>2+ (P1552*'Scoring System'!$B$3)+ (IF(OR(AD1552="DEF",AD1552="GK"),N1552*'Scoring System'!$B$4,IF(AD1552="MID",N1552*'Scoring System'!$B$5,0)))+ (IF(OR(AD1552="DEF",AD1552="GK"),H1552*'Scoring System'!$B$6,IF(AD1552="MID",H1552*'Scoring System'!$B$7,IF(AD1552="ATT",H1552*'Scoring System'!$B$8,0))))+ IF(AND(OR(AD1552="GK",AD1552="DEF"),J1552&gt;=3),1*'Scoring System'!$B$9,0)+ (I1552*'Scoring System'!$B$10)+ (K1552*'Scoring System'!$B$11)+ (M1552*'Scoring System'!$B$12)+ (L1552*'Scoring System'!$B$13)+ (O1552*'Scoring System'!$B$14)+ (Q1552*'Scoring System'!$B$15)+ (R1552*'Scoring System'!$B$16)</f>
        <v>4</v>
      </c>
      <c r="AB1552" s="3" t="b">
        <f>IFERROR(match(C1552,'Match Day Fees'!$B$2:$B$999,0),0)=0</f>
        <v>0</v>
      </c>
      <c r="AC1552" s="3">
        <f t="shared" si="2"/>
        <v>0</v>
      </c>
      <c r="AD1552" s="3" t="str">
        <f>VLOOKUP(D1552,'Position Lookup'!A:B,2,FALSE)</f>
        <v>MID</v>
      </c>
    </row>
    <row r="1553" ht="17.25" customHeight="1">
      <c r="A1553" s="32">
        <v>45311.0</v>
      </c>
      <c r="B1553" s="5" t="s">
        <v>309</v>
      </c>
      <c r="C1553" s="3" t="s">
        <v>45</v>
      </c>
      <c r="D1553" s="3" t="s">
        <v>22</v>
      </c>
      <c r="E1553" s="5">
        <v>4.0</v>
      </c>
      <c r="F1553" s="3" t="s">
        <v>1626</v>
      </c>
      <c r="G1553" s="3" t="s">
        <v>224</v>
      </c>
      <c r="J1553" s="5">
        <v>0.0</v>
      </c>
      <c r="N1553" s="3" t="b">
        <v>1</v>
      </c>
      <c r="R1553" s="3">
        <v>0.0</v>
      </c>
      <c r="T1553" s="3">
        <v>10.0</v>
      </c>
      <c r="U1553" s="3">
        <v>7.0</v>
      </c>
      <c r="V1553" s="3" t="s">
        <v>1636</v>
      </c>
      <c r="W1553" s="3" t="s">
        <v>344</v>
      </c>
      <c r="X1553" s="77" t="s">
        <v>1628</v>
      </c>
      <c r="Y1553" s="3">
        <v>3.0</v>
      </c>
      <c r="Z1553" s="3">
        <v>0.0</v>
      </c>
      <c r="AA1553" s="3">
        <f>2+ (P1553*'Scoring System'!$B$3)+ (IF(OR(AD1553="DEF",AD1553="GK"),N1553*'Scoring System'!$B$4,IF(AD1553="MID",N1553*'Scoring System'!$B$5,0)))+ (IF(OR(AD1553="DEF",AD1553="GK"),H1553*'Scoring System'!$B$6,IF(AD1553="MID",H1553*'Scoring System'!$B$7,IF(AD1553="ATT",H1553*'Scoring System'!$B$8,0))))+ IF(AND(OR(AD1553="GK",AD1553="DEF"),J1553&gt;=3),1*'Scoring System'!$B$9,0)+ (I1553*'Scoring System'!$B$10)+ (K1553*'Scoring System'!$B$11)+ (M1553*'Scoring System'!$B$12)+ (L1553*'Scoring System'!$B$13)+ (O1553*'Scoring System'!$B$14)+ (Q1553*'Scoring System'!$B$15)+ (R1553*'Scoring System'!$B$16)</f>
        <v>2</v>
      </c>
      <c r="AB1553" s="3" t="b">
        <f>IFERROR(match(C1553,'Match Day Fees'!$B$2:$B$999,0),0)=0</f>
        <v>0</v>
      </c>
      <c r="AC1553" s="3">
        <f t="shared" si="2"/>
        <v>0</v>
      </c>
      <c r="AD1553" s="3" t="str">
        <f>VLOOKUP(D1553,'Position Lookup'!A:B,2,FALSE)</f>
        <v>ATT</v>
      </c>
    </row>
    <row r="1554" ht="17.25" customHeight="1">
      <c r="A1554" s="32">
        <v>45311.0</v>
      </c>
      <c r="B1554" s="5" t="s">
        <v>309</v>
      </c>
      <c r="C1554" s="3" t="s">
        <v>132</v>
      </c>
      <c r="D1554" s="3" t="s">
        <v>22</v>
      </c>
      <c r="E1554" s="5">
        <v>4.0</v>
      </c>
      <c r="F1554" s="3" t="s">
        <v>1626</v>
      </c>
      <c r="G1554" s="3" t="s">
        <v>224</v>
      </c>
      <c r="I1554" s="3">
        <v>1.0</v>
      </c>
      <c r="J1554" s="5">
        <v>0.0</v>
      </c>
      <c r="N1554" s="3" t="b">
        <v>1</v>
      </c>
      <c r="R1554" s="3">
        <v>0.0</v>
      </c>
      <c r="T1554" s="3">
        <v>10.0</v>
      </c>
      <c r="U1554" s="3">
        <v>7.0</v>
      </c>
      <c r="V1554" s="3" t="s">
        <v>1637</v>
      </c>
      <c r="W1554" s="3" t="s">
        <v>344</v>
      </c>
      <c r="X1554" s="77" t="s">
        <v>1628</v>
      </c>
      <c r="Y1554" s="3">
        <v>3.0</v>
      </c>
      <c r="Z1554" s="3">
        <v>0.0</v>
      </c>
      <c r="AA1554" s="3">
        <f>2+ (P1554*'Scoring System'!$B$3)+ (IF(OR(AD1554="DEF",AD1554="GK"),N1554*'Scoring System'!$B$4,IF(AD1554="MID",N1554*'Scoring System'!$B$5,0)))+ (IF(OR(AD1554="DEF",AD1554="GK"),H1554*'Scoring System'!$B$6,IF(AD1554="MID",H1554*'Scoring System'!$B$7,IF(AD1554="ATT",H1554*'Scoring System'!$B$8,0))))+ IF(AND(OR(AD1554="GK",AD1554="DEF"),J1554&gt;=3),1*'Scoring System'!$B$9,0)+ (I1554*'Scoring System'!$B$10)+ (K1554*'Scoring System'!$B$11)+ (M1554*'Scoring System'!$B$12)+ (L1554*'Scoring System'!$B$13)+ (O1554*'Scoring System'!$B$14)+ (Q1554*'Scoring System'!$B$15)+ (R1554*'Scoring System'!$B$16)</f>
        <v>5</v>
      </c>
      <c r="AB1554" s="3" t="b">
        <f>IFERROR(match(C1554,'Match Day Fees'!$B$2:$B$999,0),0)=0</f>
        <v>0</v>
      </c>
      <c r="AC1554" s="3">
        <f t="shared" si="2"/>
        <v>0</v>
      </c>
      <c r="AD1554" s="3" t="str">
        <f>VLOOKUP(D1554,'Position Lookup'!A:B,2,FALSE)</f>
        <v>ATT</v>
      </c>
    </row>
    <row r="1555" ht="17.25" customHeight="1">
      <c r="A1555" s="32">
        <v>45311.0</v>
      </c>
      <c r="B1555" s="5" t="s">
        <v>309</v>
      </c>
      <c r="C1555" s="3" t="s">
        <v>148</v>
      </c>
      <c r="D1555" s="3" t="s">
        <v>24</v>
      </c>
      <c r="E1555" s="5">
        <v>4.0</v>
      </c>
      <c r="F1555" s="3" t="s">
        <v>1626</v>
      </c>
      <c r="G1555" s="3" t="s">
        <v>224</v>
      </c>
      <c r="H1555" s="3">
        <v>1.0</v>
      </c>
      <c r="J1555" s="5">
        <v>0.0</v>
      </c>
      <c r="N1555" s="3" t="b">
        <v>1</v>
      </c>
      <c r="R1555" s="3">
        <v>1.0</v>
      </c>
      <c r="T1555" s="3">
        <v>10.0</v>
      </c>
      <c r="U1555" s="3">
        <v>9.0</v>
      </c>
      <c r="V1555" s="3" t="s">
        <v>1638</v>
      </c>
      <c r="W1555" s="3" t="s">
        <v>344</v>
      </c>
      <c r="X1555" s="77" t="s">
        <v>1628</v>
      </c>
      <c r="Y1555" s="3">
        <v>3.0</v>
      </c>
      <c r="Z1555" s="3">
        <v>0.0</v>
      </c>
      <c r="AA1555" s="3">
        <f>2+ (P1555*'Scoring System'!$B$3)+ (IF(OR(AD1555="DEF",AD1555="GK"),N1555*'Scoring System'!$B$4,IF(AD1555="MID",N1555*'Scoring System'!$B$5,0)))+ (IF(OR(AD1555="DEF",AD1555="GK"),H1555*'Scoring System'!$B$6,IF(AD1555="MID",H1555*'Scoring System'!$B$7,IF(AD1555="ATT",H1555*'Scoring System'!$B$8,0))))+ IF(AND(OR(AD1555="GK",AD1555="DEF"),J1555&gt;=3),1*'Scoring System'!$B$9,0)+ (I1555*'Scoring System'!$B$10)+ (K1555*'Scoring System'!$B$11)+ (M1555*'Scoring System'!$B$12)+ (L1555*'Scoring System'!$B$13)+ (O1555*'Scoring System'!$B$14)+ (Q1555*'Scoring System'!$B$15)+ (R1555*'Scoring System'!$B$16)</f>
        <v>11</v>
      </c>
      <c r="AB1555" s="3" t="b">
        <f>IFERROR(match(C1555,'Match Day Fees'!$B$2:$B$999,0),0)=0</f>
        <v>0</v>
      </c>
      <c r="AC1555" s="3">
        <f t="shared" si="2"/>
        <v>0</v>
      </c>
      <c r="AD1555" s="3" t="str">
        <f>VLOOKUP(D1555,'Position Lookup'!A:B,2,FALSE)</f>
        <v>ATT</v>
      </c>
    </row>
    <row r="1556" ht="17.25" customHeight="1">
      <c r="A1556" s="32">
        <v>45311.0</v>
      </c>
      <c r="B1556" s="5" t="s">
        <v>309</v>
      </c>
      <c r="C1556" s="3" t="s">
        <v>122</v>
      </c>
      <c r="D1556" s="3" t="s">
        <v>20</v>
      </c>
      <c r="E1556" s="5">
        <v>4.0</v>
      </c>
      <c r="F1556" s="3" t="s">
        <v>1626</v>
      </c>
      <c r="G1556" s="3" t="s">
        <v>224</v>
      </c>
      <c r="J1556" s="5">
        <v>0.0</v>
      </c>
      <c r="N1556" s="3" t="b">
        <v>1</v>
      </c>
      <c r="R1556" s="3">
        <v>0.0</v>
      </c>
      <c r="T1556" s="3">
        <v>2.5</v>
      </c>
      <c r="U1556" s="3">
        <v>7.0</v>
      </c>
      <c r="V1556" s="3" t="s">
        <v>1639</v>
      </c>
      <c r="W1556" s="3" t="s">
        <v>344</v>
      </c>
      <c r="X1556" s="77" t="s">
        <v>1628</v>
      </c>
      <c r="Y1556" s="3">
        <v>3.0</v>
      </c>
      <c r="Z1556" s="3">
        <v>0.0</v>
      </c>
      <c r="AA1556" s="3">
        <f>2+ (P1556*'Scoring System'!$B$3)+ (IF(OR(AD1556="DEF",AD1556="GK"),N1556*'Scoring System'!$B$4,IF(AD1556="MID",N1556*'Scoring System'!$B$5,0)))+ (IF(OR(AD1556="DEF",AD1556="GK"),H1556*'Scoring System'!$B$6,IF(AD1556="MID",H1556*'Scoring System'!$B$7,IF(AD1556="ATT",H1556*'Scoring System'!$B$8,0))))+ IF(AND(OR(AD1556="GK",AD1556="DEF"),J1556&gt;=3),1*'Scoring System'!$B$9,0)+ (I1556*'Scoring System'!$B$10)+ (K1556*'Scoring System'!$B$11)+ (M1556*'Scoring System'!$B$12)+ (L1556*'Scoring System'!$B$13)+ (O1556*'Scoring System'!$B$14)+ (Q1556*'Scoring System'!$B$15)+ (R1556*'Scoring System'!$B$16)</f>
        <v>4</v>
      </c>
      <c r="AB1556" s="3" t="b">
        <f>IFERROR(match(C1556,'Match Day Fees'!$B$2:$B$999,0),0)=0</f>
        <v>0</v>
      </c>
      <c r="AC1556" s="3">
        <f t="shared" si="2"/>
        <v>0</v>
      </c>
      <c r="AD1556" s="3" t="str">
        <f>VLOOKUP(D1556,'Position Lookup'!A:B,2,FALSE)</f>
        <v>MID</v>
      </c>
    </row>
    <row r="1557" ht="17.25" customHeight="1">
      <c r="A1557" s="32">
        <v>45311.0</v>
      </c>
      <c r="B1557" s="5" t="s">
        <v>309</v>
      </c>
      <c r="C1557" s="3" t="s">
        <v>48</v>
      </c>
      <c r="D1557" s="3" t="s">
        <v>23</v>
      </c>
      <c r="E1557" s="5">
        <v>4.0</v>
      </c>
      <c r="F1557" s="3" t="s">
        <v>1626</v>
      </c>
      <c r="G1557" s="3" t="s">
        <v>224</v>
      </c>
      <c r="H1557" s="3">
        <v>1.0</v>
      </c>
      <c r="J1557" s="5">
        <v>0.0</v>
      </c>
      <c r="N1557" s="3" t="b">
        <v>1</v>
      </c>
      <c r="R1557" s="3">
        <v>0.0</v>
      </c>
      <c r="T1557" s="3">
        <v>10.0</v>
      </c>
      <c r="U1557" s="3">
        <v>7.5</v>
      </c>
      <c r="V1557" s="3" t="s">
        <v>1640</v>
      </c>
      <c r="W1557" s="3" t="s">
        <v>344</v>
      </c>
      <c r="X1557" s="77" t="s">
        <v>1628</v>
      </c>
      <c r="Y1557" s="3">
        <v>3.0</v>
      </c>
      <c r="Z1557" s="3">
        <v>0.0</v>
      </c>
      <c r="AA1557" s="3">
        <f>2+ (P1557*'Scoring System'!$B$3)+ (IF(OR(AD1557="DEF",AD1557="GK"),N1557*'Scoring System'!$B$4,IF(AD1557="MID",N1557*'Scoring System'!$B$5,0)))+ (IF(OR(AD1557="DEF",AD1557="GK"),H1557*'Scoring System'!$B$6,IF(AD1557="MID",H1557*'Scoring System'!$B$7,IF(AD1557="ATT",H1557*'Scoring System'!$B$8,0))))+ IF(AND(OR(AD1557="GK",AD1557="DEF"),J1557&gt;=3),1*'Scoring System'!$B$9,0)+ (I1557*'Scoring System'!$B$10)+ (K1557*'Scoring System'!$B$11)+ (M1557*'Scoring System'!$B$12)+ (L1557*'Scoring System'!$B$13)+ (O1557*'Scoring System'!$B$14)+ (Q1557*'Scoring System'!$B$15)+ (R1557*'Scoring System'!$B$16)</f>
        <v>6</v>
      </c>
      <c r="AB1557" s="3" t="b">
        <f>IFERROR(match(C1557,'Match Day Fees'!$B$2:$B$999,0),0)=0</f>
        <v>0</v>
      </c>
      <c r="AC1557" s="3">
        <f t="shared" si="2"/>
        <v>0</v>
      </c>
      <c r="AD1557" s="3" t="str">
        <f>VLOOKUP(D1557,'Position Lookup'!A:B,2,FALSE)</f>
        <v>ATT</v>
      </c>
    </row>
    <row r="1558" ht="17.25" customHeight="1">
      <c r="A1558" s="32">
        <v>45311.0</v>
      </c>
      <c r="B1558" s="5" t="s">
        <v>309</v>
      </c>
      <c r="C1558" s="3" t="s">
        <v>139</v>
      </c>
      <c r="D1558" s="3" t="s">
        <v>24</v>
      </c>
      <c r="E1558" s="5">
        <v>4.0</v>
      </c>
      <c r="F1558" s="3" t="s">
        <v>1626</v>
      </c>
      <c r="G1558" s="3" t="s">
        <v>224</v>
      </c>
      <c r="J1558" s="5">
        <v>0.0</v>
      </c>
      <c r="N1558" s="3" t="b">
        <v>1</v>
      </c>
      <c r="R1558" s="3">
        <v>0.0</v>
      </c>
      <c r="T1558" s="3">
        <v>5.0</v>
      </c>
      <c r="U1558" s="3">
        <v>7.0</v>
      </c>
      <c r="V1558" s="3" t="s">
        <v>1641</v>
      </c>
      <c r="W1558" s="3" t="s">
        <v>344</v>
      </c>
      <c r="X1558" s="77" t="s">
        <v>1628</v>
      </c>
      <c r="Y1558" s="3">
        <v>3.0</v>
      </c>
      <c r="Z1558" s="3">
        <v>0.0</v>
      </c>
      <c r="AA1558" s="3">
        <f>2+ (P1558*'Scoring System'!$B$3)+ (IF(OR(AD1558="DEF",AD1558="GK"),N1558*'Scoring System'!$B$4,IF(AD1558="MID",N1558*'Scoring System'!$B$5,0)))+ (IF(OR(AD1558="DEF",AD1558="GK"),H1558*'Scoring System'!$B$6,IF(AD1558="MID",H1558*'Scoring System'!$B$7,IF(AD1558="ATT",H1558*'Scoring System'!$B$8,0))))+ IF(AND(OR(AD1558="GK",AD1558="DEF"),J1558&gt;=3),1*'Scoring System'!$B$9,0)+ (I1558*'Scoring System'!$B$10)+ (K1558*'Scoring System'!$B$11)+ (M1558*'Scoring System'!$B$12)+ (L1558*'Scoring System'!$B$13)+ (O1558*'Scoring System'!$B$14)+ (Q1558*'Scoring System'!$B$15)+ (R1558*'Scoring System'!$B$16)</f>
        <v>2</v>
      </c>
      <c r="AB1558" s="3" t="b">
        <f>IFERROR(match(C1558,'Match Day Fees'!$B$2:$B$999,0),0)=0</f>
        <v>0</v>
      </c>
      <c r="AC1558" s="3">
        <f t="shared" si="2"/>
        <v>0</v>
      </c>
      <c r="AD1558" s="3" t="str">
        <f>VLOOKUP(D1558,'Position Lookup'!A:B,2,FALSE)</f>
        <v>ATT</v>
      </c>
    </row>
    <row r="1559" ht="17.25" customHeight="1">
      <c r="A1559" s="32">
        <v>45311.0</v>
      </c>
      <c r="B1559" s="5" t="s">
        <v>309</v>
      </c>
      <c r="C1559" s="3" t="s">
        <v>106</v>
      </c>
      <c r="D1559" s="3" t="s">
        <v>8</v>
      </c>
      <c r="E1559" s="5">
        <v>5.0</v>
      </c>
      <c r="F1559" s="3" t="s">
        <v>1642</v>
      </c>
      <c r="G1559" s="3" t="s">
        <v>230</v>
      </c>
      <c r="J1559" s="5">
        <v>6.0</v>
      </c>
      <c r="N1559" s="3" t="b">
        <v>0</v>
      </c>
      <c r="R1559" s="3">
        <v>0.0</v>
      </c>
      <c r="S1559" s="3" t="b">
        <v>1</v>
      </c>
      <c r="T1559" s="3">
        <v>0.0</v>
      </c>
      <c r="U1559" s="3">
        <v>5.5</v>
      </c>
      <c r="V1559" s="3" t="s">
        <v>1643</v>
      </c>
      <c r="W1559" s="3" t="s">
        <v>344</v>
      </c>
      <c r="X1559" s="77" t="s">
        <v>1644</v>
      </c>
      <c r="Y1559" s="3">
        <v>0.0</v>
      </c>
      <c r="Z1559" s="3">
        <v>6.0</v>
      </c>
      <c r="AA1559" s="3">
        <f>2+ (P1559*'Scoring System'!$B$3)+ (IF(OR(AD1559="DEF",AD1559="GK"),N1559*'Scoring System'!$B$4,IF(AD1559="MID",N1559*'Scoring System'!$B$5,0)))+ (IF(OR(AD1559="DEF",AD1559="GK"),H1559*'Scoring System'!$B$6,IF(AD1559="MID",H1559*'Scoring System'!$B$7,IF(AD1559="ATT",H1559*'Scoring System'!$B$8,0))))+ IF(AND(OR(AD1559="GK",AD1559="DEF"),J1559&gt;=3),1*'Scoring System'!$B$9,0)+ (I1559*'Scoring System'!$B$10)+ (K1559*'Scoring System'!$B$11)+ (M1559*'Scoring System'!$B$12)+ (L1559*'Scoring System'!$B$13)+ (O1559*'Scoring System'!$B$14)+ (Q1559*'Scoring System'!$B$15)+ (R1559*'Scoring System'!$B$16)</f>
        <v>1</v>
      </c>
      <c r="AB1559" s="3" t="b">
        <f>IFERROR(match(C1559,'Match Day Fees'!$B$2:$B$999,0),0)=0</f>
        <v>0</v>
      </c>
      <c r="AC1559" s="3">
        <f t="shared" si="2"/>
        <v>0</v>
      </c>
      <c r="AD1559" s="3" t="str">
        <f>VLOOKUP(D1559,'Position Lookup'!A:B,2,FALSE)</f>
        <v>GK</v>
      </c>
    </row>
    <row r="1560" ht="17.25" customHeight="1">
      <c r="A1560" s="32">
        <v>45311.0</v>
      </c>
      <c r="B1560" s="5" t="s">
        <v>309</v>
      </c>
      <c r="C1560" s="3" t="s">
        <v>149</v>
      </c>
      <c r="D1560" s="3" t="s">
        <v>16</v>
      </c>
      <c r="E1560" s="5">
        <v>5.0</v>
      </c>
      <c r="F1560" s="3" t="s">
        <v>1642</v>
      </c>
      <c r="G1560" s="3" t="s">
        <v>230</v>
      </c>
      <c r="J1560" s="5">
        <v>6.0</v>
      </c>
      <c r="N1560" s="3" t="b">
        <v>0</v>
      </c>
      <c r="R1560" s="3">
        <v>1.0</v>
      </c>
      <c r="T1560" s="3">
        <v>10.0</v>
      </c>
      <c r="U1560" s="3">
        <v>7.5</v>
      </c>
      <c r="V1560" s="3" t="s">
        <v>1645</v>
      </c>
      <c r="W1560" s="3" t="s">
        <v>344</v>
      </c>
      <c r="X1560" s="77" t="s">
        <v>1644</v>
      </c>
      <c r="Y1560" s="3">
        <v>0.0</v>
      </c>
      <c r="Z1560" s="3">
        <v>6.0</v>
      </c>
      <c r="AA1560" s="3">
        <f>2+ (P1560*'Scoring System'!$B$3)+ (IF(OR(AD1560="DEF",AD1560="GK"),N1560*'Scoring System'!$B$4,IF(AD1560="MID",N1560*'Scoring System'!$B$5,0)))+ (IF(OR(AD1560="DEF",AD1560="GK"),H1560*'Scoring System'!$B$6,IF(AD1560="MID",H1560*'Scoring System'!$B$7,IF(AD1560="ATT",H1560*'Scoring System'!$B$8,0))))+ IF(AND(OR(AD1560="GK",AD1560="DEF"),J1560&gt;=3),1*'Scoring System'!$B$9,0)+ (I1560*'Scoring System'!$B$10)+ (K1560*'Scoring System'!$B$11)+ (M1560*'Scoring System'!$B$12)+ (L1560*'Scoring System'!$B$13)+ (O1560*'Scoring System'!$B$14)+ (Q1560*'Scoring System'!$B$15)+ (R1560*'Scoring System'!$B$16)</f>
        <v>6</v>
      </c>
      <c r="AB1560" s="3" t="b">
        <f>IFERROR(match(C1560,'Match Day Fees'!$B$2:$B$999,0),0)=0</f>
        <v>0</v>
      </c>
      <c r="AC1560" s="3">
        <f t="shared" si="2"/>
        <v>0</v>
      </c>
      <c r="AD1560" s="3" t="str">
        <f>VLOOKUP(D1560,'Position Lookup'!A:B,2,FALSE)</f>
        <v>DEF</v>
      </c>
    </row>
    <row r="1561" ht="17.25" customHeight="1">
      <c r="A1561" s="32">
        <v>45311.0</v>
      </c>
      <c r="B1561" s="5" t="s">
        <v>309</v>
      </c>
      <c r="C1561" s="3" t="s">
        <v>116</v>
      </c>
      <c r="D1561" s="3" t="s">
        <v>14</v>
      </c>
      <c r="E1561" s="5">
        <v>5.0</v>
      </c>
      <c r="F1561" s="3" t="s">
        <v>1642</v>
      </c>
      <c r="G1561" s="3" t="s">
        <v>230</v>
      </c>
      <c r="J1561" s="5">
        <v>6.0</v>
      </c>
      <c r="N1561" s="3" t="b">
        <v>0</v>
      </c>
      <c r="R1561" s="3">
        <v>0.0</v>
      </c>
      <c r="T1561" s="3">
        <v>10.0</v>
      </c>
      <c r="U1561" s="3">
        <v>7.0</v>
      </c>
      <c r="V1561" s="3" t="s">
        <v>1646</v>
      </c>
      <c r="W1561" s="3" t="s">
        <v>344</v>
      </c>
      <c r="X1561" s="77" t="s">
        <v>1644</v>
      </c>
      <c r="Y1561" s="3">
        <v>0.0</v>
      </c>
      <c r="Z1561" s="3">
        <v>6.0</v>
      </c>
      <c r="AA1561" s="3">
        <f>2+ (P1561*'Scoring System'!$B$3)+ (IF(OR(AD1561="DEF",AD1561="GK"),N1561*'Scoring System'!$B$4,IF(AD1561="MID",N1561*'Scoring System'!$B$5,0)))+ (IF(OR(AD1561="DEF",AD1561="GK"),H1561*'Scoring System'!$B$6,IF(AD1561="MID",H1561*'Scoring System'!$B$7,IF(AD1561="ATT",H1561*'Scoring System'!$B$8,0))))+ IF(AND(OR(AD1561="GK",AD1561="DEF"),J1561&gt;=3),1*'Scoring System'!$B$9,0)+ (I1561*'Scoring System'!$B$10)+ (K1561*'Scoring System'!$B$11)+ (M1561*'Scoring System'!$B$12)+ (L1561*'Scoring System'!$B$13)+ (O1561*'Scoring System'!$B$14)+ (Q1561*'Scoring System'!$B$15)+ (R1561*'Scoring System'!$B$16)</f>
        <v>1</v>
      </c>
      <c r="AB1561" s="3" t="b">
        <f>IFERROR(match(C1561,'Match Day Fees'!$B$2:$B$999,0),0)=0</f>
        <v>0</v>
      </c>
      <c r="AC1561" s="3">
        <f t="shared" si="2"/>
        <v>0</v>
      </c>
      <c r="AD1561" s="3" t="str">
        <f>VLOOKUP(D1561,'Position Lookup'!A:B,2,FALSE)</f>
        <v>DEF</v>
      </c>
    </row>
    <row r="1562" ht="17.25" customHeight="1">
      <c r="A1562" s="32">
        <v>45311.0</v>
      </c>
      <c r="B1562" s="5" t="s">
        <v>309</v>
      </c>
      <c r="C1562" s="3" t="s">
        <v>1647</v>
      </c>
      <c r="D1562" s="3" t="s">
        <v>14</v>
      </c>
      <c r="E1562" s="5">
        <v>5.0</v>
      </c>
      <c r="F1562" s="3" t="s">
        <v>1642</v>
      </c>
      <c r="G1562" s="3" t="s">
        <v>230</v>
      </c>
      <c r="J1562" s="5">
        <v>6.0</v>
      </c>
      <c r="N1562" s="3" t="b">
        <v>0</v>
      </c>
      <c r="R1562" s="3">
        <v>0.0</v>
      </c>
      <c r="T1562" s="3">
        <v>10.0</v>
      </c>
      <c r="U1562" s="3">
        <v>7.0</v>
      </c>
      <c r="V1562" s="3" t="s">
        <v>1648</v>
      </c>
      <c r="W1562" s="3" t="s">
        <v>344</v>
      </c>
      <c r="X1562" s="77" t="s">
        <v>1644</v>
      </c>
      <c r="Y1562" s="3">
        <v>0.0</v>
      </c>
      <c r="Z1562" s="3">
        <v>6.0</v>
      </c>
      <c r="AA1562" s="3">
        <f>2+ (P1562*'Scoring System'!$B$3)+ (IF(OR(AD1562="DEF",AD1562="GK"),N1562*'Scoring System'!$B$4,IF(AD1562="MID",N1562*'Scoring System'!$B$5,0)))+ (IF(OR(AD1562="DEF",AD1562="GK"),H1562*'Scoring System'!$B$6,IF(AD1562="MID",H1562*'Scoring System'!$B$7,IF(AD1562="ATT",H1562*'Scoring System'!$B$8,0))))+ IF(AND(OR(AD1562="GK",AD1562="DEF"),J1562&gt;=3),1*'Scoring System'!$B$9,0)+ (I1562*'Scoring System'!$B$10)+ (K1562*'Scoring System'!$B$11)+ (M1562*'Scoring System'!$B$12)+ (L1562*'Scoring System'!$B$13)+ (O1562*'Scoring System'!$B$14)+ (Q1562*'Scoring System'!$B$15)+ (R1562*'Scoring System'!$B$16)</f>
        <v>1</v>
      </c>
      <c r="AB1562" s="3" t="b">
        <f>IFERROR(match(C1562,'Match Day Fees'!$B$2:$B$999,0),0)=0</f>
        <v>0</v>
      </c>
      <c r="AC1562" s="3">
        <f t="shared" si="2"/>
        <v>0</v>
      </c>
      <c r="AD1562" s="3" t="str">
        <f>VLOOKUP(D1562,'Position Lookup'!A:B,2,FALSE)</f>
        <v>DEF</v>
      </c>
    </row>
    <row r="1563" ht="17.25" customHeight="1">
      <c r="A1563" s="32">
        <v>45311.0</v>
      </c>
      <c r="B1563" s="5" t="s">
        <v>309</v>
      </c>
      <c r="C1563" s="3" t="s">
        <v>154</v>
      </c>
      <c r="D1563" s="3" t="s">
        <v>14</v>
      </c>
      <c r="E1563" s="5">
        <v>5.0</v>
      </c>
      <c r="F1563" s="3" t="s">
        <v>1642</v>
      </c>
      <c r="G1563" s="3" t="s">
        <v>230</v>
      </c>
      <c r="J1563" s="5">
        <v>6.0</v>
      </c>
      <c r="K1563" s="3">
        <v>1.0</v>
      </c>
      <c r="N1563" s="3" t="b">
        <v>0</v>
      </c>
      <c r="R1563" s="3">
        <v>0.0</v>
      </c>
      <c r="T1563" s="3">
        <v>10.0</v>
      </c>
      <c r="U1563" s="3">
        <v>5.5</v>
      </c>
      <c r="V1563" s="3" t="s">
        <v>1649</v>
      </c>
      <c r="W1563" s="3" t="s">
        <v>344</v>
      </c>
      <c r="X1563" s="77" t="s">
        <v>1644</v>
      </c>
      <c r="Y1563" s="3">
        <v>0.0</v>
      </c>
      <c r="Z1563" s="3">
        <v>6.0</v>
      </c>
      <c r="AA1563" s="3">
        <f>2+ (P1563*'Scoring System'!$B$3)+ (IF(OR(AD1563="DEF",AD1563="GK"),N1563*'Scoring System'!$B$4,IF(AD1563="MID",N1563*'Scoring System'!$B$5,0)))+ (IF(OR(AD1563="DEF",AD1563="GK"),H1563*'Scoring System'!$B$6,IF(AD1563="MID",H1563*'Scoring System'!$B$7,IF(AD1563="ATT",H1563*'Scoring System'!$B$8,0))))+ IF(AND(OR(AD1563="GK",AD1563="DEF"),J1563&gt;=3),1*'Scoring System'!$B$9,0)+ (I1563*'Scoring System'!$B$10)+ (K1563*'Scoring System'!$B$11)+ (M1563*'Scoring System'!$B$12)+ (L1563*'Scoring System'!$B$13)+ (O1563*'Scoring System'!$B$14)+ (Q1563*'Scoring System'!$B$15)+ (R1563*'Scoring System'!$B$16)</f>
        <v>0</v>
      </c>
      <c r="AB1563" s="3" t="b">
        <f>IFERROR(match(C1563,'Match Day Fees'!$B$2:$B$999,0),0)=0</f>
        <v>0</v>
      </c>
      <c r="AC1563" s="3">
        <f t="shared" si="2"/>
        <v>0</v>
      </c>
      <c r="AD1563" s="3" t="str">
        <f>VLOOKUP(D1563,'Position Lookup'!A:B,2,FALSE)</f>
        <v>DEF</v>
      </c>
    </row>
    <row r="1564" ht="17.25" customHeight="1">
      <c r="A1564" s="32">
        <v>45311.0</v>
      </c>
      <c r="B1564" s="5" t="s">
        <v>309</v>
      </c>
      <c r="C1564" s="3" t="s">
        <v>103</v>
      </c>
      <c r="D1564" s="3" t="s">
        <v>19</v>
      </c>
      <c r="E1564" s="5">
        <v>5.0</v>
      </c>
      <c r="F1564" s="3" t="s">
        <v>1642</v>
      </c>
      <c r="G1564" s="3" t="s">
        <v>230</v>
      </c>
      <c r="J1564" s="5">
        <v>6.0</v>
      </c>
      <c r="N1564" s="3" t="b">
        <v>0</v>
      </c>
      <c r="R1564" s="3">
        <v>0.0</v>
      </c>
      <c r="T1564" s="3">
        <v>10.0</v>
      </c>
      <c r="U1564" s="3">
        <v>5.5</v>
      </c>
      <c r="V1564" s="3" t="s">
        <v>1650</v>
      </c>
      <c r="W1564" s="3" t="s">
        <v>344</v>
      </c>
      <c r="X1564" s="77" t="s">
        <v>1644</v>
      </c>
      <c r="Y1564" s="3">
        <v>0.0</v>
      </c>
      <c r="Z1564" s="3">
        <v>6.0</v>
      </c>
      <c r="AA1564" s="3">
        <f>2+ (P1564*'Scoring System'!$B$3)+ (IF(OR(AD1564="DEF",AD1564="GK"),N1564*'Scoring System'!$B$4,IF(AD1564="MID",N1564*'Scoring System'!$B$5,0)))+ (IF(OR(AD1564="DEF",AD1564="GK"),H1564*'Scoring System'!$B$6,IF(AD1564="MID",H1564*'Scoring System'!$B$7,IF(AD1564="ATT",H1564*'Scoring System'!$B$8,0))))+ IF(AND(OR(AD1564="GK",AD1564="DEF"),J1564&gt;=3),1*'Scoring System'!$B$9,0)+ (I1564*'Scoring System'!$B$10)+ (K1564*'Scoring System'!$B$11)+ (M1564*'Scoring System'!$B$12)+ (L1564*'Scoring System'!$B$13)+ (O1564*'Scoring System'!$B$14)+ (Q1564*'Scoring System'!$B$15)+ (R1564*'Scoring System'!$B$16)</f>
        <v>2</v>
      </c>
      <c r="AB1564" s="3" t="b">
        <f>IFERROR(match(C1564,'Match Day Fees'!$B$2:$B$999,0),0)=0</f>
        <v>0</v>
      </c>
      <c r="AC1564" s="3">
        <f t="shared" si="2"/>
        <v>0</v>
      </c>
      <c r="AD1564" s="3" t="str">
        <f>VLOOKUP(D1564,'Position Lookup'!A:B,2,FALSE)</f>
        <v>MID</v>
      </c>
    </row>
    <row r="1565" ht="17.25" customHeight="1">
      <c r="A1565" s="32">
        <v>45311.0</v>
      </c>
      <c r="B1565" s="5" t="s">
        <v>309</v>
      </c>
      <c r="C1565" s="3" t="s">
        <v>474</v>
      </c>
      <c r="D1565" s="3" t="s">
        <v>20</v>
      </c>
      <c r="E1565" s="5">
        <v>5.0</v>
      </c>
      <c r="F1565" s="3" t="s">
        <v>1642</v>
      </c>
      <c r="G1565" s="3" t="s">
        <v>230</v>
      </c>
      <c r="J1565" s="5">
        <v>6.0</v>
      </c>
      <c r="N1565" s="3" t="b">
        <v>0</v>
      </c>
      <c r="R1565" s="3">
        <v>0.0</v>
      </c>
      <c r="T1565" s="3">
        <v>10.0</v>
      </c>
      <c r="U1565" s="3">
        <v>6.5</v>
      </c>
      <c r="V1565" s="3" t="s">
        <v>1651</v>
      </c>
      <c r="W1565" s="3" t="s">
        <v>344</v>
      </c>
      <c r="X1565" s="77" t="s">
        <v>1644</v>
      </c>
      <c r="Y1565" s="3">
        <v>0.0</v>
      </c>
      <c r="Z1565" s="3">
        <v>6.0</v>
      </c>
      <c r="AA1565" s="3">
        <f>2+ (P1565*'Scoring System'!$B$3)+ (IF(OR(AD1565="DEF",AD1565="GK"),N1565*'Scoring System'!$B$4,IF(AD1565="MID",N1565*'Scoring System'!$B$5,0)))+ (IF(OR(AD1565="DEF",AD1565="GK"),H1565*'Scoring System'!$B$6,IF(AD1565="MID",H1565*'Scoring System'!$B$7,IF(AD1565="ATT",H1565*'Scoring System'!$B$8,0))))+ IF(AND(OR(AD1565="GK",AD1565="DEF"),J1565&gt;=3),1*'Scoring System'!$B$9,0)+ (I1565*'Scoring System'!$B$10)+ (K1565*'Scoring System'!$B$11)+ (M1565*'Scoring System'!$B$12)+ (L1565*'Scoring System'!$B$13)+ (O1565*'Scoring System'!$B$14)+ (Q1565*'Scoring System'!$B$15)+ (R1565*'Scoring System'!$B$16)</f>
        <v>2</v>
      </c>
      <c r="AB1565" s="3" t="b">
        <f>IFERROR(match(C1565,'Match Day Fees'!$B$2:$B$999,0),0)=0</f>
        <v>0</v>
      </c>
      <c r="AC1565" s="3">
        <f t="shared" si="2"/>
        <v>0</v>
      </c>
      <c r="AD1565" s="3" t="str">
        <f>VLOOKUP(D1565,'Position Lookup'!A:B,2,FALSE)</f>
        <v>MID</v>
      </c>
    </row>
    <row r="1566" ht="17.25" customHeight="1">
      <c r="A1566" s="32">
        <v>45311.0</v>
      </c>
      <c r="B1566" s="5" t="s">
        <v>309</v>
      </c>
      <c r="C1566" s="3" t="s">
        <v>808</v>
      </c>
      <c r="D1566" s="3" t="s">
        <v>22</v>
      </c>
      <c r="E1566" s="5">
        <v>5.0</v>
      </c>
      <c r="F1566" s="3" t="s">
        <v>1642</v>
      </c>
      <c r="G1566" s="3" t="s">
        <v>230</v>
      </c>
      <c r="J1566" s="5">
        <v>6.0</v>
      </c>
      <c r="N1566" s="3" t="b">
        <v>0</v>
      </c>
      <c r="R1566" s="3">
        <v>0.0</v>
      </c>
      <c r="T1566" s="3">
        <v>10.0</v>
      </c>
      <c r="U1566" s="3">
        <v>6.0</v>
      </c>
      <c r="V1566" s="3" t="s">
        <v>1652</v>
      </c>
      <c r="W1566" s="3" t="s">
        <v>344</v>
      </c>
      <c r="X1566" s="77" t="s">
        <v>1644</v>
      </c>
      <c r="Y1566" s="3">
        <v>0.0</v>
      </c>
      <c r="Z1566" s="3">
        <v>6.0</v>
      </c>
      <c r="AA1566" s="3">
        <f>2+ (P1566*'Scoring System'!$B$3)+ (IF(OR(AD1566="DEF",AD1566="GK"),N1566*'Scoring System'!$B$4,IF(AD1566="MID",N1566*'Scoring System'!$B$5,0)))+ (IF(OR(AD1566="DEF",AD1566="GK"),H1566*'Scoring System'!$B$6,IF(AD1566="MID",H1566*'Scoring System'!$B$7,IF(AD1566="ATT",H1566*'Scoring System'!$B$8,0))))+ IF(AND(OR(AD1566="GK",AD1566="DEF"),J1566&gt;=3),1*'Scoring System'!$B$9,0)+ (I1566*'Scoring System'!$B$10)+ (K1566*'Scoring System'!$B$11)+ (M1566*'Scoring System'!$B$12)+ (L1566*'Scoring System'!$B$13)+ (O1566*'Scoring System'!$B$14)+ (Q1566*'Scoring System'!$B$15)+ (R1566*'Scoring System'!$B$16)</f>
        <v>2</v>
      </c>
      <c r="AB1566" s="3" t="b">
        <f>IFERROR(match(C1566,'Match Day Fees'!$B$2:$B$999,0),0)=0</f>
        <v>0</v>
      </c>
      <c r="AC1566" s="3">
        <f t="shared" si="2"/>
        <v>0</v>
      </c>
      <c r="AD1566" s="3" t="str">
        <f>VLOOKUP(D1566,'Position Lookup'!A:B,2,FALSE)</f>
        <v>ATT</v>
      </c>
    </row>
    <row r="1567" ht="17.25" customHeight="1">
      <c r="A1567" s="32">
        <v>45311.0</v>
      </c>
      <c r="B1567" s="5" t="s">
        <v>309</v>
      </c>
      <c r="C1567" s="3" t="s">
        <v>71</v>
      </c>
      <c r="D1567" s="3" t="s">
        <v>20</v>
      </c>
      <c r="E1567" s="5">
        <v>5.0</v>
      </c>
      <c r="F1567" s="3" t="s">
        <v>1642</v>
      </c>
      <c r="G1567" s="3" t="s">
        <v>230</v>
      </c>
      <c r="J1567" s="5">
        <v>6.0</v>
      </c>
      <c r="N1567" s="3" t="b">
        <v>0</v>
      </c>
      <c r="R1567" s="3">
        <v>0.0</v>
      </c>
      <c r="T1567" s="3">
        <v>10.0</v>
      </c>
      <c r="U1567" s="3">
        <v>7.0</v>
      </c>
      <c r="V1567" s="3" t="s">
        <v>1653</v>
      </c>
      <c r="W1567" s="3" t="s">
        <v>344</v>
      </c>
      <c r="X1567" s="77" t="s">
        <v>1644</v>
      </c>
      <c r="Y1567" s="3">
        <v>0.0</v>
      </c>
      <c r="Z1567" s="3">
        <v>6.0</v>
      </c>
      <c r="AA1567" s="3">
        <f>2+ (P1567*'Scoring System'!$B$3)+ (IF(OR(AD1567="DEF",AD1567="GK"),N1567*'Scoring System'!$B$4,IF(AD1567="MID",N1567*'Scoring System'!$B$5,0)))+ (IF(OR(AD1567="DEF",AD1567="GK"),H1567*'Scoring System'!$B$6,IF(AD1567="MID",H1567*'Scoring System'!$B$7,IF(AD1567="ATT",H1567*'Scoring System'!$B$8,0))))+ IF(AND(OR(AD1567="GK",AD1567="DEF"),J1567&gt;=3),1*'Scoring System'!$B$9,0)+ (I1567*'Scoring System'!$B$10)+ (K1567*'Scoring System'!$B$11)+ (M1567*'Scoring System'!$B$12)+ (L1567*'Scoring System'!$B$13)+ (O1567*'Scoring System'!$B$14)+ (Q1567*'Scoring System'!$B$15)+ (R1567*'Scoring System'!$B$16)</f>
        <v>2</v>
      </c>
      <c r="AB1567" s="3" t="b">
        <f>IFERROR(match(C1567,'Match Day Fees'!$B$2:$B$999,0),0)=0</f>
        <v>0</v>
      </c>
      <c r="AC1567" s="3">
        <f t="shared" si="2"/>
        <v>0</v>
      </c>
      <c r="AD1567" s="3" t="str">
        <f>VLOOKUP(D1567,'Position Lookup'!A:B,2,FALSE)</f>
        <v>MID</v>
      </c>
    </row>
    <row r="1568" ht="17.25" customHeight="1">
      <c r="A1568" s="32">
        <v>45311.0</v>
      </c>
      <c r="B1568" s="5" t="s">
        <v>309</v>
      </c>
      <c r="C1568" s="3" t="s">
        <v>95</v>
      </c>
      <c r="D1568" s="3" t="s">
        <v>22</v>
      </c>
      <c r="E1568" s="5">
        <v>5.0</v>
      </c>
      <c r="F1568" s="3" t="s">
        <v>1642</v>
      </c>
      <c r="G1568" s="3" t="s">
        <v>230</v>
      </c>
      <c r="J1568" s="5">
        <v>6.0</v>
      </c>
      <c r="N1568" s="3" t="b">
        <v>0</v>
      </c>
      <c r="R1568" s="3">
        <v>0.0</v>
      </c>
      <c r="T1568" s="3">
        <v>10.0</v>
      </c>
      <c r="U1568" s="3">
        <v>6.5</v>
      </c>
      <c r="V1568" s="3" t="s">
        <v>1654</v>
      </c>
      <c r="W1568" s="3" t="s">
        <v>344</v>
      </c>
      <c r="X1568" s="77" t="s">
        <v>1644</v>
      </c>
      <c r="Y1568" s="3">
        <v>0.0</v>
      </c>
      <c r="Z1568" s="3">
        <v>6.0</v>
      </c>
      <c r="AA1568" s="3">
        <f>2+ (P1568*'Scoring System'!$B$3)+ (IF(OR(AD1568="DEF",AD1568="GK"),N1568*'Scoring System'!$B$4,IF(AD1568="MID",N1568*'Scoring System'!$B$5,0)))+ (IF(OR(AD1568="DEF",AD1568="GK"),H1568*'Scoring System'!$B$6,IF(AD1568="MID",H1568*'Scoring System'!$B$7,IF(AD1568="ATT",H1568*'Scoring System'!$B$8,0))))+ IF(AND(OR(AD1568="GK",AD1568="DEF"),J1568&gt;=3),1*'Scoring System'!$B$9,0)+ (I1568*'Scoring System'!$B$10)+ (K1568*'Scoring System'!$B$11)+ (M1568*'Scoring System'!$B$12)+ (L1568*'Scoring System'!$B$13)+ (O1568*'Scoring System'!$B$14)+ (Q1568*'Scoring System'!$B$15)+ (R1568*'Scoring System'!$B$16)</f>
        <v>2</v>
      </c>
      <c r="AB1568" s="3" t="b">
        <f>IFERROR(match(C1568,'Match Day Fees'!$B$2:$B$999,0),0)=0</f>
        <v>0</v>
      </c>
      <c r="AC1568" s="3">
        <f t="shared" si="2"/>
        <v>0</v>
      </c>
      <c r="AD1568" s="3" t="str">
        <f>VLOOKUP(D1568,'Position Lookup'!A:B,2,FALSE)</f>
        <v>ATT</v>
      </c>
    </row>
    <row r="1569" ht="17.25" customHeight="1">
      <c r="A1569" s="32">
        <v>45311.0</v>
      </c>
      <c r="B1569" s="5" t="s">
        <v>309</v>
      </c>
      <c r="C1569" s="3" t="s">
        <v>237</v>
      </c>
      <c r="D1569" s="3" t="s">
        <v>20</v>
      </c>
      <c r="E1569" s="5">
        <v>5.0</v>
      </c>
      <c r="F1569" s="3" t="s">
        <v>1642</v>
      </c>
      <c r="G1569" s="3" t="s">
        <v>230</v>
      </c>
      <c r="J1569" s="5">
        <v>6.0</v>
      </c>
      <c r="N1569" s="3" t="b">
        <v>0</v>
      </c>
      <c r="R1569" s="3">
        <v>0.0</v>
      </c>
      <c r="T1569" s="3">
        <v>10.0</v>
      </c>
      <c r="U1569" s="3">
        <v>7.0</v>
      </c>
      <c r="V1569" s="3" t="s">
        <v>1655</v>
      </c>
      <c r="W1569" s="3" t="s">
        <v>344</v>
      </c>
      <c r="X1569" s="77" t="s">
        <v>1644</v>
      </c>
      <c r="Y1569" s="3">
        <v>0.0</v>
      </c>
      <c r="Z1569" s="3">
        <v>6.0</v>
      </c>
      <c r="AA1569" s="3">
        <f>2+ (P1569*'Scoring System'!$B$3)+ (IF(OR(AD1569="DEF",AD1569="GK"),N1569*'Scoring System'!$B$4,IF(AD1569="MID",N1569*'Scoring System'!$B$5,0)))+ (IF(OR(AD1569="DEF",AD1569="GK"),H1569*'Scoring System'!$B$6,IF(AD1569="MID",H1569*'Scoring System'!$B$7,IF(AD1569="ATT",H1569*'Scoring System'!$B$8,0))))+ IF(AND(OR(AD1569="GK",AD1569="DEF"),J1569&gt;=3),1*'Scoring System'!$B$9,0)+ (I1569*'Scoring System'!$B$10)+ (K1569*'Scoring System'!$B$11)+ (M1569*'Scoring System'!$B$12)+ (L1569*'Scoring System'!$B$13)+ (O1569*'Scoring System'!$B$14)+ (Q1569*'Scoring System'!$B$15)+ (R1569*'Scoring System'!$B$16)</f>
        <v>2</v>
      </c>
      <c r="AB1569" s="3" t="b">
        <f>IFERROR(match(C1569,'Match Day Fees'!$B$2:$B$999,0),0)=0</f>
        <v>0</v>
      </c>
      <c r="AC1569" s="3">
        <f t="shared" si="2"/>
        <v>0</v>
      </c>
      <c r="AD1569" s="3" t="str">
        <f>VLOOKUP(D1569,'Position Lookup'!A:B,2,FALSE)</f>
        <v>MID</v>
      </c>
    </row>
    <row r="1570" ht="17.25" customHeight="1">
      <c r="A1570" s="32">
        <v>45311.0</v>
      </c>
      <c r="B1570" s="5" t="s">
        <v>309</v>
      </c>
      <c r="C1570" s="3" t="s">
        <v>1372</v>
      </c>
      <c r="D1570" s="3" t="s">
        <v>24</v>
      </c>
      <c r="E1570" s="5">
        <v>5.0</v>
      </c>
      <c r="F1570" s="3" t="s">
        <v>1642</v>
      </c>
      <c r="G1570" s="3" t="s">
        <v>230</v>
      </c>
      <c r="J1570" s="5">
        <v>6.0</v>
      </c>
      <c r="N1570" s="3" t="b">
        <v>0</v>
      </c>
      <c r="R1570" s="3">
        <v>0.0</v>
      </c>
      <c r="T1570" s="3">
        <v>10.0</v>
      </c>
      <c r="U1570" s="3">
        <v>7.0</v>
      </c>
      <c r="V1570" s="3" t="s">
        <v>1656</v>
      </c>
      <c r="W1570" s="3" t="s">
        <v>344</v>
      </c>
      <c r="X1570" s="77" t="s">
        <v>1644</v>
      </c>
      <c r="Y1570" s="3">
        <v>0.0</v>
      </c>
      <c r="Z1570" s="3">
        <v>6.0</v>
      </c>
      <c r="AA1570" s="3">
        <f>2+ (P1570*'Scoring System'!$B$3)+ (IF(OR(AD1570="DEF",AD1570="GK"),N1570*'Scoring System'!$B$4,IF(AD1570="MID",N1570*'Scoring System'!$B$5,0)))+ (IF(OR(AD1570="DEF",AD1570="GK"),H1570*'Scoring System'!$B$6,IF(AD1570="MID",H1570*'Scoring System'!$B$7,IF(AD1570="ATT",H1570*'Scoring System'!$B$8,0))))+ IF(AND(OR(AD1570="GK",AD1570="DEF"),J1570&gt;=3),1*'Scoring System'!$B$9,0)+ (I1570*'Scoring System'!$B$10)+ (K1570*'Scoring System'!$B$11)+ (M1570*'Scoring System'!$B$12)+ (L1570*'Scoring System'!$B$13)+ (O1570*'Scoring System'!$B$14)+ (Q1570*'Scoring System'!$B$15)+ (R1570*'Scoring System'!$B$16)</f>
        <v>2</v>
      </c>
      <c r="AB1570" s="3" t="b">
        <f>IFERROR(match(C1570,'Match Day Fees'!$B$2:$B$999,0),0)=0</f>
        <v>0</v>
      </c>
      <c r="AC1570" s="3">
        <f t="shared" si="2"/>
        <v>0</v>
      </c>
      <c r="AD1570" s="3" t="str">
        <f>VLOOKUP(D1570,'Position Lookup'!A:B,2,FALSE)</f>
        <v>ATT</v>
      </c>
    </row>
    <row r="1571" ht="17.25" customHeight="1">
      <c r="A1571" s="32">
        <v>45311.0</v>
      </c>
      <c r="B1571" s="5" t="s">
        <v>309</v>
      </c>
      <c r="C1571" s="3" t="s">
        <v>134</v>
      </c>
      <c r="D1571" s="3" t="s">
        <v>12</v>
      </c>
      <c r="E1571" s="5">
        <v>5.0</v>
      </c>
      <c r="F1571" s="3" t="s">
        <v>1642</v>
      </c>
      <c r="G1571" s="3" t="s">
        <v>230</v>
      </c>
      <c r="J1571" s="5">
        <v>6.0</v>
      </c>
      <c r="N1571" s="3" t="b">
        <v>0</v>
      </c>
      <c r="R1571" s="3">
        <v>0.0</v>
      </c>
      <c r="T1571" s="3">
        <v>2.5</v>
      </c>
      <c r="U1571" s="3">
        <v>0.0</v>
      </c>
      <c r="V1571" s="3" t="s">
        <v>1657</v>
      </c>
      <c r="W1571" s="3" t="s">
        <v>344</v>
      </c>
      <c r="X1571" s="77" t="s">
        <v>1644</v>
      </c>
      <c r="Y1571" s="3">
        <v>0.0</v>
      </c>
      <c r="Z1571" s="3">
        <v>6.0</v>
      </c>
      <c r="AA1571" s="3">
        <f>2+ (P1571*'Scoring System'!$B$3)+ (IF(OR(AD1571="DEF",AD1571="GK"),N1571*'Scoring System'!$B$4,IF(AD1571="MID",N1571*'Scoring System'!$B$5,0)))+ (IF(OR(AD1571="DEF",AD1571="GK"),H1571*'Scoring System'!$B$6,IF(AD1571="MID",H1571*'Scoring System'!$B$7,IF(AD1571="ATT",H1571*'Scoring System'!$B$8,0))))+ IF(AND(OR(AD1571="GK",AD1571="DEF"),J1571&gt;=3),1*'Scoring System'!$B$9,0)+ (I1571*'Scoring System'!$B$10)+ (K1571*'Scoring System'!$B$11)+ (M1571*'Scoring System'!$B$12)+ (L1571*'Scoring System'!$B$13)+ (O1571*'Scoring System'!$B$14)+ (Q1571*'Scoring System'!$B$15)+ (R1571*'Scoring System'!$B$16)</f>
        <v>1</v>
      </c>
      <c r="AB1571" s="3" t="b">
        <f>IFERROR(match(C1571,'Match Day Fees'!$B$2:$B$999,0),0)=0</f>
        <v>0</v>
      </c>
      <c r="AC1571" s="3">
        <f t="shared" si="2"/>
        <v>0</v>
      </c>
      <c r="AD1571" s="3" t="str">
        <f>VLOOKUP(D1571,'Position Lookup'!A:B,2,FALSE)</f>
        <v>DEF</v>
      </c>
    </row>
    <row r="1572" ht="17.25" customHeight="1">
      <c r="A1572" s="32">
        <v>45311.0</v>
      </c>
      <c r="B1572" s="5" t="s">
        <v>309</v>
      </c>
      <c r="C1572" s="3" t="s">
        <v>105</v>
      </c>
      <c r="D1572" s="3" t="s">
        <v>23</v>
      </c>
      <c r="E1572" s="5">
        <v>5.0</v>
      </c>
      <c r="F1572" s="3" t="s">
        <v>1642</v>
      </c>
      <c r="G1572" s="3" t="s">
        <v>230</v>
      </c>
      <c r="J1572" s="5">
        <v>6.0</v>
      </c>
      <c r="N1572" s="3" t="b">
        <v>0</v>
      </c>
      <c r="R1572" s="3">
        <v>0.0</v>
      </c>
      <c r="T1572" s="3">
        <v>10.0</v>
      </c>
      <c r="U1572" s="3">
        <v>6.5</v>
      </c>
      <c r="V1572" s="3" t="s">
        <v>1658</v>
      </c>
      <c r="W1572" s="3" t="s">
        <v>344</v>
      </c>
      <c r="X1572" s="77" t="s">
        <v>1644</v>
      </c>
      <c r="Y1572" s="3">
        <v>0.0</v>
      </c>
      <c r="Z1572" s="3">
        <v>6.0</v>
      </c>
      <c r="AA1572" s="3">
        <f>2+ (P1572*'Scoring System'!$B$3)+ (IF(OR(AD1572="DEF",AD1572="GK"),N1572*'Scoring System'!$B$4,IF(AD1572="MID",N1572*'Scoring System'!$B$5,0)))+ (IF(OR(AD1572="DEF",AD1572="GK"),H1572*'Scoring System'!$B$6,IF(AD1572="MID",H1572*'Scoring System'!$B$7,IF(AD1572="ATT",H1572*'Scoring System'!$B$8,0))))+ IF(AND(OR(AD1572="GK",AD1572="DEF"),J1572&gt;=3),1*'Scoring System'!$B$9,0)+ (I1572*'Scoring System'!$B$10)+ (K1572*'Scoring System'!$B$11)+ (M1572*'Scoring System'!$B$12)+ (L1572*'Scoring System'!$B$13)+ (O1572*'Scoring System'!$B$14)+ (Q1572*'Scoring System'!$B$15)+ (R1572*'Scoring System'!$B$16)</f>
        <v>2</v>
      </c>
      <c r="AB1572" s="3" t="b">
        <f>IFERROR(match(C1572,'Match Day Fees'!$B$2:$B$999,0),0)=0</f>
        <v>0</v>
      </c>
      <c r="AC1572" s="3">
        <f t="shared" si="2"/>
        <v>0</v>
      </c>
      <c r="AD1572" s="3" t="str">
        <f>VLOOKUP(D1572,'Position Lookup'!A:B,2,FALSE)</f>
        <v>ATT</v>
      </c>
    </row>
    <row r="1573" ht="17.25" customHeight="1">
      <c r="A1573" s="32">
        <v>45311.0</v>
      </c>
      <c r="B1573" s="5" t="s">
        <v>309</v>
      </c>
      <c r="C1573" s="3" t="s">
        <v>259</v>
      </c>
      <c r="D1573" s="3" t="s">
        <v>8</v>
      </c>
      <c r="E1573" s="5">
        <v>6.0</v>
      </c>
      <c r="F1573" s="3" t="s">
        <v>1659</v>
      </c>
      <c r="G1573" s="3" t="s">
        <v>224</v>
      </c>
      <c r="J1573" s="5">
        <v>1.0</v>
      </c>
      <c r="N1573" s="3" t="b">
        <v>0</v>
      </c>
      <c r="R1573" s="3">
        <v>0.0</v>
      </c>
      <c r="S1573" s="3" t="b">
        <v>1</v>
      </c>
      <c r="T1573" s="3">
        <v>0.0</v>
      </c>
      <c r="U1573" s="3">
        <v>7.5</v>
      </c>
      <c r="V1573" s="3" t="s">
        <v>1660</v>
      </c>
      <c r="W1573" s="3" t="s">
        <v>1375</v>
      </c>
      <c r="X1573" s="77" t="s">
        <v>1661</v>
      </c>
      <c r="Y1573" s="3">
        <v>3.0</v>
      </c>
      <c r="Z1573" s="3">
        <v>1.0</v>
      </c>
      <c r="AA1573" s="3">
        <f>2+ (P1573*'Scoring System'!$B$3)+ (IF(OR(AD1573="DEF",AD1573="GK"),N1573*'Scoring System'!$B$4,IF(AD1573="MID",N1573*'Scoring System'!$B$5,0)))+ (IF(OR(AD1573="DEF",AD1573="GK"),H1573*'Scoring System'!$B$6,IF(AD1573="MID",H1573*'Scoring System'!$B$7,IF(AD1573="ATT",H1573*'Scoring System'!$B$8,0))))+ IF(AND(OR(AD1573="GK",AD1573="DEF"),J1573&gt;=3),1*'Scoring System'!$B$9,0)+ (I1573*'Scoring System'!$B$10)+ (K1573*'Scoring System'!$B$11)+ (M1573*'Scoring System'!$B$12)+ (L1573*'Scoring System'!$B$13)+ (O1573*'Scoring System'!$B$14)+ (Q1573*'Scoring System'!$B$15)+ (R1573*'Scoring System'!$B$16)</f>
        <v>2</v>
      </c>
      <c r="AB1573" s="3" t="b">
        <f>IFERROR(match(C1573,'Match Day Fees'!$B$2:$B$999,0),0)=0</f>
        <v>0</v>
      </c>
      <c r="AC1573" s="3">
        <f t="shared" si="2"/>
        <v>0</v>
      </c>
      <c r="AD1573" s="3" t="str">
        <f>VLOOKUP(D1573,'Position Lookup'!A:B,2,FALSE)</f>
        <v>GK</v>
      </c>
    </row>
    <row r="1574" ht="17.25" customHeight="1">
      <c r="A1574" s="32">
        <v>45311.0</v>
      </c>
      <c r="B1574" s="5" t="s">
        <v>309</v>
      </c>
      <c r="C1574" s="3" t="s">
        <v>99</v>
      </c>
      <c r="D1574" s="3" t="s">
        <v>14</v>
      </c>
      <c r="E1574" s="5">
        <v>6.0</v>
      </c>
      <c r="F1574" s="3" t="s">
        <v>1659</v>
      </c>
      <c r="G1574" s="3" t="s">
        <v>224</v>
      </c>
      <c r="J1574" s="5">
        <v>1.0</v>
      </c>
      <c r="N1574" s="3" t="b">
        <v>0</v>
      </c>
      <c r="R1574" s="3">
        <v>0.0</v>
      </c>
      <c r="T1574" s="3">
        <v>5.0</v>
      </c>
      <c r="U1574" s="3">
        <v>6.0</v>
      </c>
      <c r="V1574" s="3" t="s">
        <v>1662</v>
      </c>
      <c r="W1574" s="3" t="s">
        <v>1375</v>
      </c>
      <c r="X1574" s="77" t="s">
        <v>1661</v>
      </c>
      <c r="Y1574" s="3">
        <v>3.0</v>
      </c>
      <c r="Z1574" s="3">
        <v>1.0</v>
      </c>
      <c r="AA1574" s="3">
        <f>2+ (P1574*'Scoring System'!$B$3)+ (IF(OR(AD1574="DEF",AD1574="GK"),N1574*'Scoring System'!$B$4,IF(AD1574="MID",N1574*'Scoring System'!$B$5,0)))+ (IF(OR(AD1574="DEF",AD1574="GK"),H1574*'Scoring System'!$B$6,IF(AD1574="MID",H1574*'Scoring System'!$B$7,IF(AD1574="ATT",H1574*'Scoring System'!$B$8,0))))+ IF(AND(OR(AD1574="GK",AD1574="DEF"),J1574&gt;=3),1*'Scoring System'!$B$9,0)+ (I1574*'Scoring System'!$B$10)+ (K1574*'Scoring System'!$B$11)+ (M1574*'Scoring System'!$B$12)+ (L1574*'Scoring System'!$B$13)+ (O1574*'Scoring System'!$B$14)+ (Q1574*'Scoring System'!$B$15)+ (R1574*'Scoring System'!$B$16)</f>
        <v>2</v>
      </c>
      <c r="AB1574" s="3" t="b">
        <f>IFERROR(match(C1574,'Match Day Fees'!$B$2:$B$999,0),0)=0</f>
        <v>0</v>
      </c>
      <c r="AC1574" s="3">
        <f t="shared" si="2"/>
        <v>0</v>
      </c>
      <c r="AD1574" s="3" t="str">
        <f>VLOOKUP(D1574,'Position Lookup'!A:B,2,FALSE)</f>
        <v>DEF</v>
      </c>
    </row>
    <row r="1575" ht="17.25" customHeight="1">
      <c r="A1575" s="32">
        <v>45311.0</v>
      </c>
      <c r="B1575" s="5" t="s">
        <v>309</v>
      </c>
      <c r="C1575" s="3" t="s">
        <v>97</v>
      </c>
      <c r="D1575" s="3" t="s">
        <v>12</v>
      </c>
      <c r="E1575" s="5">
        <v>6.0</v>
      </c>
      <c r="F1575" s="3" t="s">
        <v>1659</v>
      </c>
      <c r="G1575" s="3" t="s">
        <v>224</v>
      </c>
      <c r="J1575" s="5">
        <v>1.0</v>
      </c>
      <c r="N1575" s="3" t="b">
        <v>0</v>
      </c>
      <c r="R1575" s="3">
        <v>0.0</v>
      </c>
      <c r="T1575" s="3">
        <v>5.0</v>
      </c>
      <c r="U1575" s="3">
        <v>6.0</v>
      </c>
      <c r="V1575" s="3" t="s">
        <v>1663</v>
      </c>
      <c r="W1575" s="3" t="s">
        <v>1375</v>
      </c>
      <c r="X1575" s="77" t="s">
        <v>1661</v>
      </c>
      <c r="Y1575" s="3">
        <v>3.0</v>
      </c>
      <c r="Z1575" s="3">
        <v>1.0</v>
      </c>
      <c r="AA1575" s="3">
        <f>2+ (P1575*'Scoring System'!$B$3)+ (IF(OR(AD1575="DEF",AD1575="GK"),N1575*'Scoring System'!$B$4,IF(AD1575="MID",N1575*'Scoring System'!$B$5,0)))+ (IF(OR(AD1575="DEF",AD1575="GK"),H1575*'Scoring System'!$B$6,IF(AD1575="MID",H1575*'Scoring System'!$B$7,IF(AD1575="ATT",H1575*'Scoring System'!$B$8,0))))+ IF(AND(OR(AD1575="GK",AD1575="DEF"),J1575&gt;=3),1*'Scoring System'!$B$9,0)+ (I1575*'Scoring System'!$B$10)+ (K1575*'Scoring System'!$B$11)+ (M1575*'Scoring System'!$B$12)+ (L1575*'Scoring System'!$B$13)+ (O1575*'Scoring System'!$B$14)+ (Q1575*'Scoring System'!$B$15)+ (R1575*'Scoring System'!$B$16)</f>
        <v>2</v>
      </c>
      <c r="AB1575" s="3" t="b">
        <f>IFERROR(match(C1575,'Match Day Fees'!$B$2:$B$999,0),0)=0</f>
        <v>0</v>
      </c>
      <c r="AC1575" s="3">
        <f t="shared" si="2"/>
        <v>0</v>
      </c>
      <c r="AD1575" s="3" t="str">
        <f>VLOOKUP(D1575,'Position Lookup'!A:B,2,FALSE)</f>
        <v>DEF</v>
      </c>
    </row>
    <row r="1576" ht="17.25" customHeight="1">
      <c r="A1576" s="32">
        <v>45311.0</v>
      </c>
      <c r="B1576" s="5" t="s">
        <v>309</v>
      </c>
      <c r="C1576" s="3" t="s">
        <v>267</v>
      </c>
      <c r="D1576" s="3" t="s">
        <v>20</v>
      </c>
      <c r="E1576" s="5">
        <v>6.0</v>
      </c>
      <c r="F1576" s="3" t="s">
        <v>1659</v>
      </c>
      <c r="G1576" s="3" t="s">
        <v>224</v>
      </c>
      <c r="J1576" s="5">
        <v>1.0</v>
      </c>
      <c r="N1576" s="3" t="b">
        <v>0</v>
      </c>
      <c r="R1576" s="3">
        <v>0.0</v>
      </c>
      <c r="T1576" s="3">
        <v>5.0</v>
      </c>
      <c r="U1576" s="3">
        <v>6.5</v>
      </c>
      <c r="V1576" s="3" t="s">
        <v>1664</v>
      </c>
      <c r="W1576" s="3" t="s">
        <v>1375</v>
      </c>
      <c r="X1576" s="77" t="s">
        <v>1661</v>
      </c>
      <c r="Y1576" s="3">
        <v>3.0</v>
      </c>
      <c r="Z1576" s="3">
        <v>1.0</v>
      </c>
      <c r="AA1576" s="3">
        <f>2+ (P1576*'Scoring System'!$B$3)+ (IF(OR(AD1576="DEF",AD1576="GK"),N1576*'Scoring System'!$B$4,IF(AD1576="MID",N1576*'Scoring System'!$B$5,0)))+ (IF(OR(AD1576="DEF",AD1576="GK"),H1576*'Scoring System'!$B$6,IF(AD1576="MID",H1576*'Scoring System'!$B$7,IF(AD1576="ATT",H1576*'Scoring System'!$B$8,0))))+ IF(AND(OR(AD1576="GK",AD1576="DEF"),J1576&gt;=3),1*'Scoring System'!$B$9,0)+ (I1576*'Scoring System'!$B$10)+ (K1576*'Scoring System'!$B$11)+ (M1576*'Scoring System'!$B$12)+ (L1576*'Scoring System'!$B$13)+ (O1576*'Scoring System'!$B$14)+ (Q1576*'Scoring System'!$B$15)+ (R1576*'Scoring System'!$B$16)</f>
        <v>2</v>
      </c>
      <c r="AB1576" s="3" t="b">
        <f>IFERROR(match(C1576,'Match Day Fees'!$B$2:$B$999,0),0)=0</f>
        <v>0</v>
      </c>
      <c r="AC1576" s="3">
        <f t="shared" si="2"/>
        <v>0</v>
      </c>
      <c r="AD1576" s="3" t="str">
        <f>VLOOKUP(D1576,'Position Lookup'!A:B,2,FALSE)</f>
        <v>MID</v>
      </c>
    </row>
    <row r="1577" ht="17.25" customHeight="1">
      <c r="A1577" s="32">
        <v>45311.0</v>
      </c>
      <c r="B1577" s="5" t="s">
        <v>309</v>
      </c>
      <c r="C1577" s="3" t="s">
        <v>147</v>
      </c>
      <c r="D1577" s="3" t="s">
        <v>19</v>
      </c>
      <c r="E1577" s="5">
        <v>6.0</v>
      </c>
      <c r="F1577" s="3" t="s">
        <v>1659</v>
      </c>
      <c r="G1577" s="3" t="s">
        <v>224</v>
      </c>
      <c r="I1577" s="3">
        <v>2.0</v>
      </c>
      <c r="J1577" s="5">
        <v>1.0</v>
      </c>
      <c r="N1577" s="3" t="b">
        <v>0</v>
      </c>
      <c r="R1577" s="3">
        <v>0.0</v>
      </c>
      <c r="T1577" s="3">
        <v>10.0</v>
      </c>
      <c r="U1577" s="3">
        <v>8.0</v>
      </c>
      <c r="V1577" s="3" t="s">
        <v>1665</v>
      </c>
      <c r="W1577" s="3" t="s">
        <v>1375</v>
      </c>
      <c r="X1577" s="77" t="s">
        <v>1661</v>
      </c>
      <c r="Y1577" s="3">
        <v>3.0</v>
      </c>
      <c r="Z1577" s="3">
        <v>1.0</v>
      </c>
      <c r="AA1577" s="3">
        <f>2+ (P1577*'Scoring System'!$B$3)+ (IF(OR(AD1577="DEF",AD1577="GK"),N1577*'Scoring System'!$B$4,IF(AD1577="MID",N1577*'Scoring System'!$B$5,0)))+ (IF(OR(AD1577="DEF",AD1577="GK"),H1577*'Scoring System'!$B$6,IF(AD1577="MID",H1577*'Scoring System'!$B$7,IF(AD1577="ATT",H1577*'Scoring System'!$B$8,0))))+ IF(AND(OR(AD1577="GK",AD1577="DEF"),J1577&gt;=3),1*'Scoring System'!$B$9,0)+ (I1577*'Scoring System'!$B$10)+ (K1577*'Scoring System'!$B$11)+ (M1577*'Scoring System'!$B$12)+ (L1577*'Scoring System'!$B$13)+ (O1577*'Scoring System'!$B$14)+ (Q1577*'Scoring System'!$B$15)+ (R1577*'Scoring System'!$B$16)</f>
        <v>8</v>
      </c>
      <c r="AB1577" s="3" t="b">
        <f>IFERROR(match(C1577,'Match Day Fees'!$B$2:$B$999,0),0)=0</f>
        <v>0</v>
      </c>
      <c r="AC1577" s="3">
        <f t="shared" si="2"/>
        <v>0</v>
      </c>
      <c r="AD1577" s="3" t="str">
        <f>VLOOKUP(D1577,'Position Lookup'!A:B,2,FALSE)</f>
        <v>MID</v>
      </c>
    </row>
    <row r="1578" ht="17.25" customHeight="1">
      <c r="A1578" s="32">
        <v>45311.0</v>
      </c>
      <c r="B1578" s="5" t="s">
        <v>309</v>
      </c>
      <c r="C1578" s="3" t="s">
        <v>90</v>
      </c>
      <c r="D1578" s="3" t="s">
        <v>12</v>
      </c>
      <c r="E1578" s="5">
        <v>6.0</v>
      </c>
      <c r="F1578" s="3" t="s">
        <v>1659</v>
      </c>
      <c r="G1578" s="3" t="s">
        <v>224</v>
      </c>
      <c r="J1578" s="5">
        <v>1.0</v>
      </c>
      <c r="N1578" s="3" t="b">
        <v>0</v>
      </c>
      <c r="R1578" s="3">
        <v>0.0</v>
      </c>
      <c r="T1578" s="3">
        <v>5.0</v>
      </c>
      <c r="U1578" s="3">
        <v>7.0</v>
      </c>
      <c r="V1578" s="3" t="s">
        <v>1666</v>
      </c>
      <c r="W1578" s="3" t="s">
        <v>1375</v>
      </c>
      <c r="X1578" s="77" t="s">
        <v>1661</v>
      </c>
      <c r="Y1578" s="3">
        <v>3.0</v>
      </c>
      <c r="Z1578" s="3">
        <v>1.0</v>
      </c>
      <c r="AA1578" s="3">
        <f>2+ (P1578*'Scoring System'!$B$3)+ (IF(OR(AD1578="DEF",AD1578="GK"),N1578*'Scoring System'!$B$4,IF(AD1578="MID",N1578*'Scoring System'!$B$5,0)))+ (IF(OR(AD1578="DEF",AD1578="GK"),H1578*'Scoring System'!$B$6,IF(AD1578="MID",H1578*'Scoring System'!$B$7,IF(AD1578="ATT",H1578*'Scoring System'!$B$8,0))))+ IF(AND(OR(AD1578="GK",AD1578="DEF"),J1578&gt;=3),1*'Scoring System'!$B$9,0)+ (I1578*'Scoring System'!$B$10)+ (K1578*'Scoring System'!$B$11)+ (M1578*'Scoring System'!$B$12)+ (L1578*'Scoring System'!$B$13)+ (O1578*'Scoring System'!$B$14)+ (Q1578*'Scoring System'!$B$15)+ (R1578*'Scoring System'!$B$16)</f>
        <v>2</v>
      </c>
      <c r="AB1578" s="3" t="b">
        <f>IFERROR(match(C1578,'Match Day Fees'!$B$2:$B$999,0),0)=0</f>
        <v>0</v>
      </c>
      <c r="AC1578" s="3">
        <f t="shared" si="2"/>
        <v>0</v>
      </c>
      <c r="AD1578" s="3" t="str">
        <f>VLOOKUP(D1578,'Position Lookup'!A:B,2,FALSE)</f>
        <v>DEF</v>
      </c>
    </row>
    <row r="1579" ht="17.25" customHeight="1">
      <c r="A1579" s="32">
        <v>45311.0</v>
      </c>
      <c r="B1579" s="5" t="s">
        <v>309</v>
      </c>
      <c r="C1579" s="3" t="s">
        <v>142</v>
      </c>
      <c r="D1579" s="3" t="s">
        <v>16</v>
      </c>
      <c r="E1579" s="5">
        <v>6.0</v>
      </c>
      <c r="F1579" s="3" t="s">
        <v>1659</v>
      </c>
      <c r="G1579" s="3" t="s">
        <v>224</v>
      </c>
      <c r="J1579" s="5">
        <v>1.0</v>
      </c>
      <c r="N1579" s="3" t="b">
        <v>0</v>
      </c>
      <c r="R1579" s="3">
        <v>0.0</v>
      </c>
      <c r="T1579" s="3">
        <v>10.0</v>
      </c>
      <c r="U1579" s="3">
        <v>8.0</v>
      </c>
      <c r="V1579" s="3" t="s">
        <v>1667</v>
      </c>
      <c r="W1579" s="3" t="s">
        <v>1375</v>
      </c>
      <c r="X1579" s="77" t="s">
        <v>1661</v>
      </c>
      <c r="Y1579" s="3">
        <v>3.0</v>
      </c>
      <c r="Z1579" s="3">
        <v>1.0</v>
      </c>
      <c r="AA1579" s="3">
        <f>2+ (P1579*'Scoring System'!$B$3)+ (IF(OR(AD1579="DEF",AD1579="GK"),N1579*'Scoring System'!$B$4,IF(AD1579="MID",N1579*'Scoring System'!$B$5,0)))+ (IF(OR(AD1579="DEF",AD1579="GK"),H1579*'Scoring System'!$B$6,IF(AD1579="MID",H1579*'Scoring System'!$B$7,IF(AD1579="ATT",H1579*'Scoring System'!$B$8,0))))+ IF(AND(OR(AD1579="GK",AD1579="DEF"),J1579&gt;=3),1*'Scoring System'!$B$9,0)+ (I1579*'Scoring System'!$B$10)+ (K1579*'Scoring System'!$B$11)+ (M1579*'Scoring System'!$B$12)+ (L1579*'Scoring System'!$B$13)+ (O1579*'Scoring System'!$B$14)+ (Q1579*'Scoring System'!$B$15)+ (R1579*'Scoring System'!$B$16)</f>
        <v>2</v>
      </c>
      <c r="AB1579" s="3" t="b">
        <f>IFERROR(match(C1579,'Match Day Fees'!$B$2:$B$999,0),0)=0</f>
        <v>0</v>
      </c>
      <c r="AC1579" s="3">
        <f t="shared" si="2"/>
        <v>0</v>
      </c>
      <c r="AD1579" s="3" t="str">
        <f>VLOOKUP(D1579,'Position Lookup'!A:B,2,FALSE)</f>
        <v>DEF</v>
      </c>
    </row>
    <row r="1580" ht="17.25" customHeight="1">
      <c r="A1580" s="32">
        <v>45311.0</v>
      </c>
      <c r="B1580" s="5" t="s">
        <v>309</v>
      </c>
      <c r="C1580" s="3" t="s">
        <v>140</v>
      </c>
      <c r="D1580" s="3" t="s">
        <v>20</v>
      </c>
      <c r="E1580" s="5">
        <v>6.0</v>
      </c>
      <c r="F1580" s="3" t="s">
        <v>1659</v>
      </c>
      <c r="G1580" s="3" t="s">
        <v>224</v>
      </c>
      <c r="H1580" s="3">
        <v>1.0</v>
      </c>
      <c r="J1580" s="5">
        <v>1.0</v>
      </c>
      <c r="N1580" s="3" t="b">
        <v>0</v>
      </c>
      <c r="R1580" s="3">
        <v>0.0</v>
      </c>
      <c r="T1580" s="3">
        <v>10.0</v>
      </c>
      <c r="U1580" s="3">
        <v>8.0</v>
      </c>
      <c r="V1580" s="3" t="s">
        <v>1668</v>
      </c>
      <c r="W1580" s="3" t="s">
        <v>1375</v>
      </c>
      <c r="X1580" s="77" t="s">
        <v>1661</v>
      </c>
      <c r="Y1580" s="3">
        <v>3.0</v>
      </c>
      <c r="Z1580" s="3">
        <v>1.0</v>
      </c>
      <c r="AA1580" s="3">
        <f>2+ (P1580*'Scoring System'!$B$3)+ (IF(OR(AD1580="DEF",AD1580="GK"),N1580*'Scoring System'!$B$4,IF(AD1580="MID",N1580*'Scoring System'!$B$5,0)))+ (IF(OR(AD1580="DEF",AD1580="GK"),H1580*'Scoring System'!$B$6,IF(AD1580="MID",H1580*'Scoring System'!$B$7,IF(AD1580="ATT",H1580*'Scoring System'!$B$8,0))))+ IF(AND(OR(AD1580="GK",AD1580="DEF"),J1580&gt;=3),1*'Scoring System'!$B$9,0)+ (I1580*'Scoring System'!$B$10)+ (K1580*'Scoring System'!$B$11)+ (M1580*'Scoring System'!$B$12)+ (L1580*'Scoring System'!$B$13)+ (O1580*'Scoring System'!$B$14)+ (Q1580*'Scoring System'!$B$15)+ (R1580*'Scoring System'!$B$16)</f>
        <v>7</v>
      </c>
      <c r="AB1580" s="3" t="b">
        <f>IFERROR(match(C1580,'Match Day Fees'!$B$2:$B$999,0),0)=0</f>
        <v>0</v>
      </c>
      <c r="AC1580" s="3">
        <f t="shared" si="2"/>
        <v>0</v>
      </c>
      <c r="AD1580" s="3" t="str">
        <f>VLOOKUP(D1580,'Position Lookup'!A:B,2,FALSE)</f>
        <v>MID</v>
      </c>
    </row>
    <row r="1581" ht="17.25" customHeight="1">
      <c r="A1581" s="32">
        <v>45311.0</v>
      </c>
      <c r="B1581" s="5" t="s">
        <v>309</v>
      </c>
      <c r="C1581" s="3" t="s">
        <v>54</v>
      </c>
      <c r="D1581" s="3" t="s">
        <v>20</v>
      </c>
      <c r="E1581" s="5">
        <v>6.0</v>
      </c>
      <c r="F1581" s="3" t="s">
        <v>1659</v>
      </c>
      <c r="G1581" s="3" t="s">
        <v>224</v>
      </c>
      <c r="J1581" s="5">
        <v>1.0</v>
      </c>
      <c r="N1581" s="3" t="b">
        <v>0</v>
      </c>
      <c r="R1581" s="3">
        <v>1.0</v>
      </c>
      <c r="T1581" s="3">
        <v>10.0</v>
      </c>
      <c r="U1581" s="3">
        <v>8.5</v>
      </c>
      <c r="V1581" s="3" t="s">
        <v>1669</v>
      </c>
      <c r="W1581" s="3" t="s">
        <v>1375</v>
      </c>
      <c r="X1581" s="77" t="s">
        <v>1661</v>
      </c>
      <c r="Y1581" s="3">
        <v>3.0</v>
      </c>
      <c r="Z1581" s="3">
        <v>1.0</v>
      </c>
      <c r="AA1581" s="3">
        <f>2+ (P1581*'Scoring System'!$B$3)+ (IF(OR(AD1581="DEF",AD1581="GK"),N1581*'Scoring System'!$B$4,IF(AD1581="MID",N1581*'Scoring System'!$B$5,0)))+ (IF(OR(AD1581="DEF",AD1581="GK"),H1581*'Scoring System'!$B$6,IF(AD1581="MID",H1581*'Scoring System'!$B$7,IF(AD1581="ATT",H1581*'Scoring System'!$B$8,0))))+ IF(AND(OR(AD1581="GK",AD1581="DEF"),J1581&gt;=3),1*'Scoring System'!$B$9,0)+ (I1581*'Scoring System'!$B$10)+ (K1581*'Scoring System'!$B$11)+ (M1581*'Scoring System'!$B$12)+ (L1581*'Scoring System'!$B$13)+ (O1581*'Scoring System'!$B$14)+ (Q1581*'Scoring System'!$B$15)+ (R1581*'Scoring System'!$B$16)</f>
        <v>7</v>
      </c>
      <c r="AB1581" s="3" t="b">
        <f>IFERROR(match(C1581,'Match Day Fees'!$B$2:$B$999,0),0)=0</f>
        <v>0</v>
      </c>
      <c r="AC1581" s="3">
        <f t="shared" si="2"/>
        <v>0</v>
      </c>
      <c r="AD1581" s="3" t="str">
        <f>VLOOKUP(D1581,'Position Lookup'!A:B,2,FALSE)</f>
        <v>MID</v>
      </c>
    </row>
    <row r="1582" ht="17.25" customHeight="1">
      <c r="A1582" s="32">
        <v>45311.0</v>
      </c>
      <c r="B1582" s="5" t="s">
        <v>309</v>
      </c>
      <c r="C1582" s="3" t="s">
        <v>591</v>
      </c>
      <c r="D1582" s="3" t="s">
        <v>22</v>
      </c>
      <c r="E1582" s="5">
        <v>6.0</v>
      </c>
      <c r="F1582" s="3" t="s">
        <v>1659</v>
      </c>
      <c r="G1582" s="3" t="s">
        <v>224</v>
      </c>
      <c r="J1582" s="5">
        <v>1.0</v>
      </c>
      <c r="N1582" s="3" t="b">
        <v>0</v>
      </c>
      <c r="R1582" s="3">
        <v>0.0</v>
      </c>
      <c r="T1582" s="3">
        <v>5.0</v>
      </c>
      <c r="U1582" s="3">
        <v>6.0</v>
      </c>
      <c r="V1582" s="3" t="s">
        <v>1670</v>
      </c>
      <c r="W1582" s="3" t="s">
        <v>1375</v>
      </c>
      <c r="X1582" s="77" t="s">
        <v>1661</v>
      </c>
      <c r="Y1582" s="3">
        <v>3.0</v>
      </c>
      <c r="Z1582" s="3">
        <v>1.0</v>
      </c>
      <c r="AA1582" s="3">
        <f>2+ (P1582*'Scoring System'!$B$3)+ (IF(OR(AD1582="DEF",AD1582="GK"),N1582*'Scoring System'!$B$4,IF(AD1582="MID",N1582*'Scoring System'!$B$5,0)))+ (IF(OR(AD1582="DEF",AD1582="GK"),H1582*'Scoring System'!$B$6,IF(AD1582="MID",H1582*'Scoring System'!$B$7,IF(AD1582="ATT",H1582*'Scoring System'!$B$8,0))))+ IF(AND(OR(AD1582="GK",AD1582="DEF"),J1582&gt;=3),1*'Scoring System'!$B$9,0)+ (I1582*'Scoring System'!$B$10)+ (K1582*'Scoring System'!$B$11)+ (M1582*'Scoring System'!$B$12)+ (L1582*'Scoring System'!$B$13)+ (O1582*'Scoring System'!$B$14)+ (Q1582*'Scoring System'!$B$15)+ (R1582*'Scoring System'!$B$16)</f>
        <v>2</v>
      </c>
      <c r="AB1582" s="3" t="b">
        <f>IFERROR(match(C1582,'Match Day Fees'!$B$2:$B$999,0),0)=0</f>
        <v>0</v>
      </c>
      <c r="AC1582" s="3">
        <f t="shared" si="2"/>
        <v>0</v>
      </c>
      <c r="AD1582" s="3" t="str">
        <f>VLOOKUP(D1582,'Position Lookup'!A:B,2,FALSE)</f>
        <v>ATT</v>
      </c>
    </row>
    <row r="1583" ht="17.25" customHeight="1">
      <c r="A1583" s="32">
        <v>45311.0</v>
      </c>
      <c r="B1583" s="5" t="s">
        <v>309</v>
      </c>
      <c r="C1583" s="3" t="s">
        <v>143</v>
      </c>
      <c r="D1583" s="3" t="s">
        <v>24</v>
      </c>
      <c r="E1583" s="5">
        <v>6.0</v>
      </c>
      <c r="F1583" s="3" t="s">
        <v>1659</v>
      </c>
      <c r="G1583" s="3" t="s">
        <v>224</v>
      </c>
      <c r="I1583" s="3">
        <v>1.0</v>
      </c>
      <c r="J1583" s="5">
        <v>1.0</v>
      </c>
      <c r="N1583" s="3" t="b">
        <v>0</v>
      </c>
      <c r="R1583" s="3">
        <v>0.0</v>
      </c>
      <c r="T1583" s="3">
        <v>10.0</v>
      </c>
      <c r="U1583" s="3">
        <v>7.5</v>
      </c>
      <c r="V1583" s="3" t="s">
        <v>1671</v>
      </c>
      <c r="W1583" s="3" t="s">
        <v>1375</v>
      </c>
      <c r="X1583" s="77" t="s">
        <v>1661</v>
      </c>
      <c r="Y1583" s="3">
        <v>3.0</v>
      </c>
      <c r="Z1583" s="3">
        <v>1.0</v>
      </c>
      <c r="AA1583" s="3">
        <f>2+ (P1583*'Scoring System'!$B$3)+ (IF(OR(AD1583="DEF",AD1583="GK"),N1583*'Scoring System'!$B$4,IF(AD1583="MID",N1583*'Scoring System'!$B$5,0)))+ (IF(OR(AD1583="DEF",AD1583="GK"),H1583*'Scoring System'!$B$6,IF(AD1583="MID",H1583*'Scoring System'!$B$7,IF(AD1583="ATT",H1583*'Scoring System'!$B$8,0))))+ IF(AND(OR(AD1583="GK",AD1583="DEF"),J1583&gt;=3),1*'Scoring System'!$B$9,0)+ (I1583*'Scoring System'!$B$10)+ (K1583*'Scoring System'!$B$11)+ (M1583*'Scoring System'!$B$12)+ (L1583*'Scoring System'!$B$13)+ (O1583*'Scoring System'!$B$14)+ (Q1583*'Scoring System'!$B$15)+ (R1583*'Scoring System'!$B$16)</f>
        <v>5</v>
      </c>
      <c r="AB1583" s="3" t="b">
        <f>IFERROR(match(C1583,'Match Day Fees'!$B$2:$B$999,0),0)=0</f>
        <v>0</v>
      </c>
      <c r="AC1583" s="3">
        <f t="shared" si="2"/>
        <v>0</v>
      </c>
      <c r="AD1583" s="3" t="str">
        <f>VLOOKUP(D1583,'Position Lookup'!A:B,2,FALSE)</f>
        <v>ATT</v>
      </c>
    </row>
    <row r="1584" ht="17.25" customHeight="1">
      <c r="A1584" s="32">
        <v>45311.0</v>
      </c>
      <c r="B1584" s="5" t="s">
        <v>309</v>
      </c>
      <c r="C1584" s="3" t="s">
        <v>128</v>
      </c>
      <c r="D1584" s="3" t="s">
        <v>14</v>
      </c>
      <c r="E1584" s="5">
        <v>6.0</v>
      </c>
      <c r="F1584" s="3" t="s">
        <v>1659</v>
      </c>
      <c r="G1584" s="3" t="s">
        <v>224</v>
      </c>
      <c r="H1584" s="3">
        <v>1.0</v>
      </c>
      <c r="J1584" s="5">
        <v>1.0</v>
      </c>
      <c r="N1584" s="3" t="b">
        <v>0</v>
      </c>
      <c r="R1584" s="3">
        <v>0.0</v>
      </c>
      <c r="T1584" s="3">
        <v>10.0</v>
      </c>
      <c r="U1584" s="3">
        <v>8.0</v>
      </c>
      <c r="V1584" s="3" t="s">
        <v>1672</v>
      </c>
      <c r="W1584" s="3" t="s">
        <v>1375</v>
      </c>
      <c r="X1584" s="77" t="s">
        <v>1661</v>
      </c>
      <c r="Y1584" s="3">
        <v>3.0</v>
      </c>
      <c r="Z1584" s="3">
        <v>1.0</v>
      </c>
      <c r="AA1584" s="3">
        <f>2+ (P1584*'Scoring System'!$B$3)+ (IF(OR(AD1584="DEF",AD1584="GK"),N1584*'Scoring System'!$B$4,IF(AD1584="MID",N1584*'Scoring System'!$B$5,0)))+ (IF(OR(AD1584="DEF",AD1584="GK"),H1584*'Scoring System'!$B$6,IF(AD1584="MID",H1584*'Scoring System'!$B$7,IF(AD1584="ATT",H1584*'Scoring System'!$B$8,0))))+ IF(AND(OR(AD1584="GK",AD1584="DEF"),J1584&gt;=3),1*'Scoring System'!$B$9,0)+ (I1584*'Scoring System'!$B$10)+ (K1584*'Scoring System'!$B$11)+ (M1584*'Scoring System'!$B$12)+ (L1584*'Scoring System'!$B$13)+ (O1584*'Scoring System'!$B$14)+ (Q1584*'Scoring System'!$B$15)+ (R1584*'Scoring System'!$B$16)</f>
        <v>8</v>
      </c>
      <c r="AB1584" s="3" t="b">
        <f>IFERROR(match(C1584,'Match Day Fees'!$B$2:$B$999,0),0)=0</f>
        <v>0</v>
      </c>
      <c r="AC1584" s="3">
        <f t="shared" si="2"/>
        <v>0</v>
      </c>
      <c r="AD1584" s="3" t="str">
        <f>VLOOKUP(D1584,'Position Lookup'!A:B,2,FALSE)</f>
        <v>DEF</v>
      </c>
    </row>
    <row r="1585" ht="17.25" customHeight="1">
      <c r="A1585" s="32">
        <v>45311.0</v>
      </c>
      <c r="B1585" s="5" t="s">
        <v>309</v>
      </c>
      <c r="C1585" s="3" t="s">
        <v>227</v>
      </c>
      <c r="D1585" s="3" t="s">
        <v>23</v>
      </c>
      <c r="E1585" s="5">
        <v>6.0</v>
      </c>
      <c r="F1585" s="3" t="s">
        <v>1659</v>
      </c>
      <c r="G1585" s="3" t="s">
        <v>224</v>
      </c>
      <c r="H1585" s="3">
        <v>1.0</v>
      </c>
      <c r="J1585" s="5">
        <v>1.0</v>
      </c>
      <c r="N1585" s="3" t="b">
        <v>0</v>
      </c>
      <c r="R1585" s="3">
        <v>0.0</v>
      </c>
      <c r="T1585" s="3">
        <v>10.0</v>
      </c>
      <c r="U1585" s="3">
        <v>7.5</v>
      </c>
      <c r="V1585" s="3" t="s">
        <v>1673</v>
      </c>
      <c r="W1585" s="3" t="s">
        <v>1375</v>
      </c>
      <c r="X1585" s="77" t="s">
        <v>1661</v>
      </c>
      <c r="Y1585" s="3">
        <v>3.0</v>
      </c>
      <c r="Z1585" s="3">
        <v>1.0</v>
      </c>
      <c r="AA1585" s="3">
        <f>2+ (P1585*'Scoring System'!$B$3)+ (IF(OR(AD1585="DEF",AD1585="GK"),N1585*'Scoring System'!$B$4,IF(AD1585="MID",N1585*'Scoring System'!$B$5,0)))+ (IF(OR(AD1585="DEF",AD1585="GK"),H1585*'Scoring System'!$B$6,IF(AD1585="MID",H1585*'Scoring System'!$B$7,IF(AD1585="ATT",H1585*'Scoring System'!$B$8,0))))+ IF(AND(OR(AD1585="GK",AD1585="DEF"),J1585&gt;=3),1*'Scoring System'!$B$9,0)+ (I1585*'Scoring System'!$B$10)+ (K1585*'Scoring System'!$B$11)+ (M1585*'Scoring System'!$B$12)+ (L1585*'Scoring System'!$B$13)+ (O1585*'Scoring System'!$B$14)+ (Q1585*'Scoring System'!$B$15)+ (R1585*'Scoring System'!$B$16)</f>
        <v>6</v>
      </c>
      <c r="AB1585" s="3" t="b">
        <f>IFERROR(match(C1585,'Match Day Fees'!$B$2:$B$999,0),0)=0</f>
        <v>0</v>
      </c>
      <c r="AC1585" s="3">
        <f t="shared" si="2"/>
        <v>0</v>
      </c>
      <c r="AD1585" s="3" t="str">
        <f>VLOOKUP(D1585,'Position Lookup'!A:B,2,FALSE)</f>
        <v>ATT</v>
      </c>
    </row>
    <row r="1586" ht="17.25" customHeight="1">
      <c r="A1586" s="32">
        <v>45311.0</v>
      </c>
      <c r="B1586" s="5" t="s">
        <v>309</v>
      </c>
      <c r="C1586" s="3" t="s">
        <v>231</v>
      </c>
      <c r="D1586" s="3" t="s">
        <v>14</v>
      </c>
      <c r="E1586" s="5">
        <v>6.0</v>
      </c>
      <c r="F1586" s="3" t="s">
        <v>1659</v>
      </c>
      <c r="G1586" s="3" t="s">
        <v>224</v>
      </c>
      <c r="J1586" s="5">
        <v>1.0</v>
      </c>
      <c r="N1586" s="3" t="b">
        <v>0</v>
      </c>
      <c r="R1586" s="3">
        <v>0.0</v>
      </c>
      <c r="T1586" s="3">
        <v>5.0</v>
      </c>
      <c r="U1586" s="3">
        <v>7.0</v>
      </c>
      <c r="V1586" s="3" t="s">
        <v>1674</v>
      </c>
      <c r="W1586" s="3" t="s">
        <v>1375</v>
      </c>
      <c r="X1586" s="77" t="s">
        <v>1661</v>
      </c>
      <c r="Y1586" s="3">
        <v>3.0</v>
      </c>
      <c r="Z1586" s="3">
        <v>1.0</v>
      </c>
      <c r="AA1586" s="3">
        <f>2+ (P1586*'Scoring System'!$B$3)+ (IF(OR(AD1586="DEF",AD1586="GK"),N1586*'Scoring System'!$B$4,IF(AD1586="MID",N1586*'Scoring System'!$B$5,0)))+ (IF(OR(AD1586="DEF",AD1586="GK"),H1586*'Scoring System'!$B$6,IF(AD1586="MID",H1586*'Scoring System'!$B$7,IF(AD1586="ATT",H1586*'Scoring System'!$B$8,0))))+ IF(AND(OR(AD1586="GK",AD1586="DEF"),J1586&gt;=3),1*'Scoring System'!$B$9,0)+ (I1586*'Scoring System'!$B$10)+ (K1586*'Scoring System'!$B$11)+ (M1586*'Scoring System'!$B$12)+ (L1586*'Scoring System'!$B$13)+ (O1586*'Scoring System'!$B$14)+ (Q1586*'Scoring System'!$B$15)+ (R1586*'Scoring System'!$B$16)</f>
        <v>2</v>
      </c>
      <c r="AB1586" s="3" t="b">
        <f>IFERROR(match(C1586,'Match Day Fees'!$B$2:$B$999,0),0)=0</f>
        <v>0</v>
      </c>
      <c r="AC1586" s="3">
        <f t="shared" si="2"/>
        <v>0</v>
      </c>
      <c r="AD1586" s="3" t="str">
        <f>VLOOKUP(D1586,'Position Lookup'!A:B,2,FALSE)</f>
        <v>DEF</v>
      </c>
    </row>
    <row r="1587" ht="17.25" customHeight="1">
      <c r="A1587" s="10">
        <v>45318.0</v>
      </c>
      <c r="B1587" s="5" t="s">
        <v>712</v>
      </c>
      <c r="C1587" s="3" t="s">
        <v>53</v>
      </c>
      <c r="D1587" s="3" t="s">
        <v>8</v>
      </c>
      <c r="E1587" s="5">
        <v>1.0</v>
      </c>
      <c r="F1587" s="3" t="s">
        <v>1675</v>
      </c>
      <c r="G1587" s="3" t="s">
        <v>230</v>
      </c>
      <c r="J1587" s="5">
        <v>3.0</v>
      </c>
      <c r="N1587" s="3" t="b">
        <v>0</v>
      </c>
      <c r="R1587" s="3">
        <v>0.0</v>
      </c>
      <c r="T1587" s="3">
        <v>10.0</v>
      </c>
      <c r="U1587" s="3">
        <v>8.0</v>
      </c>
      <c r="V1587" s="3" t="s">
        <v>1676</v>
      </c>
      <c r="W1587" s="3" t="s">
        <v>311</v>
      </c>
      <c r="X1587" s="77" t="s">
        <v>1677</v>
      </c>
      <c r="Y1587" s="3">
        <v>0.0</v>
      </c>
      <c r="Z1587" s="3">
        <v>3.0</v>
      </c>
      <c r="AA1587" s="3">
        <f>2+ (P1587*'Scoring System'!$B$3)+ (IF(OR(AD1587="DEF",AD1587="GK"),N1587*'Scoring System'!$B$4,IF(AD1587="MID",N1587*'Scoring System'!$B$5,0)))+ (IF(OR(AD1587="DEF",AD1587="GK"),H1587*'Scoring System'!$B$6,IF(AD1587="MID",H1587*'Scoring System'!$B$7,IF(AD1587="ATT",H1587*'Scoring System'!$B$8,0))))+ IF(AND(OR(AD1587="GK",AD1587="DEF"),J1587&gt;=3),1*'Scoring System'!$B$9,0)+ (I1587*'Scoring System'!$B$10)+ (K1587*'Scoring System'!$B$11)+ (M1587*'Scoring System'!$B$12)+ (L1587*'Scoring System'!$B$13)+ (O1587*'Scoring System'!$B$14)+ (Q1587*'Scoring System'!$B$15)+ (R1587*'Scoring System'!$B$16)</f>
        <v>1</v>
      </c>
      <c r="AB1587" s="3" t="b">
        <f>IFERROR(match(C1587,'Match Day Fees'!$B$2:$B$999,0),0)=0</f>
        <v>0</v>
      </c>
      <c r="AC1587" s="3">
        <f t="shared" si="2"/>
        <v>0</v>
      </c>
      <c r="AD1587" s="3" t="str">
        <f>VLOOKUP(D1587,'Position Lookup'!A:B,2,FALSE)</f>
        <v>GK</v>
      </c>
    </row>
    <row r="1588" ht="17.25" customHeight="1">
      <c r="A1588" s="10">
        <v>45318.0</v>
      </c>
      <c r="B1588" s="5" t="s">
        <v>712</v>
      </c>
      <c r="C1588" s="3" t="s">
        <v>68</v>
      </c>
      <c r="D1588" s="3" t="s">
        <v>15</v>
      </c>
      <c r="E1588" s="5">
        <v>1.0</v>
      </c>
      <c r="F1588" s="3" t="s">
        <v>1675</v>
      </c>
      <c r="G1588" s="3" t="s">
        <v>230</v>
      </c>
      <c r="J1588" s="5">
        <v>3.0</v>
      </c>
      <c r="K1588" s="3">
        <v>1.0</v>
      </c>
      <c r="N1588" s="3" t="b">
        <v>0</v>
      </c>
      <c r="R1588" s="3">
        <v>0.0</v>
      </c>
      <c r="T1588" s="3">
        <v>10.0</v>
      </c>
      <c r="U1588" s="3">
        <v>7.0</v>
      </c>
      <c r="V1588" s="3" t="s">
        <v>1678</v>
      </c>
      <c r="W1588" s="3" t="s">
        <v>311</v>
      </c>
      <c r="X1588" s="77" t="s">
        <v>1677</v>
      </c>
      <c r="Y1588" s="3">
        <v>0.0</v>
      </c>
      <c r="Z1588" s="3">
        <v>3.0</v>
      </c>
      <c r="AA1588" s="3">
        <f>2+ (P1588*'Scoring System'!$B$3)+ (IF(OR(AD1588="DEF",AD1588="GK"),N1588*'Scoring System'!$B$4,IF(AD1588="MID",N1588*'Scoring System'!$B$5,0)))+ (IF(OR(AD1588="DEF",AD1588="GK"),H1588*'Scoring System'!$B$6,IF(AD1588="MID",H1588*'Scoring System'!$B$7,IF(AD1588="ATT",H1588*'Scoring System'!$B$8,0))))+ IF(AND(OR(AD1588="GK",AD1588="DEF"),J1588&gt;=3),1*'Scoring System'!$B$9,0)+ (I1588*'Scoring System'!$B$10)+ (K1588*'Scoring System'!$B$11)+ (M1588*'Scoring System'!$B$12)+ (L1588*'Scoring System'!$B$13)+ (O1588*'Scoring System'!$B$14)+ (Q1588*'Scoring System'!$B$15)+ (R1588*'Scoring System'!$B$16)</f>
        <v>0</v>
      </c>
      <c r="AB1588" s="3" t="b">
        <f>IFERROR(match(C1588,'Match Day Fees'!$B$2:$B$999,0),0)=0</f>
        <v>0</v>
      </c>
      <c r="AC1588" s="3">
        <f t="shared" si="2"/>
        <v>0</v>
      </c>
      <c r="AD1588" s="3" t="str">
        <f>VLOOKUP(D1588,'Position Lookup'!A:B,2,FALSE)</f>
        <v>DEF</v>
      </c>
    </row>
    <row r="1589" ht="17.25" customHeight="1">
      <c r="A1589" s="10">
        <v>45318.0</v>
      </c>
      <c r="B1589" s="5" t="s">
        <v>712</v>
      </c>
      <c r="C1589" s="3" t="s">
        <v>69</v>
      </c>
      <c r="D1589" s="3" t="s">
        <v>14</v>
      </c>
      <c r="E1589" s="5">
        <v>1.0</v>
      </c>
      <c r="F1589" s="3" t="s">
        <v>1675</v>
      </c>
      <c r="G1589" s="3" t="s">
        <v>230</v>
      </c>
      <c r="J1589" s="5">
        <v>3.0</v>
      </c>
      <c r="N1589" s="3" t="b">
        <v>0</v>
      </c>
      <c r="R1589" s="3">
        <v>0.0</v>
      </c>
      <c r="T1589" s="3">
        <v>10.0</v>
      </c>
      <c r="U1589" s="3">
        <v>7.0</v>
      </c>
      <c r="V1589" s="3" t="s">
        <v>1679</v>
      </c>
      <c r="W1589" s="3" t="s">
        <v>311</v>
      </c>
      <c r="X1589" s="77" t="s">
        <v>1677</v>
      </c>
      <c r="Y1589" s="3">
        <v>0.0</v>
      </c>
      <c r="Z1589" s="3">
        <v>3.0</v>
      </c>
      <c r="AA1589" s="3">
        <f>2+ (P1589*'Scoring System'!$B$3)+ (IF(OR(AD1589="DEF",AD1589="GK"),N1589*'Scoring System'!$B$4,IF(AD1589="MID",N1589*'Scoring System'!$B$5,0)))+ (IF(OR(AD1589="DEF",AD1589="GK"),H1589*'Scoring System'!$B$6,IF(AD1589="MID",H1589*'Scoring System'!$B$7,IF(AD1589="ATT",H1589*'Scoring System'!$B$8,0))))+ IF(AND(OR(AD1589="GK",AD1589="DEF"),J1589&gt;=3),1*'Scoring System'!$B$9,0)+ (I1589*'Scoring System'!$B$10)+ (K1589*'Scoring System'!$B$11)+ (M1589*'Scoring System'!$B$12)+ (L1589*'Scoring System'!$B$13)+ (O1589*'Scoring System'!$B$14)+ (Q1589*'Scoring System'!$B$15)+ (R1589*'Scoring System'!$B$16)</f>
        <v>1</v>
      </c>
      <c r="AB1589" s="3" t="b">
        <f>IFERROR(match(C1589,'Match Day Fees'!$B$2:$B$999,0),0)=0</f>
        <v>0</v>
      </c>
      <c r="AC1589" s="3">
        <f t="shared" si="2"/>
        <v>0</v>
      </c>
      <c r="AD1589" s="3" t="str">
        <f>VLOOKUP(D1589,'Position Lookup'!A:B,2,FALSE)</f>
        <v>DEF</v>
      </c>
    </row>
    <row r="1590" ht="17.25" customHeight="1">
      <c r="A1590" s="10">
        <v>45318.0</v>
      </c>
      <c r="B1590" s="5" t="s">
        <v>712</v>
      </c>
      <c r="C1590" s="3" t="s">
        <v>107</v>
      </c>
      <c r="D1590" s="3" t="s">
        <v>13</v>
      </c>
      <c r="E1590" s="5">
        <v>1.0</v>
      </c>
      <c r="F1590" s="3" t="s">
        <v>1675</v>
      </c>
      <c r="G1590" s="3" t="s">
        <v>230</v>
      </c>
      <c r="J1590" s="5">
        <v>3.0</v>
      </c>
      <c r="N1590" s="3" t="b">
        <v>0</v>
      </c>
      <c r="R1590" s="3">
        <v>0.0</v>
      </c>
      <c r="T1590" s="3">
        <v>10.0</v>
      </c>
      <c r="U1590" s="3">
        <v>5.0</v>
      </c>
      <c r="V1590" s="3" t="s">
        <v>1680</v>
      </c>
      <c r="W1590" s="3" t="s">
        <v>311</v>
      </c>
      <c r="X1590" s="77" t="s">
        <v>1677</v>
      </c>
      <c r="Y1590" s="3">
        <v>0.0</v>
      </c>
      <c r="Z1590" s="3">
        <v>3.0</v>
      </c>
      <c r="AA1590" s="3">
        <f>2+ (P1590*'Scoring System'!$B$3)+ (IF(OR(AD1590="DEF",AD1590="GK"),N1590*'Scoring System'!$B$4,IF(AD1590="MID",N1590*'Scoring System'!$B$5,0)))+ (IF(OR(AD1590="DEF",AD1590="GK"),H1590*'Scoring System'!$B$6,IF(AD1590="MID",H1590*'Scoring System'!$B$7,IF(AD1590="ATT",H1590*'Scoring System'!$B$8,0))))+ IF(AND(OR(AD1590="GK",AD1590="DEF"),J1590&gt;=3),1*'Scoring System'!$B$9,0)+ (I1590*'Scoring System'!$B$10)+ (K1590*'Scoring System'!$B$11)+ (M1590*'Scoring System'!$B$12)+ (L1590*'Scoring System'!$B$13)+ (O1590*'Scoring System'!$B$14)+ (Q1590*'Scoring System'!$B$15)+ (R1590*'Scoring System'!$B$16)</f>
        <v>1</v>
      </c>
      <c r="AB1590" s="3" t="b">
        <f>IFERROR(match(C1590,'Match Day Fees'!$B$2:$B$999,0),0)=0</f>
        <v>0</v>
      </c>
      <c r="AC1590" s="3">
        <f t="shared" si="2"/>
        <v>0</v>
      </c>
      <c r="AD1590" s="3" t="str">
        <f>VLOOKUP(D1590,'Position Lookup'!A:B,2,FALSE)</f>
        <v>DEF</v>
      </c>
    </row>
    <row r="1591" ht="17.25" customHeight="1">
      <c r="A1591" s="10">
        <v>45318.0</v>
      </c>
      <c r="B1591" s="5" t="s">
        <v>712</v>
      </c>
      <c r="C1591" s="3" t="s">
        <v>81</v>
      </c>
      <c r="D1591" s="3" t="s">
        <v>18</v>
      </c>
      <c r="E1591" s="5">
        <v>1.0</v>
      </c>
      <c r="F1591" s="3" t="s">
        <v>1675</v>
      </c>
      <c r="G1591" s="3" t="s">
        <v>230</v>
      </c>
      <c r="J1591" s="5">
        <v>3.0</v>
      </c>
      <c r="N1591" s="3" t="b">
        <v>0</v>
      </c>
      <c r="R1591" s="3">
        <v>0.0</v>
      </c>
      <c r="T1591" s="3">
        <v>10.0</v>
      </c>
      <c r="U1591" s="3">
        <v>6.0</v>
      </c>
      <c r="V1591" s="3" t="s">
        <v>1681</v>
      </c>
      <c r="W1591" s="3" t="s">
        <v>311</v>
      </c>
      <c r="X1591" s="77" t="s">
        <v>1677</v>
      </c>
      <c r="Y1591" s="3">
        <v>0.0</v>
      </c>
      <c r="Z1591" s="3">
        <v>3.0</v>
      </c>
      <c r="AA1591" s="3">
        <f>2+ (P1591*'Scoring System'!$B$3)+ (IF(OR(AD1591="DEF",AD1591="GK"),N1591*'Scoring System'!$B$4,IF(AD1591="MID",N1591*'Scoring System'!$B$5,0)))+ (IF(OR(AD1591="DEF",AD1591="GK"),H1591*'Scoring System'!$B$6,IF(AD1591="MID",H1591*'Scoring System'!$B$7,IF(AD1591="ATT",H1591*'Scoring System'!$B$8,0))))+ IF(AND(OR(AD1591="GK",AD1591="DEF"),J1591&gt;=3),1*'Scoring System'!$B$9,0)+ (I1591*'Scoring System'!$B$10)+ (K1591*'Scoring System'!$B$11)+ (M1591*'Scoring System'!$B$12)+ (L1591*'Scoring System'!$B$13)+ (O1591*'Scoring System'!$B$14)+ (Q1591*'Scoring System'!$B$15)+ (R1591*'Scoring System'!$B$16)</f>
        <v>1</v>
      </c>
      <c r="AB1591" s="3" t="b">
        <f>IFERROR(match(C1591,'Match Day Fees'!$B$2:$B$999,0),0)=0</f>
        <v>0</v>
      </c>
      <c r="AC1591" s="3">
        <f t="shared" si="2"/>
        <v>0</v>
      </c>
      <c r="AD1591" s="3" t="str">
        <f>VLOOKUP(D1591,'Position Lookup'!A:B,2,FALSE)</f>
        <v>DEF</v>
      </c>
    </row>
    <row r="1592" ht="17.25" customHeight="1">
      <c r="A1592" s="10">
        <v>45318.0</v>
      </c>
      <c r="B1592" s="5" t="s">
        <v>712</v>
      </c>
      <c r="C1592" s="3" t="s">
        <v>137</v>
      </c>
      <c r="D1592" s="3" t="s">
        <v>17</v>
      </c>
      <c r="E1592" s="5">
        <v>1.0</v>
      </c>
      <c r="F1592" s="3" t="s">
        <v>1675</v>
      </c>
      <c r="G1592" s="3" t="s">
        <v>230</v>
      </c>
      <c r="J1592" s="5">
        <v>3.0</v>
      </c>
      <c r="N1592" s="3" t="b">
        <v>0</v>
      </c>
      <c r="R1592" s="3">
        <v>0.0</v>
      </c>
      <c r="T1592" s="3">
        <v>7.0</v>
      </c>
      <c r="U1592" s="3">
        <v>6.5</v>
      </c>
      <c r="V1592" s="3" t="s">
        <v>1682</v>
      </c>
      <c r="W1592" s="3" t="s">
        <v>311</v>
      </c>
      <c r="X1592" s="77" t="s">
        <v>1677</v>
      </c>
      <c r="Y1592" s="3">
        <v>0.0</v>
      </c>
      <c r="Z1592" s="3">
        <v>3.0</v>
      </c>
      <c r="AA1592" s="3">
        <f>2+ (P1592*'Scoring System'!$B$3)+ (IF(OR(AD1592="DEF",AD1592="GK"),N1592*'Scoring System'!$B$4,IF(AD1592="MID",N1592*'Scoring System'!$B$5,0)))+ (IF(OR(AD1592="DEF",AD1592="GK"),H1592*'Scoring System'!$B$6,IF(AD1592="MID",H1592*'Scoring System'!$B$7,IF(AD1592="ATT",H1592*'Scoring System'!$B$8,0))))+ IF(AND(OR(AD1592="GK",AD1592="DEF"),J1592&gt;=3),1*'Scoring System'!$B$9,0)+ (I1592*'Scoring System'!$B$10)+ (K1592*'Scoring System'!$B$11)+ (M1592*'Scoring System'!$B$12)+ (L1592*'Scoring System'!$B$13)+ (O1592*'Scoring System'!$B$14)+ (Q1592*'Scoring System'!$B$15)+ (R1592*'Scoring System'!$B$16)</f>
        <v>1</v>
      </c>
      <c r="AB1592" s="3" t="b">
        <f>IFERROR(match(C1592,'Match Day Fees'!$B$2:$B$999,0),0)=0</f>
        <v>0</v>
      </c>
      <c r="AC1592" s="3">
        <f t="shared" si="2"/>
        <v>0</v>
      </c>
      <c r="AD1592" s="3" t="str">
        <f>VLOOKUP(D1592,'Position Lookup'!A:B,2,FALSE)</f>
        <v>DEF</v>
      </c>
    </row>
    <row r="1593" ht="17.25" customHeight="1">
      <c r="A1593" s="10">
        <v>45318.0</v>
      </c>
      <c r="B1593" s="5" t="s">
        <v>712</v>
      </c>
      <c r="C1593" s="3" t="s">
        <v>67</v>
      </c>
      <c r="D1593" s="3" t="s">
        <v>20</v>
      </c>
      <c r="E1593" s="5">
        <v>1.0</v>
      </c>
      <c r="F1593" s="3" t="s">
        <v>1675</v>
      </c>
      <c r="G1593" s="3" t="s">
        <v>230</v>
      </c>
      <c r="J1593" s="5">
        <v>3.0</v>
      </c>
      <c r="K1593" s="5">
        <v>1.0</v>
      </c>
      <c r="N1593" s="3" t="b">
        <v>0</v>
      </c>
      <c r="R1593" s="3">
        <v>0.0</v>
      </c>
      <c r="T1593" s="3">
        <v>10.0</v>
      </c>
      <c r="U1593" s="3">
        <v>7.0</v>
      </c>
      <c r="V1593" s="3" t="s">
        <v>1683</v>
      </c>
      <c r="W1593" s="3" t="s">
        <v>311</v>
      </c>
      <c r="X1593" s="77" t="s">
        <v>1677</v>
      </c>
      <c r="Y1593" s="3">
        <v>0.0</v>
      </c>
      <c r="Z1593" s="3">
        <v>3.0</v>
      </c>
      <c r="AA1593" s="3">
        <f>2+ (P1593*'Scoring System'!$B$3)+ (IF(OR(AD1593="DEF",AD1593="GK"),N1593*'Scoring System'!$B$4,IF(AD1593="MID",N1593*'Scoring System'!$B$5,0)))+ (IF(OR(AD1593="DEF",AD1593="GK"),H1593*'Scoring System'!$B$6,IF(AD1593="MID",H1593*'Scoring System'!$B$7,IF(AD1593="ATT",H1593*'Scoring System'!$B$8,0))))+ IF(AND(OR(AD1593="GK",AD1593="DEF"),J1593&gt;=3),1*'Scoring System'!$B$9,0)+ (I1593*'Scoring System'!$B$10)+ (K1593*'Scoring System'!$B$11)+ (M1593*'Scoring System'!$B$12)+ (L1593*'Scoring System'!$B$13)+ (O1593*'Scoring System'!$B$14)+ (Q1593*'Scoring System'!$B$15)+ (R1593*'Scoring System'!$B$16)</f>
        <v>1</v>
      </c>
      <c r="AB1593" s="3" t="b">
        <f>IFERROR(match(C1593,'Match Day Fees'!$B$2:$B$999,0),0)=0</f>
        <v>0</v>
      </c>
      <c r="AC1593" s="3">
        <f t="shared" si="2"/>
        <v>0</v>
      </c>
      <c r="AD1593" s="3" t="str">
        <f>VLOOKUP(D1593,'Position Lookup'!A:B,2,FALSE)</f>
        <v>MID</v>
      </c>
    </row>
    <row r="1594" ht="17.25" customHeight="1">
      <c r="A1594" s="10">
        <v>45318.0</v>
      </c>
      <c r="B1594" s="5" t="s">
        <v>712</v>
      </c>
      <c r="C1594" s="3" t="s">
        <v>75</v>
      </c>
      <c r="D1594" s="3" t="s">
        <v>20</v>
      </c>
      <c r="E1594" s="5">
        <v>1.0</v>
      </c>
      <c r="F1594" s="3" t="s">
        <v>1675</v>
      </c>
      <c r="G1594" s="3" t="s">
        <v>230</v>
      </c>
      <c r="J1594" s="5">
        <v>3.0</v>
      </c>
      <c r="N1594" s="3" t="b">
        <v>0</v>
      </c>
      <c r="R1594" s="3">
        <v>0.0</v>
      </c>
      <c r="T1594" s="3">
        <v>8.0</v>
      </c>
      <c r="U1594" s="3">
        <v>7.5</v>
      </c>
      <c r="V1594" s="3" t="s">
        <v>1684</v>
      </c>
      <c r="W1594" s="3" t="s">
        <v>311</v>
      </c>
      <c r="X1594" s="77" t="s">
        <v>1677</v>
      </c>
      <c r="Y1594" s="3">
        <v>0.0</v>
      </c>
      <c r="Z1594" s="3">
        <v>3.0</v>
      </c>
      <c r="AA1594" s="3">
        <f>2+ (P1594*'Scoring System'!$B$3)+ (IF(OR(AD1594="DEF",AD1594="GK"),N1594*'Scoring System'!$B$4,IF(AD1594="MID",N1594*'Scoring System'!$B$5,0)))+ (IF(OR(AD1594="DEF",AD1594="GK"),H1594*'Scoring System'!$B$6,IF(AD1594="MID",H1594*'Scoring System'!$B$7,IF(AD1594="ATT",H1594*'Scoring System'!$B$8,0))))+ IF(AND(OR(AD1594="GK",AD1594="DEF"),J1594&gt;=3),1*'Scoring System'!$B$9,0)+ (I1594*'Scoring System'!$B$10)+ (K1594*'Scoring System'!$B$11)+ (M1594*'Scoring System'!$B$12)+ (L1594*'Scoring System'!$B$13)+ (O1594*'Scoring System'!$B$14)+ (Q1594*'Scoring System'!$B$15)+ (R1594*'Scoring System'!$B$16)</f>
        <v>2</v>
      </c>
      <c r="AB1594" s="3" t="b">
        <f>IFERROR(match(C1594,'Match Day Fees'!$B$2:$B$999,0),0)=0</f>
        <v>0</v>
      </c>
      <c r="AC1594" s="3">
        <f t="shared" si="2"/>
        <v>0</v>
      </c>
      <c r="AD1594" s="3" t="str">
        <f>VLOOKUP(D1594,'Position Lookup'!A:B,2,FALSE)</f>
        <v>MID</v>
      </c>
    </row>
    <row r="1595" ht="17.25" customHeight="1">
      <c r="A1595" s="10">
        <v>45318.0</v>
      </c>
      <c r="B1595" s="5" t="s">
        <v>712</v>
      </c>
      <c r="C1595" s="3" t="s">
        <v>47</v>
      </c>
      <c r="D1595" s="3" t="s">
        <v>21</v>
      </c>
      <c r="E1595" s="5">
        <v>1.0</v>
      </c>
      <c r="F1595" s="3" t="s">
        <v>1675</v>
      </c>
      <c r="G1595" s="3" t="s">
        <v>230</v>
      </c>
      <c r="J1595" s="5">
        <v>3.0</v>
      </c>
      <c r="N1595" s="3" t="b">
        <v>0</v>
      </c>
      <c r="R1595" s="3">
        <v>1.0</v>
      </c>
      <c r="S1595" s="3" t="b">
        <v>1</v>
      </c>
      <c r="T1595" s="3">
        <v>0.0</v>
      </c>
      <c r="U1595" s="3">
        <v>8.0</v>
      </c>
      <c r="V1595" s="3" t="s">
        <v>1685</v>
      </c>
      <c r="W1595" s="3" t="s">
        <v>311</v>
      </c>
      <c r="X1595" s="77" t="s">
        <v>1677</v>
      </c>
      <c r="Y1595" s="3">
        <v>0.0</v>
      </c>
      <c r="Z1595" s="3">
        <v>3.0</v>
      </c>
      <c r="AA1595" s="3">
        <f>2+ (P1595*'Scoring System'!$B$3)+ (IF(OR(AD1595="DEF",AD1595="GK"),N1595*'Scoring System'!$B$4,IF(AD1595="MID",N1595*'Scoring System'!$B$5,0)))+ (IF(OR(AD1595="DEF",AD1595="GK"),H1595*'Scoring System'!$B$6,IF(AD1595="MID",H1595*'Scoring System'!$B$7,IF(AD1595="ATT",H1595*'Scoring System'!$B$8,0))))+ IF(AND(OR(AD1595="GK",AD1595="DEF"),J1595&gt;=3),1*'Scoring System'!$B$9,0)+ (I1595*'Scoring System'!$B$10)+ (K1595*'Scoring System'!$B$11)+ (M1595*'Scoring System'!$B$12)+ (L1595*'Scoring System'!$B$13)+ (O1595*'Scoring System'!$B$14)+ (Q1595*'Scoring System'!$B$15)+ (R1595*'Scoring System'!$B$16)</f>
        <v>7</v>
      </c>
      <c r="AB1595" s="3" t="b">
        <f>IFERROR(match(C1595,'Match Day Fees'!$B$2:$B$999,0),0)=0</f>
        <v>0</v>
      </c>
      <c r="AC1595" s="3">
        <f t="shared" si="2"/>
        <v>0</v>
      </c>
      <c r="AD1595" s="3" t="str">
        <f>VLOOKUP(D1595,'Position Lookup'!A:B,2,FALSE)</f>
        <v>MID</v>
      </c>
    </row>
    <row r="1596" ht="17.25" customHeight="1">
      <c r="A1596" s="10">
        <v>45318.0</v>
      </c>
      <c r="B1596" s="5" t="s">
        <v>712</v>
      </c>
      <c r="C1596" s="3" t="s">
        <v>110</v>
      </c>
      <c r="D1596" s="3" t="s">
        <v>24</v>
      </c>
      <c r="E1596" s="5">
        <v>1.0</v>
      </c>
      <c r="F1596" s="3" t="s">
        <v>1675</v>
      </c>
      <c r="G1596" s="3" t="s">
        <v>230</v>
      </c>
      <c r="J1596" s="5">
        <v>3.0</v>
      </c>
      <c r="N1596" s="3" t="b">
        <v>0</v>
      </c>
      <c r="R1596" s="3">
        <v>0.0</v>
      </c>
      <c r="S1596" s="3" t="b">
        <v>0</v>
      </c>
      <c r="T1596" s="3">
        <v>10.0</v>
      </c>
      <c r="U1596" s="3">
        <v>7.5</v>
      </c>
      <c r="V1596" s="3" t="s">
        <v>1686</v>
      </c>
      <c r="W1596" s="3" t="s">
        <v>311</v>
      </c>
      <c r="X1596" s="77" t="s">
        <v>1677</v>
      </c>
      <c r="Y1596" s="3">
        <v>0.0</v>
      </c>
      <c r="Z1596" s="3">
        <v>3.0</v>
      </c>
      <c r="AA1596" s="3">
        <f>2+ (P1596*'Scoring System'!$B$3)+ (IF(OR(AD1596="DEF",AD1596="GK"),N1596*'Scoring System'!$B$4,IF(AD1596="MID",N1596*'Scoring System'!$B$5,0)))+ (IF(OR(AD1596="DEF",AD1596="GK"),H1596*'Scoring System'!$B$6,IF(AD1596="MID",H1596*'Scoring System'!$B$7,IF(AD1596="ATT",H1596*'Scoring System'!$B$8,0))))+ IF(AND(OR(AD1596="GK",AD1596="DEF"),J1596&gt;=3),1*'Scoring System'!$B$9,0)+ (I1596*'Scoring System'!$B$10)+ (K1596*'Scoring System'!$B$11)+ (M1596*'Scoring System'!$B$12)+ (L1596*'Scoring System'!$B$13)+ (O1596*'Scoring System'!$B$14)+ (Q1596*'Scoring System'!$B$15)+ (R1596*'Scoring System'!$B$16)</f>
        <v>2</v>
      </c>
      <c r="AB1596" s="3" t="b">
        <f>IFERROR(match(C1596,'Match Day Fees'!$B$2:$B$999,0),0)=0</f>
        <v>0</v>
      </c>
      <c r="AC1596" s="3">
        <f t="shared" si="2"/>
        <v>0</v>
      </c>
      <c r="AD1596" s="3" t="str">
        <f>VLOOKUP(D1596,'Position Lookup'!A:B,2,FALSE)</f>
        <v>ATT</v>
      </c>
    </row>
    <row r="1597" ht="17.25" customHeight="1">
      <c r="A1597" s="10">
        <v>45318.0</v>
      </c>
      <c r="B1597" s="5" t="s">
        <v>712</v>
      </c>
      <c r="C1597" s="3" t="s">
        <v>96</v>
      </c>
      <c r="D1597" s="3" t="s">
        <v>24</v>
      </c>
      <c r="E1597" s="5">
        <v>1.0</v>
      </c>
      <c r="F1597" s="3" t="s">
        <v>1675</v>
      </c>
      <c r="G1597" s="3" t="s">
        <v>230</v>
      </c>
      <c r="J1597" s="5">
        <v>3.0</v>
      </c>
      <c r="N1597" s="3" t="b">
        <v>0</v>
      </c>
      <c r="R1597" s="3">
        <v>0.0</v>
      </c>
      <c r="T1597" s="3">
        <v>10.0</v>
      </c>
      <c r="U1597" s="3">
        <v>6.5</v>
      </c>
      <c r="V1597" s="3" t="s">
        <v>1687</v>
      </c>
      <c r="W1597" s="3" t="s">
        <v>311</v>
      </c>
      <c r="X1597" s="77" t="s">
        <v>1677</v>
      </c>
      <c r="Y1597" s="3">
        <v>0.0</v>
      </c>
      <c r="Z1597" s="3">
        <v>3.0</v>
      </c>
      <c r="AA1597" s="3">
        <f>2+ (P1597*'Scoring System'!$B$3)+ (IF(OR(AD1597="DEF",AD1597="GK"),N1597*'Scoring System'!$B$4,IF(AD1597="MID",N1597*'Scoring System'!$B$5,0)))+ (IF(OR(AD1597="DEF",AD1597="GK"),H1597*'Scoring System'!$B$6,IF(AD1597="MID",H1597*'Scoring System'!$B$7,IF(AD1597="ATT",H1597*'Scoring System'!$B$8,0))))+ IF(AND(OR(AD1597="GK",AD1597="DEF"),J1597&gt;=3),1*'Scoring System'!$B$9,0)+ (I1597*'Scoring System'!$B$10)+ (K1597*'Scoring System'!$B$11)+ (M1597*'Scoring System'!$B$12)+ (L1597*'Scoring System'!$B$13)+ (O1597*'Scoring System'!$B$14)+ (Q1597*'Scoring System'!$B$15)+ (R1597*'Scoring System'!$B$16)</f>
        <v>2</v>
      </c>
      <c r="AB1597" s="3" t="b">
        <f>IFERROR(match(C1597,'Match Day Fees'!$B$2:$B$999,0),0)=0</f>
        <v>0</v>
      </c>
      <c r="AC1597" s="3">
        <f t="shared" si="2"/>
        <v>0</v>
      </c>
      <c r="AD1597" s="3" t="str">
        <f>VLOOKUP(D1597,'Position Lookup'!A:B,2,FALSE)</f>
        <v>ATT</v>
      </c>
    </row>
    <row r="1598" ht="17.25" customHeight="1">
      <c r="A1598" s="10">
        <v>45318.0</v>
      </c>
      <c r="B1598" s="5" t="s">
        <v>712</v>
      </c>
      <c r="C1598" s="3" t="s">
        <v>73</v>
      </c>
      <c r="D1598" s="3" t="s">
        <v>24</v>
      </c>
      <c r="E1598" s="5">
        <v>1.0</v>
      </c>
      <c r="F1598" s="3" t="s">
        <v>1675</v>
      </c>
      <c r="G1598" s="3" t="s">
        <v>230</v>
      </c>
      <c r="J1598" s="5">
        <v>3.0</v>
      </c>
      <c r="N1598" s="3" t="b">
        <v>0</v>
      </c>
      <c r="R1598" s="3">
        <v>0.0</v>
      </c>
      <c r="T1598" s="3">
        <v>4.0</v>
      </c>
      <c r="U1598" s="3">
        <v>6.5</v>
      </c>
      <c r="V1598" s="3" t="s">
        <v>1688</v>
      </c>
      <c r="W1598" s="3" t="s">
        <v>311</v>
      </c>
      <c r="X1598" s="77" t="s">
        <v>1677</v>
      </c>
      <c r="Y1598" s="3">
        <v>0.0</v>
      </c>
      <c r="Z1598" s="3">
        <v>3.0</v>
      </c>
      <c r="AA1598" s="3">
        <f>2+ (P1598*'Scoring System'!$B$3)+ (IF(OR(AD1598="DEF",AD1598="GK"),N1598*'Scoring System'!$B$4,IF(AD1598="MID",N1598*'Scoring System'!$B$5,0)))+ (IF(OR(AD1598="DEF",AD1598="GK"),H1598*'Scoring System'!$B$6,IF(AD1598="MID",H1598*'Scoring System'!$B$7,IF(AD1598="ATT",H1598*'Scoring System'!$B$8,0))))+ IF(AND(OR(AD1598="GK",AD1598="DEF"),J1598&gt;=3),1*'Scoring System'!$B$9,0)+ (I1598*'Scoring System'!$B$10)+ (K1598*'Scoring System'!$B$11)+ (M1598*'Scoring System'!$B$12)+ (L1598*'Scoring System'!$B$13)+ (O1598*'Scoring System'!$B$14)+ (Q1598*'Scoring System'!$B$15)+ (R1598*'Scoring System'!$B$16)</f>
        <v>2</v>
      </c>
      <c r="AB1598" s="3" t="b">
        <f>IFERROR(match(C1598,'Match Day Fees'!$B$2:$B$999,0),0)=0</f>
        <v>0</v>
      </c>
      <c r="AC1598" s="3">
        <f t="shared" si="2"/>
        <v>0</v>
      </c>
      <c r="AD1598" s="3" t="str">
        <f>VLOOKUP(D1598,'Position Lookup'!A:B,2,FALSE)</f>
        <v>ATT</v>
      </c>
    </row>
    <row r="1599" ht="17.25" customHeight="1">
      <c r="A1599" s="10">
        <v>45318.0</v>
      </c>
      <c r="B1599" s="5" t="s">
        <v>712</v>
      </c>
      <c r="C1599" s="3" t="s">
        <v>274</v>
      </c>
      <c r="D1599" s="3" t="s">
        <v>20</v>
      </c>
      <c r="E1599" s="5">
        <v>1.0</v>
      </c>
      <c r="F1599" s="3" t="s">
        <v>1675</v>
      </c>
      <c r="G1599" s="3" t="s">
        <v>230</v>
      </c>
      <c r="J1599" s="5">
        <v>3.0</v>
      </c>
      <c r="N1599" s="3" t="b">
        <v>0</v>
      </c>
      <c r="R1599" s="3">
        <v>0.0</v>
      </c>
      <c r="T1599" s="3">
        <v>5.0</v>
      </c>
      <c r="U1599" s="3">
        <v>7.0</v>
      </c>
      <c r="V1599" s="3" t="s">
        <v>1689</v>
      </c>
      <c r="W1599" s="3" t="s">
        <v>311</v>
      </c>
      <c r="X1599" s="77" t="s">
        <v>1677</v>
      </c>
      <c r="Y1599" s="3">
        <v>0.0</v>
      </c>
      <c r="Z1599" s="3">
        <v>3.0</v>
      </c>
      <c r="AA1599" s="3">
        <f>2+ (P1599*'Scoring System'!$B$3)+ (IF(OR(AD1599="DEF",AD1599="GK"),N1599*'Scoring System'!$B$4,IF(AD1599="MID",N1599*'Scoring System'!$B$5,0)))+ (IF(OR(AD1599="DEF",AD1599="GK"),H1599*'Scoring System'!$B$6,IF(AD1599="MID",H1599*'Scoring System'!$B$7,IF(AD1599="ATT",H1599*'Scoring System'!$B$8,0))))+ IF(AND(OR(AD1599="GK",AD1599="DEF"),J1599&gt;=3),1*'Scoring System'!$B$9,0)+ (I1599*'Scoring System'!$B$10)+ (K1599*'Scoring System'!$B$11)+ (M1599*'Scoring System'!$B$12)+ (L1599*'Scoring System'!$B$13)+ (O1599*'Scoring System'!$B$14)+ (Q1599*'Scoring System'!$B$15)+ (R1599*'Scoring System'!$B$16)</f>
        <v>2</v>
      </c>
      <c r="AB1599" s="3" t="b">
        <f>IFERROR(match(C1599,'Match Day Fees'!$B$2:$B$999,0),0)=0</f>
        <v>0</v>
      </c>
      <c r="AC1599" s="3">
        <f t="shared" si="2"/>
        <v>0</v>
      </c>
      <c r="AD1599" s="3" t="str">
        <f>VLOOKUP(D1599,'Position Lookup'!A:B,2,FALSE)</f>
        <v>MID</v>
      </c>
    </row>
    <row r="1600" ht="17.25" customHeight="1">
      <c r="A1600" s="10">
        <v>45318.0</v>
      </c>
      <c r="B1600" s="5" t="s">
        <v>309</v>
      </c>
      <c r="C1600" s="3" t="s">
        <v>254</v>
      </c>
      <c r="D1600" s="3" t="s">
        <v>8</v>
      </c>
      <c r="E1600" s="3">
        <v>3.0</v>
      </c>
      <c r="F1600" s="3" t="s">
        <v>1610</v>
      </c>
      <c r="G1600" s="3" t="s">
        <v>224</v>
      </c>
      <c r="J1600" s="3">
        <v>2.0</v>
      </c>
      <c r="N1600" s="3" t="b">
        <v>0</v>
      </c>
      <c r="R1600" s="3">
        <v>0.0</v>
      </c>
      <c r="T1600" s="3">
        <v>0.0</v>
      </c>
      <c r="U1600" s="3">
        <v>10.0</v>
      </c>
      <c r="V1600" s="3" t="s">
        <v>1690</v>
      </c>
      <c r="W1600" s="74" t="s">
        <v>344</v>
      </c>
      <c r="X1600" s="77" t="s">
        <v>1691</v>
      </c>
      <c r="Y1600" s="3">
        <v>6.0</v>
      </c>
      <c r="Z1600" s="3">
        <v>2.0</v>
      </c>
      <c r="AA1600" s="3">
        <f>2+ (P1600*'Scoring System'!$B$3)+ (IF(OR(AD1600="DEF",AD1600="GK"),N1600*'Scoring System'!$B$4,IF(AD1600="MID",N1600*'Scoring System'!$B$5,0)))+ (IF(OR(AD1600="DEF",AD1600="GK"),H1600*'Scoring System'!$B$6,IF(AD1600="MID",H1600*'Scoring System'!$B$7,IF(AD1600="ATT",H1600*'Scoring System'!$B$8,0))))+ IF(AND(OR(AD1600="GK",AD1600="DEF"),J1600&gt;=3),1*'Scoring System'!$B$9,0)+ (I1600*'Scoring System'!$B$10)+ (K1600*'Scoring System'!$B$11)+ (M1600*'Scoring System'!$B$12)+ (L1600*'Scoring System'!$B$13)+ (O1600*'Scoring System'!$B$14)+ (Q1600*'Scoring System'!$B$15)+ (R1600*'Scoring System'!$B$16)</f>
        <v>2</v>
      </c>
      <c r="AB1600" s="3" t="b">
        <f>IFERROR(match(C1600,'Match Day Fees'!$B$2:$B$999,0),0)=0</f>
        <v>0</v>
      </c>
      <c r="AC1600" s="3">
        <f t="shared" si="2"/>
        <v>0</v>
      </c>
      <c r="AD1600" s="3" t="str">
        <f>VLOOKUP(D1600,'Position Lookup'!A:B,2,FALSE)</f>
        <v>GK</v>
      </c>
    </row>
    <row r="1601" ht="17.25" customHeight="1">
      <c r="A1601" s="10">
        <v>45318.0</v>
      </c>
      <c r="B1601" s="5" t="s">
        <v>309</v>
      </c>
      <c r="C1601" s="3" t="s">
        <v>227</v>
      </c>
      <c r="D1601" s="3" t="s">
        <v>22</v>
      </c>
      <c r="E1601" s="3">
        <v>3.0</v>
      </c>
      <c r="F1601" s="3" t="s">
        <v>1610</v>
      </c>
      <c r="G1601" s="3" t="s">
        <v>224</v>
      </c>
      <c r="H1601" s="3">
        <v>1.0</v>
      </c>
      <c r="J1601" s="3">
        <v>2.0</v>
      </c>
      <c r="N1601" s="3" t="b">
        <v>0</v>
      </c>
      <c r="R1601" s="3">
        <v>0.0</v>
      </c>
      <c r="T1601" s="3">
        <v>10.0</v>
      </c>
      <c r="U1601" s="3">
        <v>6.5</v>
      </c>
      <c r="V1601" s="3" t="s">
        <v>1692</v>
      </c>
      <c r="W1601" s="74" t="s">
        <v>344</v>
      </c>
      <c r="X1601" s="77" t="s">
        <v>1691</v>
      </c>
      <c r="Y1601" s="3">
        <v>6.0</v>
      </c>
      <c r="Z1601" s="3">
        <v>2.0</v>
      </c>
      <c r="AA1601" s="3">
        <f>2+ (P1601*'Scoring System'!$B$3)+ (IF(OR(AD1601="DEF",AD1601="GK"),N1601*'Scoring System'!$B$4,IF(AD1601="MID",N1601*'Scoring System'!$B$5,0)))+ (IF(OR(AD1601="DEF",AD1601="GK"),H1601*'Scoring System'!$B$6,IF(AD1601="MID",H1601*'Scoring System'!$B$7,IF(AD1601="ATT",H1601*'Scoring System'!$B$8,0))))+ IF(AND(OR(AD1601="GK",AD1601="DEF"),J1601&gt;=3),1*'Scoring System'!$B$9,0)+ (I1601*'Scoring System'!$B$10)+ (K1601*'Scoring System'!$B$11)+ (M1601*'Scoring System'!$B$12)+ (L1601*'Scoring System'!$B$13)+ (O1601*'Scoring System'!$B$14)+ (Q1601*'Scoring System'!$B$15)+ (R1601*'Scoring System'!$B$16)</f>
        <v>6</v>
      </c>
      <c r="AB1601" s="3" t="b">
        <f>IFERROR(match(C1601,'Match Day Fees'!$B$2:$B$999,0),0)=0</f>
        <v>0</v>
      </c>
      <c r="AC1601" s="3">
        <f t="shared" si="2"/>
        <v>0</v>
      </c>
      <c r="AD1601" s="3" t="str">
        <f>VLOOKUP(D1601,'Position Lookup'!A:B,2,FALSE)</f>
        <v>ATT</v>
      </c>
    </row>
    <row r="1602" ht="17.25" customHeight="1">
      <c r="A1602" s="10">
        <v>45318.0</v>
      </c>
      <c r="B1602" s="5" t="s">
        <v>309</v>
      </c>
      <c r="C1602" s="3" t="s">
        <v>39</v>
      </c>
      <c r="D1602" s="3" t="s">
        <v>14</v>
      </c>
      <c r="E1602" s="3">
        <v>3.0</v>
      </c>
      <c r="F1602" s="3" t="s">
        <v>1610</v>
      </c>
      <c r="G1602" s="3" t="s">
        <v>224</v>
      </c>
      <c r="J1602" s="3">
        <v>2.0</v>
      </c>
      <c r="N1602" s="3" t="b">
        <v>0</v>
      </c>
      <c r="R1602" s="3">
        <v>0.0</v>
      </c>
      <c r="T1602" s="3">
        <v>10.0</v>
      </c>
      <c r="U1602" s="3">
        <v>6.0</v>
      </c>
      <c r="V1602" s="3" t="s">
        <v>1693</v>
      </c>
      <c r="W1602" s="74" t="s">
        <v>344</v>
      </c>
      <c r="X1602" s="77" t="s">
        <v>1691</v>
      </c>
      <c r="Y1602" s="3">
        <v>6.0</v>
      </c>
      <c r="Z1602" s="3">
        <v>2.0</v>
      </c>
      <c r="AA1602" s="3">
        <f>2+ (P1602*'Scoring System'!$B$3)+ (IF(OR(AD1602="DEF",AD1602="GK"),N1602*'Scoring System'!$B$4,IF(AD1602="MID",N1602*'Scoring System'!$B$5,0)))+ (IF(OR(AD1602="DEF",AD1602="GK"),H1602*'Scoring System'!$B$6,IF(AD1602="MID",H1602*'Scoring System'!$B$7,IF(AD1602="ATT",H1602*'Scoring System'!$B$8,0))))+ IF(AND(OR(AD1602="GK",AD1602="DEF"),J1602&gt;=3),1*'Scoring System'!$B$9,0)+ (I1602*'Scoring System'!$B$10)+ (K1602*'Scoring System'!$B$11)+ (M1602*'Scoring System'!$B$12)+ (L1602*'Scoring System'!$B$13)+ (O1602*'Scoring System'!$B$14)+ (Q1602*'Scoring System'!$B$15)+ (R1602*'Scoring System'!$B$16)</f>
        <v>2</v>
      </c>
      <c r="AB1602" s="3" t="b">
        <f>IFERROR(match(C1602,'Match Day Fees'!$B$2:$B$999,0),0)=0</f>
        <v>0</v>
      </c>
      <c r="AC1602" s="3">
        <f t="shared" si="2"/>
        <v>0</v>
      </c>
      <c r="AD1602" s="3" t="str">
        <f>VLOOKUP(D1602,'Position Lookup'!A:B,2,FALSE)</f>
        <v>DEF</v>
      </c>
    </row>
    <row r="1603" ht="17.25" customHeight="1">
      <c r="A1603" s="10">
        <v>45318.0</v>
      </c>
      <c r="B1603" s="5" t="s">
        <v>309</v>
      </c>
      <c r="C1603" s="3" t="s">
        <v>91</v>
      </c>
      <c r="D1603" s="3" t="s">
        <v>14</v>
      </c>
      <c r="E1603" s="3">
        <v>3.0</v>
      </c>
      <c r="F1603" s="3" t="s">
        <v>1610</v>
      </c>
      <c r="G1603" s="3" t="s">
        <v>224</v>
      </c>
      <c r="J1603" s="3">
        <v>2.0</v>
      </c>
      <c r="N1603" s="3" t="b">
        <v>0</v>
      </c>
      <c r="R1603" s="3">
        <v>0.0</v>
      </c>
      <c r="T1603" s="3">
        <v>5.0</v>
      </c>
      <c r="U1603" s="3">
        <v>7.0</v>
      </c>
      <c r="V1603" s="3" t="s">
        <v>1694</v>
      </c>
      <c r="W1603" s="74" t="s">
        <v>344</v>
      </c>
      <c r="X1603" s="77" t="s">
        <v>1691</v>
      </c>
      <c r="Y1603" s="3">
        <v>6.0</v>
      </c>
      <c r="Z1603" s="3">
        <v>2.0</v>
      </c>
      <c r="AA1603" s="3">
        <f>2+ (P1603*'Scoring System'!$B$3)+ (IF(OR(AD1603="DEF",AD1603="GK"),N1603*'Scoring System'!$B$4,IF(AD1603="MID",N1603*'Scoring System'!$B$5,0)))+ (IF(OR(AD1603="DEF",AD1603="GK"),H1603*'Scoring System'!$B$6,IF(AD1603="MID",H1603*'Scoring System'!$B$7,IF(AD1603="ATT",H1603*'Scoring System'!$B$8,0))))+ IF(AND(OR(AD1603="GK",AD1603="DEF"),J1603&gt;=3),1*'Scoring System'!$B$9,0)+ (I1603*'Scoring System'!$B$10)+ (K1603*'Scoring System'!$B$11)+ (M1603*'Scoring System'!$B$12)+ (L1603*'Scoring System'!$B$13)+ (O1603*'Scoring System'!$B$14)+ (Q1603*'Scoring System'!$B$15)+ (R1603*'Scoring System'!$B$16)</f>
        <v>2</v>
      </c>
      <c r="AB1603" s="3" t="b">
        <f>IFERROR(match(C1603,'Match Day Fees'!$B$2:$B$999,0),0)=0</f>
        <v>0</v>
      </c>
      <c r="AC1603" s="3">
        <f t="shared" si="2"/>
        <v>0</v>
      </c>
      <c r="AD1603" s="3" t="str">
        <f>VLOOKUP(D1603,'Position Lookup'!A:B,2,FALSE)</f>
        <v>DEF</v>
      </c>
    </row>
    <row r="1604" ht="17.25" customHeight="1">
      <c r="A1604" s="10">
        <v>45318.0</v>
      </c>
      <c r="B1604" s="5" t="s">
        <v>309</v>
      </c>
      <c r="C1604" s="3" t="s">
        <v>42</v>
      </c>
      <c r="D1604" s="3" t="s">
        <v>12</v>
      </c>
      <c r="E1604" s="3">
        <v>3.0</v>
      </c>
      <c r="F1604" s="3" t="s">
        <v>1610</v>
      </c>
      <c r="G1604" s="3" t="s">
        <v>224</v>
      </c>
      <c r="J1604" s="3">
        <v>2.0</v>
      </c>
      <c r="N1604" s="3" t="b">
        <v>0</v>
      </c>
      <c r="R1604" s="3">
        <v>1.0</v>
      </c>
      <c r="T1604" s="3">
        <v>10.0</v>
      </c>
      <c r="U1604" s="3">
        <v>8.5</v>
      </c>
      <c r="V1604" s="3" t="s">
        <v>1695</v>
      </c>
      <c r="W1604" s="74" t="s">
        <v>344</v>
      </c>
      <c r="X1604" s="77" t="s">
        <v>1691</v>
      </c>
      <c r="Y1604" s="3">
        <v>6.0</v>
      </c>
      <c r="Z1604" s="3">
        <v>2.0</v>
      </c>
      <c r="AA1604" s="3">
        <f>2+ (P1604*'Scoring System'!$B$3)+ (IF(OR(AD1604="DEF",AD1604="GK"),N1604*'Scoring System'!$B$4,IF(AD1604="MID",N1604*'Scoring System'!$B$5,0)))+ (IF(OR(AD1604="DEF",AD1604="GK"),H1604*'Scoring System'!$B$6,IF(AD1604="MID",H1604*'Scoring System'!$B$7,IF(AD1604="ATT",H1604*'Scoring System'!$B$8,0))))+ IF(AND(OR(AD1604="GK",AD1604="DEF"),J1604&gt;=3),1*'Scoring System'!$B$9,0)+ (I1604*'Scoring System'!$B$10)+ (K1604*'Scoring System'!$B$11)+ (M1604*'Scoring System'!$B$12)+ (L1604*'Scoring System'!$B$13)+ (O1604*'Scoring System'!$B$14)+ (Q1604*'Scoring System'!$B$15)+ (R1604*'Scoring System'!$B$16)</f>
        <v>7</v>
      </c>
      <c r="AB1604" s="3" t="b">
        <f>IFERROR(match(C1604,'Match Day Fees'!$B$2:$B$999,0),0)=0</f>
        <v>0</v>
      </c>
      <c r="AC1604" s="3">
        <f t="shared" si="2"/>
        <v>0</v>
      </c>
      <c r="AD1604" s="3" t="str">
        <f>VLOOKUP(D1604,'Position Lookup'!A:B,2,FALSE)</f>
        <v>DEF</v>
      </c>
    </row>
    <row r="1605" ht="17.25" customHeight="1">
      <c r="A1605" s="10">
        <v>45318.0</v>
      </c>
      <c r="B1605" s="5" t="s">
        <v>309</v>
      </c>
      <c r="C1605" s="3" t="s">
        <v>112</v>
      </c>
      <c r="D1605" s="3" t="s">
        <v>20</v>
      </c>
      <c r="E1605" s="3">
        <v>3.0</v>
      </c>
      <c r="F1605" s="3" t="s">
        <v>1610</v>
      </c>
      <c r="G1605" s="3" t="s">
        <v>224</v>
      </c>
      <c r="J1605" s="3">
        <v>2.0</v>
      </c>
      <c r="N1605" s="3" t="b">
        <v>0</v>
      </c>
      <c r="R1605" s="3">
        <v>0.0</v>
      </c>
      <c r="T1605" s="3">
        <v>10.0</v>
      </c>
      <c r="U1605" s="3">
        <v>7.0</v>
      </c>
      <c r="V1605" s="3" t="s">
        <v>1696</v>
      </c>
      <c r="W1605" s="74" t="s">
        <v>344</v>
      </c>
      <c r="X1605" s="77" t="s">
        <v>1691</v>
      </c>
      <c r="Y1605" s="3">
        <v>6.0</v>
      </c>
      <c r="Z1605" s="3">
        <v>2.0</v>
      </c>
      <c r="AA1605" s="3">
        <f>2+ (P1605*'Scoring System'!$B$3)+ (IF(OR(AD1605="DEF",AD1605="GK"),N1605*'Scoring System'!$B$4,IF(AD1605="MID",N1605*'Scoring System'!$B$5,0)))+ (IF(OR(AD1605="DEF",AD1605="GK"),H1605*'Scoring System'!$B$6,IF(AD1605="MID",H1605*'Scoring System'!$B$7,IF(AD1605="ATT",H1605*'Scoring System'!$B$8,0))))+ IF(AND(OR(AD1605="GK",AD1605="DEF"),J1605&gt;=3),1*'Scoring System'!$B$9,0)+ (I1605*'Scoring System'!$B$10)+ (K1605*'Scoring System'!$B$11)+ (M1605*'Scoring System'!$B$12)+ (L1605*'Scoring System'!$B$13)+ (O1605*'Scoring System'!$B$14)+ (Q1605*'Scoring System'!$B$15)+ (R1605*'Scoring System'!$B$16)</f>
        <v>2</v>
      </c>
      <c r="AB1605" s="3" t="b">
        <f>IFERROR(match(C1605,'Match Day Fees'!$B$2:$B$999,0),0)=0</f>
        <v>0</v>
      </c>
      <c r="AC1605" s="3">
        <f t="shared" si="2"/>
        <v>0</v>
      </c>
      <c r="AD1605" s="3" t="str">
        <f>VLOOKUP(D1605,'Position Lookup'!A:B,2,FALSE)</f>
        <v>MID</v>
      </c>
    </row>
    <row r="1606" ht="17.25" customHeight="1">
      <c r="A1606" s="10">
        <v>45318.0</v>
      </c>
      <c r="B1606" s="5" t="s">
        <v>309</v>
      </c>
      <c r="C1606" s="3" t="s">
        <v>130</v>
      </c>
      <c r="D1606" s="3" t="s">
        <v>20</v>
      </c>
      <c r="E1606" s="3">
        <v>3.0</v>
      </c>
      <c r="F1606" s="3" t="s">
        <v>1610</v>
      </c>
      <c r="G1606" s="3" t="s">
        <v>224</v>
      </c>
      <c r="I1606" s="3">
        <v>1.0</v>
      </c>
      <c r="J1606" s="3">
        <v>2.0</v>
      </c>
      <c r="N1606" s="3" t="b">
        <v>0</v>
      </c>
      <c r="R1606" s="3">
        <v>0.0</v>
      </c>
      <c r="T1606" s="3">
        <v>10.0</v>
      </c>
      <c r="U1606" s="3">
        <v>7.5</v>
      </c>
      <c r="V1606" s="3" t="s">
        <v>1697</v>
      </c>
      <c r="W1606" s="74" t="s">
        <v>344</v>
      </c>
      <c r="X1606" s="77" t="s">
        <v>1691</v>
      </c>
      <c r="Y1606" s="3">
        <v>6.0</v>
      </c>
      <c r="Z1606" s="3">
        <v>2.0</v>
      </c>
      <c r="AA1606" s="3">
        <f>2+ (P1606*'Scoring System'!$B$3)+ (IF(OR(AD1606="DEF",AD1606="GK"),N1606*'Scoring System'!$B$4,IF(AD1606="MID",N1606*'Scoring System'!$B$5,0)))+ (IF(OR(AD1606="DEF",AD1606="GK"),H1606*'Scoring System'!$B$6,IF(AD1606="MID",H1606*'Scoring System'!$B$7,IF(AD1606="ATT",H1606*'Scoring System'!$B$8,0))))+ IF(AND(OR(AD1606="GK",AD1606="DEF"),J1606&gt;=3),1*'Scoring System'!$B$9,0)+ (I1606*'Scoring System'!$B$10)+ (K1606*'Scoring System'!$B$11)+ (M1606*'Scoring System'!$B$12)+ (L1606*'Scoring System'!$B$13)+ (O1606*'Scoring System'!$B$14)+ (Q1606*'Scoring System'!$B$15)+ (R1606*'Scoring System'!$B$16)</f>
        <v>5</v>
      </c>
      <c r="AB1606" s="3" t="b">
        <f>IFERROR(match(C1606,'Match Day Fees'!$B$2:$B$999,0),0)=0</f>
        <v>0</v>
      </c>
      <c r="AC1606" s="3">
        <f t="shared" si="2"/>
        <v>0</v>
      </c>
      <c r="AD1606" s="3" t="str">
        <f>VLOOKUP(D1606,'Position Lookup'!A:B,2,FALSE)</f>
        <v>MID</v>
      </c>
    </row>
    <row r="1607" ht="17.25" customHeight="1">
      <c r="A1607" s="10">
        <v>45318.0</v>
      </c>
      <c r="B1607" s="5" t="s">
        <v>309</v>
      </c>
      <c r="C1607" s="3" t="s">
        <v>59</v>
      </c>
      <c r="D1607" s="3" t="s">
        <v>20</v>
      </c>
      <c r="E1607" s="3">
        <v>3.0</v>
      </c>
      <c r="F1607" s="3" t="s">
        <v>1610</v>
      </c>
      <c r="G1607" s="3" t="s">
        <v>224</v>
      </c>
      <c r="I1607" s="3">
        <v>2.0</v>
      </c>
      <c r="J1607" s="3">
        <v>2.0</v>
      </c>
      <c r="N1607" s="3" t="b">
        <v>0</v>
      </c>
      <c r="R1607" s="3">
        <v>0.0</v>
      </c>
      <c r="T1607" s="3">
        <v>10.0</v>
      </c>
      <c r="U1607" s="3">
        <v>7.0</v>
      </c>
      <c r="V1607" s="3" t="s">
        <v>1698</v>
      </c>
      <c r="W1607" s="74" t="s">
        <v>344</v>
      </c>
      <c r="X1607" s="77" t="s">
        <v>1691</v>
      </c>
      <c r="Y1607" s="3">
        <v>6.0</v>
      </c>
      <c r="Z1607" s="3">
        <v>2.0</v>
      </c>
      <c r="AA1607" s="3">
        <f>2+ (P1607*'Scoring System'!$B$3)+ (IF(OR(AD1607="DEF",AD1607="GK"),N1607*'Scoring System'!$B$4,IF(AD1607="MID",N1607*'Scoring System'!$B$5,0)))+ (IF(OR(AD1607="DEF",AD1607="GK"),H1607*'Scoring System'!$B$6,IF(AD1607="MID",H1607*'Scoring System'!$B$7,IF(AD1607="ATT",H1607*'Scoring System'!$B$8,0))))+ IF(AND(OR(AD1607="GK",AD1607="DEF"),J1607&gt;=3),1*'Scoring System'!$B$9,0)+ (I1607*'Scoring System'!$B$10)+ (K1607*'Scoring System'!$B$11)+ (M1607*'Scoring System'!$B$12)+ (L1607*'Scoring System'!$B$13)+ (O1607*'Scoring System'!$B$14)+ (Q1607*'Scoring System'!$B$15)+ (R1607*'Scoring System'!$B$16)</f>
        <v>8</v>
      </c>
      <c r="AB1607" s="3" t="b">
        <f>IFERROR(match(C1607,'Match Day Fees'!$B$2:$B$999,0),0)=0</f>
        <v>0</v>
      </c>
      <c r="AC1607" s="3">
        <f t="shared" si="2"/>
        <v>0</v>
      </c>
      <c r="AD1607" s="3" t="str">
        <f>VLOOKUP(D1607,'Position Lookup'!A:B,2,FALSE)</f>
        <v>MID</v>
      </c>
    </row>
    <row r="1608" ht="17.25" customHeight="1">
      <c r="A1608" s="10">
        <v>45318.0</v>
      </c>
      <c r="B1608" s="5" t="s">
        <v>309</v>
      </c>
      <c r="C1608" s="3" t="s">
        <v>151</v>
      </c>
      <c r="D1608" s="3" t="s">
        <v>21</v>
      </c>
      <c r="E1608" s="3">
        <v>3.0</v>
      </c>
      <c r="F1608" s="3" t="s">
        <v>1610</v>
      </c>
      <c r="G1608" s="3" t="s">
        <v>224</v>
      </c>
      <c r="H1608" s="3">
        <v>1.0</v>
      </c>
      <c r="I1608" s="3">
        <v>1.0</v>
      </c>
      <c r="J1608" s="3">
        <v>2.0</v>
      </c>
      <c r="N1608" s="3" t="b">
        <v>0</v>
      </c>
      <c r="R1608" s="3">
        <v>0.0</v>
      </c>
      <c r="T1608" s="3">
        <v>5.0</v>
      </c>
      <c r="U1608" s="3">
        <v>6.5</v>
      </c>
      <c r="V1608" s="3" t="s">
        <v>1699</v>
      </c>
      <c r="W1608" s="74" t="s">
        <v>344</v>
      </c>
      <c r="X1608" s="77" t="s">
        <v>1691</v>
      </c>
      <c r="Y1608" s="3">
        <v>6.0</v>
      </c>
      <c r="Z1608" s="3">
        <v>2.0</v>
      </c>
      <c r="AA1608" s="3">
        <f>2+ (P1608*'Scoring System'!$B$3)+ (IF(OR(AD1608="DEF",AD1608="GK"),N1608*'Scoring System'!$B$4,IF(AD1608="MID",N1608*'Scoring System'!$B$5,0)))+ (IF(OR(AD1608="DEF",AD1608="GK"),H1608*'Scoring System'!$B$6,IF(AD1608="MID",H1608*'Scoring System'!$B$7,IF(AD1608="ATT",H1608*'Scoring System'!$B$8,0))))+ IF(AND(OR(AD1608="GK",AD1608="DEF"),J1608&gt;=3),1*'Scoring System'!$B$9,0)+ (I1608*'Scoring System'!$B$10)+ (K1608*'Scoring System'!$B$11)+ (M1608*'Scoring System'!$B$12)+ (L1608*'Scoring System'!$B$13)+ (O1608*'Scoring System'!$B$14)+ (Q1608*'Scoring System'!$B$15)+ (R1608*'Scoring System'!$B$16)</f>
        <v>10</v>
      </c>
      <c r="AB1608" s="3" t="b">
        <f>IFERROR(match(C1608,'Match Day Fees'!$B$2:$B$999,0),0)=0</f>
        <v>0</v>
      </c>
      <c r="AC1608" s="3">
        <f t="shared" si="2"/>
        <v>0</v>
      </c>
      <c r="AD1608" s="3" t="str">
        <f>VLOOKUP(D1608,'Position Lookup'!A:B,2,FALSE)</f>
        <v>MID</v>
      </c>
    </row>
    <row r="1609" ht="17.25" customHeight="1">
      <c r="A1609" s="10">
        <v>45318.0</v>
      </c>
      <c r="B1609" s="5" t="s">
        <v>309</v>
      </c>
      <c r="C1609" s="3" t="s">
        <v>55</v>
      </c>
      <c r="D1609" s="3" t="s">
        <v>24</v>
      </c>
      <c r="E1609" s="3">
        <v>3.0</v>
      </c>
      <c r="F1609" s="3" t="s">
        <v>1610</v>
      </c>
      <c r="G1609" s="3" t="s">
        <v>224</v>
      </c>
      <c r="H1609" s="3">
        <v>3.0</v>
      </c>
      <c r="J1609" s="3">
        <v>2.0</v>
      </c>
      <c r="N1609" s="3" t="b">
        <v>0</v>
      </c>
      <c r="R1609" s="3">
        <v>0.0</v>
      </c>
      <c r="T1609" s="3">
        <v>10.0</v>
      </c>
      <c r="U1609" s="3">
        <v>8.0</v>
      </c>
      <c r="V1609" s="3" t="s">
        <v>1700</v>
      </c>
      <c r="W1609" s="74" t="s">
        <v>344</v>
      </c>
      <c r="X1609" s="77" t="s">
        <v>1691</v>
      </c>
      <c r="Y1609" s="3">
        <v>6.0</v>
      </c>
      <c r="Z1609" s="3">
        <v>2.0</v>
      </c>
      <c r="AA1609" s="3">
        <f>2+ (P1609*'Scoring System'!$B$3)+ (IF(OR(AD1609="DEF",AD1609="GK"),N1609*'Scoring System'!$B$4,IF(AD1609="MID",N1609*'Scoring System'!$B$5,0)))+ (IF(OR(AD1609="DEF",AD1609="GK"),H1609*'Scoring System'!$B$6,IF(AD1609="MID",H1609*'Scoring System'!$B$7,IF(AD1609="ATT",H1609*'Scoring System'!$B$8,0))))+ IF(AND(OR(AD1609="GK",AD1609="DEF"),J1609&gt;=3),1*'Scoring System'!$B$9,0)+ (I1609*'Scoring System'!$B$10)+ (K1609*'Scoring System'!$B$11)+ (M1609*'Scoring System'!$B$12)+ (L1609*'Scoring System'!$B$13)+ (O1609*'Scoring System'!$B$14)+ (Q1609*'Scoring System'!$B$15)+ (R1609*'Scoring System'!$B$16)</f>
        <v>14</v>
      </c>
      <c r="AB1609" s="3" t="b">
        <f>IFERROR(match(C1609,'Match Day Fees'!$B$2:$B$999,0),0)=0</f>
        <v>0</v>
      </c>
      <c r="AC1609" s="3">
        <f t="shared" si="2"/>
        <v>0</v>
      </c>
      <c r="AD1609" s="3" t="str">
        <f>VLOOKUP(D1609,'Position Lookup'!A:B,2,FALSE)</f>
        <v>ATT</v>
      </c>
    </row>
    <row r="1610" ht="17.25" customHeight="1">
      <c r="A1610" s="10">
        <v>45318.0</v>
      </c>
      <c r="B1610" s="5" t="s">
        <v>309</v>
      </c>
      <c r="C1610" s="3" t="s">
        <v>46</v>
      </c>
      <c r="D1610" s="3" t="s">
        <v>23</v>
      </c>
      <c r="E1610" s="3">
        <v>3.0</v>
      </c>
      <c r="F1610" s="3" t="s">
        <v>1610</v>
      </c>
      <c r="G1610" s="3" t="s">
        <v>224</v>
      </c>
      <c r="J1610" s="3">
        <v>2.0</v>
      </c>
      <c r="N1610" s="3" t="b">
        <v>0</v>
      </c>
      <c r="R1610" s="3">
        <v>0.0</v>
      </c>
      <c r="S1610" s="3" t="b">
        <v>1</v>
      </c>
      <c r="T1610" s="3">
        <v>0.0</v>
      </c>
      <c r="U1610" s="3">
        <v>5.5</v>
      </c>
      <c r="V1610" s="3" t="s">
        <v>1701</v>
      </c>
      <c r="W1610" s="74" t="s">
        <v>344</v>
      </c>
      <c r="X1610" s="77" t="s">
        <v>1691</v>
      </c>
      <c r="Y1610" s="3">
        <v>6.0</v>
      </c>
      <c r="Z1610" s="3">
        <v>2.0</v>
      </c>
      <c r="AA1610" s="3">
        <f>2+ (P1610*'Scoring System'!$B$3)+ (IF(OR(AD1610="DEF",AD1610="GK"),N1610*'Scoring System'!$B$4,IF(AD1610="MID",N1610*'Scoring System'!$B$5,0)))+ (IF(OR(AD1610="DEF",AD1610="GK"),H1610*'Scoring System'!$B$6,IF(AD1610="MID",H1610*'Scoring System'!$B$7,IF(AD1610="ATT",H1610*'Scoring System'!$B$8,0))))+ IF(AND(OR(AD1610="GK",AD1610="DEF"),J1610&gt;=3),1*'Scoring System'!$B$9,0)+ (I1610*'Scoring System'!$B$10)+ (K1610*'Scoring System'!$B$11)+ (M1610*'Scoring System'!$B$12)+ (L1610*'Scoring System'!$B$13)+ (O1610*'Scoring System'!$B$14)+ (Q1610*'Scoring System'!$B$15)+ (R1610*'Scoring System'!$B$16)</f>
        <v>2</v>
      </c>
      <c r="AB1610" s="3" t="b">
        <f>IFERROR(match(C1610,'Match Day Fees'!$B$2:$B$999,0),0)=0</f>
        <v>0</v>
      </c>
      <c r="AC1610" s="3">
        <f t="shared" si="2"/>
        <v>0</v>
      </c>
      <c r="AD1610" s="3" t="str">
        <f>VLOOKUP(D1610,'Position Lookup'!A:B,2,FALSE)</f>
        <v>ATT</v>
      </c>
    </row>
    <row r="1611" ht="17.25" customHeight="1">
      <c r="A1611" s="10">
        <v>45318.0</v>
      </c>
      <c r="B1611" s="5" t="s">
        <v>309</v>
      </c>
      <c r="C1611" s="3" t="s">
        <v>114</v>
      </c>
      <c r="D1611" s="3" t="s">
        <v>12</v>
      </c>
      <c r="E1611" s="3">
        <v>3.0</v>
      </c>
      <c r="F1611" s="3" t="s">
        <v>1610</v>
      </c>
      <c r="G1611" s="3" t="s">
        <v>224</v>
      </c>
      <c r="J1611" s="3">
        <v>2.0</v>
      </c>
      <c r="N1611" s="3" t="b">
        <v>0</v>
      </c>
      <c r="R1611" s="3">
        <v>0.0</v>
      </c>
      <c r="T1611" s="3">
        <v>10.0</v>
      </c>
      <c r="U1611" s="3">
        <v>6.0</v>
      </c>
      <c r="V1611" s="3" t="s">
        <v>1702</v>
      </c>
      <c r="W1611" s="74" t="s">
        <v>344</v>
      </c>
      <c r="X1611" s="77" t="s">
        <v>1691</v>
      </c>
      <c r="Y1611" s="3">
        <v>6.0</v>
      </c>
      <c r="Z1611" s="3">
        <v>2.0</v>
      </c>
      <c r="AA1611" s="3">
        <f>2+ (P1611*'Scoring System'!$B$3)+ (IF(OR(AD1611="DEF",AD1611="GK"),N1611*'Scoring System'!$B$4,IF(AD1611="MID",N1611*'Scoring System'!$B$5,0)))+ (IF(OR(AD1611="DEF",AD1611="GK"),H1611*'Scoring System'!$B$6,IF(AD1611="MID",H1611*'Scoring System'!$B$7,IF(AD1611="ATT",H1611*'Scoring System'!$B$8,0))))+ IF(AND(OR(AD1611="GK",AD1611="DEF"),J1611&gt;=3),1*'Scoring System'!$B$9,0)+ (I1611*'Scoring System'!$B$10)+ (K1611*'Scoring System'!$B$11)+ (M1611*'Scoring System'!$B$12)+ (L1611*'Scoring System'!$B$13)+ (O1611*'Scoring System'!$B$14)+ (Q1611*'Scoring System'!$B$15)+ (R1611*'Scoring System'!$B$16)</f>
        <v>2</v>
      </c>
      <c r="AB1611" s="3" t="b">
        <f>IFERROR(match(C1611,'Match Day Fees'!$B$2:$B$999,0),0)=0</f>
        <v>0</v>
      </c>
      <c r="AC1611" s="3">
        <f t="shared" si="2"/>
        <v>0</v>
      </c>
      <c r="AD1611" s="3" t="str">
        <f>VLOOKUP(D1611,'Position Lookup'!A:B,2,FALSE)</f>
        <v>DEF</v>
      </c>
    </row>
    <row r="1612" ht="17.25" customHeight="1">
      <c r="A1612" s="10">
        <v>45318.0</v>
      </c>
      <c r="B1612" s="5" t="s">
        <v>309</v>
      </c>
      <c r="C1612" s="3" t="s">
        <v>79</v>
      </c>
      <c r="D1612" s="3" t="s">
        <v>24</v>
      </c>
      <c r="E1612" s="3">
        <v>3.0</v>
      </c>
      <c r="F1612" s="3" t="s">
        <v>1610</v>
      </c>
      <c r="G1612" s="3" t="s">
        <v>224</v>
      </c>
      <c r="H1612" s="3">
        <v>1.0</v>
      </c>
      <c r="J1612" s="3">
        <v>2.0</v>
      </c>
      <c r="N1612" s="3" t="b">
        <v>0</v>
      </c>
      <c r="R1612" s="3">
        <v>0.0</v>
      </c>
      <c r="T1612" s="3">
        <v>10.0</v>
      </c>
      <c r="U1612" s="3">
        <v>6.0</v>
      </c>
      <c r="V1612" s="3" t="s">
        <v>1703</v>
      </c>
      <c r="W1612" s="74" t="s">
        <v>344</v>
      </c>
      <c r="X1612" s="77" t="s">
        <v>1691</v>
      </c>
      <c r="Y1612" s="3">
        <v>6.0</v>
      </c>
      <c r="Z1612" s="3">
        <v>2.0</v>
      </c>
      <c r="AA1612" s="3">
        <f>2+ (P1612*'Scoring System'!$B$3)+ (IF(OR(AD1612="DEF",AD1612="GK"),N1612*'Scoring System'!$B$4,IF(AD1612="MID",N1612*'Scoring System'!$B$5,0)))+ (IF(OR(AD1612="DEF",AD1612="GK"),H1612*'Scoring System'!$B$6,IF(AD1612="MID",H1612*'Scoring System'!$B$7,IF(AD1612="ATT",H1612*'Scoring System'!$B$8,0))))+ IF(AND(OR(AD1612="GK",AD1612="DEF"),J1612&gt;=3),1*'Scoring System'!$B$9,0)+ (I1612*'Scoring System'!$B$10)+ (K1612*'Scoring System'!$B$11)+ (M1612*'Scoring System'!$B$12)+ (L1612*'Scoring System'!$B$13)+ (O1612*'Scoring System'!$B$14)+ (Q1612*'Scoring System'!$B$15)+ (R1612*'Scoring System'!$B$16)</f>
        <v>6</v>
      </c>
      <c r="AB1612" s="3" t="b">
        <f>IFERROR(match(C1612,'Match Day Fees'!$B$2:$B$999,0),0)=0</f>
        <v>0</v>
      </c>
      <c r="AC1612" s="3">
        <f t="shared" si="2"/>
        <v>0</v>
      </c>
      <c r="AD1612" s="3" t="str">
        <f>VLOOKUP(D1612,'Position Lookup'!A:B,2,FALSE)</f>
        <v>ATT</v>
      </c>
    </row>
    <row r="1613" ht="17.25" customHeight="1">
      <c r="A1613" s="10">
        <v>45318.0</v>
      </c>
      <c r="B1613" s="5" t="s">
        <v>309</v>
      </c>
      <c r="C1613" s="3" t="s">
        <v>111</v>
      </c>
      <c r="D1613" s="3" t="s">
        <v>23</v>
      </c>
      <c r="E1613" s="3">
        <v>3.0</v>
      </c>
      <c r="F1613" s="3" t="s">
        <v>1610</v>
      </c>
      <c r="G1613" s="3" t="s">
        <v>224</v>
      </c>
      <c r="I1613" s="3">
        <v>2.0</v>
      </c>
      <c r="J1613" s="3">
        <v>2.0</v>
      </c>
      <c r="N1613" s="3" t="b">
        <v>0</v>
      </c>
      <c r="R1613" s="3">
        <v>0.0</v>
      </c>
      <c r="T1613" s="3">
        <v>10.0</v>
      </c>
      <c r="U1613" s="3">
        <v>6.5</v>
      </c>
      <c r="V1613" s="3" t="s">
        <v>1704</v>
      </c>
      <c r="W1613" s="74" t="s">
        <v>344</v>
      </c>
      <c r="X1613" s="77" t="s">
        <v>1691</v>
      </c>
      <c r="Y1613" s="3">
        <v>6.0</v>
      </c>
      <c r="Z1613" s="3">
        <v>2.0</v>
      </c>
      <c r="AA1613" s="3">
        <f>2+ (P1613*'Scoring System'!$B$3)+ (IF(OR(AD1613="DEF",AD1613="GK"),N1613*'Scoring System'!$B$4,IF(AD1613="MID",N1613*'Scoring System'!$B$5,0)))+ (IF(OR(AD1613="DEF",AD1613="GK"),H1613*'Scoring System'!$B$6,IF(AD1613="MID",H1613*'Scoring System'!$B$7,IF(AD1613="ATT",H1613*'Scoring System'!$B$8,0))))+ IF(AND(OR(AD1613="GK",AD1613="DEF"),J1613&gt;=3),1*'Scoring System'!$B$9,0)+ (I1613*'Scoring System'!$B$10)+ (K1613*'Scoring System'!$B$11)+ (M1613*'Scoring System'!$B$12)+ (L1613*'Scoring System'!$B$13)+ (O1613*'Scoring System'!$B$14)+ (Q1613*'Scoring System'!$B$15)+ (R1613*'Scoring System'!$B$16)</f>
        <v>8</v>
      </c>
      <c r="AB1613" s="3" t="b">
        <f>IFERROR(match(C1613,'Match Day Fees'!$B$2:$B$999,0),0)=0</f>
        <v>0</v>
      </c>
      <c r="AC1613" s="3">
        <f t="shared" si="2"/>
        <v>0</v>
      </c>
      <c r="AD1613" s="3" t="str">
        <f>VLOOKUP(D1613,'Position Lookup'!A:B,2,FALSE)</f>
        <v>ATT</v>
      </c>
    </row>
    <row r="1614" ht="17.25" customHeight="1">
      <c r="A1614" s="10">
        <v>45318.0</v>
      </c>
      <c r="B1614" s="5" t="s">
        <v>309</v>
      </c>
      <c r="C1614" s="3" t="s">
        <v>106</v>
      </c>
      <c r="D1614" s="3" t="s">
        <v>8</v>
      </c>
      <c r="E1614" s="5">
        <v>5.0</v>
      </c>
      <c r="F1614" s="3" t="s">
        <v>1705</v>
      </c>
      <c r="G1614" s="3" t="s">
        <v>224</v>
      </c>
      <c r="J1614" s="5">
        <v>0.0</v>
      </c>
      <c r="N1614" s="3" t="b">
        <v>1</v>
      </c>
      <c r="R1614" s="3">
        <v>0.0</v>
      </c>
      <c r="S1614" s="3" t="b">
        <v>1</v>
      </c>
      <c r="T1614" s="3">
        <v>0.0</v>
      </c>
      <c r="U1614" s="3">
        <v>7.0</v>
      </c>
      <c r="V1614" s="3" t="s">
        <v>1706</v>
      </c>
      <c r="W1614" s="3" t="s">
        <v>344</v>
      </c>
      <c r="X1614" s="77" t="s">
        <v>1707</v>
      </c>
      <c r="Y1614" s="3">
        <v>1.0</v>
      </c>
      <c r="AA1614" s="3">
        <f>2+ (P1614*'Scoring System'!$B$3)+ (IF(OR(AD1614="DEF",AD1614="GK"),N1614*'Scoring System'!$B$4,IF(AD1614="MID",N1614*'Scoring System'!$B$5,0)))+ (IF(OR(AD1614="DEF",AD1614="GK"),H1614*'Scoring System'!$B$6,IF(AD1614="MID",H1614*'Scoring System'!$B$7,IF(AD1614="ATT",H1614*'Scoring System'!$B$8,0))))+ IF(AND(OR(AD1614="GK",AD1614="DEF"),J1614&gt;=3),1*'Scoring System'!$B$9,0)+ (I1614*'Scoring System'!$B$10)+ (K1614*'Scoring System'!$B$11)+ (M1614*'Scoring System'!$B$12)+ (L1614*'Scoring System'!$B$13)+ (O1614*'Scoring System'!$B$14)+ (Q1614*'Scoring System'!$B$15)+ (R1614*'Scoring System'!$B$16)</f>
        <v>8</v>
      </c>
      <c r="AB1614" s="3" t="b">
        <f>IFERROR(match(C1614,'Match Day Fees'!$B$2:$B$999,0),0)=0</f>
        <v>0</v>
      </c>
      <c r="AC1614" s="3">
        <f t="shared" si="2"/>
        <v>0</v>
      </c>
      <c r="AD1614" s="3" t="str">
        <f>VLOOKUP(D1614,'Position Lookup'!A:B,2,FALSE)</f>
        <v>GK</v>
      </c>
    </row>
    <row r="1615" ht="17.25" customHeight="1">
      <c r="A1615" s="10">
        <v>45318.0</v>
      </c>
      <c r="B1615" s="5" t="s">
        <v>309</v>
      </c>
      <c r="C1615" s="3" t="s">
        <v>149</v>
      </c>
      <c r="D1615" s="3" t="s">
        <v>16</v>
      </c>
      <c r="E1615" s="5">
        <v>5.0</v>
      </c>
      <c r="F1615" s="3" t="s">
        <v>1705</v>
      </c>
      <c r="G1615" s="3" t="s">
        <v>224</v>
      </c>
      <c r="J1615" s="5"/>
      <c r="N1615" s="3" t="b">
        <v>1</v>
      </c>
      <c r="R1615" s="3">
        <v>0.0</v>
      </c>
      <c r="T1615" s="3">
        <v>10.0</v>
      </c>
      <c r="U1615" s="3">
        <v>7.0</v>
      </c>
      <c r="V1615" s="3" t="s">
        <v>1708</v>
      </c>
      <c r="W1615" s="3" t="s">
        <v>344</v>
      </c>
      <c r="X1615" s="77" t="s">
        <v>1707</v>
      </c>
      <c r="Y1615" s="3">
        <v>1.0</v>
      </c>
      <c r="AA1615" s="3">
        <f>2+ (P1615*'Scoring System'!$B$3)+ (IF(OR(AD1615="DEF",AD1615="GK"),N1615*'Scoring System'!$B$4,IF(AD1615="MID",N1615*'Scoring System'!$B$5,0)))+ (IF(OR(AD1615="DEF",AD1615="GK"),H1615*'Scoring System'!$B$6,IF(AD1615="MID",H1615*'Scoring System'!$B$7,IF(AD1615="ATT",H1615*'Scoring System'!$B$8,0))))+ IF(AND(OR(AD1615="GK",AD1615="DEF"),J1615&gt;=3),1*'Scoring System'!$B$9,0)+ (I1615*'Scoring System'!$B$10)+ (K1615*'Scoring System'!$B$11)+ (M1615*'Scoring System'!$B$12)+ (L1615*'Scoring System'!$B$13)+ (O1615*'Scoring System'!$B$14)+ (Q1615*'Scoring System'!$B$15)+ (R1615*'Scoring System'!$B$16)</f>
        <v>8</v>
      </c>
      <c r="AB1615" s="3" t="b">
        <f>IFERROR(match(C1615,'Match Day Fees'!$B$2:$B$999,0),0)=0</f>
        <v>0</v>
      </c>
      <c r="AC1615" s="3">
        <f t="shared" si="2"/>
        <v>0</v>
      </c>
      <c r="AD1615" s="3" t="str">
        <f>VLOOKUP(D1615,'Position Lookup'!A:B,2,FALSE)</f>
        <v>DEF</v>
      </c>
    </row>
    <row r="1616" ht="17.25" customHeight="1">
      <c r="A1616" s="10">
        <v>45318.0</v>
      </c>
      <c r="B1616" s="5" t="s">
        <v>309</v>
      </c>
      <c r="C1616" s="3" t="s">
        <v>116</v>
      </c>
      <c r="D1616" s="3" t="s">
        <v>14</v>
      </c>
      <c r="E1616" s="5">
        <v>5.0</v>
      </c>
      <c r="F1616" s="3" t="s">
        <v>1705</v>
      </c>
      <c r="G1616" s="3" t="s">
        <v>224</v>
      </c>
      <c r="J1616" s="5"/>
      <c r="N1616" s="3" t="b">
        <v>1</v>
      </c>
      <c r="R1616" s="3">
        <v>0.0</v>
      </c>
      <c r="T1616" s="3">
        <v>10.0</v>
      </c>
      <c r="U1616" s="3">
        <v>7.0</v>
      </c>
      <c r="V1616" s="3" t="s">
        <v>1709</v>
      </c>
      <c r="W1616" s="3" t="s">
        <v>344</v>
      </c>
      <c r="X1616" s="77" t="s">
        <v>1707</v>
      </c>
      <c r="Y1616" s="3">
        <v>1.0</v>
      </c>
      <c r="AA1616" s="3">
        <f>2+ (P1616*'Scoring System'!$B$3)+ (IF(OR(AD1616="DEF",AD1616="GK"),N1616*'Scoring System'!$B$4,IF(AD1616="MID",N1616*'Scoring System'!$B$5,0)))+ (IF(OR(AD1616="DEF",AD1616="GK"),H1616*'Scoring System'!$B$6,IF(AD1616="MID",H1616*'Scoring System'!$B$7,IF(AD1616="ATT",H1616*'Scoring System'!$B$8,0))))+ IF(AND(OR(AD1616="GK",AD1616="DEF"),J1616&gt;=3),1*'Scoring System'!$B$9,0)+ (I1616*'Scoring System'!$B$10)+ (K1616*'Scoring System'!$B$11)+ (M1616*'Scoring System'!$B$12)+ (L1616*'Scoring System'!$B$13)+ (O1616*'Scoring System'!$B$14)+ (Q1616*'Scoring System'!$B$15)+ (R1616*'Scoring System'!$B$16)</f>
        <v>8</v>
      </c>
      <c r="AB1616" s="3" t="b">
        <f>IFERROR(match(C1616,'Match Day Fees'!$B$2:$B$999,0),0)=0</f>
        <v>0</v>
      </c>
      <c r="AC1616" s="3">
        <f t="shared" si="2"/>
        <v>0</v>
      </c>
      <c r="AD1616" s="3" t="str">
        <f>VLOOKUP(D1616,'Position Lookup'!A:B,2,FALSE)</f>
        <v>DEF</v>
      </c>
    </row>
    <row r="1617" ht="17.25" customHeight="1">
      <c r="A1617" s="10">
        <v>45318.0</v>
      </c>
      <c r="B1617" s="5" t="s">
        <v>309</v>
      </c>
      <c r="C1617" s="3" t="s">
        <v>56</v>
      </c>
      <c r="D1617" s="3" t="s">
        <v>14</v>
      </c>
      <c r="E1617" s="5">
        <v>5.0</v>
      </c>
      <c r="F1617" s="3" t="s">
        <v>1705</v>
      </c>
      <c r="G1617" s="3" t="s">
        <v>224</v>
      </c>
      <c r="J1617" s="5"/>
      <c r="K1617" s="5">
        <v>1.0</v>
      </c>
      <c r="N1617" s="3" t="b">
        <v>1</v>
      </c>
      <c r="R1617" s="3">
        <v>0.0</v>
      </c>
      <c r="T1617" s="3">
        <v>10.0</v>
      </c>
      <c r="U1617" s="3">
        <v>7.0</v>
      </c>
      <c r="V1617" s="3" t="s">
        <v>1710</v>
      </c>
      <c r="W1617" s="3" t="s">
        <v>344</v>
      </c>
      <c r="X1617" s="77" t="s">
        <v>1707</v>
      </c>
      <c r="Y1617" s="3">
        <v>1.0</v>
      </c>
      <c r="AA1617" s="3">
        <f>2+ (P1617*'Scoring System'!$B$3)+ (IF(OR(AD1617="DEF",AD1617="GK"),N1617*'Scoring System'!$B$4,IF(AD1617="MID",N1617*'Scoring System'!$B$5,0)))+ (IF(OR(AD1617="DEF",AD1617="GK"),H1617*'Scoring System'!$B$6,IF(AD1617="MID",H1617*'Scoring System'!$B$7,IF(AD1617="ATT",H1617*'Scoring System'!$B$8,0))))+ IF(AND(OR(AD1617="GK",AD1617="DEF"),J1617&gt;=3),1*'Scoring System'!$B$9,0)+ (I1617*'Scoring System'!$B$10)+ (K1617*'Scoring System'!$B$11)+ (M1617*'Scoring System'!$B$12)+ (L1617*'Scoring System'!$B$13)+ (O1617*'Scoring System'!$B$14)+ (Q1617*'Scoring System'!$B$15)+ (R1617*'Scoring System'!$B$16)</f>
        <v>7</v>
      </c>
      <c r="AB1617" s="3" t="b">
        <f>IFERROR(match(C1617,'Match Day Fees'!$B$2:$B$999,0),0)=0</f>
        <v>0</v>
      </c>
      <c r="AC1617" s="3">
        <f t="shared" si="2"/>
        <v>0</v>
      </c>
      <c r="AD1617" s="3" t="str">
        <f>VLOOKUP(D1617,'Position Lookup'!A:B,2,FALSE)</f>
        <v>DEF</v>
      </c>
    </row>
    <row r="1618" ht="17.25" customHeight="1">
      <c r="A1618" s="10">
        <v>45318.0</v>
      </c>
      <c r="B1618" s="5" t="s">
        <v>309</v>
      </c>
      <c r="C1618" s="3" t="s">
        <v>133</v>
      </c>
      <c r="D1618" s="3" t="s">
        <v>16</v>
      </c>
      <c r="E1618" s="5">
        <v>5.0</v>
      </c>
      <c r="F1618" s="3" t="s">
        <v>1705</v>
      </c>
      <c r="G1618" s="3" t="s">
        <v>224</v>
      </c>
      <c r="J1618" s="5"/>
      <c r="N1618" s="3" t="b">
        <v>1</v>
      </c>
      <c r="R1618" s="3">
        <v>0.0</v>
      </c>
      <c r="T1618" s="3">
        <v>10.0</v>
      </c>
      <c r="U1618" s="3">
        <v>6.5</v>
      </c>
      <c r="V1618" s="3" t="s">
        <v>1711</v>
      </c>
      <c r="W1618" s="3" t="s">
        <v>344</v>
      </c>
      <c r="X1618" s="77" t="s">
        <v>1707</v>
      </c>
      <c r="Y1618" s="3">
        <v>1.0</v>
      </c>
      <c r="AA1618" s="3">
        <f>2+ (P1618*'Scoring System'!$B$3)+ (IF(OR(AD1618="DEF",AD1618="GK"),N1618*'Scoring System'!$B$4,IF(AD1618="MID",N1618*'Scoring System'!$B$5,0)))+ (IF(OR(AD1618="DEF",AD1618="GK"),H1618*'Scoring System'!$B$6,IF(AD1618="MID",H1618*'Scoring System'!$B$7,IF(AD1618="ATT",H1618*'Scoring System'!$B$8,0))))+ IF(AND(OR(AD1618="GK",AD1618="DEF"),J1618&gt;=3),1*'Scoring System'!$B$9,0)+ (I1618*'Scoring System'!$B$10)+ (K1618*'Scoring System'!$B$11)+ (M1618*'Scoring System'!$B$12)+ (L1618*'Scoring System'!$B$13)+ (O1618*'Scoring System'!$B$14)+ (Q1618*'Scoring System'!$B$15)+ (R1618*'Scoring System'!$B$16)</f>
        <v>8</v>
      </c>
      <c r="AB1618" s="3" t="b">
        <f>IFERROR(match(C1618,'Match Day Fees'!$B$2:$B$999,0),0)=0</f>
        <v>0</v>
      </c>
      <c r="AC1618" s="3">
        <f t="shared" si="2"/>
        <v>0</v>
      </c>
      <c r="AD1618" s="3" t="str">
        <f>VLOOKUP(D1618,'Position Lookup'!A:B,2,FALSE)</f>
        <v>DEF</v>
      </c>
    </row>
    <row r="1619" ht="17.25" customHeight="1">
      <c r="A1619" s="10">
        <v>45318.0</v>
      </c>
      <c r="B1619" s="5" t="s">
        <v>309</v>
      </c>
      <c r="C1619" s="3" t="s">
        <v>95</v>
      </c>
      <c r="D1619" s="3" t="s">
        <v>22</v>
      </c>
      <c r="E1619" s="5">
        <v>5.0</v>
      </c>
      <c r="F1619" s="3" t="s">
        <v>1705</v>
      </c>
      <c r="G1619" s="3" t="s">
        <v>224</v>
      </c>
      <c r="J1619" s="5"/>
      <c r="N1619" s="3" t="b">
        <v>1</v>
      </c>
      <c r="R1619" s="3">
        <v>0.0</v>
      </c>
      <c r="T1619" s="3">
        <v>7.0</v>
      </c>
      <c r="U1619" s="3">
        <v>6.5</v>
      </c>
      <c r="V1619" s="3" t="s">
        <v>1712</v>
      </c>
      <c r="W1619" s="3" t="s">
        <v>344</v>
      </c>
      <c r="X1619" s="77" t="s">
        <v>1707</v>
      </c>
      <c r="Y1619" s="3">
        <v>1.0</v>
      </c>
      <c r="AA1619" s="3">
        <f>2+ (P1619*'Scoring System'!$B$3)+ (IF(OR(AD1619="DEF",AD1619="GK"),N1619*'Scoring System'!$B$4,IF(AD1619="MID",N1619*'Scoring System'!$B$5,0)))+ (IF(OR(AD1619="DEF",AD1619="GK"),H1619*'Scoring System'!$B$6,IF(AD1619="MID",H1619*'Scoring System'!$B$7,IF(AD1619="ATT",H1619*'Scoring System'!$B$8,0))))+ IF(AND(OR(AD1619="GK",AD1619="DEF"),J1619&gt;=3),1*'Scoring System'!$B$9,0)+ (I1619*'Scoring System'!$B$10)+ (K1619*'Scoring System'!$B$11)+ (M1619*'Scoring System'!$B$12)+ (L1619*'Scoring System'!$B$13)+ (O1619*'Scoring System'!$B$14)+ (Q1619*'Scoring System'!$B$15)+ (R1619*'Scoring System'!$B$16)</f>
        <v>2</v>
      </c>
      <c r="AB1619" s="3" t="b">
        <f>IFERROR(match(C1619,'Match Day Fees'!$B$2:$B$999,0),0)=0</f>
        <v>0</v>
      </c>
      <c r="AC1619" s="3">
        <f t="shared" si="2"/>
        <v>0</v>
      </c>
      <c r="AD1619" s="3" t="str">
        <f>VLOOKUP(D1619,'Position Lookup'!A:B,2,FALSE)</f>
        <v>ATT</v>
      </c>
    </row>
    <row r="1620" ht="17.25" customHeight="1">
      <c r="A1620" s="10">
        <v>45318.0</v>
      </c>
      <c r="B1620" s="5" t="s">
        <v>309</v>
      </c>
      <c r="C1620" s="3" t="s">
        <v>71</v>
      </c>
      <c r="D1620" s="3" t="s">
        <v>20</v>
      </c>
      <c r="E1620" s="5">
        <v>5.0</v>
      </c>
      <c r="F1620" s="3" t="s">
        <v>1705</v>
      </c>
      <c r="G1620" s="3" t="s">
        <v>224</v>
      </c>
      <c r="J1620" s="5"/>
      <c r="N1620" s="3" t="b">
        <v>1</v>
      </c>
      <c r="R1620" s="3">
        <v>1.0</v>
      </c>
      <c r="T1620" s="3">
        <v>10.0</v>
      </c>
      <c r="U1620" s="3">
        <v>8.0</v>
      </c>
      <c r="V1620" s="3" t="s">
        <v>1713</v>
      </c>
      <c r="W1620" s="3" t="s">
        <v>344</v>
      </c>
      <c r="X1620" s="77" t="s">
        <v>1707</v>
      </c>
      <c r="Y1620" s="3">
        <v>1.0</v>
      </c>
      <c r="AA1620" s="3">
        <f>2+ (P1620*'Scoring System'!$B$3)+ (IF(OR(AD1620="DEF",AD1620="GK"),N1620*'Scoring System'!$B$4,IF(AD1620="MID",N1620*'Scoring System'!$B$5,0)))+ (IF(OR(AD1620="DEF",AD1620="GK"),H1620*'Scoring System'!$B$6,IF(AD1620="MID",H1620*'Scoring System'!$B$7,IF(AD1620="ATT",H1620*'Scoring System'!$B$8,0))))+ IF(AND(OR(AD1620="GK",AD1620="DEF"),J1620&gt;=3),1*'Scoring System'!$B$9,0)+ (I1620*'Scoring System'!$B$10)+ (K1620*'Scoring System'!$B$11)+ (M1620*'Scoring System'!$B$12)+ (L1620*'Scoring System'!$B$13)+ (O1620*'Scoring System'!$B$14)+ (Q1620*'Scoring System'!$B$15)+ (R1620*'Scoring System'!$B$16)</f>
        <v>9</v>
      </c>
      <c r="AB1620" s="3" t="b">
        <f>IFERROR(match(C1620,'Match Day Fees'!$B$2:$B$999,0),0)=0</f>
        <v>0</v>
      </c>
      <c r="AC1620" s="3">
        <f t="shared" si="2"/>
        <v>0</v>
      </c>
      <c r="AD1620" s="3" t="str">
        <f>VLOOKUP(D1620,'Position Lookup'!A:B,2,FALSE)</f>
        <v>MID</v>
      </c>
    </row>
    <row r="1621" ht="17.25" customHeight="1">
      <c r="A1621" s="10">
        <v>45318.0</v>
      </c>
      <c r="B1621" s="5" t="s">
        <v>309</v>
      </c>
      <c r="C1621" s="3" t="s">
        <v>58</v>
      </c>
      <c r="D1621" s="3" t="s">
        <v>20</v>
      </c>
      <c r="E1621" s="5">
        <v>5.0</v>
      </c>
      <c r="F1621" s="3" t="s">
        <v>1705</v>
      </c>
      <c r="G1621" s="3" t="s">
        <v>224</v>
      </c>
      <c r="J1621" s="5"/>
      <c r="N1621" s="3" t="b">
        <v>1</v>
      </c>
      <c r="R1621" s="3">
        <v>0.0</v>
      </c>
      <c r="T1621" s="3">
        <v>10.0</v>
      </c>
      <c r="U1621" s="3">
        <v>7.0</v>
      </c>
      <c r="V1621" s="3" t="s">
        <v>1714</v>
      </c>
      <c r="W1621" s="3" t="s">
        <v>344</v>
      </c>
      <c r="X1621" s="77" t="s">
        <v>1707</v>
      </c>
      <c r="Y1621" s="3">
        <v>1.0</v>
      </c>
      <c r="AA1621" s="3">
        <f>2+ (P1621*'Scoring System'!$B$3)+ (IF(OR(AD1621="DEF",AD1621="GK"),N1621*'Scoring System'!$B$4,IF(AD1621="MID",N1621*'Scoring System'!$B$5,0)))+ (IF(OR(AD1621="DEF",AD1621="GK"),H1621*'Scoring System'!$B$6,IF(AD1621="MID",H1621*'Scoring System'!$B$7,IF(AD1621="ATT",H1621*'Scoring System'!$B$8,0))))+ IF(AND(OR(AD1621="GK",AD1621="DEF"),J1621&gt;=3),1*'Scoring System'!$B$9,0)+ (I1621*'Scoring System'!$B$10)+ (K1621*'Scoring System'!$B$11)+ (M1621*'Scoring System'!$B$12)+ (L1621*'Scoring System'!$B$13)+ (O1621*'Scoring System'!$B$14)+ (Q1621*'Scoring System'!$B$15)+ (R1621*'Scoring System'!$B$16)</f>
        <v>4</v>
      </c>
      <c r="AB1621" s="3" t="b">
        <f>IFERROR(match(C1621,'Match Day Fees'!$B$2:$B$999,0),0)=0</f>
        <v>0</v>
      </c>
      <c r="AC1621" s="3">
        <f t="shared" si="2"/>
        <v>0</v>
      </c>
      <c r="AD1621" s="3" t="str">
        <f>VLOOKUP(D1621,'Position Lookup'!A:B,2,FALSE)</f>
        <v>MID</v>
      </c>
    </row>
    <row r="1622" ht="17.25" customHeight="1">
      <c r="A1622" s="10">
        <v>45318.0</v>
      </c>
      <c r="B1622" s="5" t="s">
        <v>309</v>
      </c>
      <c r="C1622" s="3" t="s">
        <v>72</v>
      </c>
      <c r="D1622" s="3" t="s">
        <v>20</v>
      </c>
      <c r="E1622" s="5">
        <v>5.0</v>
      </c>
      <c r="F1622" s="3" t="s">
        <v>1705</v>
      </c>
      <c r="G1622" s="3" t="s">
        <v>224</v>
      </c>
      <c r="J1622" s="5"/>
      <c r="N1622" s="3" t="b">
        <v>1</v>
      </c>
      <c r="R1622" s="3">
        <v>0.0</v>
      </c>
      <c r="T1622" s="3">
        <v>10.0</v>
      </c>
      <c r="U1622" s="3">
        <v>7.0</v>
      </c>
      <c r="V1622" s="3" t="s">
        <v>1715</v>
      </c>
      <c r="W1622" s="3" t="s">
        <v>344</v>
      </c>
      <c r="X1622" s="77" t="s">
        <v>1707</v>
      </c>
      <c r="Y1622" s="3">
        <v>1.0</v>
      </c>
      <c r="AA1622" s="3">
        <f>2+ (P1622*'Scoring System'!$B$3)+ (IF(OR(AD1622="DEF",AD1622="GK"),N1622*'Scoring System'!$B$4,IF(AD1622="MID",N1622*'Scoring System'!$B$5,0)))+ (IF(OR(AD1622="DEF",AD1622="GK"),H1622*'Scoring System'!$B$6,IF(AD1622="MID",H1622*'Scoring System'!$B$7,IF(AD1622="ATT",H1622*'Scoring System'!$B$8,0))))+ IF(AND(OR(AD1622="GK",AD1622="DEF"),J1622&gt;=3),1*'Scoring System'!$B$9,0)+ (I1622*'Scoring System'!$B$10)+ (K1622*'Scoring System'!$B$11)+ (M1622*'Scoring System'!$B$12)+ (L1622*'Scoring System'!$B$13)+ (O1622*'Scoring System'!$B$14)+ (Q1622*'Scoring System'!$B$15)+ (R1622*'Scoring System'!$B$16)</f>
        <v>4</v>
      </c>
      <c r="AB1622" s="3" t="b">
        <f>IFERROR(match(C1622,'Match Day Fees'!$B$2:$B$999,0),0)=0</f>
        <v>0</v>
      </c>
      <c r="AC1622" s="3">
        <f t="shared" si="2"/>
        <v>0</v>
      </c>
      <c r="AD1622" s="3" t="str">
        <f>VLOOKUP(D1622,'Position Lookup'!A:B,2,FALSE)</f>
        <v>MID</v>
      </c>
    </row>
    <row r="1623" ht="17.25" customHeight="1">
      <c r="A1623" s="10">
        <v>45318.0</v>
      </c>
      <c r="B1623" s="5" t="s">
        <v>309</v>
      </c>
      <c r="C1623" s="3" t="s">
        <v>237</v>
      </c>
      <c r="D1623" s="3" t="s">
        <v>20</v>
      </c>
      <c r="E1623" s="5">
        <v>5.0</v>
      </c>
      <c r="F1623" s="3" t="s">
        <v>1705</v>
      </c>
      <c r="G1623" s="3" t="s">
        <v>224</v>
      </c>
      <c r="H1623" s="3">
        <v>1.0</v>
      </c>
      <c r="J1623" s="5"/>
      <c r="N1623" s="3" t="b">
        <v>1</v>
      </c>
      <c r="R1623" s="3">
        <v>0.0</v>
      </c>
      <c r="T1623" s="3">
        <v>10.0</v>
      </c>
      <c r="U1623" s="3">
        <v>7.0</v>
      </c>
      <c r="V1623" s="3" t="s">
        <v>1716</v>
      </c>
      <c r="W1623" s="3" t="s">
        <v>344</v>
      </c>
      <c r="X1623" s="77" t="s">
        <v>1707</v>
      </c>
      <c r="Y1623" s="3">
        <v>1.0</v>
      </c>
      <c r="AA1623" s="3">
        <f>2+ (P1623*'Scoring System'!$B$3)+ (IF(OR(AD1623="DEF",AD1623="GK"),N1623*'Scoring System'!$B$4,IF(AD1623="MID",N1623*'Scoring System'!$B$5,0)))+ (IF(OR(AD1623="DEF",AD1623="GK"),H1623*'Scoring System'!$B$6,IF(AD1623="MID",H1623*'Scoring System'!$B$7,IF(AD1623="ATT",H1623*'Scoring System'!$B$8,0))))+ IF(AND(OR(AD1623="GK",AD1623="DEF"),J1623&gt;=3),1*'Scoring System'!$B$9,0)+ (I1623*'Scoring System'!$B$10)+ (K1623*'Scoring System'!$B$11)+ (M1623*'Scoring System'!$B$12)+ (L1623*'Scoring System'!$B$13)+ (O1623*'Scoring System'!$B$14)+ (Q1623*'Scoring System'!$B$15)+ (R1623*'Scoring System'!$B$16)</f>
        <v>9</v>
      </c>
      <c r="AB1623" s="3" t="b">
        <f>IFERROR(match(C1623,'Match Day Fees'!$B$2:$B$999,0),0)=0</f>
        <v>0</v>
      </c>
      <c r="AC1623" s="3">
        <f t="shared" si="2"/>
        <v>0</v>
      </c>
      <c r="AD1623" s="3" t="str">
        <f>VLOOKUP(D1623,'Position Lookup'!A:B,2,FALSE)</f>
        <v>MID</v>
      </c>
    </row>
    <row r="1624" ht="17.25" customHeight="1">
      <c r="A1624" s="10">
        <v>45318.0</v>
      </c>
      <c r="B1624" s="5" t="s">
        <v>309</v>
      </c>
      <c r="C1624" s="3" t="s">
        <v>1372</v>
      </c>
      <c r="D1624" s="3" t="s">
        <v>24</v>
      </c>
      <c r="E1624" s="5">
        <v>5.0</v>
      </c>
      <c r="F1624" s="3" t="s">
        <v>1705</v>
      </c>
      <c r="G1624" s="3" t="s">
        <v>224</v>
      </c>
      <c r="I1624" s="3">
        <v>1.0</v>
      </c>
      <c r="J1624" s="5"/>
      <c r="N1624" s="3" t="b">
        <v>1</v>
      </c>
      <c r="O1624" s="3">
        <v>1.0</v>
      </c>
      <c r="R1624" s="3">
        <v>0.0</v>
      </c>
      <c r="T1624" s="3">
        <v>10.0</v>
      </c>
      <c r="U1624" s="3">
        <v>7.0</v>
      </c>
      <c r="V1624" s="3" t="s">
        <v>1717</v>
      </c>
      <c r="W1624" s="3" t="s">
        <v>344</v>
      </c>
      <c r="X1624" s="77" t="s">
        <v>1707</v>
      </c>
      <c r="Y1624" s="3">
        <v>1.0</v>
      </c>
      <c r="AA1624" s="3">
        <f>2+ (P1624*'Scoring System'!$B$3)+ (IF(OR(AD1624="DEF",AD1624="GK"),N1624*'Scoring System'!$B$4,IF(AD1624="MID",N1624*'Scoring System'!$B$5,0)))+ (IF(OR(AD1624="DEF",AD1624="GK"),H1624*'Scoring System'!$B$6,IF(AD1624="MID",H1624*'Scoring System'!$B$7,IF(AD1624="ATT",H1624*'Scoring System'!$B$8,0))))+ IF(AND(OR(AD1624="GK",AD1624="DEF"),J1624&gt;=3),1*'Scoring System'!$B$9,0)+ (I1624*'Scoring System'!$B$10)+ (K1624*'Scoring System'!$B$11)+ (M1624*'Scoring System'!$B$12)+ (L1624*'Scoring System'!$B$13)+ (O1624*'Scoring System'!$B$14)+ (Q1624*'Scoring System'!$B$15)+ (R1624*'Scoring System'!$B$16)</f>
        <v>3</v>
      </c>
      <c r="AB1624" s="3" t="b">
        <f>IFERROR(match(C1624,'Match Day Fees'!$B$2:$B$999,0),0)=0</f>
        <v>0</v>
      </c>
      <c r="AC1624" s="3">
        <f t="shared" si="2"/>
        <v>0</v>
      </c>
      <c r="AD1624" s="3" t="str">
        <f>VLOOKUP(D1624,'Position Lookup'!A:B,2,FALSE)</f>
        <v>ATT</v>
      </c>
    </row>
    <row r="1625" ht="17.25" customHeight="1">
      <c r="A1625" s="10">
        <v>45318.0</v>
      </c>
      <c r="B1625" s="5" t="s">
        <v>309</v>
      </c>
      <c r="C1625" s="3" t="s">
        <v>123</v>
      </c>
      <c r="D1625" s="3" t="s">
        <v>23</v>
      </c>
      <c r="E1625" s="5">
        <v>5.0</v>
      </c>
      <c r="F1625" s="3" t="s">
        <v>1705</v>
      </c>
      <c r="G1625" s="3" t="s">
        <v>224</v>
      </c>
      <c r="J1625" s="5"/>
      <c r="N1625" s="3" t="b">
        <v>1</v>
      </c>
      <c r="R1625" s="3">
        <v>0.0</v>
      </c>
      <c r="T1625" s="3">
        <v>10.0</v>
      </c>
      <c r="U1625" s="3">
        <v>7.0</v>
      </c>
      <c r="V1625" s="3" t="s">
        <v>1718</v>
      </c>
      <c r="W1625" s="3" t="s">
        <v>344</v>
      </c>
      <c r="X1625" s="77" t="s">
        <v>1707</v>
      </c>
      <c r="Y1625" s="3">
        <v>1.0</v>
      </c>
      <c r="AA1625" s="3">
        <f>2+ (P1625*'Scoring System'!$B$3)+ (IF(OR(AD1625="DEF",AD1625="GK"),N1625*'Scoring System'!$B$4,IF(AD1625="MID",N1625*'Scoring System'!$B$5,0)))+ (IF(OR(AD1625="DEF",AD1625="GK"),H1625*'Scoring System'!$B$6,IF(AD1625="MID",H1625*'Scoring System'!$B$7,IF(AD1625="ATT",H1625*'Scoring System'!$B$8,0))))+ IF(AND(OR(AD1625="GK",AD1625="DEF"),J1625&gt;=3),1*'Scoring System'!$B$9,0)+ (I1625*'Scoring System'!$B$10)+ (K1625*'Scoring System'!$B$11)+ (M1625*'Scoring System'!$B$12)+ (L1625*'Scoring System'!$B$13)+ (O1625*'Scoring System'!$B$14)+ (Q1625*'Scoring System'!$B$15)+ (R1625*'Scoring System'!$B$16)</f>
        <v>2</v>
      </c>
      <c r="AB1625" s="3" t="b">
        <f>IFERROR(match(C1625,'Match Day Fees'!$B$2:$B$999,0),0)=0</f>
        <v>0</v>
      </c>
      <c r="AC1625" s="3">
        <f t="shared" si="2"/>
        <v>0</v>
      </c>
      <c r="AD1625" s="3" t="str">
        <f>VLOOKUP(D1625,'Position Lookup'!A:B,2,FALSE)</f>
        <v>ATT</v>
      </c>
    </row>
    <row r="1626" ht="17.25" customHeight="1">
      <c r="A1626" s="10">
        <v>45318.0</v>
      </c>
      <c r="B1626" s="5" t="s">
        <v>309</v>
      </c>
      <c r="C1626" s="3" t="s">
        <v>138</v>
      </c>
      <c r="D1626" s="3" t="s">
        <v>12</v>
      </c>
      <c r="E1626" s="5">
        <v>5.0</v>
      </c>
      <c r="F1626" s="3" t="s">
        <v>1705</v>
      </c>
      <c r="G1626" s="3" t="s">
        <v>224</v>
      </c>
      <c r="J1626" s="5"/>
      <c r="N1626" s="3" t="b">
        <v>1</v>
      </c>
      <c r="R1626" s="3">
        <v>0.0</v>
      </c>
      <c r="T1626" s="3">
        <v>10.0</v>
      </c>
      <c r="U1626" s="3">
        <v>7.0</v>
      </c>
      <c r="V1626" s="3" t="s">
        <v>1719</v>
      </c>
      <c r="W1626" s="3" t="s">
        <v>344</v>
      </c>
      <c r="X1626" s="77" t="s">
        <v>1707</v>
      </c>
      <c r="Y1626" s="3">
        <v>1.0</v>
      </c>
      <c r="AA1626" s="3">
        <f>2+ (P1626*'Scoring System'!$B$3)+ (IF(OR(AD1626="DEF",AD1626="GK"),N1626*'Scoring System'!$B$4,IF(AD1626="MID",N1626*'Scoring System'!$B$5,0)))+ (IF(OR(AD1626="DEF",AD1626="GK"),H1626*'Scoring System'!$B$6,IF(AD1626="MID",H1626*'Scoring System'!$B$7,IF(AD1626="ATT",H1626*'Scoring System'!$B$8,0))))+ IF(AND(OR(AD1626="GK",AD1626="DEF"),J1626&gt;=3),1*'Scoring System'!$B$9,0)+ (I1626*'Scoring System'!$B$10)+ (K1626*'Scoring System'!$B$11)+ (M1626*'Scoring System'!$B$12)+ (L1626*'Scoring System'!$B$13)+ (O1626*'Scoring System'!$B$14)+ (Q1626*'Scoring System'!$B$15)+ (R1626*'Scoring System'!$B$16)</f>
        <v>8</v>
      </c>
      <c r="AB1626" s="3" t="b">
        <f>IFERROR(match(C1626,'Match Day Fees'!$B$2:$B$999,0),0)=0</f>
        <v>0</v>
      </c>
      <c r="AC1626" s="3">
        <f t="shared" si="2"/>
        <v>0</v>
      </c>
      <c r="AD1626" s="3" t="str">
        <f>VLOOKUP(D1626,'Position Lookup'!A:B,2,FALSE)</f>
        <v>DEF</v>
      </c>
    </row>
    <row r="1627" ht="17.25" customHeight="1">
      <c r="A1627" s="10">
        <v>45318.0</v>
      </c>
      <c r="B1627" s="5" t="s">
        <v>309</v>
      </c>
      <c r="C1627" s="3" t="s">
        <v>135</v>
      </c>
      <c r="D1627" s="3" t="s">
        <v>14</v>
      </c>
      <c r="E1627" s="5">
        <v>5.0</v>
      </c>
      <c r="F1627" s="3" t="s">
        <v>1705</v>
      </c>
      <c r="G1627" s="3" t="s">
        <v>224</v>
      </c>
      <c r="J1627" s="5"/>
      <c r="N1627" s="3" t="b">
        <v>1</v>
      </c>
      <c r="R1627" s="3">
        <v>0.0</v>
      </c>
      <c r="T1627" s="3">
        <v>7.0</v>
      </c>
      <c r="U1627" s="3">
        <v>7.0</v>
      </c>
      <c r="V1627" s="3" t="s">
        <v>1720</v>
      </c>
      <c r="W1627" s="3" t="s">
        <v>344</v>
      </c>
      <c r="X1627" s="77" t="s">
        <v>1707</v>
      </c>
      <c r="Y1627" s="3">
        <v>1.0</v>
      </c>
      <c r="AA1627" s="3">
        <f>2+ (P1627*'Scoring System'!$B$3)+ (IF(OR(AD1627="DEF",AD1627="GK"),N1627*'Scoring System'!$B$4,IF(AD1627="MID",N1627*'Scoring System'!$B$5,0)))+ (IF(OR(AD1627="DEF",AD1627="GK"),H1627*'Scoring System'!$B$6,IF(AD1627="MID",H1627*'Scoring System'!$B$7,IF(AD1627="ATT",H1627*'Scoring System'!$B$8,0))))+ IF(AND(OR(AD1627="GK",AD1627="DEF"),J1627&gt;=3),1*'Scoring System'!$B$9,0)+ (I1627*'Scoring System'!$B$10)+ (K1627*'Scoring System'!$B$11)+ (M1627*'Scoring System'!$B$12)+ (L1627*'Scoring System'!$B$13)+ (O1627*'Scoring System'!$B$14)+ (Q1627*'Scoring System'!$B$15)+ (R1627*'Scoring System'!$B$16)</f>
        <v>8</v>
      </c>
      <c r="AB1627" s="3" t="b">
        <f>IFERROR(match(C1627,'Match Day Fees'!$B$2:$B$999,0),0)=0</f>
        <v>0</v>
      </c>
      <c r="AC1627" s="3">
        <f t="shared" si="2"/>
        <v>0</v>
      </c>
      <c r="AD1627" s="3" t="str">
        <f>VLOOKUP(D1627,'Position Lookup'!A:B,2,FALSE)</f>
        <v>DEF</v>
      </c>
    </row>
    <row r="1628" ht="17.25" customHeight="1">
      <c r="A1628" s="10">
        <v>45318.0</v>
      </c>
      <c r="B1628" s="5" t="s">
        <v>309</v>
      </c>
      <c r="C1628" s="3" t="s">
        <v>259</v>
      </c>
      <c r="D1628" s="3" t="s">
        <v>8</v>
      </c>
      <c r="E1628" s="5">
        <v>6.0</v>
      </c>
      <c r="F1628" s="3" t="s">
        <v>301</v>
      </c>
      <c r="G1628" s="3" t="s">
        <v>224</v>
      </c>
      <c r="J1628" s="5">
        <v>3.0</v>
      </c>
      <c r="N1628" s="3" t="b">
        <v>0</v>
      </c>
      <c r="R1628" s="3">
        <v>0.0</v>
      </c>
      <c r="S1628" s="3" t="b">
        <v>1</v>
      </c>
      <c r="T1628" s="3">
        <v>0.0</v>
      </c>
      <c r="U1628" s="3">
        <v>7.0</v>
      </c>
      <c r="V1628" s="3" t="s">
        <v>1721</v>
      </c>
      <c r="W1628" s="3" t="s">
        <v>1375</v>
      </c>
      <c r="X1628" s="77" t="s">
        <v>1722</v>
      </c>
      <c r="Y1628" s="3">
        <v>4.0</v>
      </c>
      <c r="Z1628" s="3">
        <v>3.0</v>
      </c>
      <c r="AA1628" s="3">
        <f>2+ (P1628*'Scoring System'!$B$3)+ (IF(OR(AD1628="DEF",AD1628="GK"),N1628*'Scoring System'!$B$4,IF(AD1628="MID",N1628*'Scoring System'!$B$5,0)))+ (IF(OR(AD1628="DEF",AD1628="GK"),H1628*'Scoring System'!$B$6,IF(AD1628="MID",H1628*'Scoring System'!$B$7,IF(AD1628="ATT",H1628*'Scoring System'!$B$8,0))))+ IF(AND(OR(AD1628="GK",AD1628="DEF"),J1628&gt;=3),1*'Scoring System'!$B$9,0)+ (I1628*'Scoring System'!$B$10)+ (K1628*'Scoring System'!$B$11)+ (M1628*'Scoring System'!$B$12)+ (L1628*'Scoring System'!$B$13)+ (O1628*'Scoring System'!$B$14)+ (Q1628*'Scoring System'!$B$15)+ (R1628*'Scoring System'!$B$16)</f>
        <v>1</v>
      </c>
      <c r="AB1628" s="3" t="b">
        <f>IFERROR(match(C1628,'Match Day Fees'!$B$2:$B$999,0),0)=0</f>
        <v>0</v>
      </c>
      <c r="AC1628" s="3">
        <f t="shared" si="2"/>
        <v>0</v>
      </c>
      <c r="AD1628" s="3" t="str">
        <f>VLOOKUP(D1628,'Position Lookup'!A:B,2,FALSE)</f>
        <v>GK</v>
      </c>
    </row>
    <row r="1629" ht="17.25" customHeight="1">
      <c r="A1629" s="10">
        <v>45318.0</v>
      </c>
      <c r="B1629" s="5" t="s">
        <v>309</v>
      </c>
      <c r="C1629" s="3" t="s">
        <v>98</v>
      </c>
      <c r="D1629" s="3" t="s">
        <v>14</v>
      </c>
      <c r="E1629" s="5">
        <v>6.0</v>
      </c>
      <c r="F1629" s="3" t="s">
        <v>301</v>
      </c>
      <c r="G1629" s="3" t="s">
        <v>224</v>
      </c>
      <c r="J1629" s="5">
        <v>3.0</v>
      </c>
      <c r="N1629" s="3" t="b">
        <v>0</v>
      </c>
      <c r="R1629" s="3">
        <v>0.0</v>
      </c>
      <c r="T1629" s="3">
        <v>10.0</v>
      </c>
      <c r="U1629" s="3">
        <v>7.0</v>
      </c>
      <c r="V1629" s="3" t="s">
        <v>1723</v>
      </c>
      <c r="W1629" s="3" t="s">
        <v>1375</v>
      </c>
      <c r="X1629" s="77" t="s">
        <v>1722</v>
      </c>
      <c r="Y1629" s="3">
        <v>4.0</v>
      </c>
      <c r="Z1629" s="3">
        <v>3.0</v>
      </c>
      <c r="AA1629" s="3">
        <f>2+ (P1629*'Scoring System'!$B$3)+ (IF(OR(AD1629="DEF",AD1629="GK"),N1629*'Scoring System'!$B$4,IF(AD1629="MID",N1629*'Scoring System'!$B$5,0)))+ (IF(OR(AD1629="DEF",AD1629="GK"),H1629*'Scoring System'!$B$6,IF(AD1629="MID",H1629*'Scoring System'!$B$7,IF(AD1629="ATT",H1629*'Scoring System'!$B$8,0))))+ IF(AND(OR(AD1629="GK",AD1629="DEF"),J1629&gt;=3),1*'Scoring System'!$B$9,0)+ (I1629*'Scoring System'!$B$10)+ (K1629*'Scoring System'!$B$11)+ (M1629*'Scoring System'!$B$12)+ (L1629*'Scoring System'!$B$13)+ (O1629*'Scoring System'!$B$14)+ (Q1629*'Scoring System'!$B$15)+ (R1629*'Scoring System'!$B$16)</f>
        <v>1</v>
      </c>
      <c r="AB1629" s="3" t="b">
        <f>IFERROR(match(C1629,'Match Day Fees'!$B$2:$B$999,0),0)=0</f>
        <v>0</v>
      </c>
      <c r="AC1629" s="3">
        <f t="shared" si="2"/>
        <v>0</v>
      </c>
      <c r="AD1629" s="3" t="str">
        <f>VLOOKUP(D1629,'Position Lookup'!A:B,2,FALSE)</f>
        <v>DEF</v>
      </c>
    </row>
    <row r="1630" ht="17.25" customHeight="1">
      <c r="A1630" s="10">
        <v>45318.0</v>
      </c>
      <c r="B1630" s="5" t="s">
        <v>309</v>
      </c>
      <c r="C1630" s="3" t="s">
        <v>97</v>
      </c>
      <c r="D1630" s="3" t="s">
        <v>12</v>
      </c>
      <c r="E1630" s="5">
        <v>6.0</v>
      </c>
      <c r="F1630" s="3" t="s">
        <v>301</v>
      </c>
      <c r="G1630" s="3" t="s">
        <v>224</v>
      </c>
      <c r="J1630" s="5">
        <v>3.0</v>
      </c>
      <c r="N1630" s="3" t="b">
        <v>0</v>
      </c>
      <c r="R1630" s="3">
        <v>0.0</v>
      </c>
      <c r="T1630" s="3">
        <v>2.5</v>
      </c>
      <c r="U1630" s="3">
        <v>6.5</v>
      </c>
      <c r="V1630" s="3" t="s">
        <v>1724</v>
      </c>
      <c r="W1630" s="3" t="s">
        <v>1375</v>
      </c>
      <c r="X1630" s="77" t="s">
        <v>1722</v>
      </c>
      <c r="Y1630" s="3">
        <v>4.0</v>
      </c>
      <c r="Z1630" s="3">
        <v>3.0</v>
      </c>
      <c r="AA1630" s="3">
        <f>2+ (P1630*'Scoring System'!$B$3)+ (IF(OR(AD1630="DEF",AD1630="GK"),N1630*'Scoring System'!$B$4,IF(AD1630="MID",N1630*'Scoring System'!$B$5,0)))+ (IF(OR(AD1630="DEF",AD1630="GK"),H1630*'Scoring System'!$B$6,IF(AD1630="MID",H1630*'Scoring System'!$B$7,IF(AD1630="ATT",H1630*'Scoring System'!$B$8,0))))+ IF(AND(OR(AD1630="GK",AD1630="DEF"),J1630&gt;=3),1*'Scoring System'!$B$9,0)+ (I1630*'Scoring System'!$B$10)+ (K1630*'Scoring System'!$B$11)+ (M1630*'Scoring System'!$B$12)+ (L1630*'Scoring System'!$B$13)+ (O1630*'Scoring System'!$B$14)+ (Q1630*'Scoring System'!$B$15)+ (R1630*'Scoring System'!$B$16)</f>
        <v>1</v>
      </c>
      <c r="AB1630" s="3" t="b">
        <f>IFERROR(match(C1630,'Match Day Fees'!$B$2:$B$999,0),0)=0</f>
        <v>0</v>
      </c>
      <c r="AC1630" s="3">
        <f t="shared" si="2"/>
        <v>0</v>
      </c>
      <c r="AD1630" s="3" t="str">
        <f>VLOOKUP(D1630,'Position Lookup'!A:B,2,FALSE)</f>
        <v>DEF</v>
      </c>
    </row>
    <row r="1631" ht="17.25" customHeight="1">
      <c r="A1631" s="10">
        <v>45318.0</v>
      </c>
      <c r="B1631" s="5" t="s">
        <v>309</v>
      </c>
      <c r="C1631" s="3" t="s">
        <v>142</v>
      </c>
      <c r="D1631" s="3" t="s">
        <v>16</v>
      </c>
      <c r="E1631" s="5">
        <v>6.0</v>
      </c>
      <c r="F1631" s="3" t="s">
        <v>301</v>
      </c>
      <c r="G1631" s="3" t="s">
        <v>224</v>
      </c>
      <c r="I1631" s="3">
        <v>1.0</v>
      </c>
      <c r="J1631" s="5">
        <v>3.0</v>
      </c>
      <c r="N1631" s="3" t="b">
        <v>0</v>
      </c>
      <c r="R1631" s="3">
        <v>0.0</v>
      </c>
      <c r="T1631" s="3">
        <v>10.0</v>
      </c>
      <c r="U1631" s="3">
        <v>7.5</v>
      </c>
      <c r="V1631" s="3" t="s">
        <v>1725</v>
      </c>
      <c r="W1631" s="3" t="s">
        <v>1375</v>
      </c>
      <c r="X1631" s="77" t="s">
        <v>1722</v>
      </c>
      <c r="Y1631" s="3">
        <v>4.0</v>
      </c>
      <c r="Z1631" s="3">
        <v>3.0</v>
      </c>
      <c r="AA1631" s="3">
        <f>2+ (P1631*'Scoring System'!$B$3)+ (IF(OR(AD1631="DEF",AD1631="GK"),N1631*'Scoring System'!$B$4,IF(AD1631="MID",N1631*'Scoring System'!$B$5,0)))+ (IF(OR(AD1631="DEF",AD1631="GK"),H1631*'Scoring System'!$B$6,IF(AD1631="MID",H1631*'Scoring System'!$B$7,IF(AD1631="ATT",H1631*'Scoring System'!$B$8,0))))+ IF(AND(OR(AD1631="GK",AD1631="DEF"),J1631&gt;=3),1*'Scoring System'!$B$9,0)+ (I1631*'Scoring System'!$B$10)+ (K1631*'Scoring System'!$B$11)+ (M1631*'Scoring System'!$B$12)+ (L1631*'Scoring System'!$B$13)+ (O1631*'Scoring System'!$B$14)+ (Q1631*'Scoring System'!$B$15)+ (R1631*'Scoring System'!$B$16)</f>
        <v>4</v>
      </c>
      <c r="AB1631" s="3" t="b">
        <f>IFERROR(match(C1631,'Match Day Fees'!$B$2:$B$999,0),0)=0</f>
        <v>0</v>
      </c>
      <c r="AC1631" s="3">
        <f t="shared" si="2"/>
        <v>0</v>
      </c>
      <c r="AD1631" s="3" t="str">
        <f>VLOOKUP(D1631,'Position Lookup'!A:B,2,FALSE)</f>
        <v>DEF</v>
      </c>
    </row>
    <row r="1632" ht="17.25" customHeight="1">
      <c r="A1632" s="10">
        <v>45318.0</v>
      </c>
      <c r="B1632" s="5" t="s">
        <v>309</v>
      </c>
      <c r="C1632" s="3" t="s">
        <v>90</v>
      </c>
      <c r="D1632" s="3" t="s">
        <v>19</v>
      </c>
      <c r="E1632" s="5">
        <v>6.0</v>
      </c>
      <c r="F1632" s="3" t="s">
        <v>301</v>
      </c>
      <c r="G1632" s="3" t="s">
        <v>224</v>
      </c>
      <c r="J1632" s="5">
        <v>3.0</v>
      </c>
      <c r="N1632" s="3" t="b">
        <v>0</v>
      </c>
      <c r="R1632" s="3">
        <v>0.0</v>
      </c>
      <c r="T1632" s="3">
        <v>5.0</v>
      </c>
      <c r="U1632" s="3">
        <v>7.5</v>
      </c>
      <c r="V1632" s="3" t="s">
        <v>1726</v>
      </c>
      <c r="W1632" s="3" t="s">
        <v>1375</v>
      </c>
      <c r="X1632" s="77" t="s">
        <v>1722</v>
      </c>
      <c r="Y1632" s="3">
        <v>4.0</v>
      </c>
      <c r="Z1632" s="3">
        <v>3.0</v>
      </c>
      <c r="AA1632" s="3">
        <f>2+ (P1632*'Scoring System'!$B$3)+ (IF(OR(AD1632="DEF",AD1632="GK"),N1632*'Scoring System'!$B$4,IF(AD1632="MID",N1632*'Scoring System'!$B$5,0)))+ (IF(OR(AD1632="DEF",AD1632="GK"),H1632*'Scoring System'!$B$6,IF(AD1632="MID",H1632*'Scoring System'!$B$7,IF(AD1632="ATT",H1632*'Scoring System'!$B$8,0))))+ IF(AND(OR(AD1632="GK",AD1632="DEF"),J1632&gt;=3),1*'Scoring System'!$B$9,0)+ (I1632*'Scoring System'!$B$10)+ (K1632*'Scoring System'!$B$11)+ (M1632*'Scoring System'!$B$12)+ (L1632*'Scoring System'!$B$13)+ (O1632*'Scoring System'!$B$14)+ (Q1632*'Scoring System'!$B$15)+ (R1632*'Scoring System'!$B$16)</f>
        <v>2</v>
      </c>
      <c r="AB1632" s="3" t="b">
        <f>IFERROR(match(C1632,'Match Day Fees'!$B$2:$B$999,0),0)=0</f>
        <v>0</v>
      </c>
      <c r="AC1632" s="3">
        <f t="shared" si="2"/>
        <v>0</v>
      </c>
      <c r="AD1632" s="3" t="str">
        <f>VLOOKUP(D1632,'Position Lookup'!A:B,2,FALSE)</f>
        <v>MID</v>
      </c>
    </row>
    <row r="1633" ht="17.25" customHeight="1">
      <c r="A1633" s="10">
        <v>45318.0</v>
      </c>
      <c r="B1633" s="5" t="s">
        <v>309</v>
      </c>
      <c r="C1633" s="3" t="s">
        <v>94</v>
      </c>
      <c r="D1633" s="3" t="s">
        <v>14</v>
      </c>
      <c r="E1633" s="5">
        <v>6.0</v>
      </c>
      <c r="F1633" s="3" t="s">
        <v>301</v>
      </c>
      <c r="G1633" s="3" t="s">
        <v>224</v>
      </c>
      <c r="J1633" s="5">
        <v>3.0</v>
      </c>
      <c r="N1633" s="3" t="b">
        <v>0</v>
      </c>
      <c r="R1633" s="3">
        <v>0.0</v>
      </c>
      <c r="T1633" s="3">
        <v>10.0</v>
      </c>
      <c r="U1633" s="3">
        <v>7.5</v>
      </c>
      <c r="V1633" s="3" t="s">
        <v>1727</v>
      </c>
      <c r="W1633" s="3" t="s">
        <v>1375</v>
      </c>
      <c r="X1633" s="77" t="s">
        <v>1722</v>
      </c>
      <c r="Y1633" s="3">
        <v>4.0</v>
      </c>
      <c r="Z1633" s="3">
        <v>3.0</v>
      </c>
      <c r="AA1633" s="3">
        <f>2+ (P1633*'Scoring System'!$B$3)+ (IF(OR(AD1633="DEF",AD1633="GK"),N1633*'Scoring System'!$B$4,IF(AD1633="MID",N1633*'Scoring System'!$B$5,0)))+ (IF(OR(AD1633="DEF",AD1633="GK"),H1633*'Scoring System'!$B$6,IF(AD1633="MID",H1633*'Scoring System'!$B$7,IF(AD1633="ATT",H1633*'Scoring System'!$B$8,0))))+ IF(AND(OR(AD1633="GK",AD1633="DEF"),J1633&gt;=3),1*'Scoring System'!$B$9,0)+ (I1633*'Scoring System'!$B$10)+ (K1633*'Scoring System'!$B$11)+ (M1633*'Scoring System'!$B$12)+ (L1633*'Scoring System'!$B$13)+ (O1633*'Scoring System'!$B$14)+ (Q1633*'Scoring System'!$B$15)+ (R1633*'Scoring System'!$B$16)</f>
        <v>1</v>
      </c>
      <c r="AB1633" s="3" t="b">
        <f>IFERROR(match(C1633,'Match Day Fees'!$B$2:$B$999,0),0)=0</f>
        <v>0</v>
      </c>
      <c r="AC1633" s="3">
        <f t="shared" si="2"/>
        <v>0</v>
      </c>
      <c r="AD1633" s="3" t="str">
        <f>VLOOKUP(D1633,'Position Lookup'!A:B,2,FALSE)</f>
        <v>DEF</v>
      </c>
    </row>
    <row r="1634" ht="17.25" customHeight="1">
      <c r="A1634" s="10">
        <v>45318.0</v>
      </c>
      <c r="B1634" s="5" t="s">
        <v>309</v>
      </c>
      <c r="C1634" s="3" t="s">
        <v>140</v>
      </c>
      <c r="D1634" s="3" t="s">
        <v>22</v>
      </c>
      <c r="E1634" s="5">
        <v>6.0</v>
      </c>
      <c r="F1634" s="3" t="s">
        <v>301</v>
      </c>
      <c r="G1634" s="3" t="s">
        <v>224</v>
      </c>
      <c r="H1634" s="3">
        <v>1.0</v>
      </c>
      <c r="I1634" s="3">
        <v>1.0</v>
      </c>
      <c r="J1634" s="5">
        <v>3.0</v>
      </c>
      <c r="N1634" s="3" t="b">
        <v>0</v>
      </c>
      <c r="R1634" s="3">
        <v>0.0</v>
      </c>
      <c r="T1634" s="3">
        <v>10.0</v>
      </c>
      <c r="U1634" s="3">
        <v>8.0</v>
      </c>
      <c r="V1634" s="3" t="s">
        <v>1728</v>
      </c>
      <c r="W1634" s="3" t="s">
        <v>1375</v>
      </c>
      <c r="X1634" s="77" t="s">
        <v>1722</v>
      </c>
      <c r="Y1634" s="3">
        <v>4.0</v>
      </c>
      <c r="Z1634" s="3">
        <v>3.0</v>
      </c>
      <c r="AA1634" s="3">
        <f>2+ (P1634*'Scoring System'!$B$3)+ (IF(OR(AD1634="DEF",AD1634="GK"),N1634*'Scoring System'!$B$4,IF(AD1634="MID",N1634*'Scoring System'!$B$5,0)))+ (IF(OR(AD1634="DEF",AD1634="GK"),H1634*'Scoring System'!$B$6,IF(AD1634="MID",H1634*'Scoring System'!$B$7,IF(AD1634="ATT",H1634*'Scoring System'!$B$8,0))))+ IF(AND(OR(AD1634="GK",AD1634="DEF"),J1634&gt;=3),1*'Scoring System'!$B$9,0)+ (I1634*'Scoring System'!$B$10)+ (K1634*'Scoring System'!$B$11)+ (M1634*'Scoring System'!$B$12)+ (L1634*'Scoring System'!$B$13)+ (O1634*'Scoring System'!$B$14)+ (Q1634*'Scoring System'!$B$15)+ (R1634*'Scoring System'!$B$16)</f>
        <v>9</v>
      </c>
      <c r="AB1634" s="3" t="b">
        <f>IFERROR(match(C1634,'Match Day Fees'!$B$2:$B$999,0),0)=0</f>
        <v>0</v>
      </c>
      <c r="AC1634" s="3">
        <f t="shared" si="2"/>
        <v>0</v>
      </c>
      <c r="AD1634" s="3" t="str">
        <f>VLOOKUP(D1634,'Position Lookup'!A:B,2,FALSE)</f>
        <v>ATT</v>
      </c>
    </row>
    <row r="1635" ht="17.25" customHeight="1">
      <c r="A1635" s="10">
        <v>45318.0</v>
      </c>
      <c r="B1635" s="5" t="s">
        <v>309</v>
      </c>
      <c r="C1635" s="3" t="s">
        <v>54</v>
      </c>
      <c r="D1635" s="3" t="s">
        <v>23</v>
      </c>
      <c r="E1635" s="5">
        <v>6.0</v>
      </c>
      <c r="F1635" s="3" t="s">
        <v>301</v>
      </c>
      <c r="G1635" s="3" t="s">
        <v>224</v>
      </c>
      <c r="H1635" s="3">
        <v>1.0</v>
      </c>
      <c r="J1635" s="5">
        <v>3.0</v>
      </c>
      <c r="N1635" s="3" t="b">
        <v>0</v>
      </c>
      <c r="R1635" s="3">
        <v>0.0</v>
      </c>
      <c r="T1635" s="3">
        <v>10.0</v>
      </c>
      <c r="U1635" s="3">
        <v>8.0</v>
      </c>
      <c r="V1635" s="3" t="s">
        <v>1729</v>
      </c>
      <c r="W1635" s="3" t="s">
        <v>1375</v>
      </c>
      <c r="X1635" s="77" t="s">
        <v>1722</v>
      </c>
      <c r="Y1635" s="3">
        <v>4.0</v>
      </c>
      <c r="Z1635" s="3">
        <v>3.0</v>
      </c>
      <c r="AA1635" s="3">
        <f>2+ (P1635*'Scoring System'!$B$3)+ (IF(OR(AD1635="DEF",AD1635="GK"),N1635*'Scoring System'!$B$4,IF(AD1635="MID",N1635*'Scoring System'!$B$5,0)))+ (IF(OR(AD1635="DEF",AD1635="GK"),H1635*'Scoring System'!$B$6,IF(AD1635="MID",H1635*'Scoring System'!$B$7,IF(AD1635="ATT",H1635*'Scoring System'!$B$8,0))))+ IF(AND(OR(AD1635="GK",AD1635="DEF"),J1635&gt;=3),1*'Scoring System'!$B$9,0)+ (I1635*'Scoring System'!$B$10)+ (K1635*'Scoring System'!$B$11)+ (M1635*'Scoring System'!$B$12)+ (L1635*'Scoring System'!$B$13)+ (O1635*'Scoring System'!$B$14)+ (Q1635*'Scoring System'!$B$15)+ (R1635*'Scoring System'!$B$16)</f>
        <v>6</v>
      </c>
      <c r="AB1635" s="3" t="b">
        <f>IFERROR(match(C1635,'Match Day Fees'!$B$2:$B$999,0),0)=0</f>
        <v>0</v>
      </c>
      <c r="AC1635" s="3">
        <f t="shared" si="2"/>
        <v>0</v>
      </c>
      <c r="AD1635" s="3" t="str">
        <f>VLOOKUP(D1635,'Position Lookup'!A:B,2,FALSE)</f>
        <v>ATT</v>
      </c>
    </row>
    <row r="1636" ht="17.25" customHeight="1">
      <c r="A1636" s="10">
        <v>45318.0</v>
      </c>
      <c r="B1636" s="5" t="s">
        <v>309</v>
      </c>
      <c r="C1636" s="3" t="s">
        <v>141</v>
      </c>
      <c r="D1636" s="3" t="s">
        <v>20</v>
      </c>
      <c r="E1636" s="5">
        <v>6.0</v>
      </c>
      <c r="F1636" s="3" t="s">
        <v>301</v>
      </c>
      <c r="G1636" s="3" t="s">
        <v>224</v>
      </c>
      <c r="J1636" s="5">
        <v>3.0</v>
      </c>
      <c r="N1636" s="3" t="b">
        <v>0</v>
      </c>
      <c r="R1636" s="3">
        <v>0.0</v>
      </c>
      <c r="T1636" s="3">
        <v>5.0</v>
      </c>
      <c r="U1636" s="3">
        <v>7.5</v>
      </c>
      <c r="V1636" s="3" t="s">
        <v>1730</v>
      </c>
      <c r="W1636" s="3" t="s">
        <v>1375</v>
      </c>
      <c r="X1636" s="77" t="s">
        <v>1722</v>
      </c>
      <c r="Y1636" s="3">
        <v>4.0</v>
      </c>
      <c r="Z1636" s="3">
        <v>3.0</v>
      </c>
      <c r="AA1636" s="3">
        <f>2+ (P1636*'Scoring System'!$B$3)+ (IF(OR(AD1636="DEF",AD1636="GK"),N1636*'Scoring System'!$B$4,IF(AD1636="MID",N1636*'Scoring System'!$B$5,0)))+ (IF(OR(AD1636="DEF",AD1636="GK"),H1636*'Scoring System'!$B$6,IF(AD1636="MID",H1636*'Scoring System'!$B$7,IF(AD1636="ATT",H1636*'Scoring System'!$B$8,0))))+ IF(AND(OR(AD1636="GK",AD1636="DEF"),J1636&gt;=3),1*'Scoring System'!$B$9,0)+ (I1636*'Scoring System'!$B$10)+ (K1636*'Scoring System'!$B$11)+ (M1636*'Scoring System'!$B$12)+ (L1636*'Scoring System'!$B$13)+ (O1636*'Scoring System'!$B$14)+ (Q1636*'Scoring System'!$B$15)+ (R1636*'Scoring System'!$B$16)</f>
        <v>2</v>
      </c>
      <c r="AB1636" s="3" t="b">
        <f>IFERROR(match(C1636,'Match Day Fees'!$B$2:$B$999,0),0)=0</f>
        <v>0</v>
      </c>
      <c r="AC1636" s="3">
        <f t="shared" si="2"/>
        <v>0</v>
      </c>
      <c r="AD1636" s="3" t="str">
        <f>VLOOKUP(D1636,'Position Lookup'!A:B,2,FALSE)</f>
        <v>MID</v>
      </c>
    </row>
    <row r="1637" ht="17.25" customHeight="1">
      <c r="A1637" s="10">
        <v>45318.0</v>
      </c>
      <c r="B1637" s="5" t="s">
        <v>309</v>
      </c>
      <c r="C1637" s="3" t="s">
        <v>267</v>
      </c>
      <c r="D1637" s="3" t="s">
        <v>19</v>
      </c>
      <c r="E1637" s="5">
        <v>6.0</v>
      </c>
      <c r="F1637" s="3" t="s">
        <v>301</v>
      </c>
      <c r="G1637" s="3" t="s">
        <v>224</v>
      </c>
      <c r="J1637" s="5">
        <v>3.0</v>
      </c>
      <c r="N1637" s="3" t="b">
        <v>0</v>
      </c>
      <c r="R1637" s="3">
        <v>0.0</v>
      </c>
      <c r="T1637" s="3">
        <v>5.0</v>
      </c>
      <c r="U1637" s="3">
        <v>7.0</v>
      </c>
      <c r="V1637" s="3" t="s">
        <v>1731</v>
      </c>
      <c r="W1637" s="3" t="s">
        <v>1375</v>
      </c>
      <c r="X1637" s="77" t="s">
        <v>1722</v>
      </c>
      <c r="Y1637" s="3">
        <v>4.0</v>
      </c>
      <c r="Z1637" s="3">
        <v>3.0</v>
      </c>
      <c r="AA1637" s="3">
        <f>2+ (P1637*'Scoring System'!$B$3)+ (IF(OR(AD1637="DEF",AD1637="GK"),N1637*'Scoring System'!$B$4,IF(AD1637="MID",N1637*'Scoring System'!$B$5,0)))+ (IF(OR(AD1637="DEF",AD1637="GK"),H1637*'Scoring System'!$B$6,IF(AD1637="MID",H1637*'Scoring System'!$B$7,IF(AD1637="ATT",H1637*'Scoring System'!$B$8,0))))+ IF(AND(OR(AD1637="GK",AD1637="DEF"),J1637&gt;=3),1*'Scoring System'!$B$9,0)+ (I1637*'Scoring System'!$B$10)+ (K1637*'Scoring System'!$B$11)+ (M1637*'Scoring System'!$B$12)+ (L1637*'Scoring System'!$B$13)+ (O1637*'Scoring System'!$B$14)+ (Q1637*'Scoring System'!$B$15)+ (R1637*'Scoring System'!$B$16)</f>
        <v>2</v>
      </c>
      <c r="AB1637" s="3" t="b">
        <f>IFERROR(match(C1637,'Match Day Fees'!$B$2:$B$999,0),0)=0</f>
        <v>0</v>
      </c>
      <c r="AC1637" s="3">
        <f t="shared" si="2"/>
        <v>0</v>
      </c>
      <c r="AD1637" s="3" t="str">
        <f>VLOOKUP(D1637,'Position Lookup'!A:B,2,FALSE)</f>
        <v>MID</v>
      </c>
    </row>
    <row r="1638" ht="17.25" customHeight="1">
      <c r="A1638" s="10">
        <v>45318.0</v>
      </c>
      <c r="B1638" s="5" t="s">
        <v>309</v>
      </c>
      <c r="C1638" s="3" t="s">
        <v>143</v>
      </c>
      <c r="D1638" s="3" t="s">
        <v>24</v>
      </c>
      <c r="E1638" s="5">
        <v>6.0</v>
      </c>
      <c r="F1638" s="3" t="s">
        <v>301</v>
      </c>
      <c r="G1638" s="3" t="s">
        <v>224</v>
      </c>
      <c r="J1638" s="5">
        <v>3.0</v>
      </c>
      <c r="N1638" s="3" t="b">
        <v>0</v>
      </c>
      <c r="R1638" s="3">
        <v>0.0</v>
      </c>
      <c r="T1638" s="3">
        <v>10.0</v>
      </c>
      <c r="U1638" s="3">
        <v>7.0</v>
      </c>
      <c r="V1638" s="3" t="s">
        <v>1732</v>
      </c>
      <c r="W1638" s="3" t="s">
        <v>1375</v>
      </c>
      <c r="X1638" s="77" t="s">
        <v>1722</v>
      </c>
      <c r="Y1638" s="3">
        <v>4.0</v>
      </c>
      <c r="Z1638" s="3">
        <v>3.0</v>
      </c>
      <c r="AA1638" s="3">
        <f>2+ (P1638*'Scoring System'!$B$3)+ (IF(OR(AD1638="DEF",AD1638="GK"),N1638*'Scoring System'!$B$4,IF(AD1638="MID",N1638*'Scoring System'!$B$5,0)))+ (IF(OR(AD1638="DEF",AD1638="GK"),H1638*'Scoring System'!$B$6,IF(AD1638="MID",H1638*'Scoring System'!$B$7,IF(AD1638="ATT",H1638*'Scoring System'!$B$8,0))))+ IF(AND(OR(AD1638="GK",AD1638="DEF"),J1638&gt;=3),1*'Scoring System'!$B$9,0)+ (I1638*'Scoring System'!$B$10)+ (K1638*'Scoring System'!$B$11)+ (M1638*'Scoring System'!$B$12)+ (L1638*'Scoring System'!$B$13)+ (O1638*'Scoring System'!$B$14)+ (Q1638*'Scoring System'!$B$15)+ (R1638*'Scoring System'!$B$16)</f>
        <v>2</v>
      </c>
      <c r="AB1638" s="3" t="b">
        <f>IFERROR(match(C1638,'Match Day Fees'!$B$2:$B$999,0),0)=0</f>
        <v>0</v>
      </c>
      <c r="AC1638" s="3">
        <f t="shared" si="2"/>
        <v>0</v>
      </c>
      <c r="AD1638" s="3" t="str">
        <f>VLOOKUP(D1638,'Position Lookup'!A:B,2,FALSE)</f>
        <v>ATT</v>
      </c>
    </row>
    <row r="1639" ht="17.25" customHeight="1">
      <c r="A1639" s="10">
        <v>45318.0</v>
      </c>
      <c r="B1639" s="5" t="s">
        <v>309</v>
      </c>
      <c r="C1639" s="3" t="s">
        <v>282</v>
      </c>
      <c r="D1639" s="3" t="s">
        <v>12</v>
      </c>
      <c r="E1639" s="5">
        <v>6.0</v>
      </c>
      <c r="F1639" s="3" t="s">
        <v>301</v>
      </c>
      <c r="G1639" s="3" t="s">
        <v>224</v>
      </c>
      <c r="I1639" s="3">
        <v>1.0</v>
      </c>
      <c r="J1639" s="5">
        <v>3.0</v>
      </c>
      <c r="N1639" s="3" t="b">
        <v>0</v>
      </c>
      <c r="R1639" s="3">
        <v>0.0</v>
      </c>
      <c r="T1639" s="3">
        <v>5.0</v>
      </c>
      <c r="U1639" s="3">
        <v>6.5</v>
      </c>
      <c r="V1639" s="3" t="s">
        <v>1733</v>
      </c>
      <c r="W1639" s="3" t="s">
        <v>1375</v>
      </c>
      <c r="X1639" s="77" t="s">
        <v>1722</v>
      </c>
      <c r="Y1639" s="3">
        <v>4.0</v>
      </c>
      <c r="Z1639" s="3">
        <v>3.0</v>
      </c>
      <c r="AA1639" s="3">
        <f>2+ (P1639*'Scoring System'!$B$3)+ (IF(OR(AD1639="DEF",AD1639="GK"),N1639*'Scoring System'!$B$4,IF(AD1639="MID",N1639*'Scoring System'!$B$5,0)))+ (IF(OR(AD1639="DEF",AD1639="GK"),H1639*'Scoring System'!$B$6,IF(AD1639="MID",H1639*'Scoring System'!$B$7,IF(AD1639="ATT",H1639*'Scoring System'!$B$8,0))))+ IF(AND(OR(AD1639="GK",AD1639="DEF"),J1639&gt;=3),1*'Scoring System'!$B$9,0)+ (I1639*'Scoring System'!$B$10)+ (K1639*'Scoring System'!$B$11)+ (M1639*'Scoring System'!$B$12)+ (L1639*'Scoring System'!$B$13)+ (O1639*'Scoring System'!$B$14)+ (Q1639*'Scoring System'!$B$15)+ (R1639*'Scoring System'!$B$16)</f>
        <v>4</v>
      </c>
      <c r="AB1639" s="3" t="b">
        <f>IFERROR(match(C1639,'Match Day Fees'!$B$2:$B$999,0),0)=0</f>
        <v>0</v>
      </c>
      <c r="AC1639" s="3">
        <f t="shared" si="2"/>
        <v>0</v>
      </c>
      <c r="AD1639" s="3" t="str">
        <f>VLOOKUP(D1639,'Position Lookup'!A:B,2,FALSE)</f>
        <v>DEF</v>
      </c>
    </row>
    <row r="1640" ht="17.25" customHeight="1">
      <c r="A1640" s="10">
        <v>45318.0</v>
      </c>
      <c r="B1640" s="5" t="s">
        <v>309</v>
      </c>
      <c r="C1640" s="3" t="s">
        <v>44</v>
      </c>
      <c r="D1640" s="3" t="s">
        <v>20</v>
      </c>
      <c r="E1640" s="5">
        <v>6.0</v>
      </c>
      <c r="F1640" s="3" t="s">
        <v>301</v>
      </c>
      <c r="G1640" s="3" t="s">
        <v>224</v>
      </c>
      <c r="J1640" s="5">
        <v>3.0</v>
      </c>
      <c r="N1640" s="3" t="b">
        <v>0</v>
      </c>
      <c r="R1640" s="3">
        <v>0.0</v>
      </c>
      <c r="T1640" s="3">
        <v>5.0</v>
      </c>
      <c r="U1640" s="3">
        <v>7.5</v>
      </c>
      <c r="V1640" s="3" t="s">
        <v>1734</v>
      </c>
      <c r="W1640" s="3" t="s">
        <v>1375</v>
      </c>
      <c r="X1640" s="77" t="s">
        <v>1722</v>
      </c>
      <c r="Y1640" s="3">
        <v>4.0</v>
      </c>
      <c r="Z1640" s="3">
        <v>3.0</v>
      </c>
      <c r="AA1640" s="3">
        <f>2+ (P1640*'Scoring System'!$B$3)+ (IF(OR(AD1640="DEF",AD1640="GK"),N1640*'Scoring System'!$B$4,IF(AD1640="MID",N1640*'Scoring System'!$B$5,0)))+ (IF(OR(AD1640="DEF",AD1640="GK"),H1640*'Scoring System'!$B$6,IF(AD1640="MID",H1640*'Scoring System'!$B$7,IF(AD1640="ATT",H1640*'Scoring System'!$B$8,0))))+ IF(AND(OR(AD1640="GK",AD1640="DEF"),J1640&gt;=3),1*'Scoring System'!$B$9,0)+ (I1640*'Scoring System'!$B$10)+ (K1640*'Scoring System'!$B$11)+ (M1640*'Scoring System'!$B$12)+ (L1640*'Scoring System'!$B$13)+ (O1640*'Scoring System'!$B$14)+ (Q1640*'Scoring System'!$B$15)+ (R1640*'Scoring System'!$B$16)</f>
        <v>2</v>
      </c>
      <c r="AB1640" s="3" t="b">
        <f>IFERROR(match(C1640,'Match Day Fees'!$B$2:$B$999,0),0)=0</f>
        <v>0</v>
      </c>
      <c r="AC1640" s="3">
        <f t="shared" si="2"/>
        <v>0</v>
      </c>
      <c r="AD1640" s="3" t="str">
        <f>VLOOKUP(D1640,'Position Lookup'!A:B,2,FALSE)</f>
        <v>MID</v>
      </c>
    </row>
    <row r="1641" ht="17.25" customHeight="1">
      <c r="A1641" s="10">
        <v>45318.0</v>
      </c>
      <c r="B1641" s="5" t="s">
        <v>309</v>
      </c>
      <c r="C1641" s="3" t="s">
        <v>150</v>
      </c>
      <c r="D1641" s="3" t="s">
        <v>20</v>
      </c>
      <c r="E1641" s="5">
        <v>6.0</v>
      </c>
      <c r="F1641" s="3" t="s">
        <v>301</v>
      </c>
      <c r="G1641" s="3" t="s">
        <v>224</v>
      </c>
      <c r="H1641" s="3">
        <v>2.0</v>
      </c>
      <c r="I1641" s="3">
        <v>1.0</v>
      </c>
      <c r="J1641" s="5">
        <v>3.0</v>
      </c>
      <c r="N1641" s="3" t="b">
        <v>0</v>
      </c>
      <c r="R1641" s="3">
        <v>1.0</v>
      </c>
      <c r="T1641" s="3">
        <v>10.0</v>
      </c>
      <c r="U1641" s="3">
        <v>8.5</v>
      </c>
      <c r="V1641" s="3" t="s">
        <v>1735</v>
      </c>
      <c r="W1641" s="3" t="s">
        <v>1375</v>
      </c>
      <c r="X1641" s="77" t="s">
        <v>1722</v>
      </c>
      <c r="Y1641" s="3">
        <v>4.0</v>
      </c>
      <c r="Z1641" s="3">
        <v>3.0</v>
      </c>
      <c r="AA1641" s="3">
        <f>2+ (P1641*'Scoring System'!$B$3)+ (IF(OR(AD1641="DEF",AD1641="GK"),N1641*'Scoring System'!$B$4,IF(AD1641="MID",N1641*'Scoring System'!$B$5,0)))+ (IF(OR(AD1641="DEF",AD1641="GK"),H1641*'Scoring System'!$B$6,IF(AD1641="MID",H1641*'Scoring System'!$B$7,IF(AD1641="ATT",H1641*'Scoring System'!$B$8,0))))+ IF(AND(OR(AD1641="GK",AD1641="DEF"),J1641&gt;=3),1*'Scoring System'!$B$9,0)+ (I1641*'Scoring System'!$B$10)+ (K1641*'Scoring System'!$B$11)+ (M1641*'Scoring System'!$B$12)+ (L1641*'Scoring System'!$B$13)+ (O1641*'Scoring System'!$B$14)+ (Q1641*'Scoring System'!$B$15)+ (R1641*'Scoring System'!$B$16)</f>
        <v>20</v>
      </c>
      <c r="AB1641" s="3" t="b">
        <f>IFERROR(match(C1641,'Match Day Fees'!$B$2:$B$999,0),0)=0</f>
        <v>0</v>
      </c>
      <c r="AC1641" s="3">
        <f t="shared" si="2"/>
        <v>0</v>
      </c>
      <c r="AD1641" s="3" t="str">
        <f>VLOOKUP(D1641,'Position Lookup'!A:B,2,FALSE)</f>
        <v>MID</v>
      </c>
    </row>
    <row r="1642" ht="17.25" customHeight="1">
      <c r="A1642" s="10">
        <v>45318.0</v>
      </c>
      <c r="B1642" s="5" t="s">
        <v>712</v>
      </c>
      <c r="C1642" s="3" t="s">
        <v>118</v>
      </c>
      <c r="D1642" s="3" t="s">
        <v>8</v>
      </c>
      <c r="E1642" s="5" t="s">
        <v>157</v>
      </c>
      <c r="F1642" s="74" t="s">
        <v>1736</v>
      </c>
      <c r="G1642" s="3" t="s">
        <v>224</v>
      </c>
      <c r="J1642" s="5">
        <v>2.0</v>
      </c>
      <c r="N1642" s="3" t="b">
        <v>0</v>
      </c>
      <c r="R1642" s="3">
        <v>0.0</v>
      </c>
      <c r="T1642" s="3">
        <v>10.0</v>
      </c>
      <c r="U1642" s="3">
        <v>8.0</v>
      </c>
      <c r="V1642" s="3" t="s">
        <v>1737</v>
      </c>
      <c r="X1642" s="77" t="s">
        <v>1738</v>
      </c>
      <c r="Y1642" s="3">
        <v>4.0</v>
      </c>
      <c r="Z1642" s="3">
        <v>2.0</v>
      </c>
      <c r="AA1642" s="3">
        <f>2+ (P1642*'Scoring System'!$B$3)+ (IF(OR(AD1642="DEF",AD1642="GK"),N1642*'Scoring System'!$B$4,IF(AD1642="MID",N1642*'Scoring System'!$B$5,0)))+ (IF(OR(AD1642="DEF",AD1642="GK"),H1642*'Scoring System'!$B$6,IF(AD1642="MID",H1642*'Scoring System'!$B$7,IF(AD1642="ATT",H1642*'Scoring System'!$B$8,0))))+ IF(AND(OR(AD1642="GK",AD1642="DEF"),J1642&gt;=3),1*'Scoring System'!$B$9,0)+ (I1642*'Scoring System'!$B$10)+ (K1642*'Scoring System'!$B$11)+ (M1642*'Scoring System'!$B$12)+ (L1642*'Scoring System'!$B$13)+ (O1642*'Scoring System'!$B$14)+ (Q1642*'Scoring System'!$B$15)+ (R1642*'Scoring System'!$B$16)</f>
        <v>2</v>
      </c>
      <c r="AB1642" s="3" t="b">
        <f>IFERROR(match(C1642,'Match Day Fees'!$B$2:$B$999,0),0)=0</f>
        <v>0</v>
      </c>
      <c r="AC1642" s="3">
        <f t="shared" si="2"/>
        <v>0</v>
      </c>
      <c r="AD1642" s="3" t="str">
        <f>VLOOKUP(D1642,'Position Lookup'!A:B,2,FALSE)</f>
        <v>GK</v>
      </c>
    </row>
    <row r="1643" ht="17.25" customHeight="1">
      <c r="A1643" s="10">
        <v>45318.0</v>
      </c>
      <c r="B1643" s="5" t="s">
        <v>712</v>
      </c>
      <c r="C1643" s="5" t="s">
        <v>678</v>
      </c>
      <c r="D1643" s="3" t="s">
        <v>18</v>
      </c>
      <c r="E1643" s="5" t="s">
        <v>157</v>
      </c>
      <c r="F1643" s="74" t="s">
        <v>1736</v>
      </c>
      <c r="G1643" s="3" t="s">
        <v>224</v>
      </c>
      <c r="J1643" s="5">
        <v>2.0</v>
      </c>
      <c r="N1643" s="3" t="b">
        <v>0</v>
      </c>
      <c r="R1643" s="3">
        <v>0.0</v>
      </c>
      <c r="T1643" s="3">
        <v>10.0</v>
      </c>
      <c r="U1643" s="3">
        <v>8.0</v>
      </c>
      <c r="V1643" s="3" t="s">
        <v>1739</v>
      </c>
      <c r="X1643" s="77" t="s">
        <v>1738</v>
      </c>
      <c r="Y1643" s="3">
        <v>4.0</v>
      </c>
      <c r="Z1643" s="3">
        <v>2.0</v>
      </c>
      <c r="AA1643" s="3">
        <f>2+ (P1643*'Scoring System'!$B$3)+ (IF(OR(AD1643="DEF",AD1643="GK"),N1643*'Scoring System'!$B$4,IF(AD1643="MID",N1643*'Scoring System'!$B$5,0)))+ (IF(OR(AD1643="DEF",AD1643="GK"),H1643*'Scoring System'!$B$6,IF(AD1643="MID",H1643*'Scoring System'!$B$7,IF(AD1643="ATT",H1643*'Scoring System'!$B$8,0))))+ IF(AND(OR(AD1643="GK",AD1643="DEF"),J1643&gt;=3),1*'Scoring System'!$B$9,0)+ (I1643*'Scoring System'!$B$10)+ (K1643*'Scoring System'!$B$11)+ (M1643*'Scoring System'!$B$12)+ (L1643*'Scoring System'!$B$13)+ (O1643*'Scoring System'!$B$14)+ (Q1643*'Scoring System'!$B$15)+ (R1643*'Scoring System'!$B$16)</f>
        <v>2</v>
      </c>
      <c r="AB1643" s="3" t="b">
        <f>IFERROR(match(C1643,'Match Day Fees'!$B$2:$B$999,0),0)=0</f>
        <v>0</v>
      </c>
      <c r="AC1643" s="3">
        <f t="shared" si="2"/>
        <v>0</v>
      </c>
      <c r="AD1643" s="3" t="str">
        <f>VLOOKUP(D1643,'Position Lookup'!A:B,2,FALSE)</f>
        <v>DEF</v>
      </c>
    </row>
    <row r="1644" ht="17.25" customHeight="1">
      <c r="A1644" s="10">
        <v>45318.0</v>
      </c>
      <c r="B1644" s="5" t="s">
        <v>712</v>
      </c>
      <c r="C1644" s="3" t="s">
        <v>289</v>
      </c>
      <c r="D1644" s="3" t="s">
        <v>24</v>
      </c>
      <c r="E1644" s="5" t="s">
        <v>157</v>
      </c>
      <c r="F1644" s="74" t="s">
        <v>1736</v>
      </c>
      <c r="G1644" s="3" t="s">
        <v>224</v>
      </c>
      <c r="J1644" s="5">
        <v>2.0</v>
      </c>
      <c r="N1644" s="3" t="b">
        <v>0</v>
      </c>
      <c r="R1644" s="3">
        <v>0.0</v>
      </c>
      <c r="T1644" s="3">
        <v>5.0</v>
      </c>
      <c r="U1644" s="3">
        <v>8.0</v>
      </c>
      <c r="V1644" s="3" t="s">
        <v>1740</v>
      </c>
      <c r="X1644" s="77" t="s">
        <v>1738</v>
      </c>
      <c r="Y1644" s="3">
        <v>4.0</v>
      </c>
      <c r="Z1644" s="3">
        <v>2.0</v>
      </c>
      <c r="AA1644" s="3">
        <f>2+ (P1644*'Scoring System'!$B$3)+ (IF(OR(AD1644="DEF",AD1644="GK"),N1644*'Scoring System'!$B$4,IF(AD1644="MID",N1644*'Scoring System'!$B$5,0)))+ (IF(OR(AD1644="DEF",AD1644="GK"),H1644*'Scoring System'!$B$6,IF(AD1644="MID",H1644*'Scoring System'!$B$7,IF(AD1644="ATT",H1644*'Scoring System'!$B$8,0))))+ IF(AND(OR(AD1644="GK",AD1644="DEF"),J1644&gt;=3),1*'Scoring System'!$B$9,0)+ (I1644*'Scoring System'!$B$10)+ (K1644*'Scoring System'!$B$11)+ (M1644*'Scoring System'!$B$12)+ (L1644*'Scoring System'!$B$13)+ (O1644*'Scoring System'!$B$14)+ (Q1644*'Scoring System'!$B$15)+ (R1644*'Scoring System'!$B$16)</f>
        <v>2</v>
      </c>
      <c r="AB1644" s="3" t="b">
        <f>IFERROR(match(C1644,'Match Day Fees'!$B$2:$B$999,0),0)=0</f>
        <v>0</v>
      </c>
      <c r="AC1644" s="3">
        <f t="shared" si="2"/>
        <v>0</v>
      </c>
      <c r="AD1644" s="3" t="str">
        <f>VLOOKUP(D1644,'Position Lookup'!A:B,2,FALSE)</f>
        <v>ATT</v>
      </c>
    </row>
    <row r="1645" ht="17.25" customHeight="1">
      <c r="A1645" s="10">
        <v>45318.0</v>
      </c>
      <c r="B1645" s="5" t="s">
        <v>712</v>
      </c>
      <c r="C1645" s="3" t="s">
        <v>307</v>
      </c>
      <c r="D1645" s="3" t="s">
        <v>15</v>
      </c>
      <c r="E1645" s="5" t="s">
        <v>157</v>
      </c>
      <c r="F1645" s="74" t="s">
        <v>1736</v>
      </c>
      <c r="G1645" s="3" t="s">
        <v>224</v>
      </c>
      <c r="I1645" s="3">
        <v>1.0</v>
      </c>
      <c r="J1645" s="5">
        <v>2.0</v>
      </c>
      <c r="N1645" s="3" t="b">
        <v>0</v>
      </c>
      <c r="R1645" s="3">
        <v>0.0</v>
      </c>
      <c r="T1645" s="3">
        <v>10.0</v>
      </c>
      <c r="U1645" s="3">
        <v>8.0</v>
      </c>
      <c r="V1645" s="3" t="s">
        <v>1741</v>
      </c>
      <c r="X1645" s="77" t="s">
        <v>1738</v>
      </c>
      <c r="Y1645" s="3">
        <v>4.0</v>
      </c>
      <c r="Z1645" s="3">
        <v>2.0</v>
      </c>
      <c r="AA1645" s="3">
        <f>2+ (P1645*'Scoring System'!$B$3)+ (IF(OR(AD1645="DEF",AD1645="GK"),N1645*'Scoring System'!$B$4,IF(AD1645="MID",N1645*'Scoring System'!$B$5,0)))+ (IF(OR(AD1645="DEF",AD1645="GK"),H1645*'Scoring System'!$B$6,IF(AD1645="MID",H1645*'Scoring System'!$B$7,IF(AD1645="ATT",H1645*'Scoring System'!$B$8,0))))+ IF(AND(OR(AD1645="GK",AD1645="DEF"),J1645&gt;=3),1*'Scoring System'!$B$9,0)+ (I1645*'Scoring System'!$B$10)+ (K1645*'Scoring System'!$B$11)+ (M1645*'Scoring System'!$B$12)+ (L1645*'Scoring System'!$B$13)+ (O1645*'Scoring System'!$B$14)+ (Q1645*'Scoring System'!$B$15)+ (R1645*'Scoring System'!$B$16)</f>
        <v>5</v>
      </c>
      <c r="AB1645" s="3" t="b">
        <f>IFERROR(match(C1645,'Match Day Fees'!$B$2:$B$999,0),0)=0</f>
        <v>0</v>
      </c>
      <c r="AC1645" s="3">
        <f t="shared" si="2"/>
        <v>0</v>
      </c>
      <c r="AD1645" s="3" t="str">
        <f>VLOOKUP(D1645,'Position Lookup'!A:B,2,FALSE)</f>
        <v>DEF</v>
      </c>
    </row>
    <row r="1646" ht="17.25" customHeight="1">
      <c r="A1646" s="10">
        <v>45318.0</v>
      </c>
      <c r="B1646" s="5" t="s">
        <v>712</v>
      </c>
      <c r="C1646" s="3" t="s">
        <v>146</v>
      </c>
      <c r="D1646" s="3" t="s">
        <v>21</v>
      </c>
      <c r="E1646" s="5" t="s">
        <v>157</v>
      </c>
      <c r="F1646" s="74" t="s">
        <v>1736</v>
      </c>
      <c r="G1646" s="3" t="s">
        <v>224</v>
      </c>
      <c r="J1646" s="5">
        <v>2.0</v>
      </c>
      <c r="N1646" s="3" t="b">
        <v>0</v>
      </c>
      <c r="R1646" s="3">
        <v>0.0</v>
      </c>
      <c r="T1646" s="3">
        <v>10.0</v>
      </c>
      <c r="U1646" s="3">
        <v>8.0</v>
      </c>
      <c r="V1646" s="3" t="s">
        <v>1742</v>
      </c>
      <c r="X1646" s="77" t="s">
        <v>1738</v>
      </c>
      <c r="Y1646" s="3">
        <v>4.0</v>
      </c>
      <c r="Z1646" s="3">
        <v>2.0</v>
      </c>
      <c r="AA1646" s="3">
        <f>2+ (P1646*'Scoring System'!$B$3)+ (IF(OR(AD1646="DEF",AD1646="GK"),N1646*'Scoring System'!$B$4,IF(AD1646="MID",N1646*'Scoring System'!$B$5,0)))+ (IF(OR(AD1646="DEF",AD1646="GK"),H1646*'Scoring System'!$B$6,IF(AD1646="MID",H1646*'Scoring System'!$B$7,IF(AD1646="ATT",H1646*'Scoring System'!$B$8,0))))+ IF(AND(OR(AD1646="GK",AD1646="DEF"),J1646&gt;=3),1*'Scoring System'!$B$9,0)+ (I1646*'Scoring System'!$B$10)+ (K1646*'Scoring System'!$B$11)+ (M1646*'Scoring System'!$B$12)+ (L1646*'Scoring System'!$B$13)+ (O1646*'Scoring System'!$B$14)+ (Q1646*'Scoring System'!$B$15)+ (R1646*'Scoring System'!$B$16)</f>
        <v>2</v>
      </c>
      <c r="AB1646" s="3" t="b">
        <f>IFERROR(match(C1646,'Match Day Fees'!$B$2:$B$999,0),0)=0</f>
        <v>0</v>
      </c>
      <c r="AC1646" s="3">
        <f t="shared" si="2"/>
        <v>0</v>
      </c>
      <c r="AD1646" s="3" t="str">
        <f>VLOOKUP(D1646,'Position Lookup'!A:B,2,FALSE)</f>
        <v>MID</v>
      </c>
    </row>
    <row r="1647" ht="17.25" customHeight="1">
      <c r="A1647" s="10">
        <v>45318.0</v>
      </c>
      <c r="B1647" s="5" t="s">
        <v>712</v>
      </c>
      <c r="C1647" s="3" t="s">
        <v>100</v>
      </c>
      <c r="D1647" s="3" t="s">
        <v>14</v>
      </c>
      <c r="E1647" s="5" t="s">
        <v>157</v>
      </c>
      <c r="F1647" s="74" t="s">
        <v>1736</v>
      </c>
      <c r="G1647" s="3" t="s">
        <v>224</v>
      </c>
      <c r="J1647" s="5">
        <v>2.0</v>
      </c>
      <c r="N1647" s="3" t="b">
        <v>0</v>
      </c>
      <c r="R1647" s="3">
        <v>0.0</v>
      </c>
      <c r="T1647" s="3">
        <v>10.0</v>
      </c>
      <c r="U1647" s="3">
        <v>8.0</v>
      </c>
      <c r="V1647" s="3" t="s">
        <v>1743</v>
      </c>
      <c r="X1647" s="77" t="s">
        <v>1738</v>
      </c>
      <c r="Y1647" s="3">
        <v>4.0</v>
      </c>
      <c r="Z1647" s="3">
        <v>2.0</v>
      </c>
      <c r="AA1647" s="3">
        <f>2+ (P1647*'Scoring System'!$B$3)+ (IF(OR(AD1647="DEF",AD1647="GK"),N1647*'Scoring System'!$B$4,IF(AD1647="MID",N1647*'Scoring System'!$B$5,0)))+ (IF(OR(AD1647="DEF",AD1647="GK"),H1647*'Scoring System'!$B$6,IF(AD1647="MID",H1647*'Scoring System'!$B$7,IF(AD1647="ATT",H1647*'Scoring System'!$B$8,0))))+ IF(AND(OR(AD1647="GK",AD1647="DEF"),J1647&gt;=3),1*'Scoring System'!$B$9,0)+ (I1647*'Scoring System'!$B$10)+ (K1647*'Scoring System'!$B$11)+ (M1647*'Scoring System'!$B$12)+ (L1647*'Scoring System'!$B$13)+ (O1647*'Scoring System'!$B$14)+ (Q1647*'Scoring System'!$B$15)+ (R1647*'Scoring System'!$B$16)</f>
        <v>2</v>
      </c>
      <c r="AB1647" s="3" t="b">
        <f>IFERROR(match(C1647,'Match Day Fees'!$B$2:$B$999,0),0)=0</f>
        <v>0</v>
      </c>
      <c r="AC1647" s="3">
        <f t="shared" si="2"/>
        <v>0</v>
      </c>
      <c r="AD1647" s="3" t="str">
        <f>VLOOKUP(D1647,'Position Lookup'!A:B,2,FALSE)</f>
        <v>DEF</v>
      </c>
    </row>
    <row r="1648" ht="17.25" customHeight="1">
      <c r="A1648" s="10">
        <v>45318.0</v>
      </c>
      <c r="B1648" s="5" t="s">
        <v>712</v>
      </c>
      <c r="C1648" s="3" t="s">
        <v>136</v>
      </c>
      <c r="D1648" s="3" t="s">
        <v>20</v>
      </c>
      <c r="E1648" s="5" t="s">
        <v>157</v>
      </c>
      <c r="F1648" s="74" t="s">
        <v>1736</v>
      </c>
      <c r="G1648" s="3" t="s">
        <v>224</v>
      </c>
      <c r="I1648" s="3">
        <v>1.0</v>
      </c>
      <c r="J1648" s="5">
        <v>2.0</v>
      </c>
      <c r="K1648" s="3">
        <v>1.0</v>
      </c>
      <c r="N1648" s="3" t="b">
        <v>0</v>
      </c>
      <c r="R1648" s="3">
        <v>0.0</v>
      </c>
      <c r="T1648" s="3">
        <v>5.0</v>
      </c>
      <c r="U1648" s="3">
        <v>7.0</v>
      </c>
      <c r="V1648" s="3" t="s">
        <v>1744</v>
      </c>
      <c r="X1648" s="77" t="s">
        <v>1738</v>
      </c>
      <c r="Y1648" s="3">
        <v>4.0</v>
      </c>
      <c r="Z1648" s="3">
        <v>2.0</v>
      </c>
      <c r="AA1648" s="3">
        <f>2+ (P1648*'Scoring System'!$B$3)+ (IF(OR(AD1648="DEF",AD1648="GK"),N1648*'Scoring System'!$B$4,IF(AD1648="MID",N1648*'Scoring System'!$B$5,0)))+ (IF(OR(AD1648="DEF",AD1648="GK"),H1648*'Scoring System'!$B$6,IF(AD1648="MID",H1648*'Scoring System'!$B$7,IF(AD1648="ATT",H1648*'Scoring System'!$B$8,0))))+ IF(AND(OR(AD1648="GK",AD1648="DEF"),J1648&gt;=3),1*'Scoring System'!$B$9,0)+ (I1648*'Scoring System'!$B$10)+ (K1648*'Scoring System'!$B$11)+ (M1648*'Scoring System'!$B$12)+ (L1648*'Scoring System'!$B$13)+ (O1648*'Scoring System'!$B$14)+ (Q1648*'Scoring System'!$B$15)+ (R1648*'Scoring System'!$B$16)</f>
        <v>4</v>
      </c>
      <c r="AB1648" s="3" t="b">
        <f>IFERROR(match(C1648,'Match Day Fees'!$B$2:$B$999,0),0)=0</f>
        <v>0</v>
      </c>
      <c r="AC1648" s="3">
        <f t="shared" si="2"/>
        <v>0</v>
      </c>
      <c r="AD1648" s="3" t="str">
        <f>VLOOKUP(D1648,'Position Lookup'!A:B,2,FALSE)</f>
        <v>MID</v>
      </c>
    </row>
    <row r="1649" ht="17.25" customHeight="1">
      <c r="A1649" s="10">
        <v>45318.0</v>
      </c>
      <c r="B1649" s="5" t="s">
        <v>712</v>
      </c>
      <c r="C1649" s="3" t="s">
        <v>290</v>
      </c>
      <c r="D1649" s="3" t="s">
        <v>13</v>
      </c>
      <c r="E1649" s="5" t="s">
        <v>157</v>
      </c>
      <c r="F1649" s="74" t="s">
        <v>1736</v>
      </c>
      <c r="G1649" s="3" t="s">
        <v>224</v>
      </c>
      <c r="J1649" s="5">
        <v>2.0</v>
      </c>
      <c r="N1649" s="3" t="b">
        <v>0</v>
      </c>
      <c r="R1649" s="3">
        <v>0.0</v>
      </c>
      <c r="T1649" s="3">
        <v>10.0</v>
      </c>
      <c r="U1649" s="3">
        <v>9.0</v>
      </c>
      <c r="V1649" s="3" t="s">
        <v>1745</v>
      </c>
      <c r="X1649" s="77" t="s">
        <v>1738</v>
      </c>
      <c r="Y1649" s="3">
        <v>4.0</v>
      </c>
      <c r="Z1649" s="3">
        <v>2.0</v>
      </c>
      <c r="AA1649" s="3">
        <f>2+ (P1649*'Scoring System'!$B$3)+ (IF(OR(AD1649="DEF",AD1649="GK"),N1649*'Scoring System'!$B$4,IF(AD1649="MID",N1649*'Scoring System'!$B$5,0)))+ (IF(OR(AD1649="DEF",AD1649="GK"),H1649*'Scoring System'!$B$6,IF(AD1649="MID",H1649*'Scoring System'!$B$7,IF(AD1649="ATT",H1649*'Scoring System'!$B$8,0))))+ IF(AND(OR(AD1649="GK",AD1649="DEF"),J1649&gt;=3),1*'Scoring System'!$B$9,0)+ (I1649*'Scoring System'!$B$10)+ (K1649*'Scoring System'!$B$11)+ (M1649*'Scoring System'!$B$12)+ (L1649*'Scoring System'!$B$13)+ (O1649*'Scoring System'!$B$14)+ (Q1649*'Scoring System'!$B$15)+ (R1649*'Scoring System'!$B$16)</f>
        <v>2</v>
      </c>
      <c r="AB1649" s="3" t="b">
        <f>IFERROR(match(C1649,'Match Day Fees'!$B$2:$B$999,0),0)=0</f>
        <v>0</v>
      </c>
      <c r="AC1649" s="3">
        <f t="shared" si="2"/>
        <v>0</v>
      </c>
      <c r="AD1649" s="3" t="str">
        <f>VLOOKUP(D1649,'Position Lookup'!A:B,2,FALSE)</f>
        <v>DEF</v>
      </c>
    </row>
    <row r="1650" ht="17.25" customHeight="1">
      <c r="A1650" s="10">
        <v>45318.0</v>
      </c>
      <c r="B1650" s="5" t="s">
        <v>712</v>
      </c>
      <c r="C1650" s="3" t="s">
        <v>679</v>
      </c>
      <c r="D1650" s="3" t="s">
        <v>19</v>
      </c>
      <c r="E1650" s="5" t="s">
        <v>157</v>
      </c>
      <c r="F1650" s="74" t="s">
        <v>1736</v>
      </c>
      <c r="G1650" s="3" t="s">
        <v>224</v>
      </c>
      <c r="J1650" s="5">
        <v>2.0</v>
      </c>
      <c r="N1650" s="3" t="b">
        <v>0</v>
      </c>
      <c r="R1650" s="3">
        <v>0.0</v>
      </c>
      <c r="T1650" s="3">
        <v>5.0</v>
      </c>
      <c r="U1650" s="3">
        <v>8.0</v>
      </c>
      <c r="V1650" s="3" t="s">
        <v>1746</v>
      </c>
      <c r="X1650" s="77" t="s">
        <v>1738</v>
      </c>
      <c r="Y1650" s="3">
        <v>4.0</v>
      </c>
      <c r="Z1650" s="3">
        <v>2.0</v>
      </c>
      <c r="AA1650" s="3">
        <f>2+ (P1650*'Scoring System'!$B$3)+ (IF(OR(AD1650="DEF",AD1650="GK"),N1650*'Scoring System'!$B$4,IF(AD1650="MID",N1650*'Scoring System'!$B$5,0)))+ (IF(OR(AD1650="DEF",AD1650="GK"),H1650*'Scoring System'!$B$6,IF(AD1650="MID",H1650*'Scoring System'!$B$7,IF(AD1650="ATT",H1650*'Scoring System'!$B$8,0))))+ IF(AND(OR(AD1650="GK",AD1650="DEF"),J1650&gt;=3),1*'Scoring System'!$B$9,0)+ (I1650*'Scoring System'!$B$10)+ (K1650*'Scoring System'!$B$11)+ (M1650*'Scoring System'!$B$12)+ (L1650*'Scoring System'!$B$13)+ (O1650*'Scoring System'!$B$14)+ (Q1650*'Scoring System'!$B$15)+ (R1650*'Scoring System'!$B$16)</f>
        <v>2</v>
      </c>
      <c r="AB1650" s="3" t="b">
        <f>IFERROR(match(C1650,'Match Day Fees'!$B$2:$B$999,0),0)=0</f>
        <v>0</v>
      </c>
      <c r="AC1650" s="3">
        <f t="shared" si="2"/>
        <v>0</v>
      </c>
      <c r="AD1650" s="3" t="str">
        <f>VLOOKUP(D1650,'Position Lookup'!A:B,2,FALSE)</f>
        <v>MID</v>
      </c>
    </row>
    <row r="1651" ht="17.25" customHeight="1">
      <c r="A1651" s="10">
        <v>45318.0</v>
      </c>
      <c r="B1651" s="5" t="s">
        <v>712</v>
      </c>
      <c r="C1651" s="3" t="s">
        <v>1747</v>
      </c>
      <c r="D1651" s="3" t="s">
        <v>19</v>
      </c>
      <c r="E1651" s="5" t="s">
        <v>157</v>
      </c>
      <c r="F1651" s="74" t="s">
        <v>1736</v>
      </c>
      <c r="G1651" s="3" t="s">
        <v>224</v>
      </c>
      <c r="J1651" s="5">
        <v>2.0</v>
      </c>
      <c r="N1651" s="3" t="b">
        <v>0</v>
      </c>
      <c r="R1651" s="3">
        <v>0.0</v>
      </c>
      <c r="T1651" s="3">
        <v>10.0</v>
      </c>
      <c r="U1651" s="3">
        <v>8.0</v>
      </c>
      <c r="V1651" s="3" t="s">
        <v>1748</v>
      </c>
      <c r="X1651" s="77" t="s">
        <v>1738</v>
      </c>
      <c r="Y1651" s="3">
        <v>4.0</v>
      </c>
      <c r="Z1651" s="3">
        <v>2.0</v>
      </c>
      <c r="AA1651" s="3">
        <f>2+ (P1651*'Scoring System'!$B$3)+ (IF(OR(AD1651="DEF",AD1651="GK"),N1651*'Scoring System'!$B$4,IF(AD1651="MID",N1651*'Scoring System'!$B$5,0)))+ (IF(OR(AD1651="DEF",AD1651="GK"),H1651*'Scoring System'!$B$6,IF(AD1651="MID",H1651*'Scoring System'!$B$7,IF(AD1651="ATT",H1651*'Scoring System'!$B$8,0))))+ IF(AND(OR(AD1651="GK",AD1651="DEF"),J1651&gt;=3),1*'Scoring System'!$B$9,0)+ (I1651*'Scoring System'!$B$10)+ (K1651*'Scoring System'!$B$11)+ (M1651*'Scoring System'!$B$12)+ (L1651*'Scoring System'!$B$13)+ (O1651*'Scoring System'!$B$14)+ (Q1651*'Scoring System'!$B$15)+ (R1651*'Scoring System'!$B$16)</f>
        <v>2</v>
      </c>
      <c r="AB1651" s="3" t="b">
        <f>IFERROR(match(C1651,'Match Day Fees'!$B$2:$B$999,0),0)=0</f>
        <v>0</v>
      </c>
      <c r="AC1651" s="3">
        <f t="shared" si="2"/>
        <v>0</v>
      </c>
      <c r="AD1651" s="3" t="str">
        <f>VLOOKUP(D1651,'Position Lookup'!A:B,2,FALSE)</f>
        <v>MID</v>
      </c>
    </row>
    <row r="1652" ht="17.25" customHeight="1">
      <c r="A1652" s="10">
        <v>45318.0</v>
      </c>
      <c r="B1652" s="5" t="s">
        <v>712</v>
      </c>
      <c r="C1652" s="3" t="s">
        <v>131</v>
      </c>
      <c r="D1652" s="3" t="s">
        <v>24</v>
      </c>
      <c r="E1652" s="5" t="s">
        <v>157</v>
      </c>
      <c r="F1652" s="74" t="s">
        <v>1736</v>
      </c>
      <c r="G1652" s="3" t="s">
        <v>224</v>
      </c>
      <c r="H1652" s="3">
        <v>1.0</v>
      </c>
      <c r="I1652" s="3">
        <v>1.0</v>
      </c>
      <c r="J1652" s="5">
        <v>2.0</v>
      </c>
      <c r="N1652" s="3" t="b">
        <v>0</v>
      </c>
      <c r="R1652" s="3">
        <v>0.0</v>
      </c>
      <c r="T1652" s="3">
        <v>10.0</v>
      </c>
      <c r="U1652" s="3">
        <v>8.0</v>
      </c>
      <c r="V1652" s="3" t="s">
        <v>1749</v>
      </c>
      <c r="X1652" s="77" t="s">
        <v>1738</v>
      </c>
      <c r="Y1652" s="3">
        <v>4.0</v>
      </c>
      <c r="Z1652" s="3">
        <v>2.0</v>
      </c>
      <c r="AA1652" s="3">
        <f>2+ (P1652*'Scoring System'!$B$3)+ (IF(OR(AD1652="DEF",AD1652="GK"),N1652*'Scoring System'!$B$4,IF(AD1652="MID",N1652*'Scoring System'!$B$5,0)))+ (IF(OR(AD1652="DEF",AD1652="GK"),H1652*'Scoring System'!$B$6,IF(AD1652="MID",H1652*'Scoring System'!$B$7,IF(AD1652="ATT",H1652*'Scoring System'!$B$8,0))))+ IF(AND(OR(AD1652="GK",AD1652="DEF"),J1652&gt;=3),1*'Scoring System'!$B$9,0)+ (I1652*'Scoring System'!$B$10)+ (K1652*'Scoring System'!$B$11)+ (M1652*'Scoring System'!$B$12)+ (L1652*'Scoring System'!$B$13)+ (O1652*'Scoring System'!$B$14)+ (Q1652*'Scoring System'!$B$15)+ (R1652*'Scoring System'!$B$16)</f>
        <v>9</v>
      </c>
      <c r="AB1652" s="3" t="b">
        <f>IFERROR(match(C1652,'Match Day Fees'!$B$2:$B$999,0),0)=0</f>
        <v>0</v>
      </c>
      <c r="AC1652" s="3">
        <f t="shared" si="2"/>
        <v>0</v>
      </c>
      <c r="AD1652" s="3" t="str">
        <f>VLOOKUP(D1652,'Position Lookup'!A:B,2,FALSE)</f>
        <v>ATT</v>
      </c>
    </row>
    <row r="1653" ht="17.25" customHeight="1">
      <c r="A1653" s="10">
        <v>45318.0</v>
      </c>
      <c r="B1653" s="5" t="s">
        <v>712</v>
      </c>
      <c r="C1653" s="3" t="s">
        <v>83</v>
      </c>
      <c r="D1653" s="3" t="s">
        <v>17</v>
      </c>
      <c r="E1653" s="5" t="s">
        <v>157</v>
      </c>
      <c r="F1653" s="74" t="s">
        <v>1736</v>
      </c>
      <c r="G1653" s="3" t="s">
        <v>224</v>
      </c>
      <c r="J1653" s="5">
        <v>2.0</v>
      </c>
      <c r="N1653" s="3" t="b">
        <v>0</v>
      </c>
      <c r="R1653" s="3">
        <v>0.0</v>
      </c>
      <c r="T1653" s="3">
        <v>10.0</v>
      </c>
      <c r="U1653" s="3">
        <v>8.0</v>
      </c>
      <c r="V1653" s="3" t="s">
        <v>1750</v>
      </c>
      <c r="X1653" s="77" t="s">
        <v>1738</v>
      </c>
      <c r="Y1653" s="3">
        <v>4.0</v>
      </c>
      <c r="Z1653" s="3">
        <v>2.0</v>
      </c>
      <c r="AA1653" s="3">
        <f>2+ (P1653*'Scoring System'!$B$3)+ (IF(OR(AD1653="DEF",AD1653="GK"),N1653*'Scoring System'!$B$4,IF(AD1653="MID",N1653*'Scoring System'!$B$5,0)))+ (IF(OR(AD1653="DEF",AD1653="GK"),H1653*'Scoring System'!$B$6,IF(AD1653="MID",H1653*'Scoring System'!$B$7,IF(AD1653="ATT",H1653*'Scoring System'!$B$8,0))))+ IF(AND(OR(AD1653="GK",AD1653="DEF"),J1653&gt;=3),1*'Scoring System'!$B$9,0)+ (I1653*'Scoring System'!$B$10)+ (K1653*'Scoring System'!$B$11)+ (M1653*'Scoring System'!$B$12)+ (L1653*'Scoring System'!$B$13)+ (O1653*'Scoring System'!$B$14)+ (Q1653*'Scoring System'!$B$15)+ (R1653*'Scoring System'!$B$16)</f>
        <v>2</v>
      </c>
      <c r="AB1653" s="3" t="b">
        <f>IFERROR(match(C1653,'Match Day Fees'!$B$2:$B$999,0),0)=0</f>
        <v>0</v>
      </c>
      <c r="AC1653" s="3">
        <f t="shared" si="2"/>
        <v>0</v>
      </c>
      <c r="AD1653" s="3" t="str">
        <f>VLOOKUP(D1653,'Position Lookup'!A:B,2,FALSE)</f>
        <v>DEF</v>
      </c>
    </row>
    <row r="1654" ht="17.25" customHeight="1">
      <c r="A1654" s="10">
        <v>45318.0</v>
      </c>
      <c r="B1654" s="5" t="s">
        <v>712</v>
      </c>
      <c r="C1654" s="3" t="s">
        <v>153</v>
      </c>
      <c r="D1654" s="3" t="s">
        <v>24</v>
      </c>
      <c r="E1654" s="5" t="s">
        <v>157</v>
      </c>
      <c r="F1654" s="74" t="s">
        <v>1736</v>
      </c>
      <c r="G1654" s="3" t="s">
        <v>224</v>
      </c>
      <c r="H1654" s="3">
        <v>2.0</v>
      </c>
      <c r="J1654" s="5">
        <v>2.0</v>
      </c>
      <c r="N1654" s="3" t="b">
        <v>0</v>
      </c>
      <c r="R1654" s="3">
        <v>0.0</v>
      </c>
      <c r="T1654" s="3">
        <v>10.0</v>
      </c>
      <c r="U1654" s="3">
        <v>8.0</v>
      </c>
      <c r="V1654" s="3" t="s">
        <v>1751</v>
      </c>
      <c r="X1654" s="77" t="s">
        <v>1738</v>
      </c>
      <c r="Y1654" s="3">
        <v>4.0</v>
      </c>
      <c r="Z1654" s="3">
        <v>2.0</v>
      </c>
      <c r="AA1654" s="3">
        <f>2+ (P1654*'Scoring System'!$B$3)+ (IF(OR(AD1654="DEF",AD1654="GK"),N1654*'Scoring System'!$B$4,IF(AD1654="MID",N1654*'Scoring System'!$B$5,0)))+ (IF(OR(AD1654="DEF",AD1654="GK"),H1654*'Scoring System'!$B$6,IF(AD1654="MID",H1654*'Scoring System'!$B$7,IF(AD1654="ATT",H1654*'Scoring System'!$B$8,0))))+ IF(AND(OR(AD1654="GK",AD1654="DEF"),J1654&gt;=3),1*'Scoring System'!$B$9,0)+ (I1654*'Scoring System'!$B$10)+ (K1654*'Scoring System'!$B$11)+ (M1654*'Scoring System'!$B$12)+ (L1654*'Scoring System'!$B$13)+ (O1654*'Scoring System'!$B$14)+ (Q1654*'Scoring System'!$B$15)+ (R1654*'Scoring System'!$B$16)</f>
        <v>10</v>
      </c>
      <c r="AB1654" s="3" t="b">
        <f>IFERROR(match(C1654,'Match Day Fees'!$B$2:$B$999,0),0)=0</f>
        <v>0</v>
      </c>
      <c r="AC1654" s="3">
        <f t="shared" si="2"/>
        <v>0</v>
      </c>
      <c r="AD1654" s="3" t="str">
        <f>VLOOKUP(D1654,'Position Lookup'!A:B,2,FALSE)</f>
        <v>ATT</v>
      </c>
    </row>
    <row r="1655" ht="17.25" customHeight="1">
      <c r="A1655" s="10">
        <v>45318.0</v>
      </c>
      <c r="B1655" s="5" t="s">
        <v>712</v>
      </c>
      <c r="C1655" s="3" t="s">
        <v>152</v>
      </c>
      <c r="D1655" s="3" t="s">
        <v>24</v>
      </c>
      <c r="E1655" s="5" t="s">
        <v>157</v>
      </c>
      <c r="F1655" s="74" t="s">
        <v>1736</v>
      </c>
      <c r="G1655" s="3" t="s">
        <v>224</v>
      </c>
      <c r="H1655" s="3">
        <v>1.0</v>
      </c>
      <c r="I1655" s="3">
        <v>1.0</v>
      </c>
      <c r="J1655" s="5">
        <v>2.0</v>
      </c>
      <c r="N1655" s="3" t="b">
        <v>0</v>
      </c>
      <c r="R1655" s="3">
        <v>1.0</v>
      </c>
      <c r="T1655" s="3">
        <v>10.0</v>
      </c>
      <c r="U1655" s="3">
        <v>9.5</v>
      </c>
      <c r="V1655" s="3" t="s">
        <v>1752</v>
      </c>
      <c r="X1655" s="77" t="s">
        <v>1738</v>
      </c>
      <c r="Y1655" s="3">
        <v>4.0</v>
      </c>
      <c r="Z1655" s="3">
        <v>2.0</v>
      </c>
      <c r="AA1655" s="3">
        <f>2+ (P1655*'Scoring System'!$B$3)+ (IF(OR(AD1655="DEF",AD1655="GK"),N1655*'Scoring System'!$B$4,IF(AD1655="MID",N1655*'Scoring System'!$B$5,0)))+ (IF(OR(AD1655="DEF",AD1655="GK"),H1655*'Scoring System'!$B$6,IF(AD1655="MID",H1655*'Scoring System'!$B$7,IF(AD1655="ATT",H1655*'Scoring System'!$B$8,0))))+ IF(AND(OR(AD1655="GK",AD1655="DEF"),J1655&gt;=3),1*'Scoring System'!$B$9,0)+ (I1655*'Scoring System'!$B$10)+ (K1655*'Scoring System'!$B$11)+ (M1655*'Scoring System'!$B$12)+ (L1655*'Scoring System'!$B$13)+ (O1655*'Scoring System'!$B$14)+ (Q1655*'Scoring System'!$B$15)+ (R1655*'Scoring System'!$B$16)</f>
        <v>14</v>
      </c>
      <c r="AB1655" s="3" t="b">
        <f>IFERROR(match(C1655,'Match Day Fees'!$B$2:$B$999,0),0)=0</f>
        <v>0</v>
      </c>
      <c r="AC1655" s="3">
        <f t="shared" si="2"/>
        <v>0</v>
      </c>
      <c r="AD1655" s="3" t="str">
        <f>VLOOKUP(D1655,'Position Lookup'!A:B,2,FALSE)</f>
        <v>ATT</v>
      </c>
    </row>
    <row r="1656" ht="17.25" customHeight="1">
      <c r="A1656" s="10">
        <v>45325.0</v>
      </c>
      <c r="B1656" s="5" t="s">
        <v>309</v>
      </c>
      <c r="C1656" s="3" t="s">
        <v>53</v>
      </c>
      <c r="D1656" s="3" t="s">
        <v>8</v>
      </c>
      <c r="E1656" s="5">
        <v>1.0</v>
      </c>
      <c r="F1656" s="3" t="s">
        <v>1484</v>
      </c>
      <c r="G1656" s="3" t="s">
        <v>224</v>
      </c>
      <c r="J1656" s="5">
        <v>0.0</v>
      </c>
      <c r="N1656" s="3" t="b">
        <v>1</v>
      </c>
      <c r="R1656" s="3">
        <v>0.0</v>
      </c>
      <c r="S1656" s="3" t="b">
        <v>1</v>
      </c>
      <c r="T1656" s="3">
        <v>0.0</v>
      </c>
      <c r="U1656" s="3">
        <v>8.0</v>
      </c>
      <c r="V1656" s="3" t="s">
        <v>1753</v>
      </c>
      <c r="W1656" s="3" t="s">
        <v>311</v>
      </c>
      <c r="X1656" s="77" t="s">
        <v>1754</v>
      </c>
      <c r="Y1656" s="3">
        <v>2.0</v>
      </c>
      <c r="Z1656" s="3">
        <v>0.0</v>
      </c>
      <c r="AA1656" s="3">
        <f>2+ (P1656*'Scoring System'!$B$3)+ (IF(OR(AD1656="DEF",AD1656="GK"),N1656*'Scoring System'!$B$4,IF(AD1656="MID",N1656*'Scoring System'!$B$5,0)))+ (IF(OR(AD1656="DEF",AD1656="GK"),H1656*'Scoring System'!$B$6,IF(AD1656="MID",H1656*'Scoring System'!$B$7,IF(AD1656="ATT",H1656*'Scoring System'!$B$8,0))))+ IF(AND(OR(AD1656="GK",AD1656="DEF"),J1656&gt;=3),1*'Scoring System'!$B$9,0)+ (I1656*'Scoring System'!$B$10)+ (K1656*'Scoring System'!$B$11)+ (M1656*'Scoring System'!$B$12)+ (L1656*'Scoring System'!$B$13)+ (O1656*'Scoring System'!$B$14)+ (Q1656*'Scoring System'!$B$15)+ (R1656*'Scoring System'!$B$16)</f>
        <v>8</v>
      </c>
      <c r="AB1656" s="3" t="b">
        <f>IFERROR(match(C1656,'Match Day Fees'!$B$2:$B$999,0),0)=0</f>
        <v>0</v>
      </c>
      <c r="AC1656" s="3">
        <f t="shared" si="2"/>
        <v>0</v>
      </c>
      <c r="AD1656" s="3" t="str">
        <f>VLOOKUP(D1656,'Position Lookup'!A:B,2,FALSE)</f>
        <v>GK</v>
      </c>
    </row>
    <row r="1657" ht="17.25" customHeight="1">
      <c r="A1657" s="10">
        <v>45325.0</v>
      </c>
      <c r="B1657" s="5" t="s">
        <v>309</v>
      </c>
      <c r="C1657" s="3" t="s">
        <v>69</v>
      </c>
      <c r="D1657" s="3" t="s">
        <v>14</v>
      </c>
      <c r="E1657" s="5">
        <v>1.0</v>
      </c>
      <c r="F1657" s="3" t="s">
        <v>1484</v>
      </c>
      <c r="G1657" s="3" t="s">
        <v>224</v>
      </c>
      <c r="J1657" s="5">
        <v>0.0</v>
      </c>
      <c r="N1657" s="3" t="b">
        <v>1</v>
      </c>
      <c r="R1657" s="3">
        <v>0.0</v>
      </c>
      <c r="T1657" s="3">
        <v>10.0</v>
      </c>
      <c r="U1657" s="3">
        <v>8.5</v>
      </c>
      <c r="V1657" s="3" t="s">
        <v>1755</v>
      </c>
      <c r="W1657" s="3" t="s">
        <v>311</v>
      </c>
      <c r="X1657" s="77" t="s">
        <v>1754</v>
      </c>
      <c r="Y1657" s="3">
        <v>2.0</v>
      </c>
      <c r="Z1657" s="3">
        <v>0.0</v>
      </c>
      <c r="AA1657" s="3">
        <f>2+ (P1657*'Scoring System'!$B$3)+ (IF(OR(AD1657="DEF",AD1657="GK"),N1657*'Scoring System'!$B$4,IF(AD1657="MID",N1657*'Scoring System'!$B$5,0)))+ (IF(OR(AD1657="DEF",AD1657="GK"),H1657*'Scoring System'!$B$6,IF(AD1657="MID",H1657*'Scoring System'!$B$7,IF(AD1657="ATT",H1657*'Scoring System'!$B$8,0))))+ IF(AND(OR(AD1657="GK",AD1657="DEF"),J1657&gt;=3),1*'Scoring System'!$B$9,0)+ (I1657*'Scoring System'!$B$10)+ (K1657*'Scoring System'!$B$11)+ (M1657*'Scoring System'!$B$12)+ (L1657*'Scoring System'!$B$13)+ (O1657*'Scoring System'!$B$14)+ (Q1657*'Scoring System'!$B$15)+ (R1657*'Scoring System'!$B$16)</f>
        <v>8</v>
      </c>
      <c r="AB1657" s="3" t="b">
        <f>IFERROR(match(C1657,'Match Day Fees'!$B$2:$B$999,0),0)=0</f>
        <v>0</v>
      </c>
      <c r="AC1657" s="3">
        <f t="shared" si="2"/>
        <v>0</v>
      </c>
      <c r="AD1657" s="3" t="str">
        <f>VLOOKUP(D1657,'Position Lookup'!A:B,2,FALSE)</f>
        <v>DEF</v>
      </c>
    </row>
    <row r="1658" ht="17.25" customHeight="1">
      <c r="A1658" s="10">
        <v>45325.0</v>
      </c>
      <c r="B1658" s="5" t="s">
        <v>309</v>
      </c>
      <c r="C1658" s="3" t="s">
        <v>76</v>
      </c>
      <c r="D1658" s="3" t="s">
        <v>13</v>
      </c>
      <c r="E1658" s="5">
        <v>1.0</v>
      </c>
      <c r="F1658" s="3" t="s">
        <v>1484</v>
      </c>
      <c r="G1658" s="3" t="s">
        <v>224</v>
      </c>
      <c r="J1658" s="5">
        <v>0.0</v>
      </c>
      <c r="N1658" s="3" t="b">
        <v>1</v>
      </c>
      <c r="R1658" s="3">
        <v>0.0</v>
      </c>
      <c r="T1658" s="3">
        <v>10.0</v>
      </c>
      <c r="U1658" s="3">
        <v>8.5</v>
      </c>
      <c r="V1658" s="3" t="s">
        <v>1756</v>
      </c>
      <c r="W1658" s="3" t="s">
        <v>311</v>
      </c>
      <c r="X1658" s="77" t="s">
        <v>1754</v>
      </c>
      <c r="Y1658" s="3">
        <v>2.0</v>
      </c>
      <c r="Z1658" s="3">
        <v>0.0</v>
      </c>
      <c r="AA1658" s="3">
        <f>2+ (P1658*'Scoring System'!$B$3)+ (IF(OR(AD1658="DEF",AD1658="GK"),N1658*'Scoring System'!$B$4,IF(AD1658="MID",N1658*'Scoring System'!$B$5,0)))+ (IF(OR(AD1658="DEF",AD1658="GK"),H1658*'Scoring System'!$B$6,IF(AD1658="MID",H1658*'Scoring System'!$B$7,IF(AD1658="ATT",H1658*'Scoring System'!$B$8,0))))+ IF(AND(OR(AD1658="GK",AD1658="DEF"),J1658&gt;=3),1*'Scoring System'!$B$9,0)+ (I1658*'Scoring System'!$B$10)+ (K1658*'Scoring System'!$B$11)+ (M1658*'Scoring System'!$B$12)+ (L1658*'Scoring System'!$B$13)+ (O1658*'Scoring System'!$B$14)+ (Q1658*'Scoring System'!$B$15)+ (R1658*'Scoring System'!$B$16)</f>
        <v>8</v>
      </c>
      <c r="AB1658" s="3" t="b">
        <f>IFERROR(match(C1658,'Match Day Fees'!$B$2:$B$999,0),0)=0</f>
        <v>0</v>
      </c>
      <c r="AC1658" s="3">
        <f t="shared" si="2"/>
        <v>0</v>
      </c>
      <c r="AD1658" s="3" t="str">
        <f>VLOOKUP(D1658,'Position Lookup'!A:B,2,FALSE)</f>
        <v>DEF</v>
      </c>
    </row>
    <row r="1659" ht="17.25" customHeight="1">
      <c r="A1659" s="10">
        <v>45325.0</v>
      </c>
      <c r="B1659" s="5" t="s">
        <v>309</v>
      </c>
      <c r="C1659" s="3" t="s">
        <v>68</v>
      </c>
      <c r="D1659" s="3" t="s">
        <v>15</v>
      </c>
      <c r="E1659" s="5">
        <v>1.0</v>
      </c>
      <c r="F1659" s="3" t="s">
        <v>1484</v>
      </c>
      <c r="G1659" s="3" t="s">
        <v>224</v>
      </c>
      <c r="H1659" s="3">
        <v>1.0</v>
      </c>
      <c r="J1659" s="5">
        <v>0.0</v>
      </c>
      <c r="N1659" s="3" t="b">
        <v>1</v>
      </c>
      <c r="R1659" s="3">
        <v>0.0</v>
      </c>
      <c r="T1659" s="3">
        <v>10.0</v>
      </c>
      <c r="U1659" s="3">
        <v>9.0</v>
      </c>
      <c r="V1659" s="3" t="s">
        <v>1757</v>
      </c>
      <c r="W1659" s="3" t="s">
        <v>311</v>
      </c>
      <c r="X1659" s="77" t="s">
        <v>1754</v>
      </c>
      <c r="Y1659" s="3">
        <v>2.0</v>
      </c>
      <c r="Z1659" s="3">
        <v>0.0</v>
      </c>
      <c r="AA1659" s="3">
        <f>2+ (P1659*'Scoring System'!$B$3)+ (IF(OR(AD1659="DEF",AD1659="GK"),N1659*'Scoring System'!$B$4,IF(AD1659="MID",N1659*'Scoring System'!$B$5,0)))+ (IF(OR(AD1659="DEF",AD1659="GK"),H1659*'Scoring System'!$B$6,IF(AD1659="MID",H1659*'Scoring System'!$B$7,IF(AD1659="ATT",H1659*'Scoring System'!$B$8,0))))+ IF(AND(OR(AD1659="GK",AD1659="DEF"),J1659&gt;=3),1*'Scoring System'!$B$9,0)+ (I1659*'Scoring System'!$B$10)+ (K1659*'Scoring System'!$B$11)+ (M1659*'Scoring System'!$B$12)+ (L1659*'Scoring System'!$B$13)+ (O1659*'Scoring System'!$B$14)+ (Q1659*'Scoring System'!$B$15)+ (R1659*'Scoring System'!$B$16)</f>
        <v>14</v>
      </c>
      <c r="AB1659" s="3" t="b">
        <f>IFERROR(match(C1659,'Match Day Fees'!$B$2:$B$999,0),0)=0</f>
        <v>0</v>
      </c>
      <c r="AC1659" s="3">
        <f t="shared" si="2"/>
        <v>0</v>
      </c>
      <c r="AD1659" s="3" t="str">
        <f>VLOOKUP(D1659,'Position Lookup'!A:B,2,FALSE)</f>
        <v>DEF</v>
      </c>
    </row>
    <row r="1660" ht="17.25" customHeight="1">
      <c r="A1660" s="10">
        <v>45325.0</v>
      </c>
      <c r="B1660" s="5" t="s">
        <v>309</v>
      </c>
      <c r="C1660" s="3" t="s">
        <v>57</v>
      </c>
      <c r="D1660" s="3" t="s">
        <v>18</v>
      </c>
      <c r="E1660" s="5">
        <v>1.0</v>
      </c>
      <c r="F1660" s="3" t="s">
        <v>1484</v>
      </c>
      <c r="G1660" s="3" t="s">
        <v>224</v>
      </c>
      <c r="J1660" s="5">
        <v>0.0</v>
      </c>
      <c r="N1660" s="3" t="b">
        <v>1</v>
      </c>
      <c r="R1660" s="3">
        <v>0.0</v>
      </c>
      <c r="T1660" s="3">
        <v>5.0</v>
      </c>
      <c r="U1660" s="3">
        <v>9.0</v>
      </c>
      <c r="V1660" s="3" t="s">
        <v>1758</v>
      </c>
      <c r="W1660" s="3" t="s">
        <v>311</v>
      </c>
      <c r="X1660" s="77" t="s">
        <v>1754</v>
      </c>
      <c r="Y1660" s="3">
        <v>2.0</v>
      </c>
      <c r="Z1660" s="3">
        <v>0.0</v>
      </c>
      <c r="AA1660" s="3">
        <f>2+ (P1660*'Scoring System'!$B$3)+ (IF(OR(AD1660="DEF",AD1660="GK"),N1660*'Scoring System'!$B$4,IF(AD1660="MID",N1660*'Scoring System'!$B$5,0)))+ (IF(OR(AD1660="DEF",AD1660="GK"),H1660*'Scoring System'!$B$6,IF(AD1660="MID",H1660*'Scoring System'!$B$7,IF(AD1660="ATT",H1660*'Scoring System'!$B$8,0))))+ IF(AND(OR(AD1660="GK",AD1660="DEF"),J1660&gt;=3),1*'Scoring System'!$B$9,0)+ (I1660*'Scoring System'!$B$10)+ (K1660*'Scoring System'!$B$11)+ (M1660*'Scoring System'!$B$12)+ (L1660*'Scoring System'!$B$13)+ (O1660*'Scoring System'!$B$14)+ (Q1660*'Scoring System'!$B$15)+ (R1660*'Scoring System'!$B$16)</f>
        <v>8</v>
      </c>
      <c r="AB1660" s="3" t="b">
        <f>IFERROR(match(C1660,'Match Day Fees'!$B$2:$B$999,0),0)=0</f>
        <v>0</v>
      </c>
      <c r="AC1660" s="3">
        <f t="shared" si="2"/>
        <v>0</v>
      </c>
      <c r="AD1660" s="3" t="str">
        <f>VLOOKUP(D1660,'Position Lookup'!A:B,2,FALSE)</f>
        <v>DEF</v>
      </c>
    </row>
    <row r="1661" ht="17.25" customHeight="1">
      <c r="A1661" s="10">
        <v>45325.0</v>
      </c>
      <c r="B1661" s="5" t="s">
        <v>309</v>
      </c>
      <c r="C1661" s="3" t="s">
        <v>107</v>
      </c>
      <c r="D1661" s="3" t="s">
        <v>17</v>
      </c>
      <c r="E1661" s="5">
        <v>1.0</v>
      </c>
      <c r="F1661" s="3" t="s">
        <v>1484</v>
      </c>
      <c r="G1661" s="3" t="s">
        <v>224</v>
      </c>
      <c r="J1661" s="5">
        <v>0.0</v>
      </c>
      <c r="N1661" s="3" t="b">
        <v>1</v>
      </c>
      <c r="R1661" s="3">
        <v>0.0</v>
      </c>
      <c r="T1661" s="3">
        <v>10.0</v>
      </c>
      <c r="U1661" s="3">
        <v>7.5</v>
      </c>
      <c r="V1661" s="3" t="s">
        <v>1759</v>
      </c>
      <c r="W1661" s="3" t="s">
        <v>311</v>
      </c>
      <c r="X1661" s="77" t="s">
        <v>1754</v>
      </c>
      <c r="Y1661" s="3">
        <v>2.0</v>
      </c>
      <c r="Z1661" s="3">
        <v>0.0</v>
      </c>
      <c r="AA1661" s="3">
        <f>2+ (P1661*'Scoring System'!$B$3)+ (IF(OR(AD1661="DEF",AD1661="GK"),N1661*'Scoring System'!$B$4,IF(AD1661="MID",N1661*'Scoring System'!$B$5,0)))+ (IF(OR(AD1661="DEF",AD1661="GK"),H1661*'Scoring System'!$B$6,IF(AD1661="MID",H1661*'Scoring System'!$B$7,IF(AD1661="ATT",H1661*'Scoring System'!$B$8,0))))+ IF(AND(OR(AD1661="GK",AD1661="DEF"),J1661&gt;=3),1*'Scoring System'!$B$9,0)+ (I1661*'Scoring System'!$B$10)+ (K1661*'Scoring System'!$B$11)+ (M1661*'Scoring System'!$B$12)+ (L1661*'Scoring System'!$B$13)+ (O1661*'Scoring System'!$B$14)+ (Q1661*'Scoring System'!$B$15)+ (R1661*'Scoring System'!$B$16)</f>
        <v>8</v>
      </c>
      <c r="AB1661" s="3" t="b">
        <f>IFERROR(match(C1661,'Match Day Fees'!$B$2:$B$999,0),0)=0</f>
        <v>0</v>
      </c>
      <c r="AC1661" s="3">
        <f t="shared" si="2"/>
        <v>0</v>
      </c>
      <c r="AD1661" s="3" t="str">
        <f>VLOOKUP(D1661,'Position Lookup'!A:B,2,FALSE)</f>
        <v>DEF</v>
      </c>
    </row>
    <row r="1662" ht="17.25" customHeight="1">
      <c r="A1662" s="10">
        <v>45325.0</v>
      </c>
      <c r="B1662" s="5" t="s">
        <v>309</v>
      </c>
      <c r="C1662" s="3" t="s">
        <v>67</v>
      </c>
      <c r="D1662" s="3" t="s">
        <v>20</v>
      </c>
      <c r="E1662" s="5">
        <v>1.0</v>
      </c>
      <c r="F1662" s="3" t="s">
        <v>1484</v>
      </c>
      <c r="G1662" s="3" t="s">
        <v>224</v>
      </c>
      <c r="J1662" s="5">
        <v>0.0</v>
      </c>
      <c r="N1662" s="3" t="b">
        <v>1</v>
      </c>
      <c r="R1662" s="3">
        <v>1.0</v>
      </c>
      <c r="S1662" s="3" t="b">
        <v>0</v>
      </c>
      <c r="T1662" s="3">
        <v>10.0</v>
      </c>
      <c r="U1662" s="3">
        <v>9.0</v>
      </c>
      <c r="V1662" s="3" t="s">
        <v>1760</v>
      </c>
      <c r="W1662" s="3" t="s">
        <v>311</v>
      </c>
      <c r="X1662" s="77" t="s">
        <v>1754</v>
      </c>
      <c r="Y1662" s="3">
        <v>2.0</v>
      </c>
      <c r="Z1662" s="3">
        <v>0.0</v>
      </c>
      <c r="AA1662" s="3">
        <f>2+ (P1662*'Scoring System'!$B$3)+ (IF(OR(AD1662="DEF",AD1662="GK"),N1662*'Scoring System'!$B$4,IF(AD1662="MID",N1662*'Scoring System'!$B$5,0)))+ (IF(OR(AD1662="DEF",AD1662="GK"),H1662*'Scoring System'!$B$6,IF(AD1662="MID",H1662*'Scoring System'!$B$7,IF(AD1662="ATT",H1662*'Scoring System'!$B$8,0))))+ IF(AND(OR(AD1662="GK",AD1662="DEF"),J1662&gt;=3),1*'Scoring System'!$B$9,0)+ (I1662*'Scoring System'!$B$10)+ (K1662*'Scoring System'!$B$11)+ (M1662*'Scoring System'!$B$12)+ (L1662*'Scoring System'!$B$13)+ (O1662*'Scoring System'!$B$14)+ (Q1662*'Scoring System'!$B$15)+ (R1662*'Scoring System'!$B$16)</f>
        <v>9</v>
      </c>
      <c r="AB1662" s="3" t="b">
        <f>IFERROR(match(C1662,'Match Day Fees'!$B$2:$B$999,0),0)=0</f>
        <v>0</v>
      </c>
      <c r="AC1662" s="3">
        <f t="shared" si="2"/>
        <v>0</v>
      </c>
      <c r="AD1662" s="3" t="str">
        <f>VLOOKUP(D1662,'Position Lookup'!A:B,2,FALSE)</f>
        <v>MID</v>
      </c>
    </row>
    <row r="1663" ht="17.25" customHeight="1">
      <c r="A1663" s="10">
        <v>45325.0</v>
      </c>
      <c r="B1663" s="5" t="s">
        <v>309</v>
      </c>
      <c r="C1663" s="3" t="s">
        <v>137</v>
      </c>
      <c r="D1663" s="3" t="s">
        <v>20</v>
      </c>
      <c r="E1663" s="5">
        <v>1.0</v>
      </c>
      <c r="F1663" s="3" t="s">
        <v>1484</v>
      </c>
      <c r="G1663" s="3" t="s">
        <v>224</v>
      </c>
      <c r="J1663" s="5">
        <v>0.0</v>
      </c>
      <c r="N1663" s="3" t="b">
        <v>1</v>
      </c>
      <c r="R1663" s="3">
        <v>0.0</v>
      </c>
      <c r="T1663" s="3">
        <v>7.0</v>
      </c>
      <c r="U1663" s="3">
        <v>8.5</v>
      </c>
      <c r="V1663" s="3" t="s">
        <v>1761</v>
      </c>
      <c r="W1663" s="3" t="s">
        <v>311</v>
      </c>
      <c r="X1663" s="77" t="s">
        <v>1754</v>
      </c>
      <c r="Y1663" s="3">
        <v>2.0</v>
      </c>
      <c r="Z1663" s="3">
        <v>0.0</v>
      </c>
      <c r="AA1663" s="3">
        <f>2+ (P1663*'Scoring System'!$B$3)+ (IF(OR(AD1663="DEF",AD1663="GK"),N1663*'Scoring System'!$B$4,IF(AD1663="MID",N1663*'Scoring System'!$B$5,0)))+ (IF(OR(AD1663="DEF",AD1663="GK"),H1663*'Scoring System'!$B$6,IF(AD1663="MID",H1663*'Scoring System'!$B$7,IF(AD1663="ATT",H1663*'Scoring System'!$B$8,0))))+ IF(AND(OR(AD1663="GK",AD1663="DEF"),J1663&gt;=3),1*'Scoring System'!$B$9,0)+ (I1663*'Scoring System'!$B$10)+ (K1663*'Scoring System'!$B$11)+ (M1663*'Scoring System'!$B$12)+ (L1663*'Scoring System'!$B$13)+ (O1663*'Scoring System'!$B$14)+ (Q1663*'Scoring System'!$B$15)+ (R1663*'Scoring System'!$B$16)</f>
        <v>4</v>
      </c>
      <c r="AB1663" s="3" t="b">
        <f>IFERROR(match(C1663,'Match Day Fees'!$B$2:$B$999,0),0)=0</f>
        <v>0</v>
      </c>
      <c r="AC1663" s="3">
        <f t="shared" si="2"/>
        <v>0</v>
      </c>
      <c r="AD1663" s="3" t="str">
        <f>VLOOKUP(D1663,'Position Lookup'!A:B,2,FALSE)</f>
        <v>MID</v>
      </c>
    </row>
    <row r="1664" ht="17.25" customHeight="1">
      <c r="A1664" s="10">
        <v>45325.0</v>
      </c>
      <c r="B1664" s="5" t="s">
        <v>309</v>
      </c>
      <c r="C1664" s="3" t="s">
        <v>62</v>
      </c>
      <c r="D1664" s="3" t="s">
        <v>21</v>
      </c>
      <c r="E1664" s="5">
        <v>1.0</v>
      </c>
      <c r="F1664" s="3" t="s">
        <v>1484</v>
      </c>
      <c r="G1664" s="3" t="s">
        <v>224</v>
      </c>
      <c r="H1664" s="3">
        <v>1.0</v>
      </c>
      <c r="J1664" s="5">
        <v>0.0</v>
      </c>
      <c r="N1664" s="3" t="b">
        <v>1</v>
      </c>
      <c r="R1664" s="3">
        <v>0.0</v>
      </c>
      <c r="T1664" s="3">
        <v>10.0</v>
      </c>
      <c r="U1664" s="3">
        <v>8.0</v>
      </c>
      <c r="V1664" s="3" t="s">
        <v>1762</v>
      </c>
      <c r="W1664" s="3" t="s">
        <v>311</v>
      </c>
      <c r="X1664" s="77" t="s">
        <v>1754</v>
      </c>
      <c r="Y1664" s="3">
        <v>2.0</v>
      </c>
      <c r="Z1664" s="3">
        <v>0.0</v>
      </c>
      <c r="AA1664" s="3">
        <f>2+ (P1664*'Scoring System'!$B$3)+ (IF(OR(AD1664="DEF",AD1664="GK"),N1664*'Scoring System'!$B$4,IF(AD1664="MID",N1664*'Scoring System'!$B$5,0)))+ (IF(OR(AD1664="DEF",AD1664="GK"),H1664*'Scoring System'!$B$6,IF(AD1664="MID",H1664*'Scoring System'!$B$7,IF(AD1664="ATT",H1664*'Scoring System'!$B$8,0))))+ IF(AND(OR(AD1664="GK",AD1664="DEF"),J1664&gt;=3),1*'Scoring System'!$B$9,0)+ (I1664*'Scoring System'!$B$10)+ (K1664*'Scoring System'!$B$11)+ (M1664*'Scoring System'!$B$12)+ (L1664*'Scoring System'!$B$13)+ (O1664*'Scoring System'!$B$14)+ (Q1664*'Scoring System'!$B$15)+ (R1664*'Scoring System'!$B$16)</f>
        <v>9</v>
      </c>
      <c r="AB1664" s="3" t="b">
        <f>IFERROR(match(C1664,'Match Day Fees'!$B$2:$B$999,0),0)=0</f>
        <v>0</v>
      </c>
      <c r="AC1664" s="3">
        <f t="shared" si="2"/>
        <v>0</v>
      </c>
      <c r="AD1664" s="3" t="str">
        <f>VLOOKUP(D1664,'Position Lookup'!A:B,2,FALSE)</f>
        <v>MID</v>
      </c>
    </row>
    <row r="1665" ht="17.25" customHeight="1">
      <c r="A1665" s="10">
        <v>45325.0</v>
      </c>
      <c r="B1665" s="5" t="s">
        <v>309</v>
      </c>
      <c r="C1665" s="3" t="s">
        <v>110</v>
      </c>
      <c r="D1665" s="3" t="s">
        <v>24</v>
      </c>
      <c r="E1665" s="5">
        <v>1.0</v>
      </c>
      <c r="F1665" s="3" t="s">
        <v>1484</v>
      </c>
      <c r="G1665" s="3" t="s">
        <v>224</v>
      </c>
      <c r="J1665" s="5">
        <v>0.0</v>
      </c>
      <c r="N1665" s="3" t="b">
        <v>1</v>
      </c>
      <c r="R1665" s="3">
        <v>0.0</v>
      </c>
      <c r="T1665" s="3">
        <v>7.0</v>
      </c>
      <c r="U1665" s="3">
        <v>6.0</v>
      </c>
      <c r="V1665" s="3" t="s">
        <v>1763</v>
      </c>
      <c r="W1665" s="3" t="s">
        <v>311</v>
      </c>
      <c r="X1665" s="77" t="s">
        <v>1754</v>
      </c>
      <c r="Y1665" s="3">
        <v>2.0</v>
      </c>
      <c r="Z1665" s="3">
        <v>0.0</v>
      </c>
      <c r="AA1665" s="3">
        <f>2+ (P1665*'Scoring System'!$B$3)+ (IF(OR(AD1665="DEF",AD1665="GK"),N1665*'Scoring System'!$B$4,IF(AD1665="MID",N1665*'Scoring System'!$B$5,0)))+ (IF(OR(AD1665="DEF",AD1665="GK"),H1665*'Scoring System'!$B$6,IF(AD1665="MID",H1665*'Scoring System'!$B$7,IF(AD1665="ATT",H1665*'Scoring System'!$B$8,0))))+ IF(AND(OR(AD1665="GK",AD1665="DEF"),J1665&gt;=3),1*'Scoring System'!$B$9,0)+ (I1665*'Scoring System'!$B$10)+ (K1665*'Scoring System'!$B$11)+ (M1665*'Scoring System'!$B$12)+ (L1665*'Scoring System'!$B$13)+ (O1665*'Scoring System'!$B$14)+ (Q1665*'Scoring System'!$B$15)+ (R1665*'Scoring System'!$B$16)</f>
        <v>2</v>
      </c>
      <c r="AB1665" s="3" t="b">
        <f>IFERROR(match(C1665,'Match Day Fees'!$B$2:$B$999,0),0)=0</f>
        <v>0</v>
      </c>
      <c r="AC1665" s="3">
        <f t="shared" si="2"/>
        <v>0</v>
      </c>
      <c r="AD1665" s="3" t="str">
        <f>VLOOKUP(D1665,'Position Lookup'!A:B,2,FALSE)</f>
        <v>ATT</v>
      </c>
    </row>
    <row r="1666" ht="17.25" customHeight="1">
      <c r="A1666" s="10">
        <v>45325.0</v>
      </c>
      <c r="B1666" s="5" t="s">
        <v>309</v>
      </c>
      <c r="C1666" s="3" t="s">
        <v>47</v>
      </c>
      <c r="D1666" s="3" t="s">
        <v>24</v>
      </c>
      <c r="E1666" s="5">
        <v>1.0</v>
      </c>
      <c r="F1666" s="3" t="s">
        <v>1484</v>
      </c>
      <c r="G1666" s="3" t="s">
        <v>224</v>
      </c>
      <c r="I1666" s="3">
        <v>2.0</v>
      </c>
      <c r="J1666" s="5">
        <v>0.0</v>
      </c>
      <c r="N1666" s="3" t="b">
        <v>1</v>
      </c>
      <c r="R1666" s="3">
        <v>0.0</v>
      </c>
      <c r="T1666" s="3">
        <v>10.0</v>
      </c>
      <c r="U1666" s="3">
        <v>8.0</v>
      </c>
      <c r="V1666" s="3" t="s">
        <v>1764</v>
      </c>
      <c r="W1666" s="3" t="s">
        <v>311</v>
      </c>
      <c r="X1666" s="77" t="s">
        <v>1754</v>
      </c>
      <c r="Y1666" s="3">
        <v>2.0</v>
      </c>
      <c r="Z1666" s="3">
        <v>0.0</v>
      </c>
      <c r="AA1666" s="3">
        <f>2+ (P1666*'Scoring System'!$B$3)+ (IF(OR(AD1666="DEF",AD1666="GK"),N1666*'Scoring System'!$B$4,IF(AD1666="MID",N1666*'Scoring System'!$B$5,0)))+ (IF(OR(AD1666="DEF",AD1666="GK"),H1666*'Scoring System'!$B$6,IF(AD1666="MID",H1666*'Scoring System'!$B$7,IF(AD1666="ATT",H1666*'Scoring System'!$B$8,0))))+ IF(AND(OR(AD1666="GK",AD1666="DEF"),J1666&gt;=3),1*'Scoring System'!$B$9,0)+ (I1666*'Scoring System'!$B$10)+ (K1666*'Scoring System'!$B$11)+ (M1666*'Scoring System'!$B$12)+ (L1666*'Scoring System'!$B$13)+ (O1666*'Scoring System'!$B$14)+ (Q1666*'Scoring System'!$B$15)+ (R1666*'Scoring System'!$B$16)</f>
        <v>8</v>
      </c>
      <c r="AB1666" s="3" t="b">
        <f>IFERROR(match(C1666,'Match Day Fees'!$B$2:$B$999,0),0)=0</f>
        <v>0</v>
      </c>
      <c r="AC1666" s="3">
        <f t="shared" si="2"/>
        <v>0</v>
      </c>
      <c r="AD1666" s="3" t="str">
        <f>VLOOKUP(D1666,'Position Lookup'!A:B,2,FALSE)</f>
        <v>ATT</v>
      </c>
    </row>
    <row r="1667" ht="17.25" customHeight="1">
      <c r="A1667" s="10">
        <v>45325.0</v>
      </c>
      <c r="B1667" s="5" t="s">
        <v>309</v>
      </c>
      <c r="C1667" s="3" t="s">
        <v>43</v>
      </c>
      <c r="D1667" s="3" t="s">
        <v>17</v>
      </c>
      <c r="E1667" s="5">
        <v>1.0</v>
      </c>
      <c r="F1667" s="3" t="s">
        <v>1484</v>
      </c>
      <c r="G1667" s="3" t="s">
        <v>224</v>
      </c>
      <c r="J1667" s="5">
        <v>0.0</v>
      </c>
      <c r="N1667" s="3" t="b">
        <v>1</v>
      </c>
      <c r="R1667" s="3">
        <v>0.0</v>
      </c>
      <c r="T1667" s="3">
        <v>4.0</v>
      </c>
      <c r="U1667" s="3">
        <v>7.5</v>
      </c>
      <c r="V1667" s="3" t="s">
        <v>1765</v>
      </c>
      <c r="W1667" s="3" t="s">
        <v>311</v>
      </c>
      <c r="X1667" s="77" t="s">
        <v>1754</v>
      </c>
      <c r="Y1667" s="3">
        <v>2.0</v>
      </c>
      <c r="Z1667" s="3">
        <v>0.0</v>
      </c>
      <c r="AA1667" s="3">
        <f>2+ (P1667*'Scoring System'!$B$3)+ (IF(OR(AD1667="DEF",AD1667="GK"),N1667*'Scoring System'!$B$4,IF(AD1667="MID",N1667*'Scoring System'!$B$5,0)))+ (IF(OR(AD1667="DEF",AD1667="GK"),H1667*'Scoring System'!$B$6,IF(AD1667="MID",H1667*'Scoring System'!$B$7,IF(AD1667="ATT",H1667*'Scoring System'!$B$8,0))))+ IF(AND(OR(AD1667="GK",AD1667="DEF"),J1667&gt;=3),1*'Scoring System'!$B$9,0)+ (I1667*'Scoring System'!$B$10)+ (K1667*'Scoring System'!$B$11)+ (M1667*'Scoring System'!$B$12)+ (L1667*'Scoring System'!$B$13)+ (O1667*'Scoring System'!$B$14)+ (Q1667*'Scoring System'!$B$15)+ (R1667*'Scoring System'!$B$16)</f>
        <v>8</v>
      </c>
      <c r="AB1667" s="3" t="b">
        <f>IFERROR(match(C1667,'Match Day Fees'!$B$2:$B$999,0),0)=0</f>
        <v>0</v>
      </c>
      <c r="AC1667" s="3">
        <f t="shared" si="2"/>
        <v>0</v>
      </c>
      <c r="AD1667" s="3" t="str">
        <f>VLOOKUP(D1667,'Position Lookup'!A:B,2,FALSE)</f>
        <v>DEF</v>
      </c>
    </row>
    <row r="1668" ht="17.25" customHeight="1">
      <c r="A1668" s="10">
        <v>45325.0</v>
      </c>
      <c r="B1668" s="5" t="s">
        <v>309</v>
      </c>
      <c r="C1668" s="3" t="s">
        <v>60</v>
      </c>
      <c r="D1668" s="3" t="s">
        <v>21</v>
      </c>
      <c r="E1668" s="5">
        <v>1.0</v>
      </c>
      <c r="F1668" s="3" t="s">
        <v>1484</v>
      </c>
      <c r="G1668" s="3" t="s">
        <v>224</v>
      </c>
      <c r="J1668" s="5">
        <v>0.0</v>
      </c>
      <c r="N1668" s="3" t="b">
        <v>1</v>
      </c>
      <c r="R1668" s="3">
        <v>0.0</v>
      </c>
      <c r="T1668" s="3">
        <v>3.0</v>
      </c>
      <c r="U1668" s="3">
        <v>8.0</v>
      </c>
      <c r="V1668" s="3" t="s">
        <v>1766</v>
      </c>
      <c r="W1668" s="3" t="s">
        <v>311</v>
      </c>
      <c r="X1668" s="77" t="s">
        <v>1754</v>
      </c>
      <c r="Y1668" s="3">
        <v>2.0</v>
      </c>
      <c r="Z1668" s="3">
        <v>0.0</v>
      </c>
      <c r="AA1668" s="3">
        <f>2+ (P1668*'Scoring System'!$B$3)+ (IF(OR(AD1668="DEF",AD1668="GK"),N1668*'Scoring System'!$B$4,IF(AD1668="MID",N1668*'Scoring System'!$B$5,0)))+ (IF(OR(AD1668="DEF",AD1668="GK"),H1668*'Scoring System'!$B$6,IF(AD1668="MID",H1668*'Scoring System'!$B$7,IF(AD1668="ATT",H1668*'Scoring System'!$B$8,0))))+ IF(AND(OR(AD1668="GK",AD1668="DEF"),J1668&gt;=3),1*'Scoring System'!$B$9,0)+ (I1668*'Scoring System'!$B$10)+ (K1668*'Scoring System'!$B$11)+ (M1668*'Scoring System'!$B$12)+ (L1668*'Scoring System'!$B$13)+ (O1668*'Scoring System'!$B$14)+ (Q1668*'Scoring System'!$B$15)+ (R1668*'Scoring System'!$B$16)</f>
        <v>4</v>
      </c>
      <c r="AB1668" s="3" t="b">
        <f>IFERROR(match(C1668,'Match Day Fees'!$B$2:$B$999,0),0)=0</f>
        <v>0</v>
      </c>
      <c r="AC1668" s="3">
        <f t="shared" si="2"/>
        <v>0</v>
      </c>
      <c r="AD1668" s="3" t="str">
        <f>VLOOKUP(D1668,'Position Lookup'!A:B,2,FALSE)</f>
        <v>MID</v>
      </c>
    </row>
    <row r="1669" ht="17.25" customHeight="1">
      <c r="A1669" s="10">
        <v>45325.0</v>
      </c>
      <c r="B1669" s="5" t="s">
        <v>309</v>
      </c>
      <c r="C1669" s="3" t="s">
        <v>272</v>
      </c>
      <c r="D1669" s="3" t="s">
        <v>20</v>
      </c>
      <c r="E1669" s="5">
        <v>1.0</v>
      </c>
      <c r="F1669" s="3" t="s">
        <v>1484</v>
      </c>
      <c r="G1669" s="3" t="s">
        <v>224</v>
      </c>
      <c r="J1669" s="5">
        <v>0.0</v>
      </c>
      <c r="N1669" s="3" t="b">
        <v>1</v>
      </c>
      <c r="R1669" s="3">
        <v>0.0</v>
      </c>
      <c r="T1669" s="3">
        <v>4.0</v>
      </c>
      <c r="U1669" s="3">
        <v>8.0</v>
      </c>
      <c r="V1669" s="3" t="s">
        <v>1767</v>
      </c>
      <c r="W1669" s="3" t="s">
        <v>311</v>
      </c>
      <c r="X1669" s="77" t="s">
        <v>1754</v>
      </c>
      <c r="Y1669" s="3">
        <v>2.0</v>
      </c>
      <c r="Z1669" s="3">
        <v>0.0</v>
      </c>
      <c r="AA1669" s="3">
        <f>2+ (P1669*'Scoring System'!$B$3)+ (IF(OR(AD1669="DEF",AD1669="GK"),N1669*'Scoring System'!$B$4,IF(AD1669="MID",N1669*'Scoring System'!$B$5,0)))+ (IF(OR(AD1669="DEF",AD1669="GK"),H1669*'Scoring System'!$B$6,IF(AD1669="MID",H1669*'Scoring System'!$B$7,IF(AD1669="ATT",H1669*'Scoring System'!$B$8,0))))+ IF(AND(OR(AD1669="GK",AD1669="DEF"),J1669&gt;=3),1*'Scoring System'!$B$9,0)+ (I1669*'Scoring System'!$B$10)+ (K1669*'Scoring System'!$B$11)+ (M1669*'Scoring System'!$B$12)+ (L1669*'Scoring System'!$B$13)+ (O1669*'Scoring System'!$B$14)+ (Q1669*'Scoring System'!$B$15)+ (R1669*'Scoring System'!$B$16)</f>
        <v>4</v>
      </c>
      <c r="AB1669" s="3" t="b">
        <f>IFERROR(match(C1669,'Match Day Fees'!$B$2:$B$999,0),0)=0</f>
        <v>0</v>
      </c>
      <c r="AC1669" s="3">
        <f t="shared" si="2"/>
        <v>0</v>
      </c>
      <c r="AD1669" s="3" t="str">
        <f>VLOOKUP(D1669,'Position Lookup'!A:B,2,FALSE)</f>
        <v>MID</v>
      </c>
    </row>
    <row r="1670" ht="17.25" customHeight="1">
      <c r="A1670" s="10">
        <v>45325.0</v>
      </c>
      <c r="B1670" s="5" t="s">
        <v>309</v>
      </c>
      <c r="C1670" s="3" t="s">
        <v>38</v>
      </c>
      <c r="D1670" s="3" t="s">
        <v>8</v>
      </c>
      <c r="E1670" s="5">
        <v>2.0</v>
      </c>
      <c r="F1670" s="3" t="s">
        <v>1768</v>
      </c>
      <c r="G1670" s="3" t="s">
        <v>230</v>
      </c>
      <c r="J1670" s="5">
        <v>4.0</v>
      </c>
      <c r="N1670" s="3" t="b">
        <v>0</v>
      </c>
      <c r="R1670" s="3">
        <v>0.0</v>
      </c>
      <c r="T1670" s="3">
        <v>10.0</v>
      </c>
      <c r="U1670" s="3">
        <v>6.5</v>
      </c>
      <c r="V1670" s="3" t="s">
        <v>1769</v>
      </c>
      <c r="W1670" s="3" t="s">
        <v>327</v>
      </c>
      <c r="X1670" s="77" t="s">
        <v>1770</v>
      </c>
      <c r="Y1670" s="3">
        <v>0.0</v>
      </c>
      <c r="Z1670" s="3">
        <v>4.0</v>
      </c>
      <c r="AA1670" s="3">
        <f>2+ (P1670*'Scoring System'!$B$3)+ (IF(OR(AD1670="DEF",AD1670="GK"),N1670*'Scoring System'!$B$4,IF(AD1670="MID",N1670*'Scoring System'!$B$5,0)))+ (IF(OR(AD1670="DEF",AD1670="GK"),H1670*'Scoring System'!$B$6,IF(AD1670="MID",H1670*'Scoring System'!$B$7,IF(AD1670="ATT",H1670*'Scoring System'!$B$8,0))))+ IF(AND(OR(AD1670="GK",AD1670="DEF"),J1670&gt;=3),1*'Scoring System'!$B$9,0)+ (I1670*'Scoring System'!$B$10)+ (K1670*'Scoring System'!$B$11)+ (M1670*'Scoring System'!$B$12)+ (L1670*'Scoring System'!$B$13)+ (O1670*'Scoring System'!$B$14)+ (Q1670*'Scoring System'!$B$15)+ (R1670*'Scoring System'!$B$16)</f>
        <v>1</v>
      </c>
      <c r="AB1670" s="3" t="b">
        <f>IFERROR(match(C1670,'Match Day Fees'!$B$2:$B$999,0),0)=0</f>
        <v>0</v>
      </c>
      <c r="AC1670" s="3">
        <f t="shared" si="2"/>
        <v>0</v>
      </c>
      <c r="AD1670" s="3" t="str">
        <f>VLOOKUP(D1670,'Position Lookup'!A:B,2,FALSE)</f>
        <v>GK</v>
      </c>
    </row>
    <row r="1671" ht="17.25" customHeight="1">
      <c r="A1671" s="10">
        <v>45325.0</v>
      </c>
      <c r="B1671" s="5" t="s">
        <v>309</v>
      </c>
      <c r="C1671" s="3" t="s">
        <v>56</v>
      </c>
      <c r="D1671" s="3" t="s">
        <v>14</v>
      </c>
      <c r="E1671" s="5">
        <v>2.0</v>
      </c>
      <c r="F1671" s="3" t="s">
        <v>1768</v>
      </c>
      <c r="G1671" s="3" t="s">
        <v>230</v>
      </c>
      <c r="J1671" s="5">
        <v>4.0</v>
      </c>
      <c r="K1671" s="3">
        <v>1.0</v>
      </c>
      <c r="N1671" s="3" t="b">
        <v>0</v>
      </c>
      <c r="R1671" s="3">
        <v>0.0</v>
      </c>
      <c r="T1671" s="3">
        <v>10.0</v>
      </c>
      <c r="U1671" s="3">
        <v>7.0</v>
      </c>
      <c r="V1671" s="3" t="s">
        <v>1771</v>
      </c>
      <c r="W1671" s="3" t="s">
        <v>327</v>
      </c>
      <c r="X1671" s="77" t="s">
        <v>1770</v>
      </c>
      <c r="Y1671" s="3">
        <v>0.0</v>
      </c>
      <c r="Z1671" s="3">
        <v>4.0</v>
      </c>
      <c r="AA1671" s="3">
        <f>2+ (P1671*'Scoring System'!$B$3)+ (IF(OR(AD1671="DEF",AD1671="GK"),N1671*'Scoring System'!$B$4,IF(AD1671="MID",N1671*'Scoring System'!$B$5,0)))+ (IF(OR(AD1671="DEF",AD1671="GK"),H1671*'Scoring System'!$B$6,IF(AD1671="MID",H1671*'Scoring System'!$B$7,IF(AD1671="ATT",H1671*'Scoring System'!$B$8,0))))+ IF(AND(OR(AD1671="GK",AD1671="DEF"),J1671&gt;=3),1*'Scoring System'!$B$9,0)+ (I1671*'Scoring System'!$B$10)+ (K1671*'Scoring System'!$B$11)+ (M1671*'Scoring System'!$B$12)+ (L1671*'Scoring System'!$B$13)+ (O1671*'Scoring System'!$B$14)+ (Q1671*'Scoring System'!$B$15)+ (R1671*'Scoring System'!$B$16)</f>
        <v>0</v>
      </c>
      <c r="AB1671" s="3" t="b">
        <f>IFERROR(match(C1671,'Match Day Fees'!$B$2:$B$999,0),0)=0</f>
        <v>0</v>
      </c>
      <c r="AC1671" s="3">
        <f t="shared" si="2"/>
        <v>0</v>
      </c>
      <c r="AD1671" s="3" t="str">
        <f>VLOOKUP(D1671,'Position Lookup'!A:B,2,FALSE)</f>
        <v>DEF</v>
      </c>
    </row>
    <row r="1672" ht="17.25" customHeight="1">
      <c r="A1672" s="10">
        <v>45325.0</v>
      </c>
      <c r="B1672" s="5" t="s">
        <v>309</v>
      </c>
      <c r="C1672" s="5" t="s">
        <v>243</v>
      </c>
      <c r="D1672" s="5" t="s">
        <v>20</v>
      </c>
      <c r="E1672" s="5">
        <v>2.0</v>
      </c>
      <c r="F1672" s="3" t="s">
        <v>1768</v>
      </c>
      <c r="G1672" s="3" t="s">
        <v>230</v>
      </c>
      <c r="J1672" s="5">
        <v>4.0</v>
      </c>
      <c r="K1672" s="5">
        <v>1.0</v>
      </c>
      <c r="N1672" s="3" t="b">
        <v>0</v>
      </c>
      <c r="R1672" s="3">
        <v>0.0</v>
      </c>
      <c r="T1672" s="3">
        <v>10.0</v>
      </c>
      <c r="W1672" s="3" t="s">
        <v>327</v>
      </c>
      <c r="X1672" s="77" t="s">
        <v>1770</v>
      </c>
      <c r="Y1672" s="3">
        <v>0.0</v>
      </c>
      <c r="Z1672" s="3">
        <v>4.0</v>
      </c>
      <c r="AA1672" s="3">
        <f>2+ (P1672*'Scoring System'!$B$3)+ (IF(OR(AD1672="DEF",AD1672="GK"),N1672*'Scoring System'!$B$4,IF(AD1672="MID",N1672*'Scoring System'!$B$5,0)))+ (IF(OR(AD1672="DEF",AD1672="GK"),H1672*'Scoring System'!$B$6,IF(AD1672="MID",H1672*'Scoring System'!$B$7,IF(AD1672="ATT",H1672*'Scoring System'!$B$8,0))))+ IF(AND(OR(AD1672="GK",AD1672="DEF"),J1672&gt;=3),1*'Scoring System'!$B$9,0)+ (I1672*'Scoring System'!$B$10)+ (K1672*'Scoring System'!$B$11)+ (M1672*'Scoring System'!$B$12)+ (L1672*'Scoring System'!$B$13)+ (O1672*'Scoring System'!$B$14)+ (Q1672*'Scoring System'!$B$15)+ (R1672*'Scoring System'!$B$16)</f>
        <v>1</v>
      </c>
      <c r="AB1672" s="3" t="b">
        <f>IFERROR(match(C1672,'Match Day Fees'!$B$2:$B$999,0),0)=0</f>
        <v>0</v>
      </c>
      <c r="AC1672" s="3">
        <f t="shared" si="2"/>
        <v>0</v>
      </c>
      <c r="AD1672" s="3" t="str">
        <f>VLOOKUP(D1672,'Position Lookup'!A:B,2,FALSE)</f>
        <v>MID</v>
      </c>
    </row>
    <row r="1673" ht="17.25" customHeight="1">
      <c r="A1673" s="10">
        <v>45325.0</v>
      </c>
      <c r="B1673" s="5" t="s">
        <v>309</v>
      </c>
      <c r="C1673" s="3" t="s">
        <v>40</v>
      </c>
      <c r="D1673" s="3" t="s">
        <v>14</v>
      </c>
      <c r="E1673" s="5">
        <v>2.0</v>
      </c>
      <c r="F1673" s="3" t="s">
        <v>1768</v>
      </c>
      <c r="G1673" s="3" t="s">
        <v>230</v>
      </c>
      <c r="J1673" s="5">
        <v>4.0</v>
      </c>
      <c r="N1673" s="3" t="b">
        <v>0</v>
      </c>
      <c r="R1673" s="3">
        <v>0.0</v>
      </c>
      <c r="T1673" s="3">
        <v>10.0</v>
      </c>
      <c r="U1673" s="3">
        <v>6.5</v>
      </c>
      <c r="V1673" s="3" t="s">
        <v>1772</v>
      </c>
      <c r="W1673" s="3" t="s">
        <v>327</v>
      </c>
      <c r="X1673" s="77" t="s">
        <v>1770</v>
      </c>
      <c r="Y1673" s="3">
        <v>0.0</v>
      </c>
      <c r="Z1673" s="3">
        <v>4.0</v>
      </c>
      <c r="AA1673" s="3">
        <f>2+ (P1673*'Scoring System'!$B$3)+ (IF(OR(AD1673="DEF",AD1673="GK"),N1673*'Scoring System'!$B$4,IF(AD1673="MID",N1673*'Scoring System'!$B$5,0)))+ (IF(OR(AD1673="DEF",AD1673="GK"),H1673*'Scoring System'!$B$6,IF(AD1673="MID",H1673*'Scoring System'!$B$7,IF(AD1673="ATT",H1673*'Scoring System'!$B$8,0))))+ IF(AND(OR(AD1673="GK",AD1673="DEF"),J1673&gt;=3),1*'Scoring System'!$B$9,0)+ (I1673*'Scoring System'!$B$10)+ (K1673*'Scoring System'!$B$11)+ (M1673*'Scoring System'!$B$12)+ (L1673*'Scoring System'!$B$13)+ (O1673*'Scoring System'!$B$14)+ (Q1673*'Scoring System'!$B$15)+ (R1673*'Scoring System'!$B$16)</f>
        <v>1</v>
      </c>
      <c r="AB1673" s="3" t="b">
        <f>IFERROR(match(C1673,'Match Day Fees'!$B$2:$B$999,0),0)=0</f>
        <v>0</v>
      </c>
      <c r="AC1673" s="3">
        <f t="shared" si="2"/>
        <v>0</v>
      </c>
      <c r="AD1673" s="3" t="str">
        <f>VLOOKUP(D1673,'Position Lookup'!A:B,2,FALSE)</f>
        <v>DEF</v>
      </c>
    </row>
    <row r="1674" ht="17.25" customHeight="1">
      <c r="A1674" s="10">
        <v>45325.0</v>
      </c>
      <c r="B1674" s="5" t="s">
        <v>309</v>
      </c>
      <c r="C1674" s="3" t="s">
        <v>120</v>
      </c>
      <c r="D1674" s="3" t="s">
        <v>14</v>
      </c>
      <c r="E1674" s="5">
        <v>2.0</v>
      </c>
      <c r="F1674" s="3" t="s">
        <v>1768</v>
      </c>
      <c r="G1674" s="3" t="s">
        <v>230</v>
      </c>
      <c r="J1674" s="5">
        <v>4.0</v>
      </c>
      <c r="N1674" s="3" t="b">
        <v>0</v>
      </c>
      <c r="R1674" s="3">
        <v>0.0</v>
      </c>
      <c r="T1674" s="3">
        <v>10.0</v>
      </c>
      <c r="U1674" s="3">
        <v>7.0</v>
      </c>
      <c r="V1674" s="3" t="s">
        <v>1773</v>
      </c>
      <c r="W1674" s="3" t="s">
        <v>327</v>
      </c>
      <c r="X1674" s="77" t="s">
        <v>1770</v>
      </c>
      <c r="Y1674" s="3">
        <v>0.0</v>
      </c>
      <c r="Z1674" s="3">
        <v>4.0</v>
      </c>
      <c r="AA1674" s="3">
        <f>2+ (P1674*'Scoring System'!$B$3)+ (IF(OR(AD1674="DEF",AD1674="GK"),N1674*'Scoring System'!$B$4,IF(AD1674="MID",N1674*'Scoring System'!$B$5,0)))+ (IF(OR(AD1674="DEF",AD1674="GK"),H1674*'Scoring System'!$B$6,IF(AD1674="MID",H1674*'Scoring System'!$B$7,IF(AD1674="ATT",H1674*'Scoring System'!$B$8,0))))+ IF(AND(OR(AD1674="GK",AD1674="DEF"),J1674&gt;=3),1*'Scoring System'!$B$9,0)+ (I1674*'Scoring System'!$B$10)+ (K1674*'Scoring System'!$B$11)+ (M1674*'Scoring System'!$B$12)+ (L1674*'Scoring System'!$B$13)+ (O1674*'Scoring System'!$B$14)+ (Q1674*'Scoring System'!$B$15)+ (R1674*'Scoring System'!$B$16)</f>
        <v>1</v>
      </c>
      <c r="AB1674" s="3" t="b">
        <f>IFERROR(match(C1674,'Match Day Fees'!$B$2:$B$999,0),0)=0</f>
        <v>0</v>
      </c>
      <c r="AC1674" s="3">
        <f t="shared" si="2"/>
        <v>0</v>
      </c>
      <c r="AD1674" s="3" t="str">
        <f>VLOOKUP(D1674,'Position Lookup'!A:B,2,FALSE)</f>
        <v>DEF</v>
      </c>
    </row>
    <row r="1675" ht="17.25" customHeight="1">
      <c r="A1675" s="10">
        <v>45325.0</v>
      </c>
      <c r="B1675" s="5" t="s">
        <v>309</v>
      </c>
      <c r="C1675" s="3" t="s">
        <v>126</v>
      </c>
      <c r="D1675" s="3" t="s">
        <v>12</v>
      </c>
      <c r="E1675" s="5">
        <v>2.0</v>
      </c>
      <c r="F1675" s="3" t="s">
        <v>1768</v>
      </c>
      <c r="G1675" s="3" t="s">
        <v>230</v>
      </c>
      <c r="J1675" s="5">
        <v>4.0</v>
      </c>
      <c r="N1675" s="3" t="b">
        <v>0</v>
      </c>
      <c r="R1675" s="3">
        <v>0.0</v>
      </c>
      <c r="T1675" s="3">
        <v>5.0</v>
      </c>
      <c r="U1675" s="3">
        <v>6.0</v>
      </c>
      <c r="V1675" s="3" t="s">
        <v>1774</v>
      </c>
      <c r="W1675" s="3" t="s">
        <v>327</v>
      </c>
      <c r="X1675" s="77" t="s">
        <v>1770</v>
      </c>
      <c r="Y1675" s="3">
        <v>0.0</v>
      </c>
      <c r="Z1675" s="3">
        <v>4.0</v>
      </c>
      <c r="AA1675" s="3">
        <f>2+ (P1675*'Scoring System'!$B$3)+ (IF(OR(AD1675="DEF",AD1675="GK"),N1675*'Scoring System'!$B$4,IF(AD1675="MID",N1675*'Scoring System'!$B$5,0)))+ (IF(OR(AD1675="DEF",AD1675="GK"),H1675*'Scoring System'!$B$6,IF(AD1675="MID",H1675*'Scoring System'!$B$7,IF(AD1675="ATT",H1675*'Scoring System'!$B$8,0))))+ IF(AND(OR(AD1675="GK",AD1675="DEF"),J1675&gt;=3),1*'Scoring System'!$B$9,0)+ (I1675*'Scoring System'!$B$10)+ (K1675*'Scoring System'!$B$11)+ (M1675*'Scoring System'!$B$12)+ (L1675*'Scoring System'!$B$13)+ (O1675*'Scoring System'!$B$14)+ (Q1675*'Scoring System'!$B$15)+ (R1675*'Scoring System'!$B$16)</f>
        <v>1</v>
      </c>
      <c r="AB1675" s="3" t="b">
        <f>IFERROR(match(C1675,'Match Day Fees'!$B$2:$B$999,0),0)=0</f>
        <v>0</v>
      </c>
      <c r="AC1675" s="3">
        <f t="shared" si="2"/>
        <v>0</v>
      </c>
      <c r="AD1675" s="3" t="str">
        <f>VLOOKUP(D1675,'Position Lookup'!A:B,2,FALSE)</f>
        <v>DEF</v>
      </c>
    </row>
    <row r="1676" ht="17.25" customHeight="1">
      <c r="A1676" s="10">
        <v>45325.0</v>
      </c>
      <c r="B1676" s="5" t="s">
        <v>309</v>
      </c>
      <c r="C1676" s="3" t="s">
        <v>112</v>
      </c>
      <c r="D1676" s="3" t="s">
        <v>20</v>
      </c>
      <c r="E1676" s="5">
        <v>2.0</v>
      </c>
      <c r="F1676" s="3" t="s">
        <v>1768</v>
      </c>
      <c r="G1676" s="3" t="s">
        <v>230</v>
      </c>
      <c r="J1676" s="5">
        <v>4.0</v>
      </c>
      <c r="N1676" s="3" t="b">
        <v>0</v>
      </c>
      <c r="R1676" s="3">
        <v>0.0</v>
      </c>
      <c r="T1676" s="3">
        <v>10.0</v>
      </c>
      <c r="U1676" s="3">
        <v>6.0</v>
      </c>
      <c r="V1676" s="3" t="s">
        <v>1775</v>
      </c>
      <c r="W1676" s="3" t="s">
        <v>327</v>
      </c>
      <c r="X1676" s="77" t="s">
        <v>1770</v>
      </c>
      <c r="Y1676" s="3">
        <v>0.0</v>
      </c>
      <c r="Z1676" s="3">
        <v>4.0</v>
      </c>
      <c r="AA1676" s="3">
        <f>2+ (P1676*'Scoring System'!$B$3)+ (IF(OR(AD1676="DEF",AD1676="GK"),N1676*'Scoring System'!$B$4,IF(AD1676="MID",N1676*'Scoring System'!$B$5,0)))+ (IF(OR(AD1676="DEF",AD1676="GK"),H1676*'Scoring System'!$B$6,IF(AD1676="MID",H1676*'Scoring System'!$B$7,IF(AD1676="ATT",H1676*'Scoring System'!$B$8,0))))+ IF(AND(OR(AD1676="GK",AD1676="DEF"),J1676&gt;=3),1*'Scoring System'!$B$9,0)+ (I1676*'Scoring System'!$B$10)+ (K1676*'Scoring System'!$B$11)+ (M1676*'Scoring System'!$B$12)+ (L1676*'Scoring System'!$B$13)+ (O1676*'Scoring System'!$B$14)+ (Q1676*'Scoring System'!$B$15)+ (R1676*'Scoring System'!$B$16)</f>
        <v>2</v>
      </c>
      <c r="AB1676" s="3" t="b">
        <f>IFERROR(match(C1676,'Match Day Fees'!$B$2:$B$999,0),0)=0</f>
        <v>0</v>
      </c>
      <c r="AC1676" s="3">
        <f t="shared" si="2"/>
        <v>0</v>
      </c>
      <c r="AD1676" s="3" t="str">
        <f>VLOOKUP(D1676,'Position Lookup'!A:B,2,FALSE)</f>
        <v>MID</v>
      </c>
    </row>
    <row r="1677" ht="17.25" customHeight="1">
      <c r="A1677" s="10">
        <v>45325.0</v>
      </c>
      <c r="B1677" s="5" t="s">
        <v>309</v>
      </c>
      <c r="C1677" s="3" t="s">
        <v>125</v>
      </c>
      <c r="D1677" s="3" t="s">
        <v>20</v>
      </c>
      <c r="E1677" s="5">
        <v>2.0</v>
      </c>
      <c r="F1677" s="3" t="s">
        <v>1768</v>
      </c>
      <c r="G1677" s="3" t="s">
        <v>230</v>
      </c>
      <c r="J1677" s="5">
        <v>4.0</v>
      </c>
      <c r="N1677" s="3" t="b">
        <v>0</v>
      </c>
      <c r="R1677" s="3">
        <v>0.0</v>
      </c>
      <c r="T1677" s="3">
        <v>10.0</v>
      </c>
      <c r="U1677" s="3">
        <v>6.5</v>
      </c>
      <c r="V1677" s="3" t="s">
        <v>1776</v>
      </c>
      <c r="W1677" s="3" t="s">
        <v>327</v>
      </c>
      <c r="X1677" s="77" t="s">
        <v>1770</v>
      </c>
      <c r="Y1677" s="3">
        <v>0.0</v>
      </c>
      <c r="Z1677" s="3">
        <v>4.0</v>
      </c>
      <c r="AA1677" s="3">
        <f>2+ (P1677*'Scoring System'!$B$3)+ (IF(OR(AD1677="DEF",AD1677="GK"),N1677*'Scoring System'!$B$4,IF(AD1677="MID",N1677*'Scoring System'!$B$5,0)))+ (IF(OR(AD1677="DEF",AD1677="GK"),H1677*'Scoring System'!$B$6,IF(AD1677="MID",H1677*'Scoring System'!$B$7,IF(AD1677="ATT",H1677*'Scoring System'!$B$8,0))))+ IF(AND(OR(AD1677="GK",AD1677="DEF"),J1677&gt;=3),1*'Scoring System'!$B$9,0)+ (I1677*'Scoring System'!$B$10)+ (K1677*'Scoring System'!$B$11)+ (M1677*'Scoring System'!$B$12)+ (L1677*'Scoring System'!$B$13)+ (O1677*'Scoring System'!$B$14)+ (Q1677*'Scoring System'!$B$15)+ (R1677*'Scoring System'!$B$16)</f>
        <v>2</v>
      </c>
      <c r="AB1677" s="3" t="b">
        <f>IFERROR(match(C1677,'Match Day Fees'!$B$2:$B$999,0),0)=0</f>
        <v>0</v>
      </c>
      <c r="AC1677" s="3">
        <f t="shared" si="2"/>
        <v>0</v>
      </c>
      <c r="AD1677" s="3" t="str">
        <f>VLOOKUP(D1677,'Position Lookup'!A:B,2,FALSE)</f>
        <v>MID</v>
      </c>
    </row>
    <row r="1678" ht="17.25" customHeight="1">
      <c r="A1678" s="10">
        <v>45325.0</v>
      </c>
      <c r="B1678" s="5" t="s">
        <v>309</v>
      </c>
      <c r="C1678" s="3" t="s">
        <v>123</v>
      </c>
      <c r="D1678" s="3" t="s">
        <v>22</v>
      </c>
      <c r="E1678" s="5">
        <v>2.0</v>
      </c>
      <c r="F1678" s="3" t="s">
        <v>1768</v>
      </c>
      <c r="G1678" s="3" t="s">
        <v>230</v>
      </c>
      <c r="J1678" s="5">
        <v>4.0</v>
      </c>
      <c r="N1678" s="3" t="b">
        <v>0</v>
      </c>
      <c r="R1678" s="3">
        <v>0.0</v>
      </c>
      <c r="T1678" s="3">
        <v>10.0</v>
      </c>
      <c r="U1678" s="3">
        <v>5.5</v>
      </c>
      <c r="V1678" s="3" t="s">
        <v>1777</v>
      </c>
      <c r="W1678" s="3" t="s">
        <v>327</v>
      </c>
      <c r="X1678" s="77" t="s">
        <v>1770</v>
      </c>
      <c r="Y1678" s="3">
        <v>0.0</v>
      </c>
      <c r="Z1678" s="3">
        <v>4.0</v>
      </c>
      <c r="AA1678" s="3">
        <f>2+ (P1678*'Scoring System'!$B$3)+ (IF(OR(AD1678="DEF",AD1678="GK"),N1678*'Scoring System'!$B$4,IF(AD1678="MID",N1678*'Scoring System'!$B$5,0)))+ (IF(OR(AD1678="DEF",AD1678="GK"),H1678*'Scoring System'!$B$6,IF(AD1678="MID",H1678*'Scoring System'!$B$7,IF(AD1678="ATT",H1678*'Scoring System'!$B$8,0))))+ IF(AND(OR(AD1678="GK",AD1678="DEF"),J1678&gt;=3),1*'Scoring System'!$B$9,0)+ (I1678*'Scoring System'!$B$10)+ (K1678*'Scoring System'!$B$11)+ (M1678*'Scoring System'!$B$12)+ (L1678*'Scoring System'!$B$13)+ (O1678*'Scoring System'!$B$14)+ (Q1678*'Scoring System'!$B$15)+ (R1678*'Scoring System'!$B$16)</f>
        <v>2</v>
      </c>
      <c r="AB1678" s="3" t="b">
        <f>IFERROR(match(C1678,'Match Day Fees'!$B$2:$B$999,0),0)=0</f>
        <v>0</v>
      </c>
      <c r="AC1678" s="3">
        <f t="shared" si="2"/>
        <v>0</v>
      </c>
      <c r="AD1678" s="3" t="str">
        <f>VLOOKUP(D1678,'Position Lookup'!A:B,2,FALSE)</f>
        <v>ATT</v>
      </c>
    </row>
    <row r="1679" ht="17.25" customHeight="1">
      <c r="A1679" s="10">
        <v>45325.0</v>
      </c>
      <c r="B1679" s="5" t="s">
        <v>309</v>
      </c>
      <c r="C1679" s="3" t="s">
        <v>148</v>
      </c>
      <c r="D1679" s="3" t="s">
        <v>24</v>
      </c>
      <c r="E1679" s="5">
        <v>2.0</v>
      </c>
      <c r="F1679" s="3" t="s">
        <v>1768</v>
      </c>
      <c r="G1679" s="3" t="s">
        <v>230</v>
      </c>
      <c r="J1679" s="5">
        <v>4.0</v>
      </c>
      <c r="N1679" s="3" t="b">
        <v>0</v>
      </c>
      <c r="R1679" s="3">
        <v>1.0</v>
      </c>
      <c r="T1679" s="3">
        <v>10.0</v>
      </c>
      <c r="U1679" s="3">
        <v>7.0</v>
      </c>
      <c r="V1679" s="3" t="s">
        <v>1778</v>
      </c>
      <c r="W1679" s="3" t="s">
        <v>327</v>
      </c>
      <c r="X1679" s="77" t="s">
        <v>1770</v>
      </c>
      <c r="Y1679" s="3">
        <v>0.0</v>
      </c>
      <c r="Z1679" s="3">
        <v>4.0</v>
      </c>
      <c r="AA1679" s="3">
        <f>2+ (P1679*'Scoring System'!$B$3)+ (IF(OR(AD1679="DEF",AD1679="GK"),N1679*'Scoring System'!$B$4,IF(AD1679="MID",N1679*'Scoring System'!$B$5,0)))+ (IF(OR(AD1679="DEF",AD1679="GK"),H1679*'Scoring System'!$B$6,IF(AD1679="MID",H1679*'Scoring System'!$B$7,IF(AD1679="ATT",H1679*'Scoring System'!$B$8,0))))+ IF(AND(OR(AD1679="GK",AD1679="DEF"),J1679&gt;=3),1*'Scoring System'!$B$9,0)+ (I1679*'Scoring System'!$B$10)+ (K1679*'Scoring System'!$B$11)+ (M1679*'Scoring System'!$B$12)+ (L1679*'Scoring System'!$B$13)+ (O1679*'Scoring System'!$B$14)+ (Q1679*'Scoring System'!$B$15)+ (R1679*'Scoring System'!$B$16)</f>
        <v>7</v>
      </c>
      <c r="AB1679" s="3" t="b">
        <f>IFERROR(match(C1679,'Match Day Fees'!$B$2:$B$999,0),0)=0</f>
        <v>0</v>
      </c>
      <c r="AC1679" s="3">
        <f t="shared" si="2"/>
        <v>0</v>
      </c>
      <c r="AD1679" s="3" t="str">
        <f>VLOOKUP(D1679,'Position Lookup'!A:B,2,FALSE)</f>
        <v>ATT</v>
      </c>
    </row>
    <row r="1680" ht="17.25" customHeight="1">
      <c r="A1680" s="10">
        <v>45325.0</v>
      </c>
      <c r="B1680" s="5" t="s">
        <v>309</v>
      </c>
      <c r="C1680" s="3" t="s">
        <v>130</v>
      </c>
      <c r="D1680" s="3" t="s">
        <v>23</v>
      </c>
      <c r="E1680" s="5">
        <v>2.0</v>
      </c>
      <c r="F1680" s="3" t="s">
        <v>1768</v>
      </c>
      <c r="G1680" s="3" t="s">
        <v>230</v>
      </c>
      <c r="J1680" s="5">
        <v>4.0</v>
      </c>
      <c r="N1680" s="3" t="b">
        <v>0</v>
      </c>
      <c r="R1680" s="3">
        <v>0.0</v>
      </c>
      <c r="T1680" s="3">
        <v>10.0</v>
      </c>
      <c r="U1680" s="3">
        <v>6.5</v>
      </c>
      <c r="V1680" s="3" t="s">
        <v>1779</v>
      </c>
      <c r="W1680" s="3" t="s">
        <v>327</v>
      </c>
      <c r="X1680" s="77" t="s">
        <v>1770</v>
      </c>
      <c r="Y1680" s="3">
        <v>0.0</v>
      </c>
      <c r="Z1680" s="3">
        <v>4.0</v>
      </c>
      <c r="AA1680" s="3">
        <f>2+ (P1680*'Scoring System'!$B$3)+ (IF(OR(AD1680="DEF",AD1680="GK"),N1680*'Scoring System'!$B$4,IF(AD1680="MID",N1680*'Scoring System'!$B$5,0)))+ (IF(OR(AD1680="DEF",AD1680="GK"),H1680*'Scoring System'!$B$6,IF(AD1680="MID",H1680*'Scoring System'!$B$7,IF(AD1680="ATT",H1680*'Scoring System'!$B$8,0))))+ IF(AND(OR(AD1680="GK",AD1680="DEF"),J1680&gt;=3),1*'Scoring System'!$B$9,0)+ (I1680*'Scoring System'!$B$10)+ (K1680*'Scoring System'!$B$11)+ (M1680*'Scoring System'!$B$12)+ (L1680*'Scoring System'!$B$13)+ (O1680*'Scoring System'!$B$14)+ (Q1680*'Scoring System'!$B$15)+ (R1680*'Scoring System'!$B$16)</f>
        <v>2</v>
      </c>
      <c r="AB1680" s="3" t="b">
        <f>IFERROR(match(C1680,'Match Day Fees'!$B$2:$B$999,0),0)=0</f>
        <v>0</v>
      </c>
      <c r="AC1680" s="3">
        <f t="shared" si="2"/>
        <v>0</v>
      </c>
      <c r="AD1680" s="3" t="str">
        <f>VLOOKUP(D1680,'Position Lookup'!A:B,2,FALSE)</f>
        <v>ATT</v>
      </c>
    </row>
    <row r="1681" ht="17.25" customHeight="1">
      <c r="A1681" s="10">
        <v>45325.0</v>
      </c>
      <c r="B1681" s="5" t="s">
        <v>309</v>
      </c>
      <c r="C1681" s="3" t="s">
        <v>55</v>
      </c>
      <c r="D1681" s="3" t="s">
        <v>24</v>
      </c>
      <c r="E1681" s="5">
        <v>2.0</v>
      </c>
      <c r="F1681" s="3" t="s">
        <v>1768</v>
      </c>
      <c r="G1681" s="3" t="s">
        <v>230</v>
      </c>
      <c r="J1681" s="5">
        <v>4.0</v>
      </c>
      <c r="N1681" s="3" t="b">
        <v>0</v>
      </c>
      <c r="R1681" s="3">
        <v>0.0</v>
      </c>
      <c r="T1681" s="3">
        <v>10.0</v>
      </c>
      <c r="U1681" s="3">
        <v>7.0</v>
      </c>
      <c r="V1681" s="3" t="s">
        <v>1780</v>
      </c>
      <c r="W1681" s="3" t="s">
        <v>327</v>
      </c>
      <c r="X1681" s="77" t="s">
        <v>1770</v>
      </c>
      <c r="Y1681" s="3">
        <v>0.0</v>
      </c>
      <c r="Z1681" s="3">
        <v>4.0</v>
      </c>
      <c r="AA1681" s="3">
        <f>2+ (P1681*'Scoring System'!$B$3)+ (IF(OR(AD1681="DEF",AD1681="GK"),N1681*'Scoring System'!$B$4,IF(AD1681="MID",N1681*'Scoring System'!$B$5,0)))+ (IF(OR(AD1681="DEF",AD1681="GK"),H1681*'Scoring System'!$B$6,IF(AD1681="MID",H1681*'Scoring System'!$B$7,IF(AD1681="ATT",H1681*'Scoring System'!$B$8,0))))+ IF(AND(OR(AD1681="GK",AD1681="DEF"),J1681&gt;=3),1*'Scoring System'!$B$9,0)+ (I1681*'Scoring System'!$B$10)+ (K1681*'Scoring System'!$B$11)+ (M1681*'Scoring System'!$B$12)+ (L1681*'Scoring System'!$B$13)+ (O1681*'Scoring System'!$B$14)+ (Q1681*'Scoring System'!$B$15)+ (R1681*'Scoring System'!$B$16)</f>
        <v>2</v>
      </c>
      <c r="AB1681" s="3" t="b">
        <f>IFERROR(match(C1681,'Match Day Fees'!$B$2:$B$999,0),0)=0</f>
        <v>0</v>
      </c>
      <c r="AC1681" s="3">
        <f t="shared" si="2"/>
        <v>0</v>
      </c>
      <c r="AD1681" s="3" t="str">
        <f>VLOOKUP(D1681,'Position Lookup'!A:B,2,FALSE)</f>
        <v>ATT</v>
      </c>
    </row>
    <row r="1682" ht="17.25" customHeight="1">
      <c r="A1682" s="10">
        <v>45325.0</v>
      </c>
      <c r="B1682" s="5" t="s">
        <v>309</v>
      </c>
      <c r="C1682" s="3" t="s">
        <v>1253</v>
      </c>
      <c r="D1682" s="3" t="s">
        <v>16</v>
      </c>
      <c r="E1682" s="5">
        <v>2.0</v>
      </c>
      <c r="F1682" s="3" t="s">
        <v>1768</v>
      </c>
      <c r="G1682" s="3" t="s">
        <v>230</v>
      </c>
      <c r="J1682" s="5">
        <v>4.0</v>
      </c>
      <c r="N1682" s="3" t="b">
        <v>0</v>
      </c>
      <c r="R1682" s="3">
        <v>0.0</v>
      </c>
      <c r="T1682" s="3">
        <v>5.0</v>
      </c>
      <c r="U1682" s="3">
        <v>6.5</v>
      </c>
      <c r="V1682" s="3" t="s">
        <v>1781</v>
      </c>
      <c r="W1682" s="3" t="s">
        <v>327</v>
      </c>
      <c r="X1682" s="77" t="s">
        <v>1770</v>
      </c>
      <c r="Y1682" s="3">
        <v>0.0</v>
      </c>
      <c r="Z1682" s="3">
        <v>4.0</v>
      </c>
      <c r="AA1682" s="3">
        <f>2+ (P1682*'Scoring System'!$B$3)+ (IF(OR(AD1682="DEF",AD1682="GK"),N1682*'Scoring System'!$B$4,IF(AD1682="MID",N1682*'Scoring System'!$B$5,0)))+ (IF(OR(AD1682="DEF",AD1682="GK"),H1682*'Scoring System'!$B$6,IF(AD1682="MID",H1682*'Scoring System'!$B$7,IF(AD1682="ATT",H1682*'Scoring System'!$B$8,0))))+ IF(AND(OR(AD1682="GK",AD1682="DEF"),J1682&gt;=3),1*'Scoring System'!$B$9,0)+ (I1682*'Scoring System'!$B$10)+ (K1682*'Scoring System'!$B$11)+ (M1682*'Scoring System'!$B$12)+ (L1682*'Scoring System'!$B$13)+ (O1682*'Scoring System'!$B$14)+ (Q1682*'Scoring System'!$B$15)+ (R1682*'Scoring System'!$B$16)</f>
        <v>1</v>
      </c>
      <c r="AB1682" s="3" t="b">
        <f>IFERROR(match(C1682,'Match Day Fees'!$B$2:$B$999,0),0)=0</f>
        <v>0</v>
      </c>
      <c r="AC1682" s="3">
        <f t="shared" si="2"/>
        <v>0</v>
      </c>
      <c r="AD1682" s="3" t="str">
        <f>VLOOKUP(D1682,'Position Lookup'!A:B,2,FALSE)</f>
        <v>DEF</v>
      </c>
    </row>
    <row r="1683" ht="17.25" customHeight="1">
      <c r="A1683" s="10">
        <v>45325.0</v>
      </c>
      <c r="B1683" s="5" t="s">
        <v>309</v>
      </c>
      <c r="C1683" s="3" t="s">
        <v>227</v>
      </c>
      <c r="D1683" s="3" t="s">
        <v>22</v>
      </c>
      <c r="E1683" s="5">
        <v>2.0</v>
      </c>
      <c r="F1683" s="3" t="s">
        <v>1768</v>
      </c>
      <c r="G1683" s="3" t="s">
        <v>230</v>
      </c>
      <c r="J1683" s="5">
        <v>4.0</v>
      </c>
      <c r="N1683" s="3" t="b">
        <v>0</v>
      </c>
      <c r="R1683" s="3">
        <v>0.0</v>
      </c>
      <c r="T1683" s="3">
        <v>10.0</v>
      </c>
      <c r="U1683" s="3">
        <v>6.0</v>
      </c>
      <c r="V1683" s="3" t="s">
        <v>1782</v>
      </c>
      <c r="W1683" s="3" t="s">
        <v>327</v>
      </c>
      <c r="X1683" s="77" t="s">
        <v>1770</v>
      </c>
      <c r="Y1683" s="3">
        <v>0.0</v>
      </c>
      <c r="Z1683" s="3">
        <v>4.0</v>
      </c>
      <c r="AA1683" s="3">
        <f>2+ (P1683*'Scoring System'!$B$3)+ (IF(OR(AD1683="DEF",AD1683="GK"),N1683*'Scoring System'!$B$4,IF(AD1683="MID",N1683*'Scoring System'!$B$5,0)))+ (IF(OR(AD1683="DEF",AD1683="GK"),H1683*'Scoring System'!$B$6,IF(AD1683="MID",H1683*'Scoring System'!$B$7,IF(AD1683="ATT",H1683*'Scoring System'!$B$8,0))))+ IF(AND(OR(AD1683="GK",AD1683="DEF"),J1683&gt;=3),1*'Scoring System'!$B$9,0)+ (I1683*'Scoring System'!$B$10)+ (K1683*'Scoring System'!$B$11)+ (M1683*'Scoring System'!$B$12)+ (L1683*'Scoring System'!$B$13)+ (O1683*'Scoring System'!$B$14)+ (Q1683*'Scoring System'!$B$15)+ (R1683*'Scoring System'!$B$16)</f>
        <v>2</v>
      </c>
      <c r="AB1683" s="3" t="b">
        <f>IFERROR(match(C1683,'Match Day Fees'!$B$2:$B$999,0),0)=0</f>
        <v>0</v>
      </c>
      <c r="AC1683" s="3">
        <f t="shared" si="2"/>
        <v>0</v>
      </c>
      <c r="AD1683" s="3" t="str">
        <f>VLOOKUP(D1683,'Position Lookup'!A:B,2,FALSE)</f>
        <v>ATT</v>
      </c>
    </row>
    <row r="1684" ht="17.25" customHeight="1">
      <c r="A1684" s="10">
        <v>45325.0</v>
      </c>
      <c r="B1684" s="5" t="s">
        <v>309</v>
      </c>
      <c r="C1684" s="3" t="s">
        <v>106</v>
      </c>
      <c r="D1684" s="3" t="s">
        <v>8</v>
      </c>
      <c r="E1684" s="5">
        <v>5.0</v>
      </c>
      <c r="F1684" s="3" t="s">
        <v>1783</v>
      </c>
      <c r="G1684" s="3" t="s">
        <v>224</v>
      </c>
      <c r="I1684" s="3">
        <v>1.0</v>
      </c>
      <c r="J1684" s="5">
        <v>1.0</v>
      </c>
      <c r="N1684" s="3" t="b">
        <v>0</v>
      </c>
      <c r="R1684" s="3">
        <v>0.0</v>
      </c>
      <c r="S1684" s="3" t="b">
        <v>1</v>
      </c>
      <c r="T1684" s="3">
        <v>0.0</v>
      </c>
      <c r="U1684" s="3">
        <v>7.0</v>
      </c>
      <c r="V1684" s="3" t="s">
        <v>1784</v>
      </c>
      <c r="W1684" s="3" t="s">
        <v>311</v>
      </c>
      <c r="X1684" s="77" t="s">
        <v>1785</v>
      </c>
      <c r="Y1684" s="3">
        <v>2.0</v>
      </c>
      <c r="Z1684" s="3">
        <v>1.0</v>
      </c>
      <c r="AA1684" s="3">
        <f>2+ (P1684*'Scoring System'!$B$3)+ (IF(OR(AD1684="DEF",AD1684="GK"),N1684*'Scoring System'!$B$4,IF(AD1684="MID",N1684*'Scoring System'!$B$5,0)))+ (IF(OR(AD1684="DEF",AD1684="GK"),H1684*'Scoring System'!$B$6,IF(AD1684="MID",H1684*'Scoring System'!$B$7,IF(AD1684="ATT",H1684*'Scoring System'!$B$8,0))))+ IF(AND(OR(AD1684="GK",AD1684="DEF"),J1684&gt;=3),1*'Scoring System'!$B$9,0)+ (I1684*'Scoring System'!$B$10)+ (K1684*'Scoring System'!$B$11)+ (M1684*'Scoring System'!$B$12)+ (L1684*'Scoring System'!$B$13)+ (O1684*'Scoring System'!$B$14)+ (Q1684*'Scoring System'!$B$15)+ (R1684*'Scoring System'!$B$16)</f>
        <v>5</v>
      </c>
      <c r="AB1684" s="3" t="b">
        <f>IFERROR(match(C1684,'Match Day Fees'!$B$2:$B$999,0),0)=0</f>
        <v>0</v>
      </c>
      <c r="AC1684" s="3">
        <f t="shared" si="2"/>
        <v>0</v>
      </c>
      <c r="AD1684" s="3" t="str">
        <f>VLOOKUP(D1684,'Position Lookup'!A:B,2,FALSE)</f>
        <v>GK</v>
      </c>
    </row>
    <row r="1685" ht="17.25" customHeight="1">
      <c r="A1685" s="10">
        <v>45325.0</v>
      </c>
      <c r="B1685" s="5" t="s">
        <v>309</v>
      </c>
      <c r="C1685" s="3" t="s">
        <v>133</v>
      </c>
      <c r="D1685" s="3" t="s">
        <v>16</v>
      </c>
      <c r="E1685" s="5">
        <v>5.0</v>
      </c>
      <c r="F1685" s="3" t="s">
        <v>1783</v>
      </c>
      <c r="G1685" s="3" t="s">
        <v>224</v>
      </c>
      <c r="I1685" s="3">
        <v>1.0</v>
      </c>
      <c r="J1685" s="5">
        <v>1.0</v>
      </c>
      <c r="N1685" s="3" t="b">
        <v>0</v>
      </c>
      <c r="R1685" s="3">
        <v>0.0</v>
      </c>
      <c r="T1685" s="3">
        <v>10.0</v>
      </c>
      <c r="U1685" s="3">
        <v>7.0</v>
      </c>
      <c r="V1685" s="3" t="s">
        <v>1786</v>
      </c>
      <c r="W1685" s="3" t="s">
        <v>311</v>
      </c>
      <c r="X1685" s="77" t="s">
        <v>1785</v>
      </c>
      <c r="Y1685" s="3">
        <v>2.0</v>
      </c>
      <c r="Z1685" s="3">
        <v>1.0</v>
      </c>
      <c r="AA1685" s="3">
        <f>2+ (P1685*'Scoring System'!$B$3)+ (IF(OR(AD1685="DEF",AD1685="GK"),N1685*'Scoring System'!$B$4,IF(AD1685="MID",N1685*'Scoring System'!$B$5,0)))+ (IF(OR(AD1685="DEF",AD1685="GK"),H1685*'Scoring System'!$B$6,IF(AD1685="MID",H1685*'Scoring System'!$B$7,IF(AD1685="ATT",H1685*'Scoring System'!$B$8,0))))+ IF(AND(OR(AD1685="GK",AD1685="DEF"),J1685&gt;=3),1*'Scoring System'!$B$9,0)+ (I1685*'Scoring System'!$B$10)+ (K1685*'Scoring System'!$B$11)+ (M1685*'Scoring System'!$B$12)+ (L1685*'Scoring System'!$B$13)+ (O1685*'Scoring System'!$B$14)+ (Q1685*'Scoring System'!$B$15)+ (R1685*'Scoring System'!$B$16)</f>
        <v>5</v>
      </c>
      <c r="AB1685" s="3" t="b">
        <f>IFERROR(match(C1685,'Match Day Fees'!$B$2:$B$999,0),0)=0</f>
        <v>0</v>
      </c>
      <c r="AC1685" s="3">
        <f t="shared" si="2"/>
        <v>0</v>
      </c>
      <c r="AD1685" s="3" t="str">
        <f>VLOOKUP(D1685,'Position Lookup'!A:B,2,FALSE)</f>
        <v>DEF</v>
      </c>
    </row>
    <row r="1686" ht="17.25" customHeight="1">
      <c r="A1686" s="10">
        <v>45325.0</v>
      </c>
      <c r="B1686" s="5" t="s">
        <v>309</v>
      </c>
      <c r="C1686" s="3" t="s">
        <v>154</v>
      </c>
      <c r="D1686" s="3" t="s">
        <v>14</v>
      </c>
      <c r="E1686" s="5">
        <v>5.0</v>
      </c>
      <c r="F1686" s="3" t="s">
        <v>1783</v>
      </c>
      <c r="G1686" s="3" t="s">
        <v>224</v>
      </c>
      <c r="J1686" s="5">
        <v>1.0</v>
      </c>
      <c r="N1686" s="3" t="b">
        <v>0</v>
      </c>
      <c r="R1686" s="3">
        <v>0.0</v>
      </c>
      <c r="T1686" s="3">
        <v>10.0</v>
      </c>
      <c r="U1686" s="3">
        <v>7.0</v>
      </c>
      <c r="V1686" s="3" t="s">
        <v>1787</v>
      </c>
      <c r="W1686" s="3" t="s">
        <v>311</v>
      </c>
      <c r="X1686" s="77" t="s">
        <v>1785</v>
      </c>
      <c r="Y1686" s="3">
        <v>2.0</v>
      </c>
      <c r="Z1686" s="3">
        <v>1.0</v>
      </c>
      <c r="AA1686" s="3">
        <f>2+ (P1686*'Scoring System'!$B$3)+ (IF(OR(AD1686="DEF",AD1686="GK"),N1686*'Scoring System'!$B$4,IF(AD1686="MID",N1686*'Scoring System'!$B$5,0)))+ (IF(OR(AD1686="DEF",AD1686="GK"),H1686*'Scoring System'!$B$6,IF(AD1686="MID",H1686*'Scoring System'!$B$7,IF(AD1686="ATT",H1686*'Scoring System'!$B$8,0))))+ IF(AND(OR(AD1686="GK",AD1686="DEF"),J1686&gt;=3),1*'Scoring System'!$B$9,0)+ (I1686*'Scoring System'!$B$10)+ (K1686*'Scoring System'!$B$11)+ (M1686*'Scoring System'!$B$12)+ (L1686*'Scoring System'!$B$13)+ (O1686*'Scoring System'!$B$14)+ (Q1686*'Scoring System'!$B$15)+ (R1686*'Scoring System'!$B$16)</f>
        <v>2</v>
      </c>
      <c r="AB1686" s="3" t="b">
        <f>IFERROR(match(C1686,'Match Day Fees'!$B$2:$B$999,0),0)=0</f>
        <v>0</v>
      </c>
      <c r="AC1686" s="3">
        <f t="shared" si="2"/>
        <v>0</v>
      </c>
      <c r="AD1686" s="3" t="str">
        <f>VLOOKUP(D1686,'Position Lookup'!A:B,2,FALSE)</f>
        <v>DEF</v>
      </c>
    </row>
    <row r="1687" ht="17.25" customHeight="1">
      <c r="A1687" s="10">
        <v>45325.0</v>
      </c>
      <c r="B1687" s="5" t="s">
        <v>309</v>
      </c>
      <c r="C1687" s="3" t="s">
        <v>138</v>
      </c>
      <c r="D1687" s="3" t="s">
        <v>12</v>
      </c>
      <c r="E1687" s="5">
        <v>5.0</v>
      </c>
      <c r="F1687" s="3" t="s">
        <v>1783</v>
      </c>
      <c r="G1687" s="3" t="s">
        <v>224</v>
      </c>
      <c r="J1687" s="5">
        <v>1.0</v>
      </c>
      <c r="N1687" s="3" t="b">
        <v>0</v>
      </c>
      <c r="R1687" s="3">
        <v>0.0</v>
      </c>
      <c r="T1687" s="3">
        <v>10.0</v>
      </c>
      <c r="U1687" s="3">
        <v>7.0</v>
      </c>
      <c r="V1687" s="3" t="s">
        <v>1788</v>
      </c>
      <c r="W1687" s="3" t="s">
        <v>311</v>
      </c>
      <c r="X1687" s="77" t="s">
        <v>1785</v>
      </c>
      <c r="Y1687" s="3">
        <v>2.0</v>
      </c>
      <c r="Z1687" s="3">
        <v>1.0</v>
      </c>
      <c r="AA1687" s="3">
        <f>2+ (P1687*'Scoring System'!$B$3)+ (IF(OR(AD1687="DEF",AD1687="GK"),N1687*'Scoring System'!$B$4,IF(AD1687="MID",N1687*'Scoring System'!$B$5,0)))+ (IF(OR(AD1687="DEF",AD1687="GK"),H1687*'Scoring System'!$B$6,IF(AD1687="MID",H1687*'Scoring System'!$B$7,IF(AD1687="ATT",H1687*'Scoring System'!$B$8,0))))+ IF(AND(OR(AD1687="GK",AD1687="DEF"),J1687&gt;=3),1*'Scoring System'!$B$9,0)+ (I1687*'Scoring System'!$B$10)+ (K1687*'Scoring System'!$B$11)+ (M1687*'Scoring System'!$B$12)+ (L1687*'Scoring System'!$B$13)+ (O1687*'Scoring System'!$B$14)+ (Q1687*'Scoring System'!$B$15)+ (R1687*'Scoring System'!$B$16)</f>
        <v>2</v>
      </c>
      <c r="AB1687" s="3" t="b">
        <f>IFERROR(match(C1687,'Match Day Fees'!$B$2:$B$999,0),0)=0</f>
        <v>0</v>
      </c>
      <c r="AC1687" s="3">
        <f t="shared" si="2"/>
        <v>0</v>
      </c>
      <c r="AD1687" s="3" t="str">
        <f>VLOOKUP(D1687,'Position Lookup'!A:B,2,FALSE)</f>
        <v>DEF</v>
      </c>
    </row>
    <row r="1688" ht="17.25" customHeight="1">
      <c r="A1688" s="10">
        <v>45325.0</v>
      </c>
      <c r="B1688" s="5" t="s">
        <v>309</v>
      </c>
      <c r="C1688" s="3" t="s">
        <v>135</v>
      </c>
      <c r="D1688" s="3" t="s">
        <v>14</v>
      </c>
      <c r="E1688" s="5">
        <v>5.0</v>
      </c>
      <c r="F1688" s="3" t="s">
        <v>1783</v>
      </c>
      <c r="G1688" s="3" t="s">
        <v>224</v>
      </c>
      <c r="J1688" s="5">
        <v>1.0</v>
      </c>
      <c r="N1688" s="3" t="b">
        <v>0</v>
      </c>
      <c r="R1688" s="3">
        <v>0.0</v>
      </c>
      <c r="T1688" s="3">
        <v>10.0</v>
      </c>
      <c r="U1688" s="3">
        <v>7.0</v>
      </c>
      <c r="V1688" s="3" t="s">
        <v>1789</v>
      </c>
      <c r="W1688" s="3" t="s">
        <v>311</v>
      </c>
      <c r="X1688" s="77" t="s">
        <v>1785</v>
      </c>
      <c r="Y1688" s="3">
        <v>2.0</v>
      </c>
      <c r="Z1688" s="3">
        <v>1.0</v>
      </c>
      <c r="AA1688" s="3">
        <f>2+ (P1688*'Scoring System'!$B$3)+ (IF(OR(AD1688="DEF",AD1688="GK"),N1688*'Scoring System'!$B$4,IF(AD1688="MID",N1688*'Scoring System'!$B$5,0)))+ (IF(OR(AD1688="DEF",AD1688="GK"),H1688*'Scoring System'!$B$6,IF(AD1688="MID",H1688*'Scoring System'!$B$7,IF(AD1688="ATT",H1688*'Scoring System'!$B$8,0))))+ IF(AND(OR(AD1688="GK",AD1688="DEF"),J1688&gt;=3),1*'Scoring System'!$B$9,0)+ (I1688*'Scoring System'!$B$10)+ (K1688*'Scoring System'!$B$11)+ (M1688*'Scoring System'!$B$12)+ (L1688*'Scoring System'!$B$13)+ (O1688*'Scoring System'!$B$14)+ (Q1688*'Scoring System'!$B$15)+ (R1688*'Scoring System'!$B$16)</f>
        <v>2</v>
      </c>
      <c r="AB1688" s="3" t="b">
        <f>IFERROR(match(C1688,'Match Day Fees'!$B$2:$B$999,0),0)=0</f>
        <v>0</v>
      </c>
      <c r="AC1688" s="3">
        <f t="shared" si="2"/>
        <v>0</v>
      </c>
      <c r="AD1688" s="3" t="str">
        <f>VLOOKUP(D1688,'Position Lookup'!A:B,2,FALSE)</f>
        <v>DEF</v>
      </c>
    </row>
    <row r="1689" ht="17.25" customHeight="1">
      <c r="A1689" s="10">
        <v>45325.0</v>
      </c>
      <c r="B1689" s="5" t="s">
        <v>309</v>
      </c>
      <c r="C1689" s="3" t="s">
        <v>116</v>
      </c>
      <c r="D1689" s="3" t="s">
        <v>14</v>
      </c>
      <c r="E1689" s="5">
        <v>5.0</v>
      </c>
      <c r="F1689" s="3" t="s">
        <v>1783</v>
      </c>
      <c r="G1689" s="3" t="s">
        <v>224</v>
      </c>
      <c r="H1689" s="3">
        <v>1.0</v>
      </c>
      <c r="J1689" s="5">
        <v>1.0</v>
      </c>
      <c r="N1689" s="3" t="b">
        <v>0</v>
      </c>
      <c r="R1689" s="3">
        <v>1.0</v>
      </c>
      <c r="T1689" s="3">
        <v>10.0</v>
      </c>
      <c r="U1689" s="3">
        <v>7.5</v>
      </c>
      <c r="V1689" s="3" t="s">
        <v>1790</v>
      </c>
      <c r="W1689" s="3" t="s">
        <v>311</v>
      </c>
      <c r="X1689" s="77" t="s">
        <v>1785</v>
      </c>
      <c r="Y1689" s="3">
        <v>2.0</v>
      </c>
      <c r="Z1689" s="3">
        <v>1.0</v>
      </c>
      <c r="AA1689" s="3">
        <f>2+ (P1689*'Scoring System'!$B$3)+ (IF(OR(AD1689="DEF",AD1689="GK"),N1689*'Scoring System'!$B$4,IF(AD1689="MID",N1689*'Scoring System'!$B$5,0)))+ (IF(OR(AD1689="DEF",AD1689="GK"),H1689*'Scoring System'!$B$6,IF(AD1689="MID",H1689*'Scoring System'!$B$7,IF(AD1689="ATT",H1689*'Scoring System'!$B$8,0))))+ IF(AND(OR(AD1689="GK",AD1689="DEF"),J1689&gt;=3),1*'Scoring System'!$B$9,0)+ (I1689*'Scoring System'!$B$10)+ (K1689*'Scoring System'!$B$11)+ (M1689*'Scoring System'!$B$12)+ (L1689*'Scoring System'!$B$13)+ (O1689*'Scoring System'!$B$14)+ (Q1689*'Scoring System'!$B$15)+ (R1689*'Scoring System'!$B$16)</f>
        <v>13</v>
      </c>
      <c r="AB1689" s="3" t="b">
        <f>IFERROR(match(C1689,'Match Day Fees'!$B$2:$B$999,0),0)=0</f>
        <v>0</v>
      </c>
      <c r="AC1689" s="3">
        <f t="shared" si="2"/>
        <v>0</v>
      </c>
      <c r="AD1689" s="3" t="str">
        <f>VLOOKUP(D1689,'Position Lookup'!A:B,2,FALSE)</f>
        <v>DEF</v>
      </c>
    </row>
    <row r="1690" ht="17.25" customHeight="1">
      <c r="A1690" s="10">
        <v>45325.0</v>
      </c>
      <c r="B1690" s="5" t="s">
        <v>309</v>
      </c>
      <c r="C1690" s="3" t="s">
        <v>95</v>
      </c>
      <c r="D1690" s="3" t="s">
        <v>20</v>
      </c>
      <c r="E1690" s="5">
        <v>5.0</v>
      </c>
      <c r="F1690" s="3" t="s">
        <v>1783</v>
      </c>
      <c r="G1690" s="3" t="s">
        <v>224</v>
      </c>
      <c r="J1690" s="5">
        <v>1.0</v>
      </c>
      <c r="N1690" s="3" t="b">
        <v>0</v>
      </c>
      <c r="R1690" s="3">
        <v>0.0</v>
      </c>
      <c r="T1690" s="3">
        <v>10.0</v>
      </c>
      <c r="U1690" s="3">
        <v>7.5</v>
      </c>
      <c r="V1690" s="3" t="s">
        <v>1791</v>
      </c>
      <c r="W1690" s="3" t="s">
        <v>311</v>
      </c>
      <c r="X1690" s="77" t="s">
        <v>1785</v>
      </c>
      <c r="Y1690" s="3">
        <v>2.0</v>
      </c>
      <c r="Z1690" s="3">
        <v>1.0</v>
      </c>
      <c r="AA1690" s="3">
        <f>2+ (P1690*'Scoring System'!$B$3)+ (IF(OR(AD1690="DEF",AD1690="GK"),N1690*'Scoring System'!$B$4,IF(AD1690="MID",N1690*'Scoring System'!$B$5,0)))+ (IF(OR(AD1690="DEF",AD1690="GK"),H1690*'Scoring System'!$B$6,IF(AD1690="MID",H1690*'Scoring System'!$B$7,IF(AD1690="ATT",H1690*'Scoring System'!$B$8,0))))+ IF(AND(OR(AD1690="GK",AD1690="DEF"),J1690&gt;=3),1*'Scoring System'!$B$9,0)+ (I1690*'Scoring System'!$B$10)+ (K1690*'Scoring System'!$B$11)+ (M1690*'Scoring System'!$B$12)+ (L1690*'Scoring System'!$B$13)+ (O1690*'Scoring System'!$B$14)+ (Q1690*'Scoring System'!$B$15)+ (R1690*'Scoring System'!$B$16)</f>
        <v>2</v>
      </c>
      <c r="AB1690" s="3" t="b">
        <f>IFERROR(match(C1690,'Match Day Fees'!$B$2:$B$999,0),0)=0</f>
        <v>0</v>
      </c>
      <c r="AC1690" s="3">
        <f t="shared" si="2"/>
        <v>0</v>
      </c>
      <c r="AD1690" s="3" t="str">
        <f>VLOOKUP(D1690,'Position Lookup'!A:B,2,FALSE)</f>
        <v>MID</v>
      </c>
    </row>
    <row r="1691" ht="17.25" customHeight="1">
      <c r="A1691" s="10">
        <v>45325.0</v>
      </c>
      <c r="B1691" s="5" t="s">
        <v>309</v>
      </c>
      <c r="C1691" s="3" t="s">
        <v>474</v>
      </c>
      <c r="D1691" s="3" t="s">
        <v>20</v>
      </c>
      <c r="E1691" s="5">
        <v>5.0</v>
      </c>
      <c r="F1691" s="3" t="s">
        <v>1783</v>
      </c>
      <c r="G1691" s="3" t="s">
        <v>224</v>
      </c>
      <c r="J1691" s="5">
        <v>1.0</v>
      </c>
      <c r="N1691" s="3" t="b">
        <v>0</v>
      </c>
      <c r="R1691" s="3">
        <v>0.0</v>
      </c>
      <c r="T1691" s="3">
        <v>10.0</v>
      </c>
      <c r="U1691" s="3">
        <v>7.0</v>
      </c>
      <c r="V1691" s="3" t="s">
        <v>1792</v>
      </c>
      <c r="W1691" s="3" t="s">
        <v>311</v>
      </c>
      <c r="X1691" s="77" t="s">
        <v>1785</v>
      </c>
      <c r="Y1691" s="3">
        <v>2.0</v>
      </c>
      <c r="Z1691" s="3">
        <v>1.0</v>
      </c>
      <c r="AA1691" s="3">
        <f>2+ (P1691*'Scoring System'!$B$3)+ (IF(OR(AD1691="DEF",AD1691="GK"),N1691*'Scoring System'!$B$4,IF(AD1691="MID",N1691*'Scoring System'!$B$5,0)))+ (IF(OR(AD1691="DEF",AD1691="GK"),H1691*'Scoring System'!$B$6,IF(AD1691="MID",H1691*'Scoring System'!$B$7,IF(AD1691="ATT",H1691*'Scoring System'!$B$8,0))))+ IF(AND(OR(AD1691="GK",AD1691="DEF"),J1691&gt;=3),1*'Scoring System'!$B$9,0)+ (I1691*'Scoring System'!$B$10)+ (K1691*'Scoring System'!$B$11)+ (M1691*'Scoring System'!$B$12)+ (L1691*'Scoring System'!$B$13)+ (O1691*'Scoring System'!$B$14)+ (Q1691*'Scoring System'!$B$15)+ (R1691*'Scoring System'!$B$16)</f>
        <v>2</v>
      </c>
      <c r="AB1691" s="3" t="b">
        <f>IFERROR(match(C1691,'Match Day Fees'!$B$2:$B$999,0),0)=0</f>
        <v>0</v>
      </c>
      <c r="AC1691" s="3">
        <f t="shared" si="2"/>
        <v>0</v>
      </c>
      <c r="AD1691" s="3" t="str">
        <f>VLOOKUP(D1691,'Position Lookup'!A:B,2,FALSE)</f>
        <v>MID</v>
      </c>
    </row>
    <row r="1692" ht="17.25" customHeight="1">
      <c r="A1692" s="10">
        <v>45325.0</v>
      </c>
      <c r="B1692" s="5" t="s">
        <v>309</v>
      </c>
      <c r="C1692" s="3" t="s">
        <v>103</v>
      </c>
      <c r="D1692" s="3" t="s">
        <v>20</v>
      </c>
      <c r="E1692" s="5">
        <v>5.0</v>
      </c>
      <c r="F1692" s="3" t="s">
        <v>1783</v>
      </c>
      <c r="G1692" s="3" t="s">
        <v>224</v>
      </c>
      <c r="J1692" s="5">
        <v>1.0</v>
      </c>
      <c r="N1692" s="3" t="b">
        <v>0</v>
      </c>
      <c r="R1692" s="3">
        <v>0.0</v>
      </c>
      <c r="T1692" s="3">
        <v>10.0</v>
      </c>
      <c r="U1692" s="3">
        <v>7.5</v>
      </c>
      <c r="V1692" s="3" t="s">
        <v>1793</v>
      </c>
      <c r="W1692" s="3" t="s">
        <v>311</v>
      </c>
      <c r="X1692" s="77" t="s">
        <v>1785</v>
      </c>
      <c r="Y1692" s="3">
        <v>2.0</v>
      </c>
      <c r="Z1692" s="3">
        <v>1.0</v>
      </c>
      <c r="AA1692" s="3">
        <f>2+ (P1692*'Scoring System'!$B$3)+ (IF(OR(AD1692="DEF",AD1692="GK"),N1692*'Scoring System'!$B$4,IF(AD1692="MID",N1692*'Scoring System'!$B$5,0)))+ (IF(OR(AD1692="DEF",AD1692="GK"),H1692*'Scoring System'!$B$6,IF(AD1692="MID",H1692*'Scoring System'!$B$7,IF(AD1692="ATT",H1692*'Scoring System'!$B$8,0))))+ IF(AND(OR(AD1692="GK",AD1692="DEF"),J1692&gt;=3),1*'Scoring System'!$B$9,0)+ (I1692*'Scoring System'!$B$10)+ (K1692*'Scoring System'!$B$11)+ (M1692*'Scoring System'!$B$12)+ (L1692*'Scoring System'!$B$13)+ (O1692*'Scoring System'!$B$14)+ (Q1692*'Scoring System'!$B$15)+ (R1692*'Scoring System'!$B$16)</f>
        <v>2</v>
      </c>
      <c r="AB1692" s="3" t="b">
        <f>IFERROR(match(C1692,'Match Day Fees'!$B$2:$B$999,0),0)=0</f>
        <v>0</v>
      </c>
      <c r="AC1692" s="3">
        <f t="shared" si="2"/>
        <v>0</v>
      </c>
      <c r="AD1692" s="3" t="str">
        <f>VLOOKUP(D1692,'Position Lookup'!A:B,2,FALSE)</f>
        <v>MID</v>
      </c>
    </row>
    <row r="1693" ht="17.25" customHeight="1">
      <c r="A1693" s="10">
        <v>45325.0</v>
      </c>
      <c r="B1693" s="5" t="s">
        <v>309</v>
      </c>
      <c r="C1693" s="3" t="s">
        <v>105</v>
      </c>
      <c r="D1693" s="3" t="s">
        <v>21</v>
      </c>
      <c r="E1693" s="5">
        <v>5.0</v>
      </c>
      <c r="F1693" s="3" t="s">
        <v>1783</v>
      </c>
      <c r="G1693" s="3" t="s">
        <v>224</v>
      </c>
      <c r="J1693" s="5">
        <v>1.0</v>
      </c>
      <c r="N1693" s="3" t="b">
        <v>0</v>
      </c>
      <c r="R1693" s="3">
        <v>0.0</v>
      </c>
      <c r="T1693" s="3">
        <v>10.0</v>
      </c>
      <c r="U1693" s="3">
        <v>7.0</v>
      </c>
      <c r="V1693" s="3" t="s">
        <v>1794</v>
      </c>
      <c r="W1693" s="3" t="s">
        <v>311</v>
      </c>
      <c r="X1693" s="77" t="s">
        <v>1785</v>
      </c>
      <c r="Y1693" s="3">
        <v>2.0</v>
      </c>
      <c r="Z1693" s="3">
        <v>1.0</v>
      </c>
      <c r="AA1693" s="3">
        <f>2+ (P1693*'Scoring System'!$B$3)+ (IF(OR(AD1693="DEF",AD1693="GK"),N1693*'Scoring System'!$B$4,IF(AD1693="MID",N1693*'Scoring System'!$B$5,0)))+ (IF(OR(AD1693="DEF",AD1693="GK"),H1693*'Scoring System'!$B$6,IF(AD1693="MID",H1693*'Scoring System'!$B$7,IF(AD1693="ATT",H1693*'Scoring System'!$B$8,0))))+ IF(AND(OR(AD1693="GK",AD1693="DEF"),J1693&gt;=3),1*'Scoring System'!$B$9,0)+ (I1693*'Scoring System'!$B$10)+ (K1693*'Scoring System'!$B$11)+ (M1693*'Scoring System'!$B$12)+ (L1693*'Scoring System'!$B$13)+ (O1693*'Scoring System'!$B$14)+ (Q1693*'Scoring System'!$B$15)+ (R1693*'Scoring System'!$B$16)</f>
        <v>2</v>
      </c>
      <c r="AB1693" s="3" t="b">
        <f>IFERROR(match(C1693,'Match Day Fees'!$B$2:$B$999,0),0)=0</f>
        <v>0</v>
      </c>
      <c r="AC1693" s="3">
        <f t="shared" si="2"/>
        <v>0</v>
      </c>
      <c r="AD1693" s="3" t="str">
        <f>VLOOKUP(D1693,'Position Lookup'!A:B,2,FALSE)</f>
        <v>MID</v>
      </c>
    </row>
    <row r="1694" ht="17.25" customHeight="1">
      <c r="A1694" s="10">
        <v>45325.0</v>
      </c>
      <c r="B1694" s="5" t="s">
        <v>309</v>
      </c>
      <c r="C1694" s="3" t="s">
        <v>270</v>
      </c>
      <c r="D1694" s="3" t="s">
        <v>16</v>
      </c>
      <c r="E1694" s="5">
        <v>5.0</v>
      </c>
      <c r="F1694" s="3" t="s">
        <v>1783</v>
      </c>
      <c r="G1694" s="3" t="s">
        <v>224</v>
      </c>
      <c r="J1694" s="5">
        <v>1.0</v>
      </c>
      <c r="N1694" s="3" t="b">
        <v>0</v>
      </c>
      <c r="R1694" s="3">
        <v>0.0</v>
      </c>
      <c r="T1694" s="3">
        <v>10.0</v>
      </c>
      <c r="U1694" s="3">
        <v>7.0</v>
      </c>
      <c r="V1694" s="3" t="s">
        <v>1795</v>
      </c>
      <c r="W1694" s="3" t="s">
        <v>311</v>
      </c>
      <c r="X1694" s="77" t="s">
        <v>1785</v>
      </c>
      <c r="Y1694" s="3">
        <v>2.0</v>
      </c>
      <c r="Z1694" s="3">
        <v>1.0</v>
      </c>
      <c r="AA1694" s="3">
        <f>2+ (P1694*'Scoring System'!$B$3)+ (IF(OR(AD1694="DEF",AD1694="GK"),N1694*'Scoring System'!$B$4,IF(AD1694="MID",N1694*'Scoring System'!$B$5,0)))+ (IF(OR(AD1694="DEF",AD1694="GK"),H1694*'Scoring System'!$B$6,IF(AD1694="MID",H1694*'Scoring System'!$B$7,IF(AD1694="ATT",H1694*'Scoring System'!$B$8,0))))+ IF(AND(OR(AD1694="GK",AD1694="DEF"),J1694&gt;=3),1*'Scoring System'!$B$9,0)+ (I1694*'Scoring System'!$B$10)+ (K1694*'Scoring System'!$B$11)+ (M1694*'Scoring System'!$B$12)+ (L1694*'Scoring System'!$B$13)+ (O1694*'Scoring System'!$B$14)+ (Q1694*'Scoring System'!$B$15)+ (R1694*'Scoring System'!$B$16)</f>
        <v>2</v>
      </c>
      <c r="AB1694" s="3" t="b">
        <f>IFERROR(match(C1694,'Match Day Fees'!$B$2:$B$999,0),0)=0</f>
        <v>0</v>
      </c>
      <c r="AC1694" s="3">
        <f t="shared" si="2"/>
        <v>0</v>
      </c>
      <c r="AD1694" s="3" t="str">
        <f>VLOOKUP(D1694,'Position Lookup'!A:B,2,FALSE)</f>
        <v>DEF</v>
      </c>
    </row>
    <row r="1695" ht="17.25" customHeight="1">
      <c r="A1695" s="10">
        <v>45325.0</v>
      </c>
      <c r="B1695" s="5" t="s">
        <v>309</v>
      </c>
      <c r="C1695" s="3" t="s">
        <v>139</v>
      </c>
      <c r="D1695" s="3" t="s">
        <v>24</v>
      </c>
      <c r="E1695" s="5">
        <v>5.0</v>
      </c>
      <c r="F1695" s="3" t="s">
        <v>1783</v>
      </c>
      <c r="G1695" s="3" t="s">
        <v>224</v>
      </c>
      <c r="J1695" s="5">
        <v>1.0</v>
      </c>
      <c r="N1695" s="3" t="b">
        <v>0</v>
      </c>
      <c r="R1695" s="3">
        <v>0.0</v>
      </c>
      <c r="T1695" s="3">
        <v>10.0</v>
      </c>
      <c r="U1695" s="3">
        <v>7.0</v>
      </c>
      <c r="V1695" s="3" t="s">
        <v>1796</v>
      </c>
      <c r="W1695" s="3" t="s">
        <v>311</v>
      </c>
      <c r="X1695" s="77" t="s">
        <v>1785</v>
      </c>
      <c r="Y1695" s="3">
        <v>2.0</v>
      </c>
      <c r="Z1695" s="3">
        <v>1.0</v>
      </c>
      <c r="AA1695" s="3">
        <f>2+ (P1695*'Scoring System'!$B$3)+ (IF(OR(AD1695="DEF",AD1695="GK"),N1695*'Scoring System'!$B$4,IF(AD1695="MID",N1695*'Scoring System'!$B$5,0)))+ (IF(OR(AD1695="DEF",AD1695="GK"),H1695*'Scoring System'!$B$6,IF(AD1695="MID",H1695*'Scoring System'!$B$7,IF(AD1695="ATT",H1695*'Scoring System'!$B$8,0))))+ IF(AND(OR(AD1695="GK",AD1695="DEF"),J1695&gt;=3),1*'Scoring System'!$B$9,0)+ (I1695*'Scoring System'!$B$10)+ (K1695*'Scoring System'!$B$11)+ (M1695*'Scoring System'!$B$12)+ (L1695*'Scoring System'!$B$13)+ (O1695*'Scoring System'!$B$14)+ (Q1695*'Scoring System'!$B$15)+ (R1695*'Scoring System'!$B$16)</f>
        <v>2</v>
      </c>
      <c r="AB1695" s="3" t="b">
        <f>IFERROR(match(C1695,'Match Day Fees'!$B$2:$B$999,0),0)=0</f>
        <v>0</v>
      </c>
      <c r="AC1695" s="3">
        <f t="shared" si="2"/>
        <v>0</v>
      </c>
      <c r="AD1695" s="3" t="str">
        <f>VLOOKUP(D1695,'Position Lookup'!A:B,2,FALSE)</f>
        <v>ATT</v>
      </c>
    </row>
    <row r="1696" ht="17.25" customHeight="1">
      <c r="A1696" s="10">
        <v>45325.0</v>
      </c>
      <c r="B1696" s="5" t="s">
        <v>309</v>
      </c>
      <c r="C1696" s="3" t="s">
        <v>1372</v>
      </c>
      <c r="D1696" s="3" t="s">
        <v>24</v>
      </c>
      <c r="E1696" s="5">
        <v>5.0</v>
      </c>
      <c r="F1696" s="3" t="s">
        <v>1783</v>
      </c>
      <c r="G1696" s="3" t="s">
        <v>224</v>
      </c>
      <c r="H1696" s="3">
        <v>1.0</v>
      </c>
      <c r="J1696" s="5">
        <v>1.0</v>
      </c>
      <c r="N1696" s="3" t="b">
        <v>0</v>
      </c>
      <c r="R1696" s="3">
        <v>0.0</v>
      </c>
      <c r="T1696" s="3">
        <v>10.0</v>
      </c>
      <c r="U1696" s="3">
        <v>7.0</v>
      </c>
      <c r="V1696" s="3" t="s">
        <v>1797</v>
      </c>
      <c r="W1696" s="3" t="s">
        <v>311</v>
      </c>
      <c r="X1696" s="77" t="s">
        <v>1785</v>
      </c>
      <c r="Y1696" s="3">
        <v>2.0</v>
      </c>
      <c r="Z1696" s="3">
        <v>1.0</v>
      </c>
      <c r="AA1696" s="3">
        <f>2+ (P1696*'Scoring System'!$B$3)+ (IF(OR(AD1696="DEF",AD1696="GK"),N1696*'Scoring System'!$B$4,IF(AD1696="MID",N1696*'Scoring System'!$B$5,0)))+ (IF(OR(AD1696="DEF",AD1696="GK"),H1696*'Scoring System'!$B$6,IF(AD1696="MID",H1696*'Scoring System'!$B$7,IF(AD1696="ATT",H1696*'Scoring System'!$B$8,0))))+ IF(AND(OR(AD1696="GK",AD1696="DEF"),J1696&gt;=3),1*'Scoring System'!$B$9,0)+ (I1696*'Scoring System'!$B$10)+ (K1696*'Scoring System'!$B$11)+ (M1696*'Scoring System'!$B$12)+ (L1696*'Scoring System'!$B$13)+ (O1696*'Scoring System'!$B$14)+ (Q1696*'Scoring System'!$B$15)+ (R1696*'Scoring System'!$B$16)</f>
        <v>6</v>
      </c>
      <c r="AB1696" s="3" t="b">
        <f>IFERROR(match(C1696,'Match Day Fees'!$B$2:$B$999,0),0)=0</f>
        <v>0</v>
      </c>
      <c r="AC1696" s="3">
        <f t="shared" si="2"/>
        <v>0</v>
      </c>
      <c r="AD1696" s="3" t="str">
        <f>VLOOKUP(D1696,'Position Lookup'!A:B,2,FALSE)</f>
        <v>ATT</v>
      </c>
    </row>
    <row r="1697" ht="17.25" customHeight="1">
      <c r="A1697" s="10">
        <v>45325.0</v>
      </c>
      <c r="B1697" s="5" t="s">
        <v>309</v>
      </c>
      <c r="C1697" s="3" t="s">
        <v>140</v>
      </c>
      <c r="D1697" s="3" t="s">
        <v>23</v>
      </c>
      <c r="E1697" s="5">
        <v>5.0</v>
      </c>
      <c r="F1697" s="3" t="s">
        <v>1783</v>
      </c>
      <c r="G1697" s="3" t="s">
        <v>224</v>
      </c>
      <c r="J1697" s="5">
        <v>1.0</v>
      </c>
      <c r="N1697" s="3" t="b">
        <v>0</v>
      </c>
      <c r="R1697" s="3">
        <v>0.0</v>
      </c>
      <c r="T1697" s="3">
        <v>10.0</v>
      </c>
      <c r="U1697" s="3">
        <v>7.0</v>
      </c>
      <c r="V1697" s="3" t="s">
        <v>1798</v>
      </c>
      <c r="W1697" s="3" t="s">
        <v>311</v>
      </c>
      <c r="X1697" s="77" t="s">
        <v>1785</v>
      </c>
      <c r="Y1697" s="3">
        <v>2.0</v>
      </c>
      <c r="Z1697" s="3">
        <v>1.0</v>
      </c>
      <c r="AA1697" s="3">
        <f>2+ (P1697*'Scoring System'!$B$3)+ (IF(OR(AD1697="DEF",AD1697="GK"),N1697*'Scoring System'!$B$4,IF(AD1697="MID",N1697*'Scoring System'!$B$5,0)))+ (IF(OR(AD1697="DEF",AD1697="GK"),H1697*'Scoring System'!$B$6,IF(AD1697="MID",H1697*'Scoring System'!$B$7,IF(AD1697="ATT",H1697*'Scoring System'!$B$8,0))))+ IF(AND(OR(AD1697="GK",AD1697="DEF"),J1697&gt;=3),1*'Scoring System'!$B$9,0)+ (I1697*'Scoring System'!$B$10)+ (K1697*'Scoring System'!$B$11)+ (M1697*'Scoring System'!$B$12)+ (L1697*'Scoring System'!$B$13)+ (O1697*'Scoring System'!$B$14)+ (Q1697*'Scoring System'!$B$15)+ (R1697*'Scoring System'!$B$16)</f>
        <v>2</v>
      </c>
      <c r="AB1697" s="3" t="b">
        <f>IFERROR(match(C1697,'Match Day Fees'!$B$2:$B$999,0),0)=0</f>
        <v>0</v>
      </c>
      <c r="AC1697" s="3">
        <f t="shared" si="2"/>
        <v>0</v>
      </c>
      <c r="AD1697" s="3" t="str">
        <f>VLOOKUP(D1697,'Position Lookup'!A:B,2,FALSE)</f>
        <v>ATT</v>
      </c>
    </row>
    <row r="1698" ht="17.25" customHeight="1">
      <c r="A1698" s="10">
        <v>45325.0</v>
      </c>
      <c r="B1698" s="5" t="s">
        <v>309</v>
      </c>
      <c r="C1698" s="3" t="s">
        <v>259</v>
      </c>
      <c r="D1698" s="3" t="s">
        <v>8</v>
      </c>
      <c r="E1698" s="5">
        <v>6.0</v>
      </c>
      <c r="F1698" s="3" t="s">
        <v>479</v>
      </c>
      <c r="G1698" s="3" t="s">
        <v>230</v>
      </c>
      <c r="J1698" s="5">
        <v>5.0</v>
      </c>
      <c r="N1698" s="3" t="b">
        <v>0</v>
      </c>
      <c r="R1698" s="3">
        <v>0.0</v>
      </c>
      <c r="S1698" s="3" t="b">
        <v>1</v>
      </c>
      <c r="T1698" s="3">
        <v>0.0</v>
      </c>
      <c r="U1698" s="3">
        <v>2.0</v>
      </c>
      <c r="V1698" s="3" t="s">
        <v>1799</v>
      </c>
      <c r="W1698" s="3" t="s">
        <v>344</v>
      </c>
      <c r="X1698" s="77" t="s">
        <v>1800</v>
      </c>
      <c r="Y1698" s="3">
        <v>0.0</v>
      </c>
      <c r="Z1698" s="3">
        <v>5.0</v>
      </c>
      <c r="AA1698" s="3">
        <f>2+ (P1698*'Scoring System'!$B$3)+ (IF(OR(AD1698="DEF",AD1698="GK"),N1698*'Scoring System'!$B$4,IF(AD1698="MID",N1698*'Scoring System'!$B$5,0)))+ (IF(OR(AD1698="DEF",AD1698="GK"),H1698*'Scoring System'!$B$6,IF(AD1698="MID",H1698*'Scoring System'!$B$7,IF(AD1698="ATT",H1698*'Scoring System'!$B$8,0))))+ IF(AND(OR(AD1698="GK",AD1698="DEF"),J1698&gt;=3),1*'Scoring System'!$B$9,0)+ (I1698*'Scoring System'!$B$10)+ (K1698*'Scoring System'!$B$11)+ (M1698*'Scoring System'!$B$12)+ (L1698*'Scoring System'!$B$13)+ (O1698*'Scoring System'!$B$14)+ (Q1698*'Scoring System'!$B$15)+ (R1698*'Scoring System'!$B$16)</f>
        <v>1</v>
      </c>
      <c r="AB1698" s="3" t="b">
        <f>IFERROR(match(C1698,'Match Day Fees'!$B$2:$B$999,0),0)=0</f>
        <v>0</v>
      </c>
      <c r="AC1698" s="3">
        <f t="shared" si="2"/>
        <v>0</v>
      </c>
      <c r="AD1698" s="3" t="str">
        <f>VLOOKUP(D1698,'Position Lookup'!A:B,2,FALSE)</f>
        <v>GK</v>
      </c>
    </row>
    <row r="1699" ht="17.25" customHeight="1">
      <c r="A1699" s="10">
        <v>45325.0</v>
      </c>
      <c r="B1699" s="5" t="s">
        <v>309</v>
      </c>
      <c r="C1699" s="3" t="s">
        <v>98</v>
      </c>
      <c r="D1699" s="3" t="s">
        <v>14</v>
      </c>
      <c r="E1699" s="5">
        <v>6.0</v>
      </c>
      <c r="F1699" s="3" t="s">
        <v>479</v>
      </c>
      <c r="G1699" s="3" t="s">
        <v>230</v>
      </c>
      <c r="J1699" s="5">
        <v>5.0</v>
      </c>
      <c r="N1699" s="3" t="b">
        <v>0</v>
      </c>
      <c r="R1699" s="3">
        <v>1.0</v>
      </c>
      <c r="T1699" s="3">
        <v>10.0</v>
      </c>
      <c r="U1699" s="3">
        <v>7.5</v>
      </c>
      <c r="V1699" s="3" t="s">
        <v>1801</v>
      </c>
      <c r="W1699" s="3" t="s">
        <v>344</v>
      </c>
      <c r="X1699" s="77" t="s">
        <v>1800</v>
      </c>
      <c r="Y1699" s="3">
        <v>0.0</v>
      </c>
      <c r="Z1699" s="3">
        <v>5.0</v>
      </c>
      <c r="AA1699" s="3">
        <f>2+ (P1699*'Scoring System'!$B$3)+ (IF(OR(AD1699="DEF",AD1699="GK"),N1699*'Scoring System'!$B$4,IF(AD1699="MID",N1699*'Scoring System'!$B$5,0)))+ (IF(OR(AD1699="DEF",AD1699="GK"),H1699*'Scoring System'!$B$6,IF(AD1699="MID",H1699*'Scoring System'!$B$7,IF(AD1699="ATT",H1699*'Scoring System'!$B$8,0))))+ IF(AND(OR(AD1699="GK",AD1699="DEF"),J1699&gt;=3),1*'Scoring System'!$B$9,0)+ (I1699*'Scoring System'!$B$10)+ (K1699*'Scoring System'!$B$11)+ (M1699*'Scoring System'!$B$12)+ (L1699*'Scoring System'!$B$13)+ (O1699*'Scoring System'!$B$14)+ (Q1699*'Scoring System'!$B$15)+ (R1699*'Scoring System'!$B$16)</f>
        <v>6</v>
      </c>
      <c r="AB1699" s="3" t="b">
        <f>IFERROR(match(C1699,'Match Day Fees'!$B$2:$B$999,0),0)=0</f>
        <v>0</v>
      </c>
      <c r="AC1699" s="3">
        <f t="shared" si="2"/>
        <v>0</v>
      </c>
      <c r="AD1699" s="3" t="str">
        <f>VLOOKUP(D1699,'Position Lookup'!A:B,2,FALSE)</f>
        <v>DEF</v>
      </c>
    </row>
    <row r="1700" ht="17.25" customHeight="1">
      <c r="A1700" s="10">
        <v>45325.0</v>
      </c>
      <c r="B1700" s="5" t="s">
        <v>309</v>
      </c>
      <c r="C1700" s="3" t="s">
        <v>142</v>
      </c>
      <c r="D1700" s="3" t="s">
        <v>23</v>
      </c>
      <c r="E1700" s="5">
        <v>6.0</v>
      </c>
      <c r="F1700" s="3" t="s">
        <v>479</v>
      </c>
      <c r="G1700" s="3" t="s">
        <v>230</v>
      </c>
      <c r="J1700" s="5">
        <v>5.0</v>
      </c>
      <c r="N1700" s="3" t="b">
        <v>0</v>
      </c>
      <c r="R1700" s="3">
        <v>0.0</v>
      </c>
      <c r="T1700" s="3">
        <v>10.0</v>
      </c>
      <c r="U1700" s="3">
        <v>7.0</v>
      </c>
      <c r="V1700" s="3" t="s">
        <v>1802</v>
      </c>
      <c r="W1700" s="3" t="s">
        <v>344</v>
      </c>
      <c r="X1700" s="77" t="s">
        <v>1800</v>
      </c>
      <c r="Y1700" s="3">
        <v>0.0</v>
      </c>
      <c r="Z1700" s="3">
        <v>5.0</v>
      </c>
      <c r="AA1700" s="3">
        <f>2+ (P1700*'Scoring System'!$B$3)+ (IF(OR(AD1700="DEF",AD1700="GK"),N1700*'Scoring System'!$B$4,IF(AD1700="MID",N1700*'Scoring System'!$B$5,0)))+ (IF(OR(AD1700="DEF",AD1700="GK"),H1700*'Scoring System'!$B$6,IF(AD1700="MID",H1700*'Scoring System'!$B$7,IF(AD1700="ATT",H1700*'Scoring System'!$B$8,0))))+ IF(AND(OR(AD1700="GK",AD1700="DEF"),J1700&gt;=3),1*'Scoring System'!$B$9,0)+ (I1700*'Scoring System'!$B$10)+ (K1700*'Scoring System'!$B$11)+ (M1700*'Scoring System'!$B$12)+ (L1700*'Scoring System'!$B$13)+ (O1700*'Scoring System'!$B$14)+ (Q1700*'Scoring System'!$B$15)+ (R1700*'Scoring System'!$B$16)</f>
        <v>2</v>
      </c>
      <c r="AB1700" s="3" t="b">
        <f>IFERROR(match(C1700,'Match Day Fees'!$B$2:$B$999,0),0)=0</f>
        <v>0</v>
      </c>
      <c r="AC1700" s="3">
        <f t="shared" si="2"/>
        <v>0</v>
      </c>
      <c r="AD1700" s="3" t="str">
        <f>VLOOKUP(D1700,'Position Lookup'!A:B,2,FALSE)</f>
        <v>ATT</v>
      </c>
    </row>
    <row r="1701" ht="17.25" customHeight="1">
      <c r="A1701" s="10">
        <v>45325.0</v>
      </c>
      <c r="B1701" s="5" t="s">
        <v>309</v>
      </c>
      <c r="C1701" s="3" t="s">
        <v>147</v>
      </c>
      <c r="D1701" s="3" t="s">
        <v>19</v>
      </c>
      <c r="E1701" s="5">
        <v>6.0</v>
      </c>
      <c r="F1701" s="3" t="s">
        <v>479</v>
      </c>
      <c r="G1701" s="3" t="s">
        <v>230</v>
      </c>
      <c r="J1701" s="5">
        <v>5.0</v>
      </c>
      <c r="N1701" s="3" t="b">
        <v>0</v>
      </c>
      <c r="R1701" s="3">
        <v>0.0</v>
      </c>
      <c r="T1701" s="3">
        <v>10.0</v>
      </c>
      <c r="U1701" s="3">
        <v>6.0</v>
      </c>
      <c r="V1701" s="3" t="s">
        <v>1803</v>
      </c>
      <c r="W1701" s="3" t="s">
        <v>344</v>
      </c>
      <c r="X1701" s="77" t="s">
        <v>1800</v>
      </c>
      <c r="Y1701" s="3">
        <v>0.0</v>
      </c>
      <c r="Z1701" s="3">
        <v>5.0</v>
      </c>
      <c r="AA1701" s="3">
        <f>2+ (P1701*'Scoring System'!$B$3)+ (IF(OR(AD1701="DEF",AD1701="GK"),N1701*'Scoring System'!$B$4,IF(AD1701="MID",N1701*'Scoring System'!$B$5,0)))+ (IF(OR(AD1701="DEF",AD1701="GK"),H1701*'Scoring System'!$B$6,IF(AD1701="MID",H1701*'Scoring System'!$B$7,IF(AD1701="ATT",H1701*'Scoring System'!$B$8,0))))+ IF(AND(OR(AD1701="GK",AD1701="DEF"),J1701&gt;=3),1*'Scoring System'!$B$9,0)+ (I1701*'Scoring System'!$B$10)+ (K1701*'Scoring System'!$B$11)+ (M1701*'Scoring System'!$B$12)+ (L1701*'Scoring System'!$B$13)+ (O1701*'Scoring System'!$B$14)+ (Q1701*'Scoring System'!$B$15)+ (R1701*'Scoring System'!$B$16)</f>
        <v>2</v>
      </c>
      <c r="AB1701" s="3" t="b">
        <f>IFERROR(match(C1701,'Match Day Fees'!$B$2:$B$999,0),0)=0</f>
        <v>0</v>
      </c>
      <c r="AC1701" s="3">
        <f t="shared" si="2"/>
        <v>0</v>
      </c>
      <c r="AD1701" s="3" t="str">
        <f>VLOOKUP(D1701,'Position Lookup'!A:B,2,FALSE)</f>
        <v>MID</v>
      </c>
    </row>
    <row r="1702" ht="17.25" customHeight="1">
      <c r="A1702" s="10">
        <v>45325.0</v>
      </c>
      <c r="B1702" s="5" t="s">
        <v>309</v>
      </c>
      <c r="C1702" s="3" t="s">
        <v>97</v>
      </c>
      <c r="D1702" s="3" t="s">
        <v>12</v>
      </c>
      <c r="E1702" s="5">
        <v>6.0</v>
      </c>
      <c r="F1702" s="3" t="s">
        <v>479</v>
      </c>
      <c r="G1702" s="3" t="s">
        <v>230</v>
      </c>
      <c r="J1702" s="5">
        <v>5.0</v>
      </c>
      <c r="N1702" s="3" t="b">
        <v>0</v>
      </c>
      <c r="R1702" s="3">
        <v>0.0</v>
      </c>
      <c r="T1702" s="3">
        <v>2.5</v>
      </c>
      <c r="U1702" s="3">
        <v>6.0</v>
      </c>
      <c r="V1702" s="3" t="s">
        <v>1804</v>
      </c>
      <c r="W1702" s="3" t="s">
        <v>344</v>
      </c>
      <c r="X1702" s="77" t="s">
        <v>1800</v>
      </c>
      <c r="Y1702" s="3">
        <v>0.0</v>
      </c>
      <c r="Z1702" s="3">
        <v>5.0</v>
      </c>
      <c r="AA1702" s="3">
        <f>2+ (P1702*'Scoring System'!$B$3)+ (IF(OR(AD1702="DEF",AD1702="GK"),N1702*'Scoring System'!$B$4,IF(AD1702="MID",N1702*'Scoring System'!$B$5,0)))+ (IF(OR(AD1702="DEF",AD1702="GK"),H1702*'Scoring System'!$B$6,IF(AD1702="MID",H1702*'Scoring System'!$B$7,IF(AD1702="ATT",H1702*'Scoring System'!$B$8,0))))+ IF(AND(OR(AD1702="GK",AD1702="DEF"),J1702&gt;=3),1*'Scoring System'!$B$9,0)+ (I1702*'Scoring System'!$B$10)+ (K1702*'Scoring System'!$B$11)+ (M1702*'Scoring System'!$B$12)+ (L1702*'Scoring System'!$B$13)+ (O1702*'Scoring System'!$B$14)+ (Q1702*'Scoring System'!$B$15)+ (R1702*'Scoring System'!$B$16)</f>
        <v>1</v>
      </c>
      <c r="AB1702" s="3" t="b">
        <f>IFERROR(match(C1702,'Match Day Fees'!$B$2:$B$999,0),0)=0</f>
        <v>0</v>
      </c>
      <c r="AC1702" s="3">
        <f t="shared" si="2"/>
        <v>0</v>
      </c>
      <c r="AD1702" s="3" t="str">
        <f>VLOOKUP(D1702,'Position Lookup'!A:B,2,FALSE)</f>
        <v>DEF</v>
      </c>
    </row>
    <row r="1703" ht="17.25" customHeight="1">
      <c r="A1703" s="10">
        <v>45325.0</v>
      </c>
      <c r="B1703" s="5" t="s">
        <v>309</v>
      </c>
      <c r="C1703" s="3" t="s">
        <v>287</v>
      </c>
      <c r="D1703" s="3" t="s">
        <v>16</v>
      </c>
      <c r="E1703" s="5">
        <v>6.0</v>
      </c>
      <c r="F1703" s="3" t="s">
        <v>479</v>
      </c>
      <c r="G1703" s="3" t="s">
        <v>230</v>
      </c>
      <c r="J1703" s="5">
        <v>5.0</v>
      </c>
      <c r="N1703" s="3" t="b">
        <v>0</v>
      </c>
      <c r="R1703" s="3">
        <v>0.0</v>
      </c>
      <c r="T1703" s="3">
        <v>5.0</v>
      </c>
      <c r="U1703" s="3">
        <v>5.0</v>
      </c>
      <c r="V1703" s="3" t="s">
        <v>1805</v>
      </c>
      <c r="W1703" s="3" t="s">
        <v>344</v>
      </c>
      <c r="X1703" s="77" t="s">
        <v>1800</v>
      </c>
      <c r="Y1703" s="3">
        <v>0.0</v>
      </c>
      <c r="Z1703" s="3">
        <v>5.0</v>
      </c>
      <c r="AA1703" s="3">
        <f>2+ (P1703*'Scoring System'!$B$3)+ (IF(OR(AD1703="DEF",AD1703="GK"),N1703*'Scoring System'!$B$4,IF(AD1703="MID",N1703*'Scoring System'!$B$5,0)))+ (IF(OR(AD1703="DEF",AD1703="GK"),H1703*'Scoring System'!$B$6,IF(AD1703="MID",H1703*'Scoring System'!$B$7,IF(AD1703="ATT",H1703*'Scoring System'!$B$8,0))))+ IF(AND(OR(AD1703="GK",AD1703="DEF"),J1703&gt;=3),1*'Scoring System'!$B$9,0)+ (I1703*'Scoring System'!$B$10)+ (K1703*'Scoring System'!$B$11)+ (M1703*'Scoring System'!$B$12)+ (L1703*'Scoring System'!$B$13)+ (O1703*'Scoring System'!$B$14)+ (Q1703*'Scoring System'!$B$15)+ (R1703*'Scoring System'!$B$16)</f>
        <v>1</v>
      </c>
      <c r="AB1703" s="3" t="b">
        <f>IFERROR(match(C1703,'Match Day Fees'!$B$2:$B$999,0),0)=0</f>
        <v>0</v>
      </c>
      <c r="AC1703" s="3">
        <f t="shared" si="2"/>
        <v>0</v>
      </c>
      <c r="AD1703" s="3" t="str">
        <f>VLOOKUP(D1703,'Position Lookup'!A:B,2,FALSE)</f>
        <v>DEF</v>
      </c>
    </row>
    <row r="1704" ht="17.25" customHeight="1">
      <c r="A1704" s="10">
        <v>45325.0</v>
      </c>
      <c r="B1704" s="5" t="s">
        <v>309</v>
      </c>
      <c r="C1704" s="3" t="s">
        <v>267</v>
      </c>
      <c r="D1704" s="3" t="s">
        <v>19</v>
      </c>
      <c r="E1704" s="5">
        <v>6.0</v>
      </c>
      <c r="F1704" s="3" t="s">
        <v>479</v>
      </c>
      <c r="G1704" s="3" t="s">
        <v>230</v>
      </c>
      <c r="J1704" s="5">
        <v>5.0</v>
      </c>
      <c r="N1704" s="3" t="b">
        <v>0</v>
      </c>
      <c r="R1704" s="3">
        <v>0.0</v>
      </c>
      <c r="T1704" s="3">
        <v>10.0</v>
      </c>
      <c r="U1704" s="3">
        <v>5.0</v>
      </c>
      <c r="V1704" s="3" t="s">
        <v>1806</v>
      </c>
      <c r="W1704" s="3" t="s">
        <v>344</v>
      </c>
      <c r="X1704" s="77" t="s">
        <v>1800</v>
      </c>
      <c r="Y1704" s="3">
        <v>0.0</v>
      </c>
      <c r="Z1704" s="3">
        <v>5.0</v>
      </c>
      <c r="AA1704" s="3">
        <f>2+ (P1704*'Scoring System'!$B$3)+ (IF(OR(AD1704="DEF",AD1704="GK"),N1704*'Scoring System'!$B$4,IF(AD1704="MID",N1704*'Scoring System'!$B$5,0)))+ (IF(OR(AD1704="DEF",AD1704="GK"),H1704*'Scoring System'!$B$6,IF(AD1704="MID",H1704*'Scoring System'!$B$7,IF(AD1704="ATT",H1704*'Scoring System'!$B$8,0))))+ IF(AND(OR(AD1704="GK",AD1704="DEF"),J1704&gt;=3),1*'Scoring System'!$B$9,0)+ (I1704*'Scoring System'!$B$10)+ (K1704*'Scoring System'!$B$11)+ (M1704*'Scoring System'!$B$12)+ (L1704*'Scoring System'!$B$13)+ (O1704*'Scoring System'!$B$14)+ (Q1704*'Scoring System'!$B$15)+ (R1704*'Scoring System'!$B$16)</f>
        <v>2</v>
      </c>
      <c r="AB1704" s="3" t="b">
        <f>IFERROR(match(C1704,'Match Day Fees'!$B$2:$B$999,0),0)=0</f>
        <v>0</v>
      </c>
      <c r="AC1704" s="3">
        <f t="shared" si="2"/>
        <v>0</v>
      </c>
      <c r="AD1704" s="3" t="str">
        <f>VLOOKUP(D1704,'Position Lookup'!A:B,2,FALSE)</f>
        <v>MID</v>
      </c>
    </row>
    <row r="1705" ht="17.25" customHeight="1">
      <c r="A1705" s="10">
        <v>45325.0</v>
      </c>
      <c r="B1705" s="5" t="s">
        <v>309</v>
      </c>
      <c r="C1705" s="3" t="s">
        <v>282</v>
      </c>
      <c r="D1705" s="3" t="s">
        <v>12</v>
      </c>
      <c r="E1705" s="5">
        <v>6.0</v>
      </c>
      <c r="F1705" s="3" t="s">
        <v>479</v>
      </c>
      <c r="G1705" s="3" t="s">
        <v>230</v>
      </c>
      <c r="J1705" s="5">
        <v>5.0</v>
      </c>
      <c r="N1705" s="3" t="b">
        <v>0</v>
      </c>
      <c r="R1705" s="3">
        <v>0.0</v>
      </c>
      <c r="T1705" s="3">
        <v>5.0</v>
      </c>
      <c r="U1705" s="3">
        <v>5.0</v>
      </c>
      <c r="V1705" s="3" t="s">
        <v>1807</v>
      </c>
      <c r="W1705" s="3" t="s">
        <v>344</v>
      </c>
      <c r="X1705" s="77" t="s">
        <v>1800</v>
      </c>
      <c r="Y1705" s="3">
        <v>0.0</v>
      </c>
      <c r="Z1705" s="3">
        <v>5.0</v>
      </c>
      <c r="AA1705" s="3">
        <f>2+ (P1705*'Scoring System'!$B$3)+ (IF(OR(AD1705="DEF",AD1705="GK"),N1705*'Scoring System'!$B$4,IF(AD1705="MID",N1705*'Scoring System'!$B$5,0)))+ (IF(OR(AD1705="DEF",AD1705="GK"),H1705*'Scoring System'!$B$6,IF(AD1705="MID",H1705*'Scoring System'!$B$7,IF(AD1705="ATT",H1705*'Scoring System'!$B$8,0))))+ IF(AND(OR(AD1705="GK",AD1705="DEF"),J1705&gt;=3),1*'Scoring System'!$B$9,0)+ (I1705*'Scoring System'!$B$10)+ (K1705*'Scoring System'!$B$11)+ (M1705*'Scoring System'!$B$12)+ (L1705*'Scoring System'!$B$13)+ (O1705*'Scoring System'!$B$14)+ (Q1705*'Scoring System'!$B$15)+ (R1705*'Scoring System'!$B$16)</f>
        <v>1</v>
      </c>
      <c r="AB1705" s="3" t="b">
        <f>IFERROR(match(C1705,'Match Day Fees'!$B$2:$B$999,0),0)=0</f>
        <v>0</v>
      </c>
      <c r="AC1705" s="3">
        <f t="shared" si="2"/>
        <v>0</v>
      </c>
      <c r="AD1705" s="3" t="str">
        <f>VLOOKUP(D1705,'Position Lookup'!A:B,2,FALSE)</f>
        <v>DEF</v>
      </c>
    </row>
    <row r="1706" ht="17.25" customHeight="1">
      <c r="A1706" s="10">
        <v>45325.0</v>
      </c>
      <c r="B1706" s="5" t="s">
        <v>309</v>
      </c>
      <c r="C1706" s="3" t="s">
        <v>141</v>
      </c>
      <c r="D1706" s="3" t="s">
        <v>23</v>
      </c>
      <c r="E1706" s="5">
        <v>6.0</v>
      </c>
      <c r="F1706" s="3" t="s">
        <v>479</v>
      </c>
      <c r="G1706" s="3" t="s">
        <v>230</v>
      </c>
      <c r="J1706" s="5">
        <v>5.0</v>
      </c>
      <c r="N1706" s="3" t="b">
        <v>0</v>
      </c>
      <c r="R1706" s="3">
        <v>0.0</v>
      </c>
      <c r="T1706" s="5">
        <v>5.0</v>
      </c>
      <c r="U1706" s="3">
        <v>5.5</v>
      </c>
      <c r="V1706" s="3" t="s">
        <v>1808</v>
      </c>
      <c r="W1706" s="3" t="s">
        <v>344</v>
      </c>
      <c r="X1706" s="77" t="s">
        <v>1800</v>
      </c>
      <c r="Y1706" s="3">
        <v>0.0</v>
      </c>
      <c r="Z1706" s="3">
        <v>5.0</v>
      </c>
      <c r="AA1706" s="3">
        <f>2+ (P1706*'Scoring System'!$B$3)+ (IF(OR(AD1706="DEF",AD1706="GK"),N1706*'Scoring System'!$B$4,IF(AD1706="MID",N1706*'Scoring System'!$B$5,0)))+ (IF(OR(AD1706="DEF",AD1706="GK"),H1706*'Scoring System'!$B$6,IF(AD1706="MID",H1706*'Scoring System'!$B$7,IF(AD1706="ATT",H1706*'Scoring System'!$B$8,0))))+ IF(AND(OR(AD1706="GK",AD1706="DEF"),J1706&gt;=3),1*'Scoring System'!$B$9,0)+ (I1706*'Scoring System'!$B$10)+ (K1706*'Scoring System'!$B$11)+ (M1706*'Scoring System'!$B$12)+ (L1706*'Scoring System'!$B$13)+ (O1706*'Scoring System'!$B$14)+ (Q1706*'Scoring System'!$B$15)+ (R1706*'Scoring System'!$B$16)</f>
        <v>2</v>
      </c>
      <c r="AB1706" s="3" t="b">
        <f>IFERROR(match(C1706,'Match Day Fees'!$B$2:$B$999,0),0)=0</f>
        <v>0</v>
      </c>
      <c r="AC1706" s="3">
        <f t="shared" si="2"/>
        <v>0</v>
      </c>
      <c r="AD1706" s="3" t="str">
        <f>VLOOKUP(D1706,'Position Lookup'!A:B,2,FALSE)</f>
        <v>ATT</v>
      </c>
    </row>
    <row r="1707" ht="17.25" customHeight="1">
      <c r="A1707" s="10">
        <v>45325.0</v>
      </c>
      <c r="B1707" s="5" t="s">
        <v>309</v>
      </c>
      <c r="C1707" s="3" t="s">
        <v>128</v>
      </c>
      <c r="D1707" s="3" t="s">
        <v>20</v>
      </c>
      <c r="E1707" s="5">
        <v>6.0</v>
      </c>
      <c r="F1707" s="3" t="s">
        <v>479</v>
      </c>
      <c r="G1707" s="3" t="s">
        <v>230</v>
      </c>
      <c r="J1707" s="5">
        <v>5.0</v>
      </c>
      <c r="N1707" s="3" t="b">
        <v>0</v>
      </c>
      <c r="R1707" s="3">
        <v>0.0</v>
      </c>
      <c r="T1707" s="3">
        <v>10.0</v>
      </c>
      <c r="U1707" s="3">
        <v>6.5</v>
      </c>
      <c r="V1707" s="3" t="s">
        <v>1809</v>
      </c>
      <c r="W1707" s="3" t="s">
        <v>344</v>
      </c>
      <c r="X1707" s="77" t="s">
        <v>1800</v>
      </c>
      <c r="Y1707" s="3">
        <v>0.0</v>
      </c>
      <c r="Z1707" s="3">
        <v>5.0</v>
      </c>
      <c r="AA1707" s="3">
        <f>2+ (P1707*'Scoring System'!$B$3)+ (IF(OR(AD1707="DEF",AD1707="GK"),N1707*'Scoring System'!$B$4,IF(AD1707="MID",N1707*'Scoring System'!$B$5,0)))+ (IF(OR(AD1707="DEF",AD1707="GK"),H1707*'Scoring System'!$B$6,IF(AD1707="MID",H1707*'Scoring System'!$B$7,IF(AD1707="ATT",H1707*'Scoring System'!$B$8,0))))+ IF(AND(OR(AD1707="GK",AD1707="DEF"),J1707&gt;=3),1*'Scoring System'!$B$9,0)+ (I1707*'Scoring System'!$B$10)+ (K1707*'Scoring System'!$B$11)+ (M1707*'Scoring System'!$B$12)+ (L1707*'Scoring System'!$B$13)+ (O1707*'Scoring System'!$B$14)+ (Q1707*'Scoring System'!$B$15)+ (R1707*'Scoring System'!$B$16)</f>
        <v>2</v>
      </c>
      <c r="AB1707" s="3" t="b">
        <f>IFERROR(match(C1707,'Match Day Fees'!$B$2:$B$999,0),0)=0</f>
        <v>0</v>
      </c>
      <c r="AC1707" s="3">
        <f t="shared" si="2"/>
        <v>0</v>
      </c>
      <c r="AD1707" s="3" t="str">
        <f>VLOOKUP(D1707,'Position Lookup'!A:B,2,FALSE)</f>
        <v>MID</v>
      </c>
    </row>
    <row r="1708" ht="17.25" customHeight="1">
      <c r="A1708" s="10">
        <v>45325.0</v>
      </c>
      <c r="B1708" s="5" t="s">
        <v>309</v>
      </c>
      <c r="C1708" s="3" t="s">
        <v>231</v>
      </c>
      <c r="D1708" s="3" t="s">
        <v>20</v>
      </c>
      <c r="E1708" s="5">
        <v>6.0</v>
      </c>
      <c r="F1708" s="3" t="s">
        <v>479</v>
      </c>
      <c r="G1708" s="3" t="s">
        <v>230</v>
      </c>
      <c r="J1708" s="5">
        <v>5.0</v>
      </c>
      <c r="N1708" s="3" t="b">
        <v>0</v>
      </c>
      <c r="R1708" s="3">
        <v>0.0</v>
      </c>
      <c r="T1708" s="3">
        <v>5.0</v>
      </c>
      <c r="U1708" s="3">
        <v>4.0</v>
      </c>
      <c r="V1708" s="3" t="s">
        <v>1810</v>
      </c>
      <c r="W1708" s="3" t="s">
        <v>344</v>
      </c>
      <c r="X1708" s="77" t="s">
        <v>1800</v>
      </c>
      <c r="Y1708" s="3">
        <v>0.0</v>
      </c>
      <c r="Z1708" s="3">
        <v>5.0</v>
      </c>
      <c r="AA1708" s="3">
        <f>2+ (P1708*'Scoring System'!$B$3)+ (IF(OR(AD1708="DEF",AD1708="GK"),N1708*'Scoring System'!$B$4,IF(AD1708="MID",N1708*'Scoring System'!$B$5,0)))+ (IF(OR(AD1708="DEF",AD1708="GK"),H1708*'Scoring System'!$B$6,IF(AD1708="MID",H1708*'Scoring System'!$B$7,IF(AD1708="ATT",H1708*'Scoring System'!$B$8,0))))+ IF(AND(OR(AD1708="GK",AD1708="DEF"),J1708&gt;=3),1*'Scoring System'!$B$9,0)+ (I1708*'Scoring System'!$B$10)+ (K1708*'Scoring System'!$B$11)+ (M1708*'Scoring System'!$B$12)+ (L1708*'Scoring System'!$B$13)+ (O1708*'Scoring System'!$B$14)+ (Q1708*'Scoring System'!$B$15)+ (R1708*'Scoring System'!$B$16)</f>
        <v>2</v>
      </c>
      <c r="AB1708" s="3" t="b">
        <f>IFERROR(match(C1708,'Match Day Fees'!$B$2:$B$999,0),0)=0</f>
        <v>0</v>
      </c>
      <c r="AC1708" s="3">
        <f t="shared" si="2"/>
        <v>0</v>
      </c>
      <c r="AD1708" s="3" t="str">
        <f>VLOOKUP(D1708,'Position Lookup'!A:B,2,FALSE)</f>
        <v>MID</v>
      </c>
    </row>
    <row r="1709" ht="17.25" customHeight="1">
      <c r="A1709" s="10">
        <v>45325.0</v>
      </c>
      <c r="B1709" s="5" t="s">
        <v>309</v>
      </c>
      <c r="C1709" s="3" t="s">
        <v>576</v>
      </c>
      <c r="D1709" s="3" t="s">
        <v>20</v>
      </c>
      <c r="E1709" s="5">
        <v>6.0</v>
      </c>
      <c r="F1709" s="3" t="s">
        <v>479</v>
      </c>
      <c r="G1709" s="3" t="s">
        <v>230</v>
      </c>
      <c r="J1709" s="5">
        <v>5.0</v>
      </c>
      <c r="N1709" s="3" t="b">
        <v>0</v>
      </c>
      <c r="R1709" s="3">
        <v>0.0</v>
      </c>
      <c r="T1709" s="3">
        <v>5.0</v>
      </c>
      <c r="U1709" s="3">
        <v>4.5</v>
      </c>
      <c r="V1709" s="3" t="s">
        <v>1811</v>
      </c>
      <c r="W1709" s="3" t="s">
        <v>344</v>
      </c>
      <c r="X1709" s="77" t="s">
        <v>1800</v>
      </c>
      <c r="Y1709" s="3">
        <v>0.0</v>
      </c>
      <c r="Z1709" s="3">
        <v>5.0</v>
      </c>
      <c r="AA1709" s="3">
        <f>2+ (P1709*'Scoring System'!$B$3)+ (IF(OR(AD1709="DEF",AD1709="GK"),N1709*'Scoring System'!$B$4,IF(AD1709="MID",N1709*'Scoring System'!$B$5,0)))+ (IF(OR(AD1709="DEF",AD1709="GK"),H1709*'Scoring System'!$B$6,IF(AD1709="MID",H1709*'Scoring System'!$B$7,IF(AD1709="ATT",H1709*'Scoring System'!$B$8,0))))+ IF(AND(OR(AD1709="GK",AD1709="DEF"),J1709&gt;=3),1*'Scoring System'!$B$9,0)+ (I1709*'Scoring System'!$B$10)+ (K1709*'Scoring System'!$B$11)+ (M1709*'Scoring System'!$B$12)+ (L1709*'Scoring System'!$B$13)+ (O1709*'Scoring System'!$B$14)+ (Q1709*'Scoring System'!$B$15)+ (R1709*'Scoring System'!$B$16)</f>
        <v>2</v>
      </c>
      <c r="AB1709" s="3" t="b">
        <f>IFERROR(match(C1709,'Match Day Fees'!$B$2:$B$999,0),0)=0</f>
        <v>0</v>
      </c>
      <c r="AC1709" s="3">
        <f t="shared" si="2"/>
        <v>0</v>
      </c>
      <c r="AD1709" s="3" t="str">
        <f>VLOOKUP(D1709,'Position Lookup'!A:B,2,FALSE)</f>
        <v>MID</v>
      </c>
    </row>
    <row r="1710" ht="17.25" customHeight="1">
      <c r="A1710" s="10">
        <v>45325.0</v>
      </c>
      <c r="B1710" s="5" t="s">
        <v>309</v>
      </c>
      <c r="C1710" s="3" t="s">
        <v>143</v>
      </c>
      <c r="D1710" s="3" t="s">
        <v>24</v>
      </c>
      <c r="E1710" s="5">
        <v>6.0</v>
      </c>
      <c r="F1710" s="3" t="s">
        <v>479</v>
      </c>
      <c r="G1710" s="3" t="s">
        <v>230</v>
      </c>
      <c r="J1710" s="5">
        <v>5.0</v>
      </c>
      <c r="N1710" s="3" t="b">
        <v>0</v>
      </c>
      <c r="R1710" s="3">
        <v>0.0</v>
      </c>
      <c r="T1710" s="3">
        <v>10.0</v>
      </c>
      <c r="U1710" s="3">
        <v>6.0</v>
      </c>
      <c r="V1710" s="3" t="s">
        <v>1812</v>
      </c>
      <c r="W1710" s="3" t="s">
        <v>344</v>
      </c>
      <c r="X1710" s="77" t="s">
        <v>1800</v>
      </c>
      <c r="Y1710" s="3">
        <v>0.0</v>
      </c>
      <c r="Z1710" s="3">
        <v>5.0</v>
      </c>
      <c r="AA1710" s="3">
        <f>2+ (P1710*'Scoring System'!$B$3)+ (IF(OR(AD1710="DEF",AD1710="GK"),N1710*'Scoring System'!$B$4,IF(AD1710="MID",N1710*'Scoring System'!$B$5,0)))+ (IF(OR(AD1710="DEF",AD1710="GK"),H1710*'Scoring System'!$B$6,IF(AD1710="MID",H1710*'Scoring System'!$B$7,IF(AD1710="ATT",H1710*'Scoring System'!$B$8,0))))+ IF(AND(OR(AD1710="GK",AD1710="DEF"),J1710&gt;=3),1*'Scoring System'!$B$9,0)+ (I1710*'Scoring System'!$B$10)+ (K1710*'Scoring System'!$B$11)+ (M1710*'Scoring System'!$B$12)+ (L1710*'Scoring System'!$B$13)+ (O1710*'Scoring System'!$B$14)+ (Q1710*'Scoring System'!$B$15)+ (R1710*'Scoring System'!$B$16)</f>
        <v>2</v>
      </c>
      <c r="AB1710" s="3" t="b">
        <f>IFERROR(match(C1710,'Match Day Fees'!$B$2:$B$999,0),0)=0</f>
        <v>0</v>
      </c>
      <c r="AC1710" s="3">
        <f t="shared" si="2"/>
        <v>0</v>
      </c>
      <c r="AD1710" s="3" t="str">
        <f>VLOOKUP(D1710,'Position Lookup'!A:B,2,FALSE)</f>
        <v>ATT</v>
      </c>
    </row>
    <row r="1711" ht="17.25" customHeight="1">
      <c r="A1711" s="10">
        <v>45325.0</v>
      </c>
      <c r="B1711" s="5" t="s">
        <v>309</v>
      </c>
      <c r="C1711" s="3" t="s">
        <v>284</v>
      </c>
      <c r="D1711" s="3" t="s">
        <v>20</v>
      </c>
      <c r="E1711" s="5">
        <v>6.0</v>
      </c>
      <c r="F1711" s="3" t="s">
        <v>479</v>
      </c>
      <c r="G1711" s="3" t="s">
        <v>230</v>
      </c>
      <c r="J1711" s="5">
        <v>5.0</v>
      </c>
      <c r="N1711" s="3" t="b">
        <v>0</v>
      </c>
      <c r="R1711" s="3">
        <v>0.0</v>
      </c>
      <c r="T1711" s="3">
        <v>10.0</v>
      </c>
      <c r="U1711" s="3">
        <v>6.5</v>
      </c>
      <c r="V1711" s="3" t="s">
        <v>1813</v>
      </c>
      <c r="W1711" s="3" t="s">
        <v>344</v>
      </c>
      <c r="X1711" s="77" t="s">
        <v>1800</v>
      </c>
      <c r="Y1711" s="3">
        <v>0.0</v>
      </c>
      <c r="Z1711" s="3">
        <v>5.0</v>
      </c>
      <c r="AA1711" s="3">
        <f>2+ (P1711*'Scoring System'!$B$3)+ (IF(OR(AD1711="DEF",AD1711="GK"),N1711*'Scoring System'!$B$4,IF(AD1711="MID",N1711*'Scoring System'!$B$5,0)))+ (IF(OR(AD1711="DEF",AD1711="GK"),H1711*'Scoring System'!$B$6,IF(AD1711="MID",H1711*'Scoring System'!$B$7,IF(AD1711="ATT",H1711*'Scoring System'!$B$8,0))))+ IF(AND(OR(AD1711="GK",AD1711="DEF"),J1711&gt;=3),1*'Scoring System'!$B$9,0)+ (I1711*'Scoring System'!$B$10)+ (K1711*'Scoring System'!$B$11)+ (M1711*'Scoring System'!$B$12)+ (L1711*'Scoring System'!$B$13)+ (O1711*'Scoring System'!$B$14)+ (Q1711*'Scoring System'!$B$15)+ (R1711*'Scoring System'!$B$16)</f>
        <v>2</v>
      </c>
      <c r="AB1711" s="3" t="b">
        <f>IFERROR(match(C1711,'Match Day Fees'!$B$2:$B$999,0),0)=0</f>
        <v>0</v>
      </c>
      <c r="AC1711" s="3">
        <f t="shared" si="2"/>
        <v>0</v>
      </c>
      <c r="AD1711" s="3" t="str">
        <f>VLOOKUP(D1711,'Position Lookup'!A:B,2,FALSE)</f>
        <v>MID</v>
      </c>
    </row>
    <row r="1712" ht="17.25" customHeight="1">
      <c r="A1712" s="10">
        <v>45325.0</v>
      </c>
      <c r="B1712" s="5" t="s">
        <v>309</v>
      </c>
      <c r="C1712" s="5" t="s">
        <v>1231</v>
      </c>
      <c r="D1712" s="3" t="s">
        <v>8</v>
      </c>
      <c r="E1712" s="5">
        <v>4.0</v>
      </c>
      <c r="F1712" s="3" t="s">
        <v>1814</v>
      </c>
      <c r="G1712" s="3" t="s">
        <v>242</v>
      </c>
      <c r="J1712" s="5">
        <v>1.0</v>
      </c>
      <c r="N1712" s="3" t="b">
        <v>0</v>
      </c>
      <c r="R1712" s="5">
        <v>0.0</v>
      </c>
      <c r="T1712" s="3">
        <v>5.0</v>
      </c>
      <c r="U1712" s="3">
        <v>8.5</v>
      </c>
      <c r="V1712" s="3" t="s">
        <v>1815</v>
      </c>
      <c r="W1712" s="3" t="s">
        <v>629</v>
      </c>
      <c r="X1712" s="77" t="s">
        <v>1816</v>
      </c>
      <c r="Y1712" s="3">
        <v>1.0</v>
      </c>
      <c r="Z1712" s="3">
        <v>1.0</v>
      </c>
      <c r="AA1712" s="3">
        <f>2+ (P1712*'Scoring System'!$B$3)+ (IF(OR(AD1712="DEF",AD1712="GK"),N1712*'Scoring System'!$B$4,IF(AD1712="MID",N1712*'Scoring System'!$B$5,0)))+ (IF(OR(AD1712="DEF",AD1712="GK"),H1712*'Scoring System'!$B$6,IF(AD1712="MID",H1712*'Scoring System'!$B$7,IF(AD1712="ATT",H1712*'Scoring System'!$B$8,0))))+ IF(AND(OR(AD1712="GK",AD1712="DEF"),J1712&gt;=3),1*'Scoring System'!$B$9,0)+ (I1712*'Scoring System'!$B$10)+ (K1712*'Scoring System'!$B$11)+ (M1712*'Scoring System'!$B$12)+ (L1712*'Scoring System'!$B$13)+ (O1712*'Scoring System'!$B$14)+ (Q1712*'Scoring System'!$B$15)+ (R1712*'Scoring System'!$B$16)</f>
        <v>2</v>
      </c>
      <c r="AB1712" s="3" t="b">
        <f>IFERROR(match(C1712,'Match Day Fees'!$B$2:$B$999,0),0)=0</f>
        <v>0</v>
      </c>
      <c r="AC1712" s="3">
        <f t="shared" si="2"/>
        <v>0</v>
      </c>
      <c r="AD1712" s="3" t="str">
        <f>VLOOKUP(D1712,'Position Lookup'!A:B,2,FALSE)</f>
        <v>GK</v>
      </c>
    </row>
    <row r="1713" ht="17.25" customHeight="1">
      <c r="A1713" s="10">
        <v>45325.0</v>
      </c>
      <c r="B1713" s="5" t="s">
        <v>309</v>
      </c>
      <c r="C1713" s="5" t="s">
        <v>145</v>
      </c>
      <c r="D1713" s="3" t="s">
        <v>14</v>
      </c>
      <c r="E1713" s="5">
        <v>4.0</v>
      </c>
      <c r="F1713" s="3" t="s">
        <v>1814</v>
      </c>
      <c r="G1713" s="3" t="s">
        <v>242</v>
      </c>
      <c r="J1713" s="5">
        <v>1.0</v>
      </c>
      <c r="N1713" s="3" t="b">
        <v>0</v>
      </c>
      <c r="R1713" s="3">
        <v>1.0</v>
      </c>
      <c r="T1713" s="3">
        <v>10.0</v>
      </c>
      <c r="U1713" s="3">
        <v>8.0</v>
      </c>
      <c r="V1713" s="3" t="s">
        <v>1817</v>
      </c>
      <c r="W1713" s="3" t="s">
        <v>629</v>
      </c>
      <c r="X1713" s="77" t="s">
        <v>1816</v>
      </c>
      <c r="Y1713" s="3">
        <v>1.0</v>
      </c>
      <c r="Z1713" s="3">
        <v>1.0</v>
      </c>
      <c r="AA1713" s="3">
        <f>2+ (P1713*'Scoring System'!$B$3)+ (IF(OR(AD1713="DEF",AD1713="GK"),N1713*'Scoring System'!$B$4,IF(AD1713="MID",N1713*'Scoring System'!$B$5,0)))+ (IF(OR(AD1713="DEF",AD1713="GK"),H1713*'Scoring System'!$B$6,IF(AD1713="MID",H1713*'Scoring System'!$B$7,IF(AD1713="ATT",H1713*'Scoring System'!$B$8,0))))+ IF(AND(OR(AD1713="GK",AD1713="DEF"),J1713&gt;=3),1*'Scoring System'!$B$9,0)+ (I1713*'Scoring System'!$B$10)+ (K1713*'Scoring System'!$B$11)+ (M1713*'Scoring System'!$B$12)+ (L1713*'Scoring System'!$B$13)+ (O1713*'Scoring System'!$B$14)+ (Q1713*'Scoring System'!$B$15)+ (R1713*'Scoring System'!$B$16)</f>
        <v>7</v>
      </c>
      <c r="AB1713" s="3" t="b">
        <f>IFERROR(match(C1713,'Match Day Fees'!$B$2:$B$999,0),0)=0</f>
        <v>0</v>
      </c>
      <c r="AC1713" s="3">
        <f t="shared" si="2"/>
        <v>0</v>
      </c>
      <c r="AD1713" s="3" t="str">
        <f>VLOOKUP(D1713,'Position Lookup'!A:B,2,FALSE)</f>
        <v>DEF</v>
      </c>
    </row>
    <row r="1714" ht="17.25" customHeight="1">
      <c r="A1714" s="10">
        <v>45325.0</v>
      </c>
      <c r="B1714" s="5" t="s">
        <v>309</v>
      </c>
      <c r="C1714" s="5" t="s">
        <v>122</v>
      </c>
      <c r="D1714" s="3" t="s">
        <v>14</v>
      </c>
      <c r="E1714" s="5">
        <v>4.0</v>
      </c>
      <c r="F1714" s="3" t="s">
        <v>1814</v>
      </c>
      <c r="G1714" s="3" t="s">
        <v>242</v>
      </c>
      <c r="J1714" s="5">
        <v>1.0</v>
      </c>
      <c r="N1714" s="3" t="b">
        <v>0</v>
      </c>
      <c r="R1714" s="5">
        <v>0.0</v>
      </c>
      <c r="T1714" s="3">
        <v>5.0</v>
      </c>
      <c r="U1714" s="3">
        <v>9.0</v>
      </c>
      <c r="V1714" s="3" t="s">
        <v>1818</v>
      </c>
      <c r="W1714" s="3" t="s">
        <v>629</v>
      </c>
      <c r="X1714" s="77" t="s">
        <v>1816</v>
      </c>
      <c r="Y1714" s="3">
        <v>1.0</v>
      </c>
      <c r="Z1714" s="3">
        <v>1.0</v>
      </c>
      <c r="AA1714" s="3">
        <f>2+ (P1714*'Scoring System'!$B$3)+ (IF(OR(AD1714="DEF",AD1714="GK"),N1714*'Scoring System'!$B$4,IF(AD1714="MID",N1714*'Scoring System'!$B$5,0)))+ (IF(OR(AD1714="DEF",AD1714="GK"),H1714*'Scoring System'!$B$6,IF(AD1714="MID",H1714*'Scoring System'!$B$7,IF(AD1714="ATT",H1714*'Scoring System'!$B$8,0))))+ IF(AND(OR(AD1714="GK",AD1714="DEF"),J1714&gt;=3),1*'Scoring System'!$B$9,0)+ (I1714*'Scoring System'!$B$10)+ (K1714*'Scoring System'!$B$11)+ (M1714*'Scoring System'!$B$12)+ (L1714*'Scoring System'!$B$13)+ (O1714*'Scoring System'!$B$14)+ (Q1714*'Scoring System'!$B$15)+ (R1714*'Scoring System'!$B$16)</f>
        <v>2</v>
      </c>
      <c r="AB1714" s="3" t="b">
        <f>IFERROR(match(C1714,'Match Day Fees'!$B$2:$B$999,0),0)=0</f>
        <v>0</v>
      </c>
      <c r="AC1714" s="3">
        <f t="shared" si="2"/>
        <v>0</v>
      </c>
      <c r="AD1714" s="3" t="str">
        <f>VLOOKUP(D1714,'Position Lookup'!A:B,2,FALSE)</f>
        <v>DEF</v>
      </c>
    </row>
    <row r="1715" ht="17.25" customHeight="1">
      <c r="A1715" s="10">
        <v>45325.0</v>
      </c>
      <c r="B1715" s="5" t="s">
        <v>309</v>
      </c>
      <c r="C1715" s="5" t="s">
        <v>144</v>
      </c>
      <c r="D1715" s="3" t="s">
        <v>18</v>
      </c>
      <c r="E1715" s="5">
        <v>4.0</v>
      </c>
      <c r="F1715" s="3" t="s">
        <v>1814</v>
      </c>
      <c r="G1715" s="3" t="s">
        <v>242</v>
      </c>
      <c r="J1715" s="5">
        <v>1.0</v>
      </c>
      <c r="N1715" s="3" t="b">
        <v>0</v>
      </c>
      <c r="R1715" s="5">
        <v>0.0</v>
      </c>
      <c r="T1715" s="3">
        <v>10.0</v>
      </c>
      <c r="U1715" s="3">
        <v>7.0</v>
      </c>
      <c r="V1715" s="3" t="s">
        <v>1819</v>
      </c>
      <c r="W1715" s="3" t="s">
        <v>629</v>
      </c>
      <c r="X1715" s="77" t="s">
        <v>1816</v>
      </c>
      <c r="Y1715" s="3">
        <v>1.0</v>
      </c>
      <c r="Z1715" s="3">
        <v>1.0</v>
      </c>
      <c r="AA1715" s="3">
        <f>2+ (P1715*'Scoring System'!$B$3)+ (IF(OR(AD1715="DEF",AD1715="GK"),N1715*'Scoring System'!$B$4,IF(AD1715="MID",N1715*'Scoring System'!$B$5,0)))+ (IF(OR(AD1715="DEF",AD1715="GK"),H1715*'Scoring System'!$B$6,IF(AD1715="MID",H1715*'Scoring System'!$B$7,IF(AD1715="ATT",H1715*'Scoring System'!$B$8,0))))+ IF(AND(OR(AD1715="GK",AD1715="DEF"),J1715&gt;=3),1*'Scoring System'!$B$9,0)+ (I1715*'Scoring System'!$B$10)+ (K1715*'Scoring System'!$B$11)+ (M1715*'Scoring System'!$B$12)+ (L1715*'Scoring System'!$B$13)+ (O1715*'Scoring System'!$B$14)+ (Q1715*'Scoring System'!$B$15)+ (R1715*'Scoring System'!$B$16)</f>
        <v>2</v>
      </c>
      <c r="AB1715" s="3" t="b">
        <f>IFERROR(match(C1715,'Match Day Fees'!$B$2:$B$999,0),0)=0</f>
        <v>0</v>
      </c>
      <c r="AC1715" s="3">
        <f t="shared" si="2"/>
        <v>0</v>
      </c>
      <c r="AD1715" s="3" t="str">
        <f>VLOOKUP(D1715,'Position Lookup'!A:B,2,FALSE)</f>
        <v>DEF</v>
      </c>
    </row>
    <row r="1716" ht="17.25" customHeight="1">
      <c r="A1716" s="10">
        <v>45325.0</v>
      </c>
      <c r="B1716" s="5" t="s">
        <v>309</v>
      </c>
      <c r="C1716" s="5" t="s">
        <v>149</v>
      </c>
      <c r="D1716" s="3" t="s">
        <v>17</v>
      </c>
      <c r="E1716" s="5">
        <v>4.0</v>
      </c>
      <c r="F1716" s="3" t="s">
        <v>1814</v>
      </c>
      <c r="G1716" s="3" t="s">
        <v>242</v>
      </c>
      <c r="J1716" s="5">
        <v>1.0</v>
      </c>
      <c r="N1716" s="3" t="b">
        <v>0</v>
      </c>
      <c r="R1716" s="5">
        <v>0.0</v>
      </c>
      <c r="T1716" s="3">
        <v>10.0</v>
      </c>
      <c r="U1716" s="3">
        <v>6.5</v>
      </c>
      <c r="V1716" s="3" t="s">
        <v>1820</v>
      </c>
      <c r="W1716" s="3" t="s">
        <v>629</v>
      </c>
      <c r="X1716" s="77" t="s">
        <v>1816</v>
      </c>
      <c r="Y1716" s="3">
        <v>1.0</v>
      </c>
      <c r="Z1716" s="3">
        <v>1.0</v>
      </c>
      <c r="AA1716" s="3">
        <f>2+ (P1716*'Scoring System'!$B$3)+ (IF(OR(AD1716="DEF",AD1716="GK"),N1716*'Scoring System'!$B$4,IF(AD1716="MID",N1716*'Scoring System'!$B$5,0)))+ (IF(OR(AD1716="DEF",AD1716="GK"),H1716*'Scoring System'!$B$6,IF(AD1716="MID",H1716*'Scoring System'!$B$7,IF(AD1716="ATT",H1716*'Scoring System'!$B$8,0))))+ IF(AND(OR(AD1716="GK",AD1716="DEF"),J1716&gt;=3),1*'Scoring System'!$B$9,0)+ (I1716*'Scoring System'!$B$10)+ (K1716*'Scoring System'!$B$11)+ (M1716*'Scoring System'!$B$12)+ (L1716*'Scoring System'!$B$13)+ (O1716*'Scoring System'!$B$14)+ (Q1716*'Scoring System'!$B$15)+ (R1716*'Scoring System'!$B$16)</f>
        <v>2</v>
      </c>
      <c r="AB1716" s="3" t="b">
        <f>IFERROR(match(C1716,'Match Day Fees'!$B$2:$B$999,0),0)=0</f>
        <v>0</v>
      </c>
      <c r="AC1716" s="3">
        <f t="shared" si="2"/>
        <v>0</v>
      </c>
      <c r="AD1716" s="3" t="str">
        <f>VLOOKUP(D1716,'Position Lookup'!A:B,2,FALSE)</f>
        <v>DEF</v>
      </c>
    </row>
    <row r="1717" ht="17.25" customHeight="1">
      <c r="A1717" s="10">
        <v>45325.0</v>
      </c>
      <c r="B1717" s="5" t="s">
        <v>309</v>
      </c>
      <c r="C1717" s="5" t="s">
        <v>308</v>
      </c>
      <c r="D1717" s="3" t="s">
        <v>20</v>
      </c>
      <c r="E1717" s="5">
        <v>4.0</v>
      </c>
      <c r="F1717" s="3" t="s">
        <v>1814</v>
      </c>
      <c r="G1717" s="3" t="s">
        <v>242</v>
      </c>
      <c r="J1717" s="5">
        <v>1.0</v>
      </c>
      <c r="K1717" s="3">
        <v>1.0</v>
      </c>
      <c r="N1717" s="3" t="b">
        <v>0</v>
      </c>
      <c r="R1717" s="5">
        <v>0.0</v>
      </c>
      <c r="T1717" s="3">
        <v>10.0</v>
      </c>
      <c r="U1717" s="3">
        <v>7.5</v>
      </c>
      <c r="V1717" s="3" t="s">
        <v>1821</v>
      </c>
      <c r="W1717" s="3" t="s">
        <v>629</v>
      </c>
      <c r="X1717" s="77" t="s">
        <v>1816</v>
      </c>
      <c r="Y1717" s="3">
        <v>1.0</v>
      </c>
      <c r="Z1717" s="3">
        <v>1.0</v>
      </c>
      <c r="AA1717" s="3">
        <f>2+ (P1717*'Scoring System'!$B$3)+ (IF(OR(AD1717="DEF",AD1717="GK"),N1717*'Scoring System'!$B$4,IF(AD1717="MID",N1717*'Scoring System'!$B$5,0)))+ (IF(OR(AD1717="DEF",AD1717="GK"),H1717*'Scoring System'!$B$6,IF(AD1717="MID",H1717*'Scoring System'!$B$7,IF(AD1717="ATT",H1717*'Scoring System'!$B$8,0))))+ IF(AND(OR(AD1717="GK",AD1717="DEF"),J1717&gt;=3),1*'Scoring System'!$B$9,0)+ (I1717*'Scoring System'!$B$10)+ (K1717*'Scoring System'!$B$11)+ (M1717*'Scoring System'!$B$12)+ (L1717*'Scoring System'!$B$13)+ (O1717*'Scoring System'!$B$14)+ (Q1717*'Scoring System'!$B$15)+ (R1717*'Scoring System'!$B$16)</f>
        <v>1</v>
      </c>
      <c r="AB1717" s="3" t="b">
        <f>IFERROR(match(C1717,'Match Day Fees'!$B$2:$B$999,0),0)=0</f>
        <v>0</v>
      </c>
      <c r="AC1717" s="3">
        <f t="shared" si="2"/>
        <v>0</v>
      </c>
      <c r="AD1717" s="3" t="str">
        <f>VLOOKUP(D1717,'Position Lookup'!A:B,2,FALSE)</f>
        <v>MID</v>
      </c>
    </row>
    <row r="1718" ht="17.25" customHeight="1">
      <c r="A1718" s="10">
        <v>45325.0</v>
      </c>
      <c r="B1718" s="5" t="s">
        <v>309</v>
      </c>
      <c r="C1718" s="5" t="s">
        <v>237</v>
      </c>
      <c r="D1718" s="3" t="s">
        <v>20</v>
      </c>
      <c r="E1718" s="5">
        <v>4.0</v>
      </c>
      <c r="F1718" s="3" t="s">
        <v>1814</v>
      </c>
      <c r="G1718" s="3" t="s">
        <v>242</v>
      </c>
      <c r="J1718" s="5">
        <v>1.0</v>
      </c>
      <c r="N1718" s="3" t="b">
        <v>0</v>
      </c>
      <c r="R1718" s="5">
        <v>0.0</v>
      </c>
      <c r="T1718" s="3">
        <v>5.0</v>
      </c>
      <c r="U1718" s="3">
        <v>7.0</v>
      </c>
      <c r="V1718" s="3" t="s">
        <v>1822</v>
      </c>
      <c r="W1718" s="3" t="s">
        <v>629</v>
      </c>
      <c r="X1718" s="77" t="s">
        <v>1816</v>
      </c>
      <c r="Y1718" s="3">
        <v>1.0</v>
      </c>
      <c r="Z1718" s="3">
        <v>1.0</v>
      </c>
      <c r="AA1718" s="3">
        <f>2+ (P1718*'Scoring System'!$B$3)+ (IF(OR(AD1718="DEF",AD1718="GK"),N1718*'Scoring System'!$B$4,IF(AD1718="MID",N1718*'Scoring System'!$B$5,0)))+ (IF(OR(AD1718="DEF",AD1718="GK"),H1718*'Scoring System'!$B$6,IF(AD1718="MID",H1718*'Scoring System'!$B$7,IF(AD1718="ATT",H1718*'Scoring System'!$B$8,0))))+ IF(AND(OR(AD1718="GK",AD1718="DEF"),J1718&gt;=3),1*'Scoring System'!$B$9,0)+ (I1718*'Scoring System'!$B$10)+ (K1718*'Scoring System'!$B$11)+ (M1718*'Scoring System'!$B$12)+ (L1718*'Scoring System'!$B$13)+ (O1718*'Scoring System'!$B$14)+ (Q1718*'Scoring System'!$B$15)+ (R1718*'Scoring System'!$B$16)</f>
        <v>2</v>
      </c>
      <c r="AB1718" s="3" t="b">
        <f>IFERROR(match(C1718,'Match Day Fees'!$B$2:$B$999,0),0)=0</f>
        <v>0</v>
      </c>
      <c r="AC1718" s="3">
        <f t="shared" si="2"/>
        <v>0</v>
      </c>
      <c r="AD1718" s="3" t="str">
        <f>VLOOKUP(D1718,'Position Lookup'!A:B,2,FALSE)</f>
        <v>MID</v>
      </c>
    </row>
    <row r="1719" ht="17.25" customHeight="1">
      <c r="A1719" s="10">
        <v>45325.0</v>
      </c>
      <c r="B1719" s="5" t="s">
        <v>309</v>
      </c>
      <c r="C1719" s="5" t="s">
        <v>136</v>
      </c>
      <c r="D1719" s="3" t="s">
        <v>20</v>
      </c>
      <c r="E1719" s="5">
        <v>4.0</v>
      </c>
      <c r="F1719" s="3" t="s">
        <v>1814</v>
      </c>
      <c r="G1719" s="3" t="s">
        <v>242</v>
      </c>
      <c r="J1719" s="5">
        <v>1.0</v>
      </c>
      <c r="N1719" s="3" t="b">
        <v>0</v>
      </c>
      <c r="R1719" s="5">
        <v>0.0</v>
      </c>
      <c r="S1719" s="3" t="b">
        <v>1</v>
      </c>
      <c r="T1719" s="3">
        <v>0.0</v>
      </c>
      <c r="U1719" s="3">
        <v>7.5</v>
      </c>
      <c r="V1719" s="3" t="s">
        <v>1823</v>
      </c>
      <c r="W1719" s="3" t="s">
        <v>629</v>
      </c>
      <c r="X1719" s="77" t="s">
        <v>1816</v>
      </c>
      <c r="Y1719" s="3">
        <v>1.0</v>
      </c>
      <c r="Z1719" s="3">
        <v>1.0</v>
      </c>
      <c r="AA1719" s="3">
        <f>2+ (P1719*'Scoring System'!$B$3)+ (IF(OR(AD1719="DEF",AD1719="GK"),N1719*'Scoring System'!$B$4,IF(AD1719="MID",N1719*'Scoring System'!$B$5,0)))+ (IF(OR(AD1719="DEF",AD1719="GK"),H1719*'Scoring System'!$B$6,IF(AD1719="MID",H1719*'Scoring System'!$B$7,IF(AD1719="ATT",H1719*'Scoring System'!$B$8,0))))+ IF(AND(OR(AD1719="GK",AD1719="DEF"),J1719&gt;=3),1*'Scoring System'!$B$9,0)+ (I1719*'Scoring System'!$B$10)+ (K1719*'Scoring System'!$B$11)+ (M1719*'Scoring System'!$B$12)+ (L1719*'Scoring System'!$B$13)+ (O1719*'Scoring System'!$B$14)+ (Q1719*'Scoring System'!$B$15)+ (R1719*'Scoring System'!$B$16)</f>
        <v>2</v>
      </c>
      <c r="AB1719" s="3" t="b">
        <f>IFERROR(match(C1719,'Match Day Fees'!$B$2:$B$999,0),0)=0</f>
        <v>0</v>
      </c>
      <c r="AC1719" s="3">
        <f t="shared" si="2"/>
        <v>0</v>
      </c>
      <c r="AD1719" s="3" t="str">
        <f>VLOOKUP(D1719,'Position Lookup'!A:B,2,FALSE)</f>
        <v>MID</v>
      </c>
    </row>
    <row r="1720" ht="17.25" customHeight="1">
      <c r="A1720" s="10">
        <v>45325.0</v>
      </c>
      <c r="B1720" s="5" t="s">
        <v>309</v>
      </c>
      <c r="C1720" s="5" t="s">
        <v>45</v>
      </c>
      <c r="D1720" s="3" t="s">
        <v>22</v>
      </c>
      <c r="E1720" s="5">
        <v>4.0</v>
      </c>
      <c r="F1720" s="3" t="s">
        <v>1814</v>
      </c>
      <c r="G1720" s="3" t="s">
        <v>242</v>
      </c>
      <c r="J1720" s="5">
        <v>1.0</v>
      </c>
      <c r="N1720" s="3" t="b">
        <v>0</v>
      </c>
      <c r="R1720" s="5">
        <v>0.0</v>
      </c>
      <c r="T1720" s="3">
        <v>10.0</v>
      </c>
      <c r="U1720" s="3">
        <v>7.0</v>
      </c>
      <c r="V1720" s="3" t="s">
        <v>1824</v>
      </c>
      <c r="W1720" s="3" t="s">
        <v>629</v>
      </c>
      <c r="X1720" s="77" t="s">
        <v>1816</v>
      </c>
      <c r="Y1720" s="3">
        <v>1.0</v>
      </c>
      <c r="Z1720" s="3">
        <v>1.0</v>
      </c>
      <c r="AA1720" s="3">
        <f>2+ (P1720*'Scoring System'!$B$3)+ (IF(OR(AD1720="DEF",AD1720="GK"),N1720*'Scoring System'!$B$4,IF(AD1720="MID",N1720*'Scoring System'!$B$5,0)))+ (IF(OR(AD1720="DEF",AD1720="GK"),H1720*'Scoring System'!$B$6,IF(AD1720="MID",H1720*'Scoring System'!$B$7,IF(AD1720="ATT",H1720*'Scoring System'!$B$8,0))))+ IF(AND(OR(AD1720="GK",AD1720="DEF"),J1720&gt;=3),1*'Scoring System'!$B$9,0)+ (I1720*'Scoring System'!$B$10)+ (K1720*'Scoring System'!$B$11)+ (M1720*'Scoring System'!$B$12)+ (L1720*'Scoring System'!$B$13)+ (O1720*'Scoring System'!$B$14)+ (Q1720*'Scoring System'!$B$15)+ (R1720*'Scoring System'!$B$16)</f>
        <v>2</v>
      </c>
      <c r="AB1720" s="3" t="b">
        <f>IFERROR(match(C1720,'Match Day Fees'!$B$2:$B$999,0),0)=0</f>
        <v>0</v>
      </c>
      <c r="AC1720" s="3">
        <f t="shared" si="2"/>
        <v>0</v>
      </c>
      <c r="AD1720" s="3" t="str">
        <f>VLOOKUP(D1720,'Position Lookup'!A:B,2,FALSE)</f>
        <v>ATT</v>
      </c>
    </row>
    <row r="1721" ht="17.25" customHeight="1">
      <c r="A1721" s="10">
        <v>45325.0</v>
      </c>
      <c r="B1721" s="5" t="s">
        <v>309</v>
      </c>
      <c r="C1721" s="5" t="s">
        <v>109</v>
      </c>
      <c r="D1721" s="5" t="s">
        <v>24</v>
      </c>
      <c r="E1721" s="5">
        <v>4.0</v>
      </c>
      <c r="F1721" s="3" t="s">
        <v>1814</v>
      </c>
      <c r="G1721" s="3" t="s">
        <v>242</v>
      </c>
      <c r="H1721" s="3">
        <v>1.0</v>
      </c>
      <c r="J1721" s="5">
        <v>1.0</v>
      </c>
      <c r="N1721" s="3" t="b">
        <v>0</v>
      </c>
      <c r="R1721" s="5">
        <v>0.0</v>
      </c>
      <c r="T1721" s="3">
        <v>5.0</v>
      </c>
      <c r="U1721" s="3">
        <v>8.5</v>
      </c>
      <c r="V1721" s="3" t="s">
        <v>1825</v>
      </c>
      <c r="W1721" s="3" t="s">
        <v>629</v>
      </c>
      <c r="X1721" s="77" t="s">
        <v>1816</v>
      </c>
      <c r="Y1721" s="3">
        <v>1.0</v>
      </c>
      <c r="Z1721" s="3">
        <v>1.0</v>
      </c>
      <c r="AA1721" s="3">
        <f>2+ (P1721*'Scoring System'!$B$3)+ (IF(OR(AD1721="DEF",AD1721="GK"),N1721*'Scoring System'!$B$4,IF(AD1721="MID",N1721*'Scoring System'!$B$5,0)))+ (IF(OR(AD1721="DEF",AD1721="GK"),H1721*'Scoring System'!$B$6,IF(AD1721="MID",H1721*'Scoring System'!$B$7,IF(AD1721="ATT",H1721*'Scoring System'!$B$8,0))))+ IF(AND(OR(AD1721="GK",AD1721="DEF"),J1721&gt;=3),1*'Scoring System'!$B$9,0)+ (I1721*'Scoring System'!$B$10)+ (K1721*'Scoring System'!$B$11)+ (M1721*'Scoring System'!$B$12)+ (L1721*'Scoring System'!$B$13)+ (O1721*'Scoring System'!$B$14)+ (Q1721*'Scoring System'!$B$15)+ (R1721*'Scoring System'!$B$16)</f>
        <v>6</v>
      </c>
      <c r="AB1721" s="3" t="b">
        <f>IFERROR(match(C1721,'Match Day Fees'!$B$2:$B$999,0),0)=0</f>
        <v>0</v>
      </c>
      <c r="AC1721" s="3">
        <f t="shared" si="2"/>
        <v>0</v>
      </c>
      <c r="AD1721" s="3" t="str">
        <f>VLOOKUP(D1721,'Position Lookup'!A:B,2,FALSE)</f>
        <v>ATT</v>
      </c>
    </row>
    <row r="1722" ht="17.25" customHeight="1">
      <c r="A1722" s="10">
        <v>45325.0</v>
      </c>
      <c r="B1722" s="5" t="s">
        <v>309</v>
      </c>
      <c r="C1722" s="5" t="s">
        <v>46</v>
      </c>
      <c r="D1722" s="3" t="s">
        <v>23</v>
      </c>
      <c r="E1722" s="5">
        <v>4.0</v>
      </c>
      <c r="F1722" s="3" t="s">
        <v>1814</v>
      </c>
      <c r="G1722" s="3" t="s">
        <v>242</v>
      </c>
      <c r="J1722" s="5">
        <v>1.0</v>
      </c>
      <c r="N1722" s="3" t="b">
        <v>0</v>
      </c>
      <c r="R1722" s="5">
        <v>0.0</v>
      </c>
      <c r="T1722" s="3">
        <v>10.0</v>
      </c>
      <c r="U1722" s="3">
        <v>8.0</v>
      </c>
      <c r="V1722" s="3" t="s">
        <v>1826</v>
      </c>
      <c r="W1722" s="3" t="s">
        <v>629</v>
      </c>
      <c r="X1722" s="77" t="s">
        <v>1816</v>
      </c>
      <c r="Y1722" s="3">
        <v>1.0</v>
      </c>
      <c r="Z1722" s="3">
        <v>1.0</v>
      </c>
      <c r="AA1722" s="3">
        <f>2+ (P1722*'Scoring System'!$B$3)+ (IF(OR(AD1722="DEF",AD1722="GK"),N1722*'Scoring System'!$B$4,IF(AD1722="MID",N1722*'Scoring System'!$B$5,0)))+ (IF(OR(AD1722="DEF",AD1722="GK"),H1722*'Scoring System'!$B$6,IF(AD1722="MID",H1722*'Scoring System'!$B$7,IF(AD1722="ATT",H1722*'Scoring System'!$B$8,0))))+ IF(AND(OR(AD1722="GK",AD1722="DEF"),J1722&gt;=3),1*'Scoring System'!$B$9,0)+ (I1722*'Scoring System'!$B$10)+ (K1722*'Scoring System'!$B$11)+ (M1722*'Scoring System'!$B$12)+ (L1722*'Scoring System'!$B$13)+ (O1722*'Scoring System'!$B$14)+ (Q1722*'Scoring System'!$B$15)+ (R1722*'Scoring System'!$B$16)</f>
        <v>2</v>
      </c>
      <c r="AB1722" s="3" t="b">
        <f>IFERROR(match(C1722,'Match Day Fees'!$B$2:$B$999,0),0)=0</f>
        <v>0</v>
      </c>
      <c r="AC1722" s="3">
        <f t="shared" si="2"/>
        <v>0</v>
      </c>
      <c r="AD1722" s="3" t="str">
        <f>VLOOKUP(D1722,'Position Lookup'!A:B,2,FALSE)</f>
        <v>ATT</v>
      </c>
    </row>
    <row r="1723" ht="17.25" customHeight="1">
      <c r="A1723" s="10">
        <v>45325.0</v>
      </c>
      <c r="B1723" s="5" t="s">
        <v>309</v>
      </c>
      <c r="C1723" s="5" t="s">
        <v>54</v>
      </c>
      <c r="D1723" s="3" t="s">
        <v>20</v>
      </c>
      <c r="E1723" s="5">
        <v>4.0</v>
      </c>
      <c r="F1723" s="3" t="s">
        <v>1814</v>
      </c>
      <c r="G1723" s="3" t="s">
        <v>242</v>
      </c>
      <c r="J1723" s="5">
        <v>1.0</v>
      </c>
      <c r="N1723" s="3" t="b">
        <v>0</v>
      </c>
      <c r="R1723" s="5">
        <v>0.0</v>
      </c>
      <c r="T1723" s="3">
        <v>5.0</v>
      </c>
      <c r="U1723" s="3">
        <v>7.0</v>
      </c>
      <c r="V1723" s="3" t="s">
        <v>1827</v>
      </c>
      <c r="W1723" s="3" t="s">
        <v>629</v>
      </c>
      <c r="X1723" s="77" t="s">
        <v>1816</v>
      </c>
      <c r="Y1723" s="3">
        <v>1.0</v>
      </c>
      <c r="Z1723" s="3">
        <v>1.0</v>
      </c>
      <c r="AA1723" s="3">
        <f>2+ (P1723*'Scoring System'!$B$3)+ (IF(OR(AD1723="DEF",AD1723="GK"),N1723*'Scoring System'!$B$4,IF(AD1723="MID",N1723*'Scoring System'!$B$5,0)))+ (IF(OR(AD1723="DEF",AD1723="GK"),H1723*'Scoring System'!$B$6,IF(AD1723="MID",H1723*'Scoring System'!$B$7,IF(AD1723="ATT",H1723*'Scoring System'!$B$8,0))))+ IF(AND(OR(AD1723="GK",AD1723="DEF"),J1723&gt;=3),1*'Scoring System'!$B$9,0)+ (I1723*'Scoring System'!$B$10)+ (K1723*'Scoring System'!$B$11)+ (M1723*'Scoring System'!$B$12)+ (L1723*'Scoring System'!$B$13)+ (O1723*'Scoring System'!$B$14)+ (Q1723*'Scoring System'!$B$15)+ (R1723*'Scoring System'!$B$16)</f>
        <v>2</v>
      </c>
      <c r="AB1723" s="3" t="b">
        <f>IFERROR(match(C1723,'Match Day Fees'!$B$2:$B$999,0),0)=0</f>
        <v>0</v>
      </c>
      <c r="AC1723" s="3">
        <f t="shared" si="2"/>
        <v>0</v>
      </c>
      <c r="AD1723" s="3" t="str">
        <f>VLOOKUP(D1723,'Position Lookup'!A:B,2,FALSE)</f>
        <v>MID</v>
      </c>
    </row>
    <row r="1724" ht="17.25" customHeight="1">
      <c r="A1724" s="10">
        <v>45325.0</v>
      </c>
      <c r="B1724" s="5" t="s">
        <v>309</v>
      </c>
      <c r="C1724" s="5" t="s">
        <v>1153</v>
      </c>
      <c r="D1724" s="3" t="s">
        <v>14</v>
      </c>
      <c r="E1724" s="5">
        <v>4.0</v>
      </c>
      <c r="F1724" s="3" t="s">
        <v>1814</v>
      </c>
      <c r="G1724" s="3" t="s">
        <v>242</v>
      </c>
      <c r="J1724" s="5">
        <v>1.0</v>
      </c>
      <c r="N1724" s="3" t="b">
        <v>0</v>
      </c>
      <c r="R1724" s="5">
        <v>0.0</v>
      </c>
      <c r="T1724" s="3">
        <v>10.0</v>
      </c>
      <c r="U1724" s="3">
        <v>7.0</v>
      </c>
      <c r="V1724" s="3" t="s">
        <v>1828</v>
      </c>
      <c r="W1724" s="3" t="s">
        <v>629</v>
      </c>
      <c r="X1724" s="77" t="s">
        <v>1816</v>
      </c>
      <c r="Y1724" s="3">
        <v>1.0</v>
      </c>
      <c r="Z1724" s="3">
        <v>1.0</v>
      </c>
      <c r="AA1724" s="3">
        <f>2+ (P1724*'Scoring System'!$B$3)+ (IF(OR(AD1724="DEF",AD1724="GK"),N1724*'Scoring System'!$B$4,IF(AD1724="MID",N1724*'Scoring System'!$B$5,0)))+ (IF(OR(AD1724="DEF",AD1724="GK"),H1724*'Scoring System'!$B$6,IF(AD1724="MID",H1724*'Scoring System'!$B$7,IF(AD1724="ATT",H1724*'Scoring System'!$B$8,0))))+ IF(AND(OR(AD1724="GK",AD1724="DEF"),J1724&gt;=3),1*'Scoring System'!$B$9,0)+ (I1724*'Scoring System'!$B$10)+ (K1724*'Scoring System'!$B$11)+ (M1724*'Scoring System'!$B$12)+ (L1724*'Scoring System'!$B$13)+ (O1724*'Scoring System'!$B$14)+ (Q1724*'Scoring System'!$B$15)+ (R1724*'Scoring System'!$B$16)</f>
        <v>2</v>
      </c>
      <c r="AB1724" s="3" t="b">
        <f>IFERROR(match(C1724,'Match Day Fees'!$B$2:$B$999,0),0)=0</f>
        <v>0</v>
      </c>
      <c r="AC1724" s="3">
        <f t="shared" si="2"/>
        <v>0</v>
      </c>
      <c r="AD1724" s="3" t="str">
        <f>VLOOKUP(D1724,'Position Lookup'!A:B,2,FALSE)</f>
        <v>DEF</v>
      </c>
    </row>
    <row r="1725" ht="17.25" customHeight="1">
      <c r="A1725" s="10">
        <v>45332.0</v>
      </c>
      <c r="B1725" s="5" t="s">
        <v>712</v>
      </c>
      <c r="C1725" s="3" t="s">
        <v>38</v>
      </c>
      <c r="D1725" s="3" t="s">
        <v>8</v>
      </c>
      <c r="E1725" s="5">
        <v>3.0</v>
      </c>
      <c r="F1725" s="3" t="s">
        <v>1829</v>
      </c>
      <c r="G1725" s="3" t="s">
        <v>230</v>
      </c>
      <c r="J1725" s="5">
        <v>3.0</v>
      </c>
      <c r="N1725" s="3" t="b">
        <v>0</v>
      </c>
      <c r="R1725" s="3">
        <v>0.0</v>
      </c>
      <c r="T1725" s="3">
        <v>10.0</v>
      </c>
      <c r="U1725" s="3">
        <v>5.0</v>
      </c>
      <c r="V1725" s="3" t="s">
        <v>1830</v>
      </c>
      <c r="W1725" s="3" t="s">
        <v>344</v>
      </c>
      <c r="X1725" s="77" t="s">
        <v>1831</v>
      </c>
      <c r="Y1725" s="3">
        <v>0.0</v>
      </c>
      <c r="Z1725" s="3">
        <v>3.0</v>
      </c>
      <c r="AA1725" s="3">
        <f>2+ (P1725*'Scoring System'!$B$3)+ (IF(OR(AD1725="DEF",AD1725="GK"),N1725*'Scoring System'!$B$4,IF(AD1725="MID",N1725*'Scoring System'!$B$5,0)))+ (IF(OR(AD1725="DEF",AD1725="GK"),H1725*'Scoring System'!$B$6,IF(AD1725="MID",H1725*'Scoring System'!$B$7,IF(AD1725="ATT",H1725*'Scoring System'!$B$8,0))))+ IF(AND(OR(AD1725="GK",AD1725="DEF"),J1725&gt;=3),1*'Scoring System'!$B$9,0)+ (I1725*'Scoring System'!$B$10)+ (K1725*'Scoring System'!$B$11)+ (M1725*'Scoring System'!$B$12)+ (L1725*'Scoring System'!$B$13)+ (O1725*'Scoring System'!$B$14)+ (Q1725*'Scoring System'!$B$15)+ (R1725*'Scoring System'!$B$16)</f>
        <v>1</v>
      </c>
      <c r="AB1725" s="3" t="b">
        <f>IFERROR(match(C1725,'Match Day Fees'!$B$2:$B$999,0),0)=0</f>
        <v>0</v>
      </c>
      <c r="AC1725" s="3">
        <f t="shared" si="2"/>
        <v>0</v>
      </c>
      <c r="AD1725" s="3" t="str">
        <f>VLOOKUP(D1725,'Position Lookup'!A:B,2,FALSE)</f>
        <v>GK</v>
      </c>
    </row>
    <row r="1726" ht="17.25" customHeight="1">
      <c r="A1726" s="10">
        <v>45332.0</v>
      </c>
      <c r="B1726" s="5" t="s">
        <v>712</v>
      </c>
      <c r="C1726" s="3" t="s">
        <v>1072</v>
      </c>
      <c r="D1726" s="3" t="s">
        <v>16</v>
      </c>
      <c r="E1726" s="5">
        <v>3.0</v>
      </c>
      <c r="F1726" s="3" t="s">
        <v>1829</v>
      </c>
      <c r="G1726" s="3" t="s">
        <v>230</v>
      </c>
      <c r="J1726" s="5">
        <v>3.0</v>
      </c>
      <c r="N1726" s="3" t="b">
        <v>0</v>
      </c>
      <c r="R1726" s="3">
        <v>0.0</v>
      </c>
      <c r="T1726" s="3">
        <v>10.0</v>
      </c>
      <c r="U1726" s="3">
        <v>5.0</v>
      </c>
      <c r="V1726" s="3" t="s">
        <v>1832</v>
      </c>
      <c r="W1726" s="3" t="s">
        <v>344</v>
      </c>
      <c r="X1726" s="77" t="s">
        <v>1831</v>
      </c>
      <c r="Y1726" s="3">
        <v>0.0</v>
      </c>
      <c r="Z1726" s="3">
        <v>3.0</v>
      </c>
      <c r="AA1726" s="3">
        <f>2+ (P1726*'Scoring System'!$B$3)+ (IF(OR(AD1726="DEF",AD1726="GK"),N1726*'Scoring System'!$B$4,IF(AD1726="MID",N1726*'Scoring System'!$B$5,0)))+ (IF(OR(AD1726="DEF",AD1726="GK"),H1726*'Scoring System'!$B$6,IF(AD1726="MID",H1726*'Scoring System'!$B$7,IF(AD1726="ATT",H1726*'Scoring System'!$B$8,0))))+ IF(AND(OR(AD1726="GK",AD1726="DEF"),J1726&gt;=3),1*'Scoring System'!$B$9,0)+ (I1726*'Scoring System'!$B$10)+ (K1726*'Scoring System'!$B$11)+ (M1726*'Scoring System'!$B$12)+ (L1726*'Scoring System'!$B$13)+ (O1726*'Scoring System'!$B$14)+ (Q1726*'Scoring System'!$B$15)+ (R1726*'Scoring System'!$B$16)</f>
        <v>1</v>
      </c>
      <c r="AB1726" s="3" t="b">
        <f>IFERROR(match(C1726,'Match Day Fees'!$B$2:$B$999,0),0)=0</f>
        <v>0</v>
      </c>
      <c r="AC1726" s="3">
        <f t="shared" si="2"/>
        <v>0</v>
      </c>
      <c r="AD1726" s="3" t="str">
        <f>VLOOKUP(D1726,'Position Lookup'!A:B,2,FALSE)</f>
        <v>DEF</v>
      </c>
    </row>
    <row r="1727" ht="17.25" customHeight="1">
      <c r="A1727" s="10">
        <v>45332.0</v>
      </c>
      <c r="B1727" s="5" t="s">
        <v>712</v>
      </c>
      <c r="C1727" s="3" t="s">
        <v>39</v>
      </c>
      <c r="D1727" s="3" t="s">
        <v>14</v>
      </c>
      <c r="E1727" s="5">
        <v>3.0</v>
      </c>
      <c r="F1727" s="3" t="s">
        <v>1829</v>
      </c>
      <c r="G1727" s="3" t="s">
        <v>230</v>
      </c>
      <c r="J1727" s="5">
        <v>3.0</v>
      </c>
      <c r="N1727" s="3" t="b">
        <v>0</v>
      </c>
      <c r="R1727" s="3">
        <v>0.0</v>
      </c>
      <c r="T1727" s="3">
        <v>10.0</v>
      </c>
      <c r="U1727" s="3">
        <v>6.0</v>
      </c>
      <c r="V1727" s="3" t="s">
        <v>1833</v>
      </c>
      <c r="W1727" s="3" t="s">
        <v>344</v>
      </c>
      <c r="X1727" s="77" t="s">
        <v>1831</v>
      </c>
      <c r="Y1727" s="3">
        <v>0.0</v>
      </c>
      <c r="Z1727" s="3">
        <v>3.0</v>
      </c>
      <c r="AA1727" s="3">
        <f>2+ (P1727*'Scoring System'!$B$3)+ (IF(OR(AD1727="DEF",AD1727="GK"),N1727*'Scoring System'!$B$4,IF(AD1727="MID",N1727*'Scoring System'!$B$5,0)))+ (IF(OR(AD1727="DEF",AD1727="GK"),H1727*'Scoring System'!$B$6,IF(AD1727="MID",H1727*'Scoring System'!$B$7,IF(AD1727="ATT",H1727*'Scoring System'!$B$8,0))))+ IF(AND(OR(AD1727="GK",AD1727="DEF"),J1727&gt;=3),1*'Scoring System'!$B$9,0)+ (I1727*'Scoring System'!$B$10)+ (K1727*'Scoring System'!$B$11)+ (M1727*'Scoring System'!$B$12)+ (L1727*'Scoring System'!$B$13)+ (O1727*'Scoring System'!$B$14)+ (Q1727*'Scoring System'!$B$15)+ (R1727*'Scoring System'!$B$16)</f>
        <v>1</v>
      </c>
      <c r="AB1727" s="3" t="b">
        <f>IFERROR(match(C1727,'Match Day Fees'!$B$2:$B$999,0),0)=0</f>
        <v>0</v>
      </c>
      <c r="AC1727" s="3">
        <f t="shared" si="2"/>
        <v>0</v>
      </c>
      <c r="AD1727" s="3" t="str">
        <f>VLOOKUP(D1727,'Position Lookup'!A:B,2,FALSE)</f>
        <v>DEF</v>
      </c>
    </row>
    <row r="1728" ht="17.25" customHeight="1">
      <c r="A1728" s="10">
        <v>45332.0</v>
      </c>
      <c r="B1728" s="5" t="s">
        <v>712</v>
      </c>
      <c r="C1728" s="3" t="s">
        <v>91</v>
      </c>
      <c r="D1728" s="3" t="s">
        <v>14</v>
      </c>
      <c r="E1728" s="5">
        <v>3.0</v>
      </c>
      <c r="F1728" s="3" t="s">
        <v>1829</v>
      </c>
      <c r="G1728" s="3" t="s">
        <v>230</v>
      </c>
      <c r="J1728" s="5">
        <v>3.0</v>
      </c>
      <c r="N1728" s="3" t="b">
        <v>0</v>
      </c>
      <c r="R1728" s="3">
        <v>0.0</v>
      </c>
      <c r="T1728" s="3">
        <v>2.5</v>
      </c>
      <c r="U1728" s="3">
        <v>4.5</v>
      </c>
      <c r="V1728" s="3" t="s">
        <v>1834</v>
      </c>
      <c r="W1728" s="3" t="s">
        <v>344</v>
      </c>
      <c r="X1728" s="77" t="s">
        <v>1831</v>
      </c>
      <c r="Y1728" s="3">
        <v>0.0</v>
      </c>
      <c r="Z1728" s="3">
        <v>3.0</v>
      </c>
      <c r="AA1728" s="3">
        <f>2+ (P1728*'Scoring System'!$B$3)+ (IF(OR(AD1728="DEF",AD1728="GK"),N1728*'Scoring System'!$B$4,IF(AD1728="MID",N1728*'Scoring System'!$B$5,0)))+ (IF(OR(AD1728="DEF",AD1728="GK"),H1728*'Scoring System'!$B$6,IF(AD1728="MID",H1728*'Scoring System'!$B$7,IF(AD1728="ATT",H1728*'Scoring System'!$B$8,0))))+ IF(AND(OR(AD1728="GK",AD1728="DEF"),J1728&gt;=3),1*'Scoring System'!$B$9,0)+ (I1728*'Scoring System'!$B$10)+ (K1728*'Scoring System'!$B$11)+ (M1728*'Scoring System'!$B$12)+ (L1728*'Scoring System'!$B$13)+ (O1728*'Scoring System'!$B$14)+ (Q1728*'Scoring System'!$B$15)+ (R1728*'Scoring System'!$B$16)</f>
        <v>1</v>
      </c>
      <c r="AB1728" s="3" t="b">
        <f>IFERROR(match(C1728,'Match Day Fees'!$B$2:$B$999,0),0)=0</f>
        <v>0</v>
      </c>
      <c r="AC1728" s="3">
        <f t="shared" si="2"/>
        <v>0</v>
      </c>
      <c r="AD1728" s="3" t="str">
        <f>VLOOKUP(D1728,'Position Lookup'!A:B,2,FALSE)</f>
        <v>DEF</v>
      </c>
    </row>
    <row r="1729" ht="17.25" customHeight="1">
      <c r="A1729" s="10">
        <v>45332.0</v>
      </c>
      <c r="B1729" s="5" t="s">
        <v>712</v>
      </c>
      <c r="C1729" s="3" t="s">
        <v>43</v>
      </c>
      <c r="D1729" s="3" t="s">
        <v>12</v>
      </c>
      <c r="E1729" s="5">
        <v>3.0</v>
      </c>
      <c r="F1729" s="3" t="s">
        <v>1829</v>
      </c>
      <c r="G1729" s="3" t="s">
        <v>230</v>
      </c>
      <c r="J1729" s="5">
        <v>3.0</v>
      </c>
      <c r="N1729" s="3" t="b">
        <v>0</v>
      </c>
      <c r="R1729" s="3">
        <v>0.0</v>
      </c>
      <c r="T1729" s="3">
        <v>10.0</v>
      </c>
      <c r="U1729" s="3">
        <v>6.0</v>
      </c>
      <c r="V1729" s="3" t="s">
        <v>1835</v>
      </c>
      <c r="W1729" s="3" t="s">
        <v>344</v>
      </c>
      <c r="X1729" s="77" t="s">
        <v>1831</v>
      </c>
      <c r="Y1729" s="3">
        <v>0.0</v>
      </c>
      <c r="Z1729" s="3">
        <v>3.0</v>
      </c>
      <c r="AA1729" s="3">
        <f>2+ (P1729*'Scoring System'!$B$3)+ (IF(OR(AD1729="DEF",AD1729="GK"),N1729*'Scoring System'!$B$4,IF(AD1729="MID",N1729*'Scoring System'!$B$5,0)))+ (IF(OR(AD1729="DEF",AD1729="GK"),H1729*'Scoring System'!$B$6,IF(AD1729="MID",H1729*'Scoring System'!$B$7,IF(AD1729="ATT",H1729*'Scoring System'!$B$8,0))))+ IF(AND(OR(AD1729="GK",AD1729="DEF"),J1729&gt;=3),1*'Scoring System'!$B$9,0)+ (I1729*'Scoring System'!$B$10)+ (K1729*'Scoring System'!$B$11)+ (M1729*'Scoring System'!$B$12)+ (L1729*'Scoring System'!$B$13)+ (O1729*'Scoring System'!$B$14)+ (Q1729*'Scoring System'!$B$15)+ (R1729*'Scoring System'!$B$16)</f>
        <v>1</v>
      </c>
      <c r="AB1729" s="3" t="b">
        <f>IFERROR(match(C1729,'Match Day Fees'!$B$2:$B$999,0),0)=0</f>
        <v>0</v>
      </c>
      <c r="AC1729" s="3">
        <f t="shared" si="2"/>
        <v>0</v>
      </c>
      <c r="AD1729" s="3" t="str">
        <f>VLOOKUP(D1729,'Position Lookup'!A:B,2,FALSE)</f>
        <v>DEF</v>
      </c>
    </row>
    <row r="1730" ht="17.25" customHeight="1">
      <c r="A1730" s="10">
        <v>45332.0</v>
      </c>
      <c r="B1730" s="5" t="s">
        <v>712</v>
      </c>
      <c r="C1730" s="3" t="s">
        <v>86</v>
      </c>
      <c r="D1730" s="3" t="s">
        <v>20</v>
      </c>
      <c r="E1730" s="5">
        <v>3.0</v>
      </c>
      <c r="F1730" s="3" t="s">
        <v>1829</v>
      </c>
      <c r="G1730" s="3" t="s">
        <v>230</v>
      </c>
      <c r="J1730" s="5">
        <v>3.0</v>
      </c>
      <c r="N1730" s="3" t="b">
        <v>0</v>
      </c>
      <c r="R1730" s="3">
        <v>0.0</v>
      </c>
      <c r="T1730" s="3">
        <v>10.0</v>
      </c>
      <c r="U1730" s="3">
        <v>6.0</v>
      </c>
      <c r="V1730" s="3" t="s">
        <v>1836</v>
      </c>
      <c r="W1730" s="3" t="s">
        <v>344</v>
      </c>
      <c r="X1730" s="77" t="s">
        <v>1831</v>
      </c>
      <c r="Y1730" s="3">
        <v>0.0</v>
      </c>
      <c r="Z1730" s="3">
        <v>3.0</v>
      </c>
      <c r="AA1730" s="3">
        <f>2+ (P1730*'Scoring System'!$B$3)+ (IF(OR(AD1730="DEF",AD1730="GK"),N1730*'Scoring System'!$B$4,IF(AD1730="MID",N1730*'Scoring System'!$B$5,0)))+ (IF(OR(AD1730="DEF",AD1730="GK"),H1730*'Scoring System'!$B$6,IF(AD1730="MID",H1730*'Scoring System'!$B$7,IF(AD1730="ATT",H1730*'Scoring System'!$B$8,0))))+ IF(AND(OR(AD1730="GK",AD1730="DEF"),J1730&gt;=3),1*'Scoring System'!$B$9,0)+ (I1730*'Scoring System'!$B$10)+ (K1730*'Scoring System'!$B$11)+ (M1730*'Scoring System'!$B$12)+ (L1730*'Scoring System'!$B$13)+ (O1730*'Scoring System'!$B$14)+ (Q1730*'Scoring System'!$B$15)+ (R1730*'Scoring System'!$B$16)</f>
        <v>2</v>
      </c>
      <c r="AB1730" s="3" t="b">
        <f>IFERROR(match(C1730,'Match Day Fees'!$B$2:$B$999,0),0)=0</f>
        <v>0</v>
      </c>
      <c r="AC1730" s="3">
        <f t="shared" si="2"/>
        <v>0</v>
      </c>
      <c r="AD1730" s="3" t="str">
        <f>VLOOKUP(D1730,'Position Lookup'!A:B,2,FALSE)</f>
        <v>MID</v>
      </c>
    </row>
    <row r="1731" ht="17.25" customHeight="1">
      <c r="A1731" s="10">
        <v>45332.0</v>
      </c>
      <c r="B1731" s="5" t="s">
        <v>712</v>
      </c>
      <c r="C1731" s="3" t="s">
        <v>151</v>
      </c>
      <c r="D1731" s="3" t="s">
        <v>20</v>
      </c>
      <c r="E1731" s="5">
        <v>3.0</v>
      </c>
      <c r="F1731" s="3" t="s">
        <v>1829</v>
      </c>
      <c r="G1731" s="3" t="s">
        <v>230</v>
      </c>
      <c r="J1731" s="5">
        <v>3.0</v>
      </c>
      <c r="N1731" s="3" t="b">
        <v>0</v>
      </c>
      <c r="R1731" s="3">
        <v>0.0</v>
      </c>
      <c r="T1731" s="3">
        <v>5.0</v>
      </c>
      <c r="U1731" s="3">
        <v>6.5</v>
      </c>
      <c r="V1731" s="3" t="s">
        <v>1837</v>
      </c>
      <c r="W1731" s="3" t="s">
        <v>344</v>
      </c>
      <c r="X1731" s="77" t="s">
        <v>1831</v>
      </c>
      <c r="Y1731" s="3">
        <v>0.0</v>
      </c>
      <c r="Z1731" s="3">
        <v>3.0</v>
      </c>
      <c r="AA1731" s="3">
        <f>2+ (P1731*'Scoring System'!$B$3)+ (IF(OR(AD1731="DEF",AD1731="GK"),N1731*'Scoring System'!$B$4,IF(AD1731="MID",N1731*'Scoring System'!$B$5,0)))+ (IF(OR(AD1731="DEF",AD1731="GK"),H1731*'Scoring System'!$B$6,IF(AD1731="MID",H1731*'Scoring System'!$B$7,IF(AD1731="ATT",H1731*'Scoring System'!$B$8,0))))+ IF(AND(OR(AD1731="GK",AD1731="DEF"),J1731&gt;=3),1*'Scoring System'!$B$9,0)+ (I1731*'Scoring System'!$B$10)+ (K1731*'Scoring System'!$B$11)+ (M1731*'Scoring System'!$B$12)+ (L1731*'Scoring System'!$B$13)+ (O1731*'Scoring System'!$B$14)+ (Q1731*'Scoring System'!$B$15)+ (R1731*'Scoring System'!$B$16)</f>
        <v>2</v>
      </c>
      <c r="AB1731" s="3" t="b">
        <f>IFERROR(match(C1731,'Match Day Fees'!$B$2:$B$999,0),0)=0</f>
        <v>0</v>
      </c>
      <c r="AC1731" s="3">
        <f t="shared" si="2"/>
        <v>0</v>
      </c>
      <c r="AD1731" s="3" t="str">
        <f>VLOOKUP(D1731,'Position Lookup'!A:B,2,FALSE)</f>
        <v>MID</v>
      </c>
    </row>
    <row r="1732" ht="17.25" customHeight="1">
      <c r="A1732" s="10">
        <v>45332.0</v>
      </c>
      <c r="B1732" s="5" t="s">
        <v>712</v>
      </c>
      <c r="C1732" s="3" t="s">
        <v>130</v>
      </c>
      <c r="D1732" s="3" t="s">
        <v>20</v>
      </c>
      <c r="E1732" s="5">
        <v>3.0</v>
      </c>
      <c r="F1732" s="3" t="s">
        <v>1829</v>
      </c>
      <c r="G1732" s="3" t="s">
        <v>230</v>
      </c>
      <c r="J1732" s="5">
        <v>3.0</v>
      </c>
      <c r="N1732" s="3" t="b">
        <v>0</v>
      </c>
      <c r="R1732" s="3">
        <v>0.0</v>
      </c>
      <c r="T1732" s="3">
        <v>10.0</v>
      </c>
      <c r="U1732" s="3">
        <v>6.0</v>
      </c>
      <c r="V1732" s="3" t="s">
        <v>1838</v>
      </c>
      <c r="W1732" s="3" t="s">
        <v>344</v>
      </c>
      <c r="X1732" s="77" t="s">
        <v>1831</v>
      </c>
      <c r="Y1732" s="3">
        <v>0.0</v>
      </c>
      <c r="Z1732" s="3">
        <v>3.0</v>
      </c>
      <c r="AA1732" s="3">
        <f>2+ (P1732*'Scoring System'!$B$3)+ (IF(OR(AD1732="DEF",AD1732="GK"),N1732*'Scoring System'!$B$4,IF(AD1732="MID",N1732*'Scoring System'!$B$5,0)))+ (IF(OR(AD1732="DEF",AD1732="GK"),H1732*'Scoring System'!$B$6,IF(AD1732="MID",H1732*'Scoring System'!$B$7,IF(AD1732="ATT",H1732*'Scoring System'!$B$8,0))))+ IF(AND(OR(AD1732="GK",AD1732="DEF"),J1732&gt;=3),1*'Scoring System'!$B$9,0)+ (I1732*'Scoring System'!$B$10)+ (K1732*'Scoring System'!$B$11)+ (M1732*'Scoring System'!$B$12)+ (L1732*'Scoring System'!$B$13)+ (O1732*'Scoring System'!$B$14)+ (Q1732*'Scoring System'!$B$15)+ (R1732*'Scoring System'!$B$16)</f>
        <v>2</v>
      </c>
      <c r="AB1732" s="3" t="b">
        <f>IFERROR(match(C1732,'Match Day Fees'!$B$2:$B$999,0),0)=0</f>
        <v>0</v>
      </c>
      <c r="AC1732" s="3">
        <f t="shared" si="2"/>
        <v>0</v>
      </c>
      <c r="AD1732" s="3" t="str">
        <f>VLOOKUP(D1732,'Position Lookup'!A:B,2,FALSE)</f>
        <v>MID</v>
      </c>
    </row>
    <row r="1733" ht="17.25" customHeight="1">
      <c r="A1733" s="10">
        <v>45332.0</v>
      </c>
      <c r="B1733" s="5" t="s">
        <v>712</v>
      </c>
      <c r="C1733" s="3" t="s">
        <v>227</v>
      </c>
      <c r="D1733" s="3" t="s">
        <v>22</v>
      </c>
      <c r="E1733" s="5">
        <v>3.0</v>
      </c>
      <c r="F1733" s="3" t="s">
        <v>1829</v>
      </c>
      <c r="G1733" s="3" t="s">
        <v>230</v>
      </c>
      <c r="J1733" s="5">
        <v>3.0</v>
      </c>
      <c r="N1733" s="3" t="b">
        <v>0</v>
      </c>
      <c r="R1733" s="3">
        <v>0.0</v>
      </c>
      <c r="T1733" s="3">
        <v>5.0</v>
      </c>
      <c r="U1733" s="3">
        <v>6.0</v>
      </c>
      <c r="V1733" s="3" t="s">
        <v>1839</v>
      </c>
      <c r="W1733" s="3" t="s">
        <v>344</v>
      </c>
      <c r="X1733" s="77" t="s">
        <v>1831</v>
      </c>
      <c r="Y1733" s="3">
        <v>0.0</v>
      </c>
      <c r="Z1733" s="3">
        <v>3.0</v>
      </c>
      <c r="AA1733" s="3">
        <f>2+ (P1733*'Scoring System'!$B$3)+ (IF(OR(AD1733="DEF",AD1733="GK"),N1733*'Scoring System'!$B$4,IF(AD1733="MID",N1733*'Scoring System'!$B$5,0)))+ (IF(OR(AD1733="DEF",AD1733="GK"),H1733*'Scoring System'!$B$6,IF(AD1733="MID",H1733*'Scoring System'!$B$7,IF(AD1733="ATT",H1733*'Scoring System'!$B$8,0))))+ IF(AND(OR(AD1733="GK",AD1733="DEF"),J1733&gt;=3),1*'Scoring System'!$B$9,0)+ (I1733*'Scoring System'!$B$10)+ (K1733*'Scoring System'!$B$11)+ (M1733*'Scoring System'!$B$12)+ (L1733*'Scoring System'!$B$13)+ (O1733*'Scoring System'!$B$14)+ (Q1733*'Scoring System'!$B$15)+ (R1733*'Scoring System'!$B$16)</f>
        <v>2</v>
      </c>
      <c r="AB1733" s="3" t="b">
        <f>IFERROR(match(C1733,'Match Day Fees'!$B$2:$B$999,0),0)=0</f>
        <v>0</v>
      </c>
      <c r="AC1733" s="3">
        <f t="shared" si="2"/>
        <v>0</v>
      </c>
      <c r="AD1733" s="3" t="str">
        <f>VLOOKUP(D1733,'Position Lookup'!A:B,2,FALSE)</f>
        <v>ATT</v>
      </c>
    </row>
    <row r="1734" ht="17.25" customHeight="1">
      <c r="A1734" s="10">
        <v>45332.0</v>
      </c>
      <c r="B1734" s="5" t="s">
        <v>712</v>
      </c>
      <c r="C1734" s="3" t="s">
        <v>73</v>
      </c>
      <c r="D1734" s="3" t="s">
        <v>23</v>
      </c>
      <c r="E1734" s="5">
        <v>3.0</v>
      </c>
      <c r="F1734" s="3" t="s">
        <v>1829</v>
      </c>
      <c r="G1734" s="3" t="s">
        <v>230</v>
      </c>
      <c r="J1734" s="5">
        <v>3.0</v>
      </c>
      <c r="N1734" s="3" t="b">
        <v>0</v>
      </c>
      <c r="R1734" s="3">
        <v>0.0</v>
      </c>
      <c r="T1734" s="3">
        <v>5.0</v>
      </c>
      <c r="U1734" s="3">
        <v>5.0</v>
      </c>
      <c r="V1734" s="3" t="s">
        <v>1840</v>
      </c>
      <c r="W1734" s="3" t="s">
        <v>344</v>
      </c>
      <c r="X1734" s="77" t="s">
        <v>1831</v>
      </c>
      <c r="Y1734" s="3">
        <v>0.0</v>
      </c>
      <c r="Z1734" s="3">
        <v>3.0</v>
      </c>
      <c r="AA1734" s="3">
        <f>2+ (P1734*'Scoring System'!$B$3)+ (IF(OR(AD1734="DEF",AD1734="GK"),N1734*'Scoring System'!$B$4,IF(AD1734="MID",N1734*'Scoring System'!$B$5,0)))+ (IF(OR(AD1734="DEF",AD1734="GK"),H1734*'Scoring System'!$B$6,IF(AD1734="MID",H1734*'Scoring System'!$B$7,IF(AD1734="ATT",H1734*'Scoring System'!$B$8,0))))+ IF(AND(OR(AD1734="GK",AD1734="DEF"),J1734&gt;=3),1*'Scoring System'!$B$9,0)+ (I1734*'Scoring System'!$B$10)+ (K1734*'Scoring System'!$B$11)+ (M1734*'Scoring System'!$B$12)+ (L1734*'Scoring System'!$B$13)+ (O1734*'Scoring System'!$B$14)+ (Q1734*'Scoring System'!$B$15)+ (R1734*'Scoring System'!$B$16)</f>
        <v>2</v>
      </c>
      <c r="AB1734" s="3" t="b">
        <f>IFERROR(match(C1734,'Match Day Fees'!$B$2:$B$999,0),0)=0</f>
        <v>0</v>
      </c>
      <c r="AC1734" s="3">
        <f t="shared" si="2"/>
        <v>0</v>
      </c>
      <c r="AD1734" s="3" t="str">
        <f>VLOOKUP(D1734,'Position Lookup'!A:B,2,FALSE)</f>
        <v>ATT</v>
      </c>
    </row>
    <row r="1735" ht="17.25" customHeight="1">
      <c r="A1735" s="10">
        <v>45332.0</v>
      </c>
      <c r="B1735" s="5" t="s">
        <v>712</v>
      </c>
      <c r="C1735" s="3" t="s">
        <v>46</v>
      </c>
      <c r="D1735" s="3" t="s">
        <v>24</v>
      </c>
      <c r="E1735" s="5">
        <v>3.0</v>
      </c>
      <c r="F1735" s="3" t="s">
        <v>1829</v>
      </c>
      <c r="G1735" s="3" t="s">
        <v>230</v>
      </c>
      <c r="J1735" s="5">
        <v>3.0</v>
      </c>
      <c r="N1735" s="3" t="b">
        <v>0</v>
      </c>
      <c r="R1735" s="3">
        <v>0.0</v>
      </c>
      <c r="S1735" s="3" t="b">
        <v>1</v>
      </c>
      <c r="T1735" s="3">
        <v>0.0</v>
      </c>
      <c r="U1735" s="3">
        <v>5.0</v>
      </c>
      <c r="V1735" s="3" t="s">
        <v>1841</v>
      </c>
      <c r="W1735" s="3" t="s">
        <v>344</v>
      </c>
      <c r="X1735" s="77" t="s">
        <v>1831</v>
      </c>
      <c r="Y1735" s="3">
        <v>0.0</v>
      </c>
      <c r="Z1735" s="3">
        <v>3.0</v>
      </c>
      <c r="AA1735" s="3">
        <f>2+ (P1735*'Scoring System'!$B$3)+ (IF(OR(AD1735="DEF",AD1735="GK"),N1735*'Scoring System'!$B$4,IF(AD1735="MID",N1735*'Scoring System'!$B$5,0)))+ (IF(OR(AD1735="DEF",AD1735="GK"),H1735*'Scoring System'!$B$6,IF(AD1735="MID",H1735*'Scoring System'!$B$7,IF(AD1735="ATT",H1735*'Scoring System'!$B$8,0))))+ IF(AND(OR(AD1735="GK",AD1735="DEF"),J1735&gt;=3),1*'Scoring System'!$B$9,0)+ (I1735*'Scoring System'!$B$10)+ (K1735*'Scoring System'!$B$11)+ (M1735*'Scoring System'!$B$12)+ (L1735*'Scoring System'!$B$13)+ (O1735*'Scoring System'!$B$14)+ (Q1735*'Scoring System'!$B$15)+ (R1735*'Scoring System'!$B$16)</f>
        <v>2</v>
      </c>
      <c r="AB1735" s="3" t="b">
        <f>IFERROR(match(C1735,'Match Day Fees'!$B$2:$B$999,0),0)=0</f>
        <v>0</v>
      </c>
      <c r="AC1735" s="3">
        <f t="shared" si="2"/>
        <v>0</v>
      </c>
      <c r="AD1735" s="3" t="str">
        <f>VLOOKUP(D1735,'Position Lookup'!A:B,2,FALSE)</f>
        <v>ATT</v>
      </c>
    </row>
    <row r="1736" ht="17.25" customHeight="1">
      <c r="A1736" s="10">
        <v>45332.0</v>
      </c>
      <c r="B1736" s="5" t="s">
        <v>712</v>
      </c>
      <c r="C1736" s="3" t="s">
        <v>56</v>
      </c>
      <c r="D1736" s="3" t="s">
        <v>14</v>
      </c>
      <c r="E1736" s="5">
        <v>3.0</v>
      </c>
      <c r="F1736" s="3" t="s">
        <v>1829</v>
      </c>
      <c r="G1736" s="3" t="s">
        <v>230</v>
      </c>
      <c r="J1736" s="5">
        <v>3.0</v>
      </c>
      <c r="N1736" s="3" t="b">
        <v>0</v>
      </c>
      <c r="R1736" s="3">
        <v>1.0</v>
      </c>
      <c r="T1736" s="3">
        <v>10.0</v>
      </c>
      <c r="U1736" s="3">
        <v>7.0</v>
      </c>
      <c r="V1736" s="3" t="s">
        <v>1842</v>
      </c>
      <c r="W1736" s="3" t="s">
        <v>344</v>
      </c>
      <c r="X1736" s="77" t="s">
        <v>1831</v>
      </c>
      <c r="Y1736" s="3">
        <v>0.0</v>
      </c>
      <c r="Z1736" s="3">
        <v>3.0</v>
      </c>
      <c r="AA1736" s="3">
        <f>2+ (P1736*'Scoring System'!$B$3)+ (IF(OR(AD1736="DEF",AD1736="GK"),N1736*'Scoring System'!$B$4,IF(AD1736="MID",N1736*'Scoring System'!$B$5,0)))+ (IF(OR(AD1736="DEF",AD1736="GK"),H1736*'Scoring System'!$B$6,IF(AD1736="MID",H1736*'Scoring System'!$B$7,IF(AD1736="ATT",H1736*'Scoring System'!$B$8,0))))+ IF(AND(OR(AD1736="GK",AD1736="DEF"),J1736&gt;=3),1*'Scoring System'!$B$9,0)+ (I1736*'Scoring System'!$B$10)+ (K1736*'Scoring System'!$B$11)+ (M1736*'Scoring System'!$B$12)+ (L1736*'Scoring System'!$B$13)+ (O1736*'Scoring System'!$B$14)+ (Q1736*'Scoring System'!$B$15)+ (R1736*'Scoring System'!$B$16)</f>
        <v>6</v>
      </c>
      <c r="AB1736" s="3" t="b">
        <f>IFERROR(match(C1736,'Match Day Fees'!$B$2:$B$999,0),0)=0</f>
        <v>0</v>
      </c>
      <c r="AC1736" s="3">
        <f t="shared" si="2"/>
        <v>0</v>
      </c>
      <c r="AD1736" s="3" t="str">
        <f>VLOOKUP(D1736,'Position Lookup'!A:B,2,FALSE)</f>
        <v>DEF</v>
      </c>
    </row>
    <row r="1737" ht="17.25" customHeight="1">
      <c r="A1737" s="10">
        <v>45332.0</v>
      </c>
      <c r="B1737" s="5" t="s">
        <v>712</v>
      </c>
      <c r="C1737" s="3" t="s">
        <v>55</v>
      </c>
      <c r="D1737" s="3" t="s">
        <v>24</v>
      </c>
      <c r="E1737" s="5">
        <v>3.0</v>
      </c>
      <c r="F1737" s="3" t="s">
        <v>1829</v>
      </c>
      <c r="G1737" s="3" t="s">
        <v>230</v>
      </c>
      <c r="J1737" s="5">
        <v>3.0</v>
      </c>
      <c r="N1737" s="3" t="b">
        <v>0</v>
      </c>
      <c r="R1737" s="3">
        <v>0.0</v>
      </c>
      <c r="T1737" s="3">
        <v>10.0</v>
      </c>
      <c r="U1737" s="3">
        <v>5.0</v>
      </c>
      <c r="V1737" s="3" t="s">
        <v>1843</v>
      </c>
      <c r="W1737" s="3" t="s">
        <v>344</v>
      </c>
      <c r="X1737" s="77" t="s">
        <v>1831</v>
      </c>
      <c r="Y1737" s="3">
        <v>0.0</v>
      </c>
      <c r="Z1737" s="3">
        <v>3.0</v>
      </c>
      <c r="AA1737" s="3">
        <f>2+ (P1737*'Scoring System'!$B$3)+ (IF(OR(AD1737="DEF",AD1737="GK"),N1737*'Scoring System'!$B$4,IF(AD1737="MID",N1737*'Scoring System'!$B$5,0)))+ (IF(OR(AD1737="DEF",AD1737="GK"),H1737*'Scoring System'!$B$6,IF(AD1737="MID",H1737*'Scoring System'!$B$7,IF(AD1737="ATT",H1737*'Scoring System'!$B$8,0))))+ IF(AND(OR(AD1737="GK",AD1737="DEF"),J1737&gt;=3),1*'Scoring System'!$B$9,0)+ (I1737*'Scoring System'!$B$10)+ (K1737*'Scoring System'!$B$11)+ (M1737*'Scoring System'!$B$12)+ (L1737*'Scoring System'!$B$13)+ (O1737*'Scoring System'!$B$14)+ (Q1737*'Scoring System'!$B$15)+ (R1737*'Scoring System'!$B$16)</f>
        <v>2</v>
      </c>
      <c r="AB1737" s="3" t="b">
        <f>IFERROR(match(C1737,'Match Day Fees'!$B$2:$B$999,0),0)=0</f>
        <v>0</v>
      </c>
      <c r="AC1737" s="3">
        <f t="shared" si="2"/>
        <v>0</v>
      </c>
      <c r="AD1737" s="3" t="str">
        <f>VLOOKUP(D1737,'Position Lookup'!A:B,2,FALSE)</f>
        <v>ATT</v>
      </c>
    </row>
    <row r="1738" ht="17.25" customHeight="1">
      <c r="A1738" s="10">
        <v>45332.0</v>
      </c>
      <c r="B1738" s="5" t="s">
        <v>712</v>
      </c>
      <c r="C1738" s="3" t="s">
        <v>123</v>
      </c>
      <c r="D1738" s="3" t="s">
        <v>23</v>
      </c>
      <c r="E1738" s="5">
        <v>3.0</v>
      </c>
      <c r="F1738" s="3" t="s">
        <v>1829</v>
      </c>
      <c r="G1738" s="3" t="s">
        <v>230</v>
      </c>
      <c r="J1738" s="5">
        <v>3.0</v>
      </c>
      <c r="N1738" s="3" t="b">
        <v>0</v>
      </c>
      <c r="R1738" s="3">
        <v>0.0</v>
      </c>
      <c r="T1738" s="3">
        <v>5.0</v>
      </c>
      <c r="U1738" s="3">
        <v>5.0</v>
      </c>
      <c r="V1738" s="3" t="s">
        <v>1844</v>
      </c>
      <c r="W1738" s="3" t="s">
        <v>344</v>
      </c>
      <c r="X1738" s="77" t="s">
        <v>1831</v>
      </c>
      <c r="Y1738" s="3">
        <v>0.0</v>
      </c>
      <c r="Z1738" s="3">
        <v>3.0</v>
      </c>
      <c r="AA1738" s="3">
        <f>2+ (P1738*'Scoring System'!$B$3)+ (IF(OR(AD1738="DEF",AD1738="GK"),N1738*'Scoring System'!$B$4,IF(AD1738="MID",N1738*'Scoring System'!$B$5,0)))+ (IF(OR(AD1738="DEF",AD1738="GK"),H1738*'Scoring System'!$B$6,IF(AD1738="MID",H1738*'Scoring System'!$B$7,IF(AD1738="ATT",H1738*'Scoring System'!$B$8,0))))+ IF(AND(OR(AD1738="GK",AD1738="DEF"),J1738&gt;=3),1*'Scoring System'!$B$9,0)+ (I1738*'Scoring System'!$B$10)+ (K1738*'Scoring System'!$B$11)+ (M1738*'Scoring System'!$B$12)+ (L1738*'Scoring System'!$B$13)+ (O1738*'Scoring System'!$B$14)+ (Q1738*'Scoring System'!$B$15)+ (R1738*'Scoring System'!$B$16)</f>
        <v>2</v>
      </c>
      <c r="AB1738" s="3" t="b">
        <f>IFERROR(match(C1738,'Match Day Fees'!$B$2:$B$999,0),0)=0</f>
        <v>0</v>
      </c>
      <c r="AC1738" s="3">
        <f t="shared" si="2"/>
        <v>0</v>
      </c>
      <c r="AD1738" s="3" t="str">
        <f>VLOOKUP(D1738,'Position Lookup'!A:B,2,FALSE)</f>
        <v>ATT</v>
      </c>
    </row>
    <row r="1739" ht="17.25" customHeight="1">
      <c r="A1739" s="32">
        <v>45339.0</v>
      </c>
      <c r="B1739" s="5" t="s">
        <v>309</v>
      </c>
      <c r="C1739" s="3" t="s">
        <v>254</v>
      </c>
      <c r="D1739" s="3" t="s">
        <v>22</v>
      </c>
      <c r="E1739" s="5">
        <v>3.0</v>
      </c>
      <c r="F1739" s="3" t="s">
        <v>713</v>
      </c>
      <c r="G1739" s="3" t="s">
        <v>224</v>
      </c>
      <c r="J1739" s="5">
        <v>2.0</v>
      </c>
      <c r="N1739" s="3" t="b">
        <v>0</v>
      </c>
      <c r="R1739" s="3">
        <v>0.0</v>
      </c>
      <c r="T1739" s="3">
        <v>5.0</v>
      </c>
      <c r="U1739" s="3">
        <v>7.0</v>
      </c>
      <c r="V1739" s="3" t="s">
        <v>1845</v>
      </c>
      <c r="W1739" s="3" t="s">
        <v>344</v>
      </c>
      <c r="X1739" s="77" t="s">
        <v>1846</v>
      </c>
      <c r="Y1739" s="3">
        <v>3.0</v>
      </c>
      <c r="Z1739" s="3">
        <v>2.0</v>
      </c>
      <c r="AA1739" s="3">
        <f>2+ (P1739*'Scoring System'!$B$3)+ (IF(OR(AD1739="DEF",AD1739="GK"),N1739*'Scoring System'!$B$4,IF(AD1739="MID",N1739*'Scoring System'!$B$5,0)))+ (IF(OR(AD1739="DEF",AD1739="GK"),H1739*'Scoring System'!$B$6,IF(AD1739="MID",H1739*'Scoring System'!$B$7,IF(AD1739="ATT",H1739*'Scoring System'!$B$8,0))))+ IF(AND(OR(AD1739="GK",AD1739="DEF"),J1739&gt;=3),1*'Scoring System'!$B$9,0)+ (I1739*'Scoring System'!$B$10)+ (K1739*'Scoring System'!$B$11)+ (M1739*'Scoring System'!$B$12)+ (L1739*'Scoring System'!$B$13)+ (O1739*'Scoring System'!$B$14)+ (Q1739*'Scoring System'!$B$15)+ (R1739*'Scoring System'!$B$16)</f>
        <v>2</v>
      </c>
      <c r="AB1739" s="3" t="b">
        <f>IFERROR(match(C1739,'Match Day Fees'!$B$2:$B$999,0),0)=0</f>
        <v>0</v>
      </c>
      <c r="AC1739" s="3">
        <f t="shared" si="2"/>
        <v>0</v>
      </c>
      <c r="AD1739" s="3" t="str">
        <f>VLOOKUP(D1739,'Position Lookup'!A:B,2,FALSE)</f>
        <v>ATT</v>
      </c>
    </row>
    <row r="1740" ht="17.25" customHeight="1">
      <c r="A1740" s="32">
        <v>45339.0</v>
      </c>
      <c r="B1740" s="5" t="s">
        <v>309</v>
      </c>
      <c r="C1740" s="3" t="s">
        <v>291</v>
      </c>
      <c r="D1740" s="3" t="s">
        <v>16</v>
      </c>
      <c r="E1740" s="5">
        <v>3.0</v>
      </c>
      <c r="F1740" s="3" t="s">
        <v>713</v>
      </c>
      <c r="G1740" s="3" t="s">
        <v>224</v>
      </c>
      <c r="J1740" s="5">
        <v>2.0</v>
      </c>
      <c r="N1740" s="3" t="b">
        <v>0</v>
      </c>
      <c r="R1740" s="3">
        <v>0.0</v>
      </c>
      <c r="T1740" s="3">
        <v>10.0</v>
      </c>
      <c r="U1740" s="3">
        <v>6.5</v>
      </c>
      <c r="V1740" s="3" t="s">
        <v>1847</v>
      </c>
      <c r="W1740" s="3" t="s">
        <v>344</v>
      </c>
      <c r="X1740" s="77" t="s">
        <v>1846</v>
      </c>
      <c r="Y1740" s="3">
        <v>3.0</v>
      </c>
      <c r="Z1740" s="3">
        <v>2.0</v>
      </c>
      <c r="AA1740" s="3">
        <f>2+ (P1740*'Scoring System'!$B$3)+ (IF(OR(AD1740="DEF",AD1740="GK"),N1740*'Scoring System'!$B$4,IF(AD1740="MID",N1740*'Scoring System'!$B$5,0)))+ (IF(OR(AD1740="DEF",AD1740="GK"),H1740*'Scoring System'!$B$6,IF(AD1740="MID",H1740*'Scoring System'!$B$7,IF(AD1740="ATT",H1740*'Scoring System'!$B$8,0))))+ IF(AND(OR(AD1740="GK",AD1740="DEF"),J1740&gt;=3),1*'Scoring System'!$B$9,0)+ (I1740*'Scoring System'!$B$10)+ (K1740*'Scoring System'!$B$11)+ (M1740*'Scoring System'!$B$12)+ (L1740*'Scoring System'!$B$13)+ (O1740*'Scoring System'!$B$14)+ (Q1740*'Scoring System'!$B$15)+ (R1740*'Scoring System'!$B$16)</f>
        <v>2</v>
      </c>
      <c r="AB1740" s="3" t="b">
        <f>IFERROR(match(C1740,'Match Day Fees'!$B$2:$B$999,0),0)=0</f>
        <v>0</v>
      </c>
      <c r="AC1740" s="3">
        <f t="shared" si="2"/>
        <v>0</v>
      </c>
      <c r="AD1740" s="3" t="str">
        <f>VLOOKUP(D1740,'Position Lookup'!A:B,2,FALSE)</f>
        <v>DEF</v>
      </c>
    </row>
    <row r="1741" ht="17.25" customHeight="1">
      <c r="A1741" s="32">
        <v>45339.0</v>
      </c>
      <c r="B1741" s="5" t="s">
        <v>309</v>
      </c>
      <c r="C1741" s="3" t="s">
        <v>42</v>
      </c>
      <c r="D1741" s="3" t="s">
        <v>14</v>
      </c>
      <c r="E1741" s="5">
        <v>3.0</v>
      </c>
      <c r="F1741" s="3" t="s">
        <v>713</v>
      </c>
      <c r="G1741" s="3" t="s">
        <v>224</v>
      </c>
      <c r="J1741" s="5">
        <v>2.0</v>
      </c>
      <c r="N1741" s="3" t="b">
        <v>0</v>
      </c>
      <c r="R1741" s="3">
        <v>0.0</v>
      </c>
      <c r="T1741" s="3">
        <v>10.0</v>
      </c>
      <c r="U1741" s="3">
        <v>7.5</v>
      </c>
      <c r="V1741" s="3" t="s">
        <v>1848</v>
      </c>
      <c r="W1741" s="3" t="s">
        <v>344</v>
      </c>
      <c r="X1741" s="77" t="s">
        <v>1846</v>
      </c>
      <c r="Y1741" s="3">
        <v>3.0</v>
      </c>
      <c r="Z1741" s="3">
        <v>2.0</v>
      </c>
      <c r="AA1741" s="3">
        <f>2+ (P1741*'Scoring System'!$B$3)+ (IF(OR(AD1741="DEF",AD1741="GK"),N1741*'Scoring System'!$B$4,IF(AD1741="MID",N1741*'Scoring System'!$B$5,0)))+ (IF(OR(AD1741="DEF",AD1741="GK"),H1741*'Scoring System'!$B$6,IF(AD1741="MID",H1741*'Scoring System'!$B$7,IF(AD1741="ATT",H1741*'Scoring System'!$B$8,0))))+ IF(AND(OR(AD1741="GK",AD1741="DEF"),J1741&gt;=3),1*'Scoring System'!$B$9,0)+ (I1741*'Scoring System'!$B$10)+ (K1741*'Scoring System'!$B$11)+ (M1741*'Scoring System'!$B$12)+ (L1741*'Scoring System'!$B$13)+ (O1741*'Scoring System'!$B$14)+ (Q1741*'Scoring System'!$B$15)+ (R1741*'Scoring System'!$B$16)</f>
        <v>2</v>
      </c>
      <c r="AB1741" s="3" t="b">
        <f>IFERROR(match(C1741,'Match Day Fees'!$B$2:$B$999,0),0)=0</f>
        <v>0</v>
      </c>
      <c r="AC1741" s="3">
        <f t="shared" si="2"/>
        <v>0</v>
      </c>
      <c r="AD1741" s="3" t="str">
        <f>VLOOKUP(D1741,'Position Lookup'!A:B,2,FALSE)</f>
        <v>DEF</v>
      </c>
    </row>
    <row r="1742" ht="17.25" customHeight="1">
      <c r="A1742" s="32">
        <v>45339.0</v>
      </c>
      <c r="B1742" s="5" t="s">
        <v>309</v>
      </c>
      <c r="C1742" s="3" t="s">
        <v>40</v>
      </c>
      <c r="D1742" s="3" t="s">
        <v>14</v>
      </c>
      <c r="E1742" s="5">
        <v>3.0</v>
      </c>
      <c r="F1742" s="3" t="s">
        <v>713</v>
      </c>
      <c r="G1742" s="3" t="s">
        <v>224</v>
      </c>
      <c r="J1742" s="5">
        <v>2.0</v>
      </c>
      <c r="N1742" s="3" t="b">
        <v>0</v>
      </c>
      <c r="R1742" s="3">
        <v>0.0</v>
      </c>
      <c r="T1742" s="3">
        <v>10.0</v>
      </c>
      <c r="U1742" s="3">
        <v>7.0</v>
      </c>
      <c r="V1742" s="3" t="s">
        <v>1849</v>
      </c>
      <c r="W1742" s="3" t="s">
        <v>344</v>
      </c>
      <c r="X1742" s="77" t="s">
        <v>1846</v>
      </c>
      <c r="Y1742" s="3">
        <v>3.0</v>
      </c>
      <c r="Z1742" s="3">
        <v>2.0</v>
      </c>
      <c r="AA1742" s="3">
        <f>2+ (P1742*'Scoring System'!$B$3)+ (IF(OR(AD1742="DEF",AD1742="GK"),N1742*'Scoring System'!$B$4,IF(AD1742="MID",N1742*'Scoring System'!$B$5,0)))+ (IF(OR(AD1742="DEF",AD1742="GK"),H1742*'Scoring System'!$B$6,IF(AD1742="MID",H1742*'Scoring System'!$B$7,IF(AD1742="ATT",H1742*'Scoring System'!$B$8,0))))+ IF(AND(OR(AD1742="GK",AD1742="DEF"),J1742&gt;=3),1*'Scoring System'!$B$9,0)+ (I1742*'Scoring System'!$B$10)+ (K1742*'Scoring System'!$B$11)+ (M1742*'Scoring System'!$B$12)+ (L1742*'Scoring System'!$B$13)+ (O1742*'Scoring System'!$B$14)+ (Q1742*'Scoring System'!$B$15)+ (R1742*'Scoring System'!$B$16)</f>
        <v>2</v>
      </c>
      <c r="AB1742" s="3" t="b">
        <f>IFERROR(match(C1742,'Match Day Fees'!$B$2:$B$999,0),0)=0</f>
        <v>0</v>
      </c>
      <c r="AC1742" s="3">
        <f t="shared" si="2"/>
        <v>0</v>
      </c>
      <c r="AD1742" s="3" t="str">
        <f>VLOOKUP(D1742,'Position Lookup'!A:B,2,FALSE)</f>
        <v>DEF</v>
      </c>
    </row>
    <row r="1743" ht="17.25" customHeight="1">
      <c r="A1743" s="32">
        <v>45339.0</v>
      </c>
      <c r="B1743" s="5" t="s">
        <v>309</v>
      </c>
      <c r="C1743" s="3" t="s">
        <v>1253</v>
      </c>
      <c r="D1743" s="3" t="s">
        <v>16</v>
      </c>
      <c r="E1743" s="5">
        <v>3.0</v>
      </c>
      <c r="F1743" s="3" t="s">
        <v>713</v>
      </c>
      <c r="G1743" s="3" t="s">
        <v>224</v>
      </c>
      <c r="J1743" s="5">
        <v>2.0</v>
      </c>
      <c r="N1743" s="3" t="b">
        <v>0</v>
      </c>
      <c r="R1743" s="3">
        <v>0.0</v>
      </c>
      <c r="T1743" s="3">
        <v>5.0</v>
      </c>
      <c r="U1743" s="3">
        <v>7.0</v>
      </c>
      <c r="V1743" s="3" t="s">
        <v>1850</v>
      </c>
      <c r="W1743" s="3" t="s">
        <v>344</v>
      </c>
      <c r="X1743" s="77" t="s">
        <v>1846</v>
      </c>
      <c r="Y1743" s="3">
        <v>3.0</v>
      </c>
      <c r="Z1743" s="3">
        <v>2.0</v>
      </c>
      <c r="AA1743" s="3">
        <f>2+ (P1743*'Scoring System'!$B$3)+ (IF(OR(AD1743="DEF",AD1743="GK"),N1743*'Scoring System'!$B$4,IF(AD1743="MID",N1743*'Scoring System'!$B$5,0)))+ (IF(OR(AD1743="DEF",AD1743="GK"),H1743*'Scoring System'!$B$6,IF(AD1743="MID",H1743*'Scoring System'!$B$7,IF(AD1743="ATT",H1743*'Scoring System'!$B$8,0))))+ IF(AND(OR(AD1743="GK",AD1743="DEF"),J1743&gt;=3),1*'Scoring System'!$B$9,0)+ (I1743*'Scoring System'!$B$10)+ (K1743*'Scoring System'!$B$11)+ (M1743*'Scoring System'!$B$12)+ (L1743*'Scoring System'!$B$13)+ (O1743*'Scoring System'!$B$14)+ (Q1743*'Scoring System'!$B$15)+ (R1743*'Scoring System'!$B$16)</f>
        <v>2</v>
      </c>
      <c r="AB1743" s="3" t="b">
        <f>IFERROR(match(C1743,'Match Day Fees'!$B$2:$B$999,0),0)=0</f>
        <v>0</v>
      </c>
      <c r="AC1743" s="3">
        <f t="shared" si="2"/>
        <v>0</v>
      </c>
      <c r="AD1743" s="3" t="str">
        <f>VLOOKUP(D1743,'Position Lookup'!A:B,2,FALSE)</f>
        <v>DEF</v>
      </c>
    </row>
    <row r="1744" ht="17.25" customHeight="1">
      <c r="A1744" s="32">
        <v>45339.0</v>
      </c>
      <c r="B1744" s="5" t="s">
        <v>309</v>
      </c>
      <c r="C1744" s="3" t="s">
        <v>112</v>
      </c>
      <c r="D1744" s="3" t="s">
        <v>20</v>
      </c>
      <c r="E1744" s="5">
        <v>3.0</v>
      </c>
      <c r="F1744" s="3" t="s">
        <v>713</v>
      </c>
      <c r="G1744" s="3" t="s">
        <v>224</v>
      </c>
      <c r="H1744" s="3">
        <v>1.0</v>
      </c>
      <c r="J1744" s="5">
        <v>2.0</v>
      </c>
      <c r="M1744" s="3" t="b">
        <v>1</v>
      </c>
      <c r="N1744" s="3" t="b">
        <v>0</v>
      </c>
      <c r="R1744" s="3">
        <v>0.0</v>
      </c>
      <c r="T1744" s="3">
        <v>5.0</v>
      </c>
      <c r="U1744" s="3">
        <v>5.0</v>
      </c>
      <c r="V1744" s="3" t="s">
        <v>1851</v>
      </c>
      <c r="W1744" s="3" t="s">
        <v>344</v>
      </c>
      <c r="X1744" s="77" t="s">
        <v>1846</v>
      </c>
      <c r="Y1744" s="3">
        <v>3.0</v>
      </c>
      <c r="Z1744" s="3">
        <v>2.0</v>
      </c>
      <c r="AA1744" s="3">
        <f>2+ (P1744*'Scoring System'!$B$3)+ (IF(OR(AD1744="DEF",AD1744="GK"),N1744*'Scoring System'!$B$4,IF(AD1744="MID",N1744*'Scoring System'!$B$5,0)))+ (IF(OR(AD1744="DEF",AD1744="GK"),H1744*'Scoring System'!$B$6,IF(AD1744="MID",H1744*'Scoring System'!$B$7,IF(AD1744="ATT",H1744*'Scoring System'!$B$8,0))))+ IF(AND(OR(AD1744="GK",AD1744="DEF"),J1744&gt;=3),1*'Scoring System'!$B$9,0)+ (I1744*'Scoring System'!$B$10)+ (K1744*'Scoring System'!$B$11)+ (M1744*'Scoring System'!$B$12)+ (L1744*'Scoring System'!$B$13)+ (O1744*'Scoring System'!$B$14)+ (Q1744*'Scoring System'!$B$15)+ (R1744*'Scoring System'!$B$16)</f>
        <v>4</v>
      </c>
      <c r="AB1744" s="3" t="b">
        <f>IFERROR(match(C1744,'Match Day Fees'!$B$2:$B$999,0),0)=0</f>
        <v>0</v>
      </c>
      <c r="AC1744" s="3">
        <f t="shared" si="2"/>
        <v>0</v>
      </c>
      <c r="AD1744" s="3" t="str">
        <f>VLOOKUP(D1744,'Position Lookup'!A:B,2,FALSE)</f>
        <v>MID</v>
      </c>
    </row>
    <row r="1745" ht="17.25" customHeight="1">
      <c r="A1745" s="32">
        <v>45339.0</v>
      </c>
      <c r="B1745" s="5" t="s">
        <v>309</v>
      </c>
      <c r="C1745" s="3" t="s">
        <v>130</v>
      </c>
      <c r="D1745" s="3" t="s">
        <v>19</v>
      </c>
      <c r="E1745" s="5">
        <v>3.0</v>
      </c>
      <c r="F1745" s="3" t="s">
        <v>713</v>
      </c>
      <c r="G1745" s="3" t="s">
        <v>224</v>
      </c>
      <c r="J1745" s="5">
        <v>2.0</v>
      </c>
      <c r="N1745" s="3" t="b">
        <v>0</v>
      </c>
      <c r="R1745" s="3">
        <v>0.0</v>
      </c>
      <c r="T1745" s="3">
        <v>10.0</v>
      </c>
      <c r="U1745" s="3">
        <v>7.0</v>
      </c>
      <c r="V1745" s="3" t="s">
        <v>1852</v>
      </c>
      <c r="W1745" s="3" t="s">
        <v>344</v>
      </c>
      <c r="X1745" s="77" t="s">
        <v>1846</v>
      </c>
      <c r="Y1745" s="3">
        <v>3.0</v>
      </c>
      <c r="Z1745" s="3">
        <v>2.0</v>
      </c>
      <c r="AA1745" s="3">
        <f>2+ (P1745*'Scoring System'!$B$3)+ (IF(OR(AD1745="DEF",AD1745="GK"),N1745*'Scoring System'!$B$4,IF(AD1745="MID",N1745*'Scoring System'!$B$5,0)))+ (IF(OR(AD1745="DEF",AD1745="GK"),H1745*'Scoring System'!$B$6,IF(AD1745="MID",H1745*'Scoring System'!$B$7,IF(AD1745="ATT",H1745*'Scoring System'!$B$8,0))))+ IF(AND(OR(AD1745="GK",AD1745="DEF"),J1745&gt;=3),1*'Scoring System'!$B$9,0)+ (I1745*'Scoring System'!$B$10)+ (K1745*'Scoring System'!$B$11)+ (M1745*'Scoring System'!$B$12)+ (L1745*'Scoring System'!$B$13)+ (O1745*'Scoring System'!$B$14)+ (Q1745*'Scoring System'!$B$15)+ (R1745*'Scoring System'!$B$16)</f>
        <v>2</v>
      </c>
      <c r="AB1745" s="3" t="b">
        <f>IFERROR(match(C1745,'Match Day Fees'!$B$2:$B$999,0),0)=0</f>
        <v>0</v>
      </c>
      <c r="AC1745" s="3">
        <f t="shared" si="2"/>
        <v>0</v>
      </c>
      <c r="AD1745" s="3" t="str">
        <f>VLOOKUP(D1745,'Position Lookup'!A:B,2,FALSE)</f>
        <v>MID</v>
      </c>
    </row>
    <row r="1746" ht="17.25" customHeight="1">
      <c r="A1746" s="32">
        <v>45339.0</v>
      </c>
      <c r="B1746" s="5" t="s">
        <v>309</v>
      </c>
      <c r="C1746" s="3" t="s">
        <v>59</v>
      </c>
      <c r="D1746" s="3" t="s">
        <v>20</v>
      </c>
      <c r="E1746" s="5">
        <v>3.0</v>
      </c>
      <c r="F1746" s="3" t="s">
        <v>713</v>
      </c>
      <c r="G1746" s="3" t="s">
        <v>224</v>
      </c>
      <c r="I1746" s="3">
        <v>1.0</v>
      </c>
      <c r="J1746" s="5">
        <v>2.0</v>
      </c>
      <c r="N1746" s="3" t="b">
        <v>0</v>
      </c>
      <c r="R1746" s="3">
        <v>1.0</v>
      </c>
      <c r="T1746" s="3">
        <v>10.0</v>
      </c>
      <c r="U1746" s="3">
        <v>9.0</v>
      </c>
      <c r="V1746" s="3" t="s">
        <v>1853</v>
      </c>
      <c r="W1746" s="3" t="s">
        <v>344</v>
      </c>
      <c r="X1746" s="77" t="s">
        <v>1846</v>
      </c>
      <c r="Y1746" s="3">
        <v>3.0</v>
      </c>
      <c r="Z1746" s="3">
        <v>2.0</v>
      </c>
      <c r="AA1746" s="3">
        <f>2+ (P1746*'Scoring System'!$B$3)+ (IF(OR(AD1746="DEF",AD1746="GK"),N1746*'Scoring System'!$B$4,IF(AD1746="MID",N1746*'Scoring System'!$B$5,0)))+ (IF(OR(AD1746="DEF",AD1746="GK"),H1746*'Scoring System'!$B$6,IF(AD1746="MID",H1746*'Scoring System'!$B$7,IF(AD1746="ATT",H1746*'Scoring System'!$B$8,0))))+ IF(AND(OR(AD1746="GK",AD1746="DEF"),J1746&gt;=3),1*'Scoring System'!$B$9,0)+ (I1746*'Scoring System'!$B$10)+ (K1746*'Scoring System'!$B$11)+ (M1746*'Scoring System'!$B$12)+ (L1746*'Scoring System'!$B$13)+ (O1746*'Scoring System'!$B$14)+ (Q1746*'Scoring System'!$B$15)+ (R1746*'Scoring System'!$B$16)</f>
        <v>10</v>
      </c>
      <c r="AB1746" s="3" t="b">
        <f>IFERROR(match(C1746,'Match Day Fees'!$B$2:$B$999,0),0)=0</f>
        <v>0</v>
      </c>
      <c r="AC1746" s="3">
        <f t="shared" si="2"/>
        <v>0</v>
      </c>
      <c r="AD1746" s="3" t="str">
        <f>VLOOKUP(D1746,'Position Lookup'!A:B,2,FALSE)</f>
        <v>MID</v>
      </c>
    </row>
    <row r="1747" ht="17.25" customHeight="1">
      <c r="A1747" s="32">
        <v>45339.0</v>
      </c>
      <c r="B1747" s="5" t="s">
        <v>309</v>
      </c>
      <c r="C1747" s="3" t="s">
        <v>391</v>
      </c>
      <c r="D1747" s="3" t="s">
        <v>8</v>
      </c>
      <c r="E1747" s="5">
        <v>3.0</v>
      </c>
      <c r="F1747" s="3" t="s">
        <v>713</v>
      </c>
      <c r="G1747" s="3" t="s">
        <v>224</v>
      </c>
      <c r="J1747" s="5">
        <v>2.0</v>
      </c>
      <c r="N1747" s="3" t="b">
        <v>0</v>
      </c>
      <c r="R1747" s="3">
        <v>0.0</v>
      </c>
      <c r="T1747" s="3">
        <v>0.0</v>
      </c>
      <c r="U1747" s="3">
        <v>7.5</v>
      </c>
      <c r="V1747" s="3" t="s">
        <v>1854</v>
      </c>
      <c r="W1747" s="3" t="s">
        <v>344</v>
      </c>
      <c r="X1747" s="77" t="s">
        <v>1846</v>
      </c>
      <c r="Y1747" s="3">
        <v>3.0</v>
      </c>
      <c r="Z1747" s="3">
        <v>2.0</v>
      </c>
      <c r="AA1747" s="3">
        <f>2+ (P1747*'Scoring System'!$B$3)+ (IF(OR(AD1747="DEF",AD1747="GK"),N1747*'Scoring System'!$B$4,IF(AD1747="MID",N1747*'Scoring System'!$B$5,0)))+ (IF(OR(AD1747="DEF",AD1747="GK"),H1747*'Scoring System'!$B$6,IF(AD1747="MID",H1747*'Scoring System'!$B$7,IF(AD1747="ATT",H1747*'Scoring System'!$B$8,0))))+ IF(AND(OR(AD1747="GK",AD1747="DEF"),J1747&gt;=3),1*'Scoring System'!$B$9,0)+ (I1747*'Scoring System'!$B$10)+ (K1747*'Scoring System'!$B$11)+ (M1747*'Scoring System'!$B$12)+ (L1747*'Scoring System'!$B$13)+ (O1747*'Scoring System'!$B$14)+ (Q1747*'Scoring System'!$B$15)+ (R1747*'Scoring System'!$B$16)</f>
        <v>2</v>
      </c>
      <c r="AB1747" s="3" t="b">
        <f>IFERROR(match(C1747,'Match Day Fees'!$B$2:$B$999,0),0)=0</f>
        <v>0</v>
      </c>
      <c r="AC1747" s="3">
        <f t="shared" si="2"/>
        <v>0</v>
      </c>
      <c r="AD1747" s="3" t="str">
        <f>VLOOKUP(D1747,'Position Lookup'!A:B,2,FALSE)</f>
        <v>GK</v>
      </c>
    </row>
    <row r="1748" ht="17.25" customHeight="1">
      <c r="A1748" s="32">
        <v>45339.0</v>
      </c>
      <c r="B1748" s="5" t="s">
        <v>309</v>
      </c>
      <c r="C1748" s="3" t="s">
        <v>79</v>
      </c>
      <c r="D1748" s="3" t="s">
        <v>24</v>
      </c>
      <c r="E1748" s="5">
        <v>3.0</v>
      </c>
      <c r="F1748" s="3" t="s">
        <v>713</v>
      </c>
      <c r="G1748" s="3" t="s">
        <v>224</v>
      </c>
      <c r="H1748" s="3">
        <v>2.0</v>
      </c>
      <c r="I1748" s="3">
        <v>1.0</v>
      </c>
      <c r="J1748" s="5">
        <v>2.0</v>
      </c>
      <c r="N1748" s="3" t="b">
        <v>0</v>
      </c>
      <c r="R1748" s="3">
        <v>0.0</v>
      </c>
      <c r="T1748" s="3">
        <v>10.0</v>
      </c>
      <c r="U1748" s="3">
        <v>8.5</v>
      </c>
      <c r="V1748" s="3" t="s">
        <v>1855</v>
      </c>
      <c r="W1748" s="3" t="s">
        <v>344</v>
      </c>
      <c r="X1748" s="77" t="s">
        <v>1846</v>
      </c>
      <c r="Y1748" s="3">
        <v>3.0</v>
      </c>
      <c r="Z1748" s="3">
        <v>2.0</v>
      </c>
      <c r="AA1748" s="3">
        <f>2+ (P1748*'Scoring System'!$B$3)+ (IF(OR(AD1748="DEF",AD1748="GK"),N1748*'Scoring System'!$B$4,IF(AD1748="MID",N1748*'Scoring System'!$B$5,0)))+ (IF(OR(AD1748="DEF",AD1748="GK"),H1748*'Scoring System'!$B$6,IF(AD1748="MID",H1748*'Scoring System'!$B$7,IF(AD1748="ATT",H1748*'Scoring System'!$B$8,0))))+ IF(AND(OR(AD1748="GK",AD1748="DEF"),J1748&gt;=3),1*'Scoring System'!$B$9,0)+ (I1748*'Scoring System'!$B$10)+ (K1748*'Scoring System'!$B$11)+ (M1748*'Scoring System'!$B$12)+ (L1748*'Scoring System'!$B$13)+ (O1748*'Scoring System'!$B$14)+ (Q1748*'Scoring System'!$B$15)+ (R1748*'Scoring System'!$B$16)</f>
        <v>13</v>
      </c>
      <c r="AB1748" s="3" t="b">
        <f>IFERROR(match(C1748,'Match Day Fees'!$B$2:$B$999,0),0)=0</f>
        <v>0</v>
      </c>
      <c r="AC1748" s="3">
        <f t="shared" si="2"/>
        <v>0</v>
      </c>
      <c r="AD1748" s="3" t="str">
        <f>VLOOKUP(D1748,'Position Lookup'!A:B,2,FALSE)</f>
        <v>ATT</v>
      </c>
    </row>
    <row r="1749" ht="17.25" customHeight="1">
      <c r="A1749" s="32">
        <v>45339.0</v>
      </c>
      <c r="B1749" s="5" t="s">
        <v>309</v>
      </c>
      <c r="C1749" s="3" t="s">
        <v>46</v>
      </c>
      <c r="D1749" s="3" t="s">
        <v>23</v>
      </c>
      <c r="E1749" s="5">
        <v>3.0</v>
      </c>
      <c r="F1749" s="3" t="s">
        <v>713</v>
      </c>
      <c r="G1749" s="3" t="s">
        <v>224</v>
      </c>
      <c r="J1749" s="5">
        <v>2.0</v>
      </c>
      <c r="N1749" s="3" t="b">
        <v>0</v>
      </c>
      <c r="R1749" s="3">
        <v>0.0</v>
      </c>
      <c r="S1749" s="3" t="b">
        <v>1</v>
      </c>
      <c r="T1749" s="3">
        <v>0.0</v>
      </c>
      <c r="U1749" s="3">
        <v>6.0</v>
      </c>
      <c r="V1749" s="3" t="s">
        <v>1856</v>
      </c>
      <c r="W1749" s="3" t="s">
        <v>344</v>
      </c>
      <c r="X1749" s="77" t="s">
        <v>1846</v>
      </c>
      <c r="Y1749" s="3">
        <v>3.0</v>
      </c>
      <c r="Z1749" s="3">
        <v>2.0</v>
      </c>
      <c r="AA1749" s="3">
        <f>2+ (P1749*'Scoring System'!$B$3)+ (IF(OR(AD1749="DEF",AD1749="GK"),N1749*'Scoring System'!$B$4,IF(AD1749="MID",N1749*'Scoring System'!$B$5,0)))+ (IF(OR(AD1749="DEF",AD1749="GK"),H1749*'Scoring System'!$B$6,IF(AD1749="MID",H1749*'Scoring System'!$B$7,IF(AD1749="ATT",H1749*'Scoring System'!$B$8,0))))+ IF(AND(OR(AD1749="GK",AD1749="DEF"),J1749&gt;=3),1*'Scoring System'!$B$9,0)+ (I1749*'Scoring System'!$B$10)+ (K1749*'Scoring System'!$B$11)+ (M1749*'Scoring System'!$B$12)+ (L1749*'Scoring System'!$B$13)+ (O1749*'Scoring System'!$B$14)+ (Q1749*'Scoring System'!$B$15)+ (R1749*'Scoring System'!$B$16)</f>
        <v>2</v>
      </c>
      <c r="AB1749" s="3" t="b">
        <f>IFERROR(match(C1749,'Match Day Fees'!$B$2:$B$999,0),0)=0</f>
        <v>0</v>
      </c>
      <c r="AC1749" s="3">
        <f t="shared" si="2"/>
        <v>0</v>
      </c>
      <c r="AD1749" s="3" t="str">
        <f>VLOOKUP(D1749,'Position Lookup'!A:B,2,FALSE)</f>
        <v>ATT</v>
      </c>
    </row>
    <row r="1750" ht="17.25" customHeight="1">
      <c r="A1750" s="32">
        <v>45339.0</v>
      </c>
      <c r="B1750" s="5" t="s">
        <v>309</v>
      </c>
      <c r="C1750" s="3" t="s">
        <v>44</v>
      </c>
      <c r="D1750" s="3" t="s">
        <v>16</v>
      </c>
      <c r="E1750" s="5">
        <v>3.0</v>
      </c>
      <c r="F1750" s="3" t="s">
        <v>713</v>
      </c>
      <c r="G1750" s="3" t="s">
        <v>224</v>
      </c>
      <c r="J1750" s="5">
        <v>2.0</v>
      </c>
      <c r="K1750" s="3">
        <v>1.0</v>
      </c>
      <c r="N1750" s="3" t="b">
        <v>0</v>
      </c>
      <c r="R1750" s="3">
        <v>0.0</v>
      </c>
      <c r="T1750" s="3">
        <v>5.0</v>
      </c>
      <c r="U1750" s="3">
        <v>7.0</v>
      </c>
      <c r="V1750" s="3" t="s">
        <v>1857</v>
      </c>
      <c r="W1750" s="3" t="s">
        <v>344</v>
      </c>
      <c r="X1750" s="77" t="s">
        <v>1846</v>
      </c>
      <c r="Y1750" s="3">
        <v>3.0</v>
      </c>
      <c r="Z1750" s="3">
        <v>2.0</v>
      </c>
      <c r="AA1750" s="3">
        <f>2+ (P1750*'Scoring System'!$B$3)+ (IF(OR(AD1750="DEF",AD1750="GK"),N1750*'Scoring System'!$B$4,IF(AD1750="MID",N1750*'Scoring System'!$B$5,0)))+ (IF(OR(AD1750="DEF",AD1750="GK"),H1750*'Scoring System'!$B$6,IF(AD1750="MID",H1750*'Scoring System'!$B$7,IF(AD1750="ATT",H1750*'Scoring System'!$B$8,0))))+ IF(AND(OR(AD1750="GK",AD1750="DEF"),J1750&gt;=3),1*'Scoring System'!$B$9,0)+ (I1750*'Scoring System'!$B$10)+ (K1750*'Scoring System'!$B$11)+ (M1750*'Scoring System'!$B$12)+ (L1750*'Scoring System'!$B$13)+ (O1750*'Scoring System'!$B$14)+ (Q1750*'Scoring System'!$B$15)+ (R1750*'Scoring System'!$B$16)</f>
        <v>1</v>
      </c>
      <c r="AB1750" s="3" t="b">
        <f>IFERROR(match(C1750,'Match Day Fees'!$B$2:$B$999,0),0)=0</f>
        <v>0</v>
      </c>
      <c r="AC1750" s="3">
        <f t="shared" si="2"/>
        <v>0</v>
      </c>
      <c r="AD1750" s="3" t="str">
        <f>VLOOKUP(D1750,'Position Lookup'!A:B,2,FALSE)</f>
        <v>DEF</v>
      </c>
    </row>
    <row r="1751" ht="17.25" customHeight="1">
      <c r="A1751" s="32">
        <v>45339.0</v>
      </c>
      <c r="B1751" s="5" t="s">
        <v>309</v>
      </c>
      <c r="C1751" s="3" t="s">
        <v>308</v>
      </c>
      <c r="D1751" s="3" t="s">
        <v>22</v>
      </c>
      <c r="E1751" s="5">
        <v>3.0</v>
      </c>
      <c r="F1751" s="3" t="s">
        <v>713</v>
      </c>
      <c r="G1751" s="3" t="s">
        <v>224</v>
      </c>
      <c r="J1751" s="5">
        <v>2.0</v>
      </c>
      <c r="N1751" s="3" t="b">
        <v>0</v>
      </c>
      <c r="R1751" s="3">
        <v>0.0</v>
      </c>
      <c r="T1751" s="3">
        <v>10.0</v>
      </c>
      <c r="U1751" s="3">
        <v>7.0</v>
      </c>
      <c r="V1751" s="3" t="s">
        <v>1858</v>
      </c>
      <c r="W1751" s="3" t="s">
        <v>344</v>
      </c>
      <c r="X1751" s="77" t="s">
        <v>1846</v>
      </c>
      <c r="Y1751" s="3">
        <v>3.0</v>
      </c>
      <c r="Z1751" s="3">
        <v>2.0</v>
      </c>
      <c r="AA1751" s="3">
        <f>2+ (P1751*'Scoring System'!$B$3)+ (IF(OR(AD1751="DEF",AD1751="GK"),N1751*'Scoring System'!$B$4,IF(AD1751="MID",N1751*'Scoring System'!$B$5,0)))+ (IF(OR(AD1751="DEF",AD1751="GK"),H1751*'Scoring System'!$B$6,IF(AD1751="MID",H1751*'Scoring System'!$B$7,IF(AD1751="ATT",H1751*'Scoring System'!$B$8,0))))+ IF(AND(OR(AD1751="GK",AD1751="DEF"),J1751&gt;=3),1*'Scoring System'!$B$9,0)+ (I1751*'Scoring System'!$B$10)+ (K1751*'Scoring System'!$B$11)+ (M1751*'Scoring System'!$B$12)+ (L1751*'Scoring System'!$B$13)+ (O1751*'Scoring System'!$B$14)+ (Q1751*'Scoring System'!$B$15)+ (R1751*'Scoring System'!$B$16)</f>
        <v>2</v>
      </c>
      <c r="AB1751" s="3" t="b">
        <f>IFERROR(match(C1751,'Match Day Fees'!$B$2:$B$999,0),0)=0</f>
        <v>0</v>
      </c>
      <c r="AC1751" s="3">
        <f t="shared" si="2"/>
        <v>0</v>
      </c>
      <c r="AD1751" s="3" t="str">
        <f>VLOOKUP(D1751,'Position Lookup'!A:B,2,FALSE)</f>
        <v>ATT</v>
      </c>
    </row>
    <row r="1752" ht="17.25" customHeight="1">
      <c r="A1752" s="32">
        <v>45339.0</v>
      </c>
      <c r="B1752" s="5" t="s">
        <v>309</v>
      </c>
      <c r="C1752" s="3" t="s">
        <v>109</v>
      </c>
      <c r="D1752" s="3" t="s">
        <v>23</v>
      </c>
      <c r="E1752" s="5">
        <v>3.0</v>
      </c>
      <c r="F1752" s="3" t="s">
        <v>713</v>
      </c>
      <c r="G1752" s="3" t="s">
        <v>224</v>
      </c>
      <c r="I1752" s="3">
        <v>1.0</v>
      </c>
      <c r="J1752" s="5">
        <v>2.0</v>
      </c>
      <c r="N1752" s="3" t="b">
        <v>0</v>
      </c>
      <c r="R1752" s="3">
        <v>0.0</v>
      </c>
      <c r="T1752" s="3">
        <v>5.0</v>
      </c>
      <c r="U1752" s="3">
        <v>7.0</v>
      </c>
      <c r="V1752" s="3" t="s">
        <v>1859</v>
      </c>
      <c r="W1752" s="3" t="s">
        <v>344</v>
      </c>
      <c r="X1752" s="77" t="s">
        <v>1846</v>
      </c>
      <c r="Y1752" s="3">
        <v>3.0</v>
      </c>
      <c r="Z1752" s="3">
        <v>2.0</v>
      </c>
      <c r="AA1752" s="3">
        <f>2+ (P1752*'Scoring System'!$B$3)+ (IF(OR(AD1752="DEF",AD1752="GK"),N1752*'Scoring System'!$B$4,IF(AD1752="MID",N1752*'Scoring System'!$B$5,0)))+ (IF(OR(AD1752="DEF",AD1752="GK"),H1752*'Scoring System'!$B$6,IF(AD1752="MID",H1752*'Scoring System'!$B$7,IF(AD1752="ATT",H1752*'Scoring System'!$B$8,0))))+ IF(AND(OR(AD1752="GK",AD1752="DEF"),J1752&gt;=3),1*'Scoring System'!$B$9,0)+ (I1752*'Scoring System'!$B$10)+ (K1752*'Scoring System'!$B$11)+ (M1752*'Scoring System'!$B$12)+ (L1752*'Scoring System'!$B$13)+ (O1752*'Scoring System'!$B$14)+ (Q1752*'Scoring System'!$B$15)+ (R1752*'Scoring System'!$B$16)</f>
        <v>5</v>
      </c>
      <c r="AB1752" s="3" t="b">
        <f>IFERROR(match(C1752,'Match Day Fees'!$B$2:$B$999,0),0)=0</f>
        <v>0</v>
      </c>
      <c r="AC1752" s="3">
        <f t="shared" si="2"/>
        <v>0</v>
      </c>
      <c r="AD1752" s="3" t="str">
        <f>VLOOKUP(D1752,'Position Lookup'!A:B,2,FALSE)</f>
        <v>ATT</v>
      </c>
    </row>
    <row r="1753" ht="17.25" customHeight="1">
      <c r="A1753" s="32">
        <v>45339.0</v>
      </c>
      <c r="B1753" s="5" t="s">
        <v>309</v>
      </c>
      <c r="C1753" s="3" t="s">
        <v>259</v>
      </c>
      <c r="D1753" s="3" t="s">
        <v>8</v>
      </c>
      <c r="E1753" s="5">
        <v>6.0</v>
      </c>
      <c r="F1753" s="3" t="s">
        <v>1004</v>
      </c>
      <c r="G1753" s="3" t="s">
        <v>230</v>
      </c>
      <c r="J1753" s="5">
        <v>2.0</v>
      </c>
      <c r="N1753" s="3" t="b">
        <v>0</v>
      </c>
      <c r="R1753" s="3">
        <v>0.0</v>
      </c>
      <c r="S1753" s="3" t="b">
        <v>1</v>
      </c>
      <c r="T1753" s="3">
        <v>0.0</v>
      </c>
      <c r="U1753" s="3">
        <v>7.0</v>
      </c>
      <c r="V1753" s="3" t="s">
        <v>1860</v>
      </c>
      <c r="W1753" s="3" t="s">
        <v>845</v>
      </c>
      <c r="X1753" s="77" t="s">
        <v>1861</v>
      </c>
      <c r="Y1753" s="3">
        <v>0.0</v>
      </c>
      <c r="Z1753" s="3">
        <v>2.0</v>
      </c>
      <c r="AA1753" s="3">
        <f>2+ (P1753*'Scoring System'!$B$3)+ (IF(OR(AD1753="DEF",AD1753="GK"),N1753*'Scoring System'!$B$4,IF(AD1753="MID",N1753*'Scoring System'!$B$5,0)))+ (IF(OR(AD1753="DEF",AD1753="GK"),H1753*'Scoring System'!$B$6,IF(AD1753="MID",H1753*'Scoring System'!$B$7,IF(AD1753="ATT",H1753*'Scoring System'!$B$8,0))))+ IF(AND(OR(AD1753="GK",AD1753="DEF"),J1753&gt;=3),1*'Scoring System'!$B$9,0)+ (I1753*'Scoring System'!$B$10)+ (K1753*'Scoring System'!$B$11)+ (M1753*'Scoring System'!$B$12)+ (L1753*'Scoring System'!$B$13)+ (O1753*'Scoring System'!$B$14)+ (Q1753*'Scoring System'!$B$15)+ (R1753*'Scoring System'!$B$16)</f>
        <v>2</v>
      </c>
      <c r="AB1753" s="3" t="b">
        <f>IFERROR(match(C1753,'Match Day Fees'!$B$2:$B$999,0),0)=0</f>
        <v>0</v>
      </c>
      <c r="AC1753" s="3">
        <f t="shared" si="2"/>
        <v>0</v>
      </c>
      <c r="AD1753" s="3" t="str">
        <f>VLOOKUP(D1753,'Position Lookup'!A:B,2,FALSE)</f>
        <v>GK</v>
      </c>
    </row>
    <row r="1754" ht="17.25" customHeight="1">
      <c r="A1754" s="32">
        <v>45339.0</v>
      </c>
      <c r="B1754" s="5" t="s">
        <v>309</v>
      </c>
      <c r="C1754" s="3" t="s">
        <v>98</v>
      </c>
      <c r="D1754" s="3" t="s">
        <v>14</v>
      </c>
      <c r="E1754" s="5">
        <v>6.0</v>
      </c>
      <c r="F1754" s="3" t="s">
        <v>1004</v>
      </c>
      <c r="G1754" s="3" t="s">
        <v>230</v>
      </c>
      <c r="J1754" s="5">
        <v>2.0</v>
      </c>
      <c r="N1754" s="3" t="b">
        <v>0</v>
      </c>
      <c r="R1754" s="3">
        <v>0.0</v>
      </c>
      <c r="T1754" s="3">
        <v>10.0</v>
      </c>
      <c r="U1754" s="3">
        <v>7.0</v>
      </c>
      <c r="V1754" s="3" t="s">
        <v>1862</v>
      </c>
      <c r="W1754" s="3" t="s">
        <v>845</v>
      </c>
      <c r="X1754" s="77" t="s">
        <v>1861</v>
      </c>
      <c r="Y1754" s="3">
        <v>0.0</v>
      </c>
      <c r="Z1754" s="3">
        <v>2.0</v>
      </c>
      <c r="AA1754" s="3">
        <f>2+ (P1754*'Scoring System'!$B$3)+ (IF(OR(AD1754="DEF",AD1754="GK"),N1754*'Scoring System'!$B$4,IF(AD1754="MID",N1754*'Scoring System'!$B$5,0)))+ (IF(OR(AD1754="DEF",AD1754="GK"),H1754*'Scoring System'!$B$6,IF(AD1754="MID",H1754*'Scoring System'!$B$7,IF(AD1754="ATT",H1754*'Scoring System'!$B$8,0))))+ IF(AND(OR(AD1754="GK",AD1754="DEF"),J1754&gt;=3),1*'Scoring System'!$B$9,0)+ (I1754*'Scoring System'!$B$10)+ (K1754*'Scoring System'!$B$11)+ (M1754*'Scoring System'!$B$12)+ (L1754*'Scoring System'!$B$13)+ (O1754*'Scoring System'!$B$14)+ (Q1754*'Scoring System'!$B$15)+ (R1754*'Scoring System'!$B$16)</f>
        <v>2</v>
      </c>
      <c r="AB1754" s="3" t="b">
        <f>IFERROR(match(C1754,'Match Day Fees'!$B$2:$B$999,0),0)=0</f>
        <v>0</v>
      </c>
      <c r="AC1754" s="3">
        <f t="shared" si="2"/>
        <v>0</v>
      </c>
      <c r="AD1754" s="3" t="str">
        <f>VLOOKUP(D1754,'Position Lookup'!A:B,2,FALSE)</f>
        <v>DEF</v>
      </c>
    </row>
    <row r="1755" ht="17.25" customHeight="1">
      <c r="A1755" s="32">
        <v>45339.0</v>
      </c>
      <c r="B1755" s="5" t="s">
        <v>309</v>
      </c>
      <c r="C1755" s="3" t="s">
        <v>588</v>
      </c>
      <c r="D1755" s="3" t="s">
        <v>20</v>
      </c>
      <c r="E1755" s="5">
        <v>6.0</v>
      </c>
      <c r="F1755" s="3" t="s">
        <v>1004</v>
      </c>
      <c r="G1755" s="3" t="s">
        <v>230</v>
      </c>
      <c r="J1755" s="5">
        <v>2.0</v>
      </c>
      <c r="N1755" s="3" t="b">
        <v>0</v>
      </c>
      <c r="R1755" s="3">
        <v>0.0</v>
      </c>
      <c r="T1755" s="3">
        <v>5.0</v>
      </c>
      <c r="U1755" s="3">
        <v>6.0</v>
      </c>
      <c r="V1755" s="3" t="s">
        <v>1863</v>
      </c>
      <c r="W1755" s="3" t="s">
        <v>845</v>
      </c>
      <c r="X1755" s="77" t="s">
        <v>1861</v>
      </c>
      <c r="Y1755" s="3">
        <v>0.0</v>
      </c>
      <c r="Z1755" s="3">
        <v>2.0</v>
      </c>
      <c r="AA1755" s="3">
        <f>2+ (P1755*'Scoring System'!$B$3)+ (IF(OR(AD1755="DEF",AD1755="GK"),N1755*'Scoring System'!$B$4,IF(AD1755="MID",N1755*'Scoring System'!$B$5,0)))+ (IF(OR(AD1755="DEF",AD1755="GK"),H1755*'Scoring System'!$B$6,IF(AD1755="MID",H1755*'Scoring System'!$B$7,IF(AD1755="ATT",H1755*'Scoring System'!$B$8,0))))+ IF(AND(OR(AD1755="GK",AD1755="DEF"),J1755&gt;=3),1*'Scoring System'!$B$9,0)+ (I1755*'Scoring System'!$B$10)+ (K1755*'Scoring System'!$B$11)+ (M1755*'Scoring System'!$B$12)+ (L1755*'Scoring System'!$B$13)+ (O1755*'Scoring System'!$B$14)+ (Q1755*'Scoring System'!$B$15)+ (R1755*'Scoring System'!$B$16)</f>
        <v>2</v>
      </c>
      <c r="AB1755" s="3" t="b">
        <f>IFERROR(match(C1755,'Match Day Fees'!$B$2:$B$999,0),0)=0</f>
        <v>0</v>
      </c>
      <c r="AC1755" s="3">
        <f t="shared" si="2"/>
        <v>0</v>
      </c>
      <c r="AD1755" s="3" t="str">
        <f>VLOOKUP(D1755,'Position Lookup'!A:B,2,FALSE)</f>
        <v>MID</v>
      </c>
    </row>
    <row r="1756" ht="17.25" customHeight="1">
      <c r="A1756" s="32">
        <v>45339.0</v>
      </c>
      <c r="B1756" s="5" t="s">
        <v>309</v>
      </c>
      <c r="C1756" s="3" t="s">
        <v>97</v>
      </c>
      <c r="D1756" s="3" t="s">
        <v>12</v>
      </c>
      <c r="E1756" s="5">
        <v>6.0</v>
      </c>
      <c r="F1756" s="3" t="s">
        <v>1004</v>
      </c>
      <c r="G1756" s="3" t="s">
        <v>230</v>
      </c>
      <c r="J1756" s="5">
        <v>2.0</v>
      </c>
      <c r="N1756" s="3" t="b">
        <v>0</v>
      </c>
      <c r="R1756" s="3">
        <v>0.0</v>
      </c>
      <c r="T1756" s="3">
        <v>5.0</v>
      </c>
      <c r="U1756" s="3">
        <v>6.5</v>
      </c>
      <c r="V1756" s="3" t="s">
        <v>1864</v>
      </c>
      <c r="W1756" s="3" t="s">
        <v>845</v>
      </c>
      <c r="X1756" s="77" t="s">
        <v>1861</v>
      </c>
      <c r="Y1756" s="3">
        <v>0.0</v>
      </c>
      <c r="Z1756" s="3">
        <v>2.0</v>
      </c>
      <c r="AA1756" s="3">
        <f>2+ (P1756*'Scoring System'!$B$3)+ (IF(OR(AD1756="DEF",AD1756="GK"),N1756*'Scoring System'!$B$4,IF(AD1756="MID",N1756*'Scoring System'!$B$5,0)))+ (IF(OR(AD1756="DEF",AD1756="GK"),H1756*'Scoring System'!$B$6,IF(AD1756="MID",H1756*'Scoring System'!$B$7,IF(AD1756="ATT",H1756*'Scoring System'!$B$8,0))))+ IF(AND(OR(AD1756="GK",AD1756="DEF"),J1756&gt;=3),1*'Scoring System'!$B$9,0)+ (I1756*'Scoring System'!$B$10)+ (K1756*'Scoring System'!$B$11)+ (M1756*'Scoring System'!$B$12)+ (L1756*'Scoring System'!$B$13)+ (O1756*'Scoring System'!$B$14)+ (Q1756*'Scoring System'!$B$15)+ (R1756*'Scoring System'!$B$16)</f>
        <v>2</v>
      </c>
      <c r="AB1756" s="3" t="b">
        <f>IFERROR(match(C1756,'Match Day Fees'!$B$2:$B$999,0),0)=0</f>
        <v>0</v>
      </c>
      <c r="AC1756" s="3">
        <f t="shared" si="2"/>
        <v>0</v>
      </c>
      <c r="AD1756" s="3" t="str">
        <f>VLOOKUP(D1756,'Position Lookup'!A:B,2,FALSE)</f>
        <v>DEF</v>
      </c>
    </row>
    <row r="1757" ht="17.25" customHeight="1">
      <c r="A1757" s="32">
        <v>45339.0</v>
      </c>
      <c r="B1757" s="5" t="s">
        <v>309</v>
      </c>
      <c r="C1757" s="3" t="s">
        <v>142</v>
      </c>
      <c r="D1757" s="3" t="s">
        <v>23</v>
      </c>
      <c r="E1757" s="5">
        <v>6.0</v>
      </c>
      <c r="F1757" s="3" t="s">
        <v>1004</v>
      </c>
      <c r="G1757" s="3" t="s">
        <v>230</v>
      </c>
      <c r="J1757" s="5">
        <v>2.0</v>
      </c>
      <c r="N1757" s="3" t="b">
        <v>0</v>
      </c>
      <c r="R1757" s="3">
        <v>0.0</v>
      </c>
      <c r="T1757" s="3">
        <v>10.0</v>
      </c>
      <c r="U1757" s="3">
        <v>7.0</v>
      </c>
      <c r="V1757" s="3" t="s">
        <v>1865</v>
      </c>
      <c r="W1757" s="3" t="s">
        <v>845</v>
      </c>
      <c r="X1757" s="77" t="s">
        <v>1861</v>
      </c>
      <c r="Y1757" s="3">
        <v>0.0</v>
      </c>
      <c r="Z1757" s="3">
        <v>2.0</v>
      </c>
      <c r="AA1757" s="3">
        <f>2+ (P1757*'Scoring System'!$B$3)+ (IF(OR(AD1757="DEF",AD1757="GK"),N1757*'Scoring System'!$B$4,IF(AD1757="MID",N1757*'Scoring System'!$B$5,0)))+ (IF(OR(AD1757="DEF",AD1757="GK"),H1757*'Scoring System'!$B$6,IF(AD1757="MID",H1757*'Scoring System'!$B$7,IF(AD1757="ATT",H1757*'Scoring System'!$B$8,0))))+ IF(AND(OR(AD1757="GK",AD1757="DEF"),J1757&gt;=3),1*'Scoring System'!$B$9,0)+ (I1757*'Scoring System'!$B$10)+ (K1757*'Scoring System'!$B$11)+ (M1757*'Scoring System'!$B$12)+ (L1757*'Scoring System'!$B$13)+ (O1757*'Scoring System'!$B$14)+ (Q1757*'Scoring System'!$B$15)+ (R1757*'Scoring System'!$B$16)</f>
        <v>2</v>
      </c>
      <c r="AB1757" s="3" t="b">
        <f>IFERROR(match(C1757,'Match Day Fees'!$B$2:$B$999,0),0)=0</f>
        <v>0</v>
      </c>
      <c r="AC1757" s="3">
        <f t="shared" si="2"/>
        <v>0</v>
      </c>
      <c r="AD1757" s="3" t="str">
        <f>VLOOKUP(D1757,'Position Lookup'!A:B,2,FALSE)</f>
        <v>ATT</v>
      </c>
    </row>
    <row r="1758" ht="17.25" customHeight="1">
      <c r="A1758" s="32">
        <v>45339.0</v>
      </c>
      <c r="B1758" s="5" t="s">
        <v>309</v>
      </c>
      <c r="C1758" s="3" t="s">
        <v>90</v>
      </c>
      <c r="D1758" s="3" t="s">
        <v>20</v>
      </c>
      <c r="E1758" s="5">
        <v>6.0</v>
      </c>
      <c r="F1758" s="3" t="s">
        <v>1004</v>
      </c>
      <c r="G1758" s="3" t="s">
        <v>230</v>
      </c>
      <c r="J1758" s="5">
        <v>2.0</v>
      </c>
      <c r="N1758" s="3" t="b">
        <v>0</v>
      </c>
      <c r="R1758" s="3">
        <v>1.0</v>
      </c>
      <c r="T1758" s="3">
        <v>10.0</v>
      </c>
      <c r="U1758" s="3">
        <v>8.0</v>
      </c>
      <c r="V1758" s="3" t="s">
        <v>1866</v>
      </c>
      <c r="W1758" s="3" t="s">
        <v>845</v>
      </c>
      <c r="X1758" s="77" t="s">
        <v>1861</v>
      </c>
      <c r="Y1758" s="3">
        <v>0.0</v>
      </c>
      <c r="Z1758" s="3">
        <v>2.0</v>
      </c>
      <c r="AA1758" s="3">
        <f>2+ (P1758*'Scoring System'!$B$3)+ (IF(OR(AD1758="DEF",AD1758="GK"),N1758*'Scoring System'!$B$4,IF(AD1758="MID",N1758*'Scoring System'!$B$5,0)))+ (IF(OR(AD1758="DEF",AD1758="GK"),H1758*'Scoring System'!$B$6,IF(AD1758="MID",H1758*'Scoring System'!$B$7,IF(AD1758="ATT",H1758*'Scoring System'!$B$8,0))))+ IF(AND(OR(AD1758="GK",AD1758="DEF"),J1758&gt;=3),1*'Scoring System'!$B$9,0)+ (I1758*'Scoring System'!$B$10)+ (K1758*'Scoring System'!$B$11)+ (M1758*'Scoring System'!$B$12)+ (L1758*'Scoring System'!$B$13)+ (O1758*'Scoring System'!$B$14)+ (Q1758*'Scoring System'!$B$15)+ (R1758*'Scoring System'!$B$16)</f>
        <v>7</v>
      </c>
      <c r="AB1758" s="3" t="b">
        <f>IFERROR(match(C1758,'Match Day Fees'!$B$2:$B$999,0),0)=0</f>
        <v>0</v>
      </c>
      <c r="AC1758" s="3">
        <f t="shared" si="2"/>
        <v>0</v>
      </c>
      <c r="AD1758" s="3" t="str">
        <f>VLOOKUP(D1758,'Position Lookup'!A:B,2,FALSE)</f>
        <v>MID</v>
      </c>
    </row>
    <row r="1759" ht="17.25" customHeight="1">
      <c r="A1759" s="32">
        <v>45339.0</v>
      </c>
      <c r="B1759" s="5" t="s">
        <v>309</v>
      </c>
      <c r="C1759" s="3" t="s">
        <v>147</v>
      </c>
      <c r="D1759" s="3" t="s">
        <v>19</v>
      </c>
      <c r="E1759" s="5">
        <v>6.0</v>
      </c>
      <c r="F1759" s="3" t="s">
        <v>1004</v>
      </c>
      <c r="G1759" s="3" t="s">
        <v>230</v>
      </c>
      <c r="J1759" s="5">
        <v>2.0</v>
      </c>
      <c r="N1759" s="3" t="b">
        <v>0</v>
      </c>
      <c r="R1759" s="3">
        <v>0.0</v>
      </c>
      <c r="T1759" s="3">
        <v>10.0</v>
      </c>
      <c r="U1759" s="3">
        <v>7.0</v>
      </c>
      <c r="V1759" s="3" t="s">
        <v>1867</v>
      </c>
      <c r="W1759" s="3" t="s">
        <v>845</v>
      </c>
      <c r="X1759" s="77" t="s">
        <v>1861</v>
      </c>
      <c r="Y1759" s="3">
        <v>0.0</v>
      </c>
      <c r="Z1759" s="3">
        <v>2.0</v>
      </c>
      <c r="AA1759" s="3">
        <f>2+ (P1759*'Scoring System'!$B$3)+ (IF(OR(AD1759="DEF",AD1759="GK"),N1759*'Scoring System'!$B$4,IF(AD1759="MID",N1759*'Scoring System'!$B$5,0)))+ (IF(OR(AD1759="DEF",AD1759="GK"),H1759*'Scoring System'!$B$6,IF(AD1759="MID",H1759*'Scoring System'!$B$7,IF(AD1759="ATT",H1759*'Scoring System'!$B$8,0))))+ IF(AND(OR(AD1759="GK",AD1759="DEF"),J1759&gt;=3),1*'Scoring System'!$B$9,0)+ (I1759*'Scoring System'!$B$10)+ (K1759*'Scoring System'!$B$11)+ (M1759*'Scoring System'!$B$12)+ (L1759*'Scoring System'!$B$13)+ (O1759*'Scoring System'!$B$14)+ (Q1759*'Scoring System'!$B$15)+ (R1759*'Scoring System'!$B$16)</f>
        <v>2</v>
      </c>
      <c r="AB1759" s="3" t="b">
        <f>IFERROR(match(C1759,'Match Day Fees'!$B$2:$B$999,0),0)=0</f>
        <v>0</v>
      </c>
      <c r="AC1759" s="3">
        <f t="shared" si="2"/>
        <v>0</v>
      </c>
      <c r="AD1759" s="3" t="str">
        <f>VLOOKUP(D1759,'Position Lookup'!A:B,2,FALSE)</f>
        <v>MID</v>
      </c>
    </row>
    <row r="1760" ht="17.25" customHeight="1">
      <c r="A1760" s="32">
        <v>45339.0</v>
      </c>
      <c r="B1760" s="5" t="s">
        <v>309</v>
      </c>
      <c r="C1760" s="3" t="s">
        <v>128</v>
      </c>
      <c r="D1760" s="3" t="s">
        <v>14</v>
      </c>
      <c r="E1760" s="5">
        <v>6.0</v>
      </c>
      <c r="F1760" s="3" t="s">
        <v>1004</v>
      </c>
      <c r="G1760" s="3" t="s">
        <v>230</v>
      </c>
      <c r="J1760" s="5">
        <v>2.0</v>
      </c>
      <c r="N1760" s="3" t="b">
        <v>0</v>
      </c>
      <c r="Q1760" s="5">
        <v>1.0</v>
      </c>
      <c r="R1760" s="3">
        <v>0.0</v>
      </c>
      <c r="T1760" s="3">
        <v>10.0</v>
      </c>
      <c r="U1760" s="3">
        <v>6.0</v>
      </c>
      <c r="V1760" s="3" t="s">
        <v>1868</v>
      </c>
      <c r="W1760" s="3" t="s">
        <v>845</v>
      </c>
      <c r="X1760" s="77" t="s">
        <v>1861</v>
      </c>
      <c r="Y1760" s="3">
        <v>0.0</v>
      </c>
      <c r="Z1760" s="3">
        <v>2.0</v>
      </c>
      <c r="AA1760" s="3">
        <f>2+ (P1760*'Scoring System'!$B$3)+ (IF(OR(AD1760="DEF",AD1760="GK"),N1760*'Scoring System'!$B$4,IF(AD1760="MID",N1760*'Scoring System'!$B$5,0)))+ (IF(OR(AD1760="DEF",AD1760="GK"),H1760*'Scoring System'!$B$6,IF(AD1760="MID",H1760*'Scoring System'!$B$7,IF(AD1760="ATT",H1760*'Scoring System'!$B$8,0))))+ IF(AND(OR(AD1760="GK",AD1760="DEF"),J1760&gt;=3),1*'Scoring System'!$B$9,0)+ (I1760*'Scoring System'!$B$10)+ (K1760*'Scoring System'!$B$11)+ (M1760*'Scoring System'!$B$12)+ (L1760*'Scoring System'!$B$13)+ (O1760*'Scoring System'!$B$14)+ (Q1760*'Scoring System'!$B$15)+ (R1760*'Scoring System'!$B$16)</f>
        <v>0</v>
      </c>
      <c r="AB1760" s="3" t="b">
        <f>IFERROR(match(C1760,'Match Day Fees'!$B$2:$B$999,0),0)=0</f>
        <v>0</v>
      </c>
      <c r="AC1760" s="3">
        <f t="shared" si="2"/>
        <v>0</v>
      </c>
      <c r="AD1760" s="3" t="str">
        <f>VLOOKUP(D1760,'Position Lookup'!A:B,2,FALSE)</f>
        <v>DEF</v>
      </c>
    </row>
    <row r="1761" ht="17.25" customHeight="1">
      <c r="A1761" s="32">
        <v>45339.0</v>
      </c>
      <c r="B1761" s="5" t="s">
        <v>309</v>
      </c>
      <c r="C1761" s="3" t="s">
        <v>234</v>
      </c>
      <c r="D1761" s="3" t="s">
        <v>24</v>
      </c>
      <c r="E1761" s="5">
        <v>6.0</v>
      </c>
      <c r="F1761" s="3" t="s">
        <v>1004</v>
      </c>
      <c r="G1761" s="3" t="s">
        <v>230</v>
      </c>
      <c r="J1761" s="5">
        <v>2.0</v>
      </c>
      <c r="N1761" s="3" t="b">
        <v>0</v>
      </c>
      <c r="R1761" s="3">
        <v>0.0</v>
      </c>
      <c r="T1761" s="3">
        <v>10.0</v>
      </c>
      <c r="U1761" s="3">
        <v>6.0</v>
      </c>
      <c r="V1761" s="3" t="s">
        <v>1869</v>
      </c>
      <c r="W1761" s="3" t="s">
        <v>845</v>
      </c>
      <c r="X1761" s="77" t="s">
        <v>1861</v>
      </c>
      <c r="Y1761" s="3">
        <v>0.0</v>
      </c>
      <c r="Z1761" s="3">
        <v>2.0</v>
      </c>
      <c r="AA1761" s="3">
        <f>2+ (P1761*'Scoring System'!$B$3)+ (IF(OR(AD1761="DEF",AD1761="GK"),N1761*'Scoring System'!$B$4,IF(AD1761="MID",N1761*'Scoring System'!$B$5,0)))+ (IF(OR(AD1761="DEF",AD1761="GK"),H1761*'Scoring System'!$B$6,IF(AD1761="MID",H1761*'Scoring System'!$B$7,IF(AD1761="ATT",H1761*'Scoring System'!$B$8,0))))+ IF(AND(OR(AD1761="GK",AD1761="DEF"),J1761&gt;=3),1*'Scoring System'!$B$9,0)+ (I1761*'Scoring System'!$B$10)+ (K1761*'Scoring System'!$B$11)+ (M1761*'Scoring System'!$B$12)+ (L1761*'Scoring System'!$B$13)+ (O1761*'Scoring System'!$B$14)+ (Q1761*'Scoring System'!$B$15)+ (R1761*'Scoring System'!$B$16)</f>
        <v>2</v>
      </c>
      <c r="AB1761" s="3" t="b">
        <f>IFERROR(match(C1761,'Match Day Fees'!$B$2:$B$999,0),0)=0</f>
        <v>0</v>
      </c>
      <c r="AC1761" s="3">
        <f t="shared" si="2"/>
        <v>0</v>
      </c>
      <c r="AD1761" s="3" t="str">
        <f>VLOOKUP(D1761,'Position Lookup'!A:B,2,FALSE)</f>
        <v>ATT</v>
      </c>
    </row>
    <row r="1762" ht="17.25" customHeight="1">
      <c r="A1762" s="32">
        <v>45339.0</v>
      </c>
      <c r="B1762" s="5" t="s">
        <v>309</v>
      </c>
      <c r="C1762" s="3" t="s">
        <v>231</v>
      </c>
      <c r="D1762" s="3" t="s">
        <v>19</v>
      </c>
      <c r="E1762" s="5">
        <v>6.0</v>
      </c>
      <c r="F1762" s="3" t="s">
        <v>1004</v>
      </c>
      <c r="G1762" s="3" t="s">
        <v>230</v>
      </c>
      <c r="J1762" s="5">
        <v>2.0</v>
      </c>
      <c r="N1762" s="3" t="b">
        <v>0</v>
      </c>
      <c r="R1762" s="3">
        <v>0.0</v>
      </c>
      <c r="T1762" s="3">
        <v>5.0</v>
      </c>
      <c r="U1762" s="3">
        <v>5.0</v>
      </c>
      <c r="V1762" s="3" t="s">
        <v>1870</v>
      </c>
      <c r="W1762" s="3" t="s">
        <v>845</v>
      </c>
      <c r="X1762" s="77" t="s">
        <v>1861</v>
      </c>
      <c r="Y1762" s="3">
        <v>0.0</v>
      </c>
      <c r="Z1762" s="3">
        <v>2.0</v>
      </c>
      <c r="AA1762" s="3">
        <f>2+ (P1762*'Scoring System'!$B$3)+ (IF(OR(AD1762="DEF",AD1762="GK"),N1762*'Scoring System'!$B$4,IF(AD1762="MID",N1762*'Scoring System'!$B$5,0)))+ (IF(OR(AD1762="DEF",AD1762="GK"),H1762*'Scoring System'!$B$6,IF(AD1762="MID",H1762*'Scoring System'!$B$7,IF(AD1762="ATT",H1762*'Scoring System'!$B$8,0))))+ IF(AND(OR(AD1762="GK",AD1762="DEF"),J1762&gt;=3),1*'Scoring System'!$B$9,0)+ (I1762*'Scoring System'!$B$10)+ (K1762*'Scoring System'!$B$11)+ (M1762*'Scoring System'!$B$12)+ (L1762*'Scoring System'!$B$13)+ (O1762*'Scoring System'!$B$14)+ (Q1762*'Scoring System'!$B$15)+ (R1762*'Scoring System'!$B$16)</f>
        <v>2</v>
      </c>
      <c r="AB1762" s="3" t="b">
        <f>IFERROR(match(C1762,'Match Day Fees'!$B$2:$B$999,0),0)=0</f>
        <v>0</v>
      </c>
      <c r="AC1762" s="3">
        <f t="shared" si="2"/>
        <v>0</v>
      </c>
      <c r="AD1762" s="3" t="str">
        <f>VLOOKUP(D1762,'Position Lookup'!A:B,2,FALSE)</f>
        <v>MID</v>
      </c>
    </row>
    <row r="1763" ht="17.25" customHeight="1">
      <c r="A1763" s="32">
        <v>45339.0</v>
      </c>
      <c r="B1763" s="5" t="s">
        <v>309</v>
      </c>
      <c r="C1763" s="3" t="s">
        <v>287</v>
      </c>
      <c r="D1763" s="3" t="s">
        <v>16</v>
      </c>
      <c r="E1763" s="5">
        <v>6.0</v>
      </c>
      <c r="F1763" s="3" t="s">
        <v>1004</v>
      </c>
      <c r="G1763" s="3" t="s">
        <v>230</v>
      </c>
      <c r="J1763" s="5">
        <v>2.0</v>
      </c>
      <c r="N1763" s="3" t="b">
        <v>0</v>
      </c>
      <c r="R1763" s="3">
        <v>0.0</v>
      </c>
      <c r="T1763" s="3">
        <v>5.0</v>
      </c>
      <c r="U1763" s="3">
        <v>6.5</v>
      </c>
      <c r="V1763" s="3" t="s">
        <v>1871</v>
      </c>
      <c r="W1763" s="3" t="s">
        <v>845</v>
      </c>
      <c r="X1763" s="77" t="s">
        <v>1861</v>
      </c>
      <c r="Y1763" s="3">
        <v>0.0</v>
      </c>
      <c r="Z1763" s="3">
        <v>2.0</v>
      </c>
      <c r="AA1763" s="3">
        <f>2+ (P1763*'Scoring System'!$B$3)+ (IF(OR(AD1763="DEF",AD1763="GK"),N1763*'Scoring System'!$B$4,IF(AD1763="MID",N1763*'Scoring System'!$B$5,0)))+ (IF(OR(AD1763="DEF",AD1763="GK"),H1763*'Scoring System'!$B$6,IF(AD1763="MID",H1763*'Scoring System'!$B$7,IF(AD1763="ATT",H1763*'Scoring System'!$B$8,0))))+ IF(AND(OR(AD1763="GK",AD1763="DEF"),J1763&gt;=3),1*'Scoring System'!$B$9,0)+ (I1763*'Scoring System'!$B$10)+ (K1763*'Scoring System'!$B$11)+ (M1763*'Scoring System'!$B$12)+ (L1763*'Scoring System'!$B$13)+ (O1763*'Scoring System'!$B$14)+ (Q1763*'Scoring System'!$B$15)+ (R1763*'Scoring System'!$B$16)</f>
        <v>2</v>
      </c>
      <c r="AB1763" s="3" t="b">
        <f>IFERROR(match(C1763,'Match Day Fees'!$B$2:$B$999,0),0)=0</f>
        <v>0</v>
      </c>
      <c r="AC1763" s="3">
        <f t="shared" si="2"/>
        <v>0</v>
      </c>
      <c r="AD1763" s="3" t="str">
        <f>VLOOKUP(D1763,'Position Lookup'!A:B,2,FALSE)</f>
        <v>DEF</v>
      </c>
    </row>
    <row r="1764" ht="17.25" customHeight="1">
      <c r="A1764" s="32">
        <v>45339.0</v>
      </c>
      <c r="B1764" s="5" t="s">
        <v>309</v>
      </c>
      <c r="C1764" s="3" t="s">
        <v>266</v>
      </c>
      <c r="D1764" s="3" t="s">
        <v>19</v>
      </c>
      <c r="E1764" s="5">
        <v>6.0</v>
      </c>
      <c r="F1764" s="3" t="s">
        <v>1004</v>
      </c>
      <c r="G1764" s="3" t="s">
        <v>230</v>
      </c>
      <c r="J1764" s="5">
        <v>2.0</v>
      </c>
      <c r="N1764" s="3" t="b">
        <v>0</v>
      </c>
      <c r="R1764" s="3">
        <v>0.0</v>
      </c>
      <c r="T1764" s="3">
        <v>5.0</v>
      </c>
      <c r="U1764" s="3">
        <v>6.0</v>
      </c>
      <c r="V1764" s="3" t="s">
        <v>1872</v>
      </c>
      <c r="W1764" s="3" t="s">
        <v>845</v>
      </c>
      <c r="X1764" s="77" t="s">
        <v>1861</v>
      </c>
      <c r="Y1764" s="3">
        <v>0.0</v>
      </c>
      <c r="Z1764" s="3">
        <v>2.0</v>
      </c>
      <c r="AA1764" s="3">
        <f>2+ (P1764*'Scoring System'!$B$3)+ (IF(OR(AD1764="DEF",AD1764="GK"),N1764*'Scoring System'!$B$4,IF(AD1764="MID",N1764*'Scoring System'!$B$5,0)))+ (IF(OR(AD1764="DEF",AD1764="GK"),H1764*'Scoring System'!$B$6,IF(AD1764="MID",H1764*'Scoring System'!$B$7,IF(AD1764="ATT",H1764*'Scoring System'!$B$8,0))))+ IF(AND(OR(AD1764="GK",AD1764="DEF"),J1764&gt;=3),1*'Scoring System'!$B$9,0)+ (I1764*'Scoring System'!$B$10)+ (K1764*'Scoring System'!$B$11)+ (M1764*'Scoring System'!$B$12)+ (L1764*'Scoring System'!$B$13)+ (O1764*'Scoring System'!$B$14)+ (Q1764*'Scoring System'!$B$15)+ (R1764*'Scoring System'!$B$16)</f>
        <v>2</v>
      </c>
      <c r="AB1764" s="3" t="b">
        <f>IFERROR(match(C1764,'Match Day Fees'!$B$2:$B$999,0),0)=0</f>
        <v>0</v>
      </c>
      <c r="AC1764" s="3">
        <f t="shared" si="2"/>
        <v>0</v>
      </c>
      <c r="AD1764" s="3" t="str">
        <f>VLOOKUP(D1764,'Position Lookup'!A:B,2,FALSE)</f>
        <v>MID</v>
      </c>
    </row>
    <row r="1765" ht="17.25" customHeight="1">
      <c r="A1765" s="32">
        <v>45339.0</v>
      </c>
      <c r="B1765" s="5" t="s">
        <v>309</v>
      </c>
      <c r="C1765" s="3" t="s">
        <v>284</v>
      </c>
      <c r="D1765" s="3" t="s">
        <v>22</v>
      </c>
      <c r="E1765" s="5">
        <v>6.0</v>
      </c>
      <c r="F1765" s="3" t="s">
        <v>1004</v>
      </c>
      <c r="G1765" s="3" t="s">
        <v>230</v>
      </c>
      <c r="J1765" s="5">
        <v>2.0</v>
      </c>
      <c r="N1765" s="3" t="b">
        <v>0</v>
      </c>
      <c r="R1765" s="3">
        <v>0.0</v>
      </c>
      <c r="T1765" s="3">
        <v>10.0</v>
      </c>
      <c r="U1765" s="3">
        <v>6.5</v>
      </c>
      <c r="V1765" s="3" t="s">
        <v>1873</v>
      </c>
      <c r="W1765" s="3" t="s">
        <v>845</v>
      </c>
      <c r="X1765" s="77" t="s">
        <v>1861</v>
      </c>
      <c r="Y1765" s="3">
        <v>0.0</v>
      </c>
      <c r="Z1765" s="3">
        <v>2.0</v>
      </c>
      <c r="AA1765" s="3">
        <f>2+ (P1765*'Scoring System'!$B$3)+ (IF(OR(AD1765="DEF",AD1765="GK"),N1765*'Scoring System'!$B$4,IF(AD1765="MID",N1765*'Scoring System'!$B$5,0)))+ (IF(OR(AD1765="DEF",AD1765="GK"),H1765*'Scoring System'!$B$6,IF(AD1765="MID",H1765*'Scoring System'!$B$7,IF(AD1765="ATT",H1765*'Scoring System'!$B$8,0))))+ IF(AND(OR(AD1765="GK",AD1765="DEF"),J1765&gt;=3),1*'Scoring System'!$B$9,0)+ (I1765*'Scoring System'!$B$10)+ (K1765*'Scoring System'!$B$11)+ (M1765*'Scoring System'!$B$12)+ (L1765*'Scoring System'!$B$13)+ (O1765*'Scoring System'!$B$14)+ (Q1765*'Scoring System'!$B$15)+ (R1765*'Scoring System'!$B$16)</f>
        <v>2</v>
      </c>
      <c r="AB1765" s="3" t="b">
        <f>IFERROR(match(C1765,'Match Day Fees'!$B$2:$B$999,0),0)=0</f>
        <v>0</v>
      </c>
      <c r="AC1765" s="3">
        <f t="shared" si="2"/>
        <v>0</v>
      </c>
      <c r="AD1765" s="3" t="str">
        <f>VLOOKUP(D1765,'Position Lookup'!A:B,2,FALSE)</f>
        <v>ATT</v>
      </c>
    </row>
    <row r="1766" ht="17.25" customHeight="1">
      <c r="A1766" s="32">
        <v>45339.0</v>
      </c>
      <c r="B1766" s="5" t="s">
        <v>309</v>
      </c>
      <c r="C1766" s="3" t="s">
        <v>576</v>
      </c>
      <c r="D1766" s="3" t="s">
        <v>16</v>
      </c>
      <c r="E1766" s="5">
        <v>6.0</v>
      </c>
      <c r="F1766" s="3" t="s">
        <v>1004</v>
      </c>
      <c r="G1766" s="3" t="s">
        <v>230</v>
      </c>
      <c r="J1766" s="5">
        <v>2.0</v>
      </c>
      <c r="N1766" s="3" t="b">
        <v>0</v>
      </c>
      <c r="R1766" s="3">
        <v>0.0</v>
      </c>
      <c r="T1766" s="3">
        <v>5.0</v>
      </c>
      <c r="U1766" s="3">
        <v>5.0</v>
      </c>
      <c r="V1766" s="3" t="s">
        <v>1874</v>
      </c>
      <c r="W1766" s="3" t="s">
        <v>845</v>
      </c>
      <c r="X1766" s="77" t="s">
        <v>1861</v>
      </c>
      <c r="Y1766" s="3">
        <v>0.0</v>
      </c>
      <c r="Z1766" s="3">
        <v>2.0</v>
      </c>
      <c r="AA1766" s="3">
        <f>2+ (P1766*'Scoring System'!$B$3)+ (IF(OR(AD1766="DEF",AD1766="GK"),N1766*'Scoring System'!$B$4,IF(AD1766="MID",N1766*'Scoring System'!$B$5,0)))+ (IF(OR(AD1766="DEF",AD1766="GK"),H1766*'Scoring System'!$B$6,IF(AD1766="MID",H1766*'Scoring System'!$B$7,IF(AD1766="ATT",H1766*'Scoring System'!$B$8,0))))+ IF(AND(OR(AD1766="GK",AD1766="DEF"),J1766&gt;=3),1*'Scoring System'!$B$9,0)+ (I1766*'Scoring System'!$B$10)+ (K1766*'Scoring System'!$B$11)+ (M1766*'Scoring System'!$B$12)+ (L1766*'Scoring System'!$B$13)+ (O1766*'Scoring System'!$B$14)+ (Q1766*'Scoring System'!$B$15)+ (R1766*'Scoring System'!$B$16)</f>
        <v>2</v>
      </c>
      <c r="AB1766" s="3" t="b">
        <f>IFERROR(match(C1766,'Match Day Fees'!$B$2:$B$999,0),0)=0</f>
        <v>0</v>
      </c>
      <c r="AC1766" s="3">
        <f t="shared" si="2"/>
        <v>0</v>
      </c>
      <c r="AD1766" s="3" t="str">
        <f>VLOOKUP(D1766,'Position Lookup'!A:B,2,FALSE)</f>
        <v>DEF</v>
      </c>
    </row>
    <row r="1767" ht="17.25" customHeight="1">
      <c r="A1767" s="32">
        <v>45339.0</v>
      </c>
      <c r="B1767" s="5" t="s">
        <v>309</v>
      </c>
      <c r="C1767" s="3" t="s">
        <v>53</v>
      </c>
      <c r="D1767" s="3" t="s">
        <v>8</v>
      </c>
      <c r="E1767" s="5">
        <v>1.0</v>
      </c>
      <c r="F1767" s="3" t="s">
        <v>1875</v>
      </c>
      <c r="G1767" s="3" t="s">
        <v>230</v>
      </c>
      <c r="J1767" s="5">
        <v>2.0</v>
      </c>
      <c r="N1767" s="3" t="b">
        <v>0</v>
      </c>
      <c r="R1767" s="3">
        <v>1.0</v>
      </c>
      <c r="T1767" s="3">
        <v>10.0</v>
      </c>
      <c r="U1767" s="3">
        <v>8.0</v>
      </c>
      <c r="V1767" s="3" t="s">
        <v>1876</v>
      </c>
      <c r="W1767" s="3" t="s">
        <v>311</v>
      </c>
      <c r="X1767" s="77" t="s">
        <v>1877</v>
      </c>
      <c r="Y1767" s="3">
        <v>0.0</v>
      </c>
      <c r="Z1767" s="3">
        <v>2.0</v>
      </c>
      <c r="AA1767" s="3">
        <f>2+ (P1767*'Scoring System'!$B$3)+ (IF(OR(AD1767="DEF",AD1767="GK"),N1767*'Scoring System'!$B$4,IF(AD1767="MID",N1767*'Scoring System'!$B$5,0)))+ (IF(OR(AD1767="DEF",AD1767="GK"),H1767*'Scoring System'!$B$6,IF(AD1767="MID",H1767*'Scoring System'!$B$7,IF(AD1767="ATT",H1767*'Scoring System'!$B$8,0))))+ IF(AND(OR(AD1767="GK",AD1767="DEF"),J1767&gt;=3),1*'Scoring System'!$B$9,0)+ (I1767*'Scoring System'!$B$10)+ (K1767*'Scoring System'!$B$11)+ (M1767*'Scoring System'!$B$12)+ (L1767*'Scoring System'!$B$13)+ (O1767*'Scoring System'!$B$14)+ (Q1767*'Scoring System'!$B$15)+ (R1767*'Scoring System'!$B$16)</f>
        <v>7</v>
      </c>
      <c r="AB1767" s="3" t="b">
        <f>IFERROR(match(C1767,'Match Day Fees'!$B$2:$B$999,0),0)=0</f>
        <v>0</v>
      </c>
      <c r="AC1767" s="3">
        <f t="shared" si="2"/>
        <v>0</v>
      </c>
      <c r="AD1767" s="3" t="str">
        <f>VLOOKUP(D1767,'Position Lookup'!A:B,2,FALSE)</f>
        <v>GK</v>
      </c>
    </row>
    <row r="1768" ht="17.25" customHeight="1">
      <c r="A1768" s="32">
        <v>45339.0</v>
      </c>
      <c r="B1768" s="5" t="s">
        <v>309</v>
      </c>
      <c r="C1768" s="3" t="s">
        <v>68</v>
      </c>
      <c r="D1768" s="3" t="s">
        <v>15</v>
      </c>
      <c r="E1768" s="5">
        <v>1.0</v>
      </c>
      <c r="F1768" s="3" t="s">
        <v>1875</v>
      </c>
      <c r="G1768" s="3" t="s">
        <v>230</v>
      </c>
      <c r="J1768" s="5">
        <v>2.0</v>
      </c>
      <c r="N1768" s="3" t="b">
        <v>0</v>
      </c>
      <c r="R1768" s="3">
        <v>0.0</v>
      </c>
      <c r="T1768" s="3">
        <v>10.0</v>
      </c>
      <c r="U1768" s="3">
        <v>5.0</v>
      </c>
      <c r="V1768" s="3" t="s">
        <v>1878</v>
      </c>
      <c r="W1768" s="3" t="s">
        <v>311</v>
      </c>
      <c r="X1768" s="77" t="s">
        <v>1877</v>
      </c>
      <c r="Y1768" s="3">
        <v>0.0</v>
      </c>
      <c r="Z1768" s="3">
        <v>2.0</v>
      </c>
      <c r="AA1768" s="3">
        <f>2+ (P1768*'Scoring System'!$B$3)+ (IF(OR(AD1768="DEF",AD1768="GK"),N1768*'Scoring System'!$B$4,IF(AD1768="MID",N1768*'Scoring System'!$B$5,0)))+ (IF(OR(AD1768="DEF",AD1768="GK"),H1768*'Scoring System'!$B$6,IF(AD1768="MID",H1768*'Scoring System'!$B$7,IF(AD1768="ATT",H1768*'Scoring System'!$B$8,0))))+ IF(AND(OR(AD1768="GK",AD1768="DEF"),J1768&gt;=3),1*'Scoring System'!$B$9,0)+ (I1768*'Scoring System'!$B$10)+ (K1768*'Scoring System'!$B$11)+ (M1768*'Scoring System'!$B$12)+ (L1768*'Scoring System'!$B$13)+ (O1768*'Scoring System'!$B$14)+ (Q1768*'Scoring System'!$B$15)+ (R1768*'Scoring System'!$B$16)</f>
        <v>2</v>
      </c>
      <c r="AB1768" s="3" t="b">
        <f>IFERROR(match(C1768,'Match Day Fees'!$B$2:$B$999,0),0)=0</f>
        <v>0</v>
      </c>
      <c r="AC1768" s="3">
        <f t="shared" si="2"/>
        <v>0</v>
      </c>
      <c r="AD1768" s="3" t="str">
        <f>VLOOKUP(D1768,'Position Lookup'!A:B,2,FALSE)</f>
        <v>DEF</v>
      </c>
    </row>
    <row r="1769" ht="17.25" customHeight="1">
      <c r="A1769" s="32">
        <v>45339.0</v>
      </c>
      <c r="B1769" s="5" t="s">
        <v>309</v>
      </c>
      <c r="C1769" s="3" t="s">
        <v>69</v>
      </c>
      <c r="D1769" s="3" t="s">
        <v>14</v>
      </c>
      <c r="E1769" s="5">
        <v>1.0</v>
      </c>
      <c r="F1769" s="3" t="s">
        <v>1875</v>
      </c>
      <c r="G1769" s="3" t="s">
        <v>230</v>
      </c>
      <c r="J1769" s="5">
        <v>2.0</v>
      </c>
      <c r="N1769" s="3" t="b">
        <v>0</v>
      </c>
      <c r="R1769" s="3">
        <v>0.0</v>
      </c>
      <c r="T1769" s="3">
        <v>10.0</v>
      </c>
      <c r="U1769" s="3">
        <v>6.5</v>
      </c>
      <c r="V1769" s="3" t="s">
        <v>1879</v>
      </c>
      <c r="W1769" s="3" t="s">
        <v>311</v>
      </c>
      <c r="X1769" s="77" t="s">
        <v>1877</v>
      </c>
      <c r="Y1769" s="3">
        <v>0.0</v>
      </c>
      <c r="Z1769" s="3">
        <v>2.0</v>
      </c>
      <c r="AA1769" s="3">
        <f>2+ (P1769*'Scoring System'!$B$3)+ (IF(OR(AD1769="DEF",AD1769="GK"),N1769*'Scoring System'!$B$4,IF(AD1769="MID",N1769*'Scoring System'!$B$5,0)))+ (IF(OR(AD1769="DEF",AD1769="GK"),H1769*'Scoring System'!$B$6,IF(AD1769="MID",H1769*'Scoring System'!$B$7,IF(AD1769="ATT",H1769*'Scoring System'!$B$8,0))))+ IF(AND(OR(AD1769="GK",AD1769="DEF"),J1769&gt;=3),1*'Scoring System'!$B$9,0)+ (I1769*'Scoring System'!$B$10)+ (K1769*'Scoring System'!$B$11)+ (M1769*'Scoring System'!$B$12)+ (L1769*'Scoring System'!$B$13)+ (O1769*'Scoring System'!$B$14)+ (Q1769*'Scoring System'!$B$15)+ (R1769*'Scoring System'!$B$16)</f>
        <v>2</v>
      </c>
      <c r="AB1769" s="3" t="b">
        <f>IFERROR(match(C1769,'Match Day Fees'!$B$2:$B$999,0),0)=0</f>
        <v>0</v>
      </c>
      <c r="AC1769" s="3">
        <f t="shared" si="2"/>
        <v>0</v>
      </c>
      <c r="AD1769" s="3" t="str">
        <f>VLOOKUP(D1769,'Position Lookup'!A:B,2,FALSE)</f>
        <v>DEF</v>
      </c>
    </row>
    <row r="1770" ht="17.25" customHeight="1">
      <c r="A1770" s="32">
        <v>45339.0</v>
      </c>
      <c r="B1770" s="5" t="s">
        <v>309</v>
      </c>
      <c r="C1770" s="3" t="s">
        <v>76</v>
      </c>
      <c r="D1770" s="3" t="s">
        <v>13</v>
      </c>
      <c r="E1770" s="5">
        <v>1.0</v>
      </c>
      <c r="F1770" s="3" t="s">
        <v>1875</v>
      </c>
      <c r="G1770" s="3" t="s">
        <v>230</v>
      </c>
      <c r="J1770" s="5">
        <v>2.0</v>
      </c>
      <c r="N1770" s="3" t="b">
        <v>0</v>
      </c>
      <c r="R1770" s="3">
        <v>0.0</v>
      </c>
      <c r="T1770" s="3">
        <v>10.0</v>
      </c>
      <c r="U1770" s="3">
        <v>5.5</v>
      </c>
      <c r="V1770" s="3" t="s">
        <v>1880</v>
      </c>
      <c r="W1770" s="3" t="s">
        <v>311</v>
      </c>
      <c r="X1770" s="77" t="s">
        <v>1877</v>
      </c>
      <c r="Y1770" s="3">
        <v>0.0</v>
      </c>
      <c r="Z1770" s="3">
        <v>2.0</v>
      </c>
      <c r="AA1770" s="3">
        <f>2+ (P1770*'Scoring System'!$B$3)+ (IF(OR(AD1770="DEF",AD1770="GK"),N1770*'Scoring System'!$B$4,IF(AD1770="MID",N1770*'Scoring System'!$B$5,0)))+ (IF(OR(AD1770="DEF",AD1770="GK"),H1770*'Scoring System'!$B$6,IF(AD1770="MID",H1770*'Scoring System'!$B$7,IF(AD1770="ATT",H1770*'Scoring System'!$B$8,0))))+ IF(AND(OR(AD1770="GK",AD1770="DEF"),J1770&gt;=3),1*'Scoring System'!$B$9,0)+ (I1770*'Scoring System'!$B$10)+ (K1770*'Scoring System'!$B$11)+ (M1770*'Scoring System'!$B$12)+ (L1770*'Scoring System'!$B$13)+ (O1770*'Scoring System'!$B$14)+ (Q1770*'Scoring System'!$B$15)+ (R1770*'Scoring System'!$B$16)</f>
        <v>2</v>
      </c>
      <c r="AB1770" s="3" t="b">
        <f>IFERROR(match(C1770,'Match Day Fees'!$B$2:$B$999,0),0)=0</f>
        <v>0</v>
      </c>
      <c r="AC1770" s="3">
        <f t="shared" si="2"/>
        <v>0</v>
      </c>
      <c r="AD1770" s="3" t="str">
        <f>VLOOKUP(D1770,'Position Lookup'!A:B,2,FALSE)</f>
        <v>DEF</v>
      </c>
    </row>
    <row r="1771" ht="17.25" customHeight="1">
      <c r="A1771" s="32">
        <v>45339.0</v>
      </c>
      <c r="B1771" s="5" t="s">
        <v>309</v>
      </c>
      <c r="C1771" s="3" t="s">
        <v>107</v>
      </c>
      <c r="D1771" s="3" t="s">
        <v>17</v>
      </c>
      <c r="E1771" s="5">
        <v>1.0</v>
      </c>
      <c r="F1771" s="3" t="s">
        <v>1875</v>
      </c>
      <c r="G1771" s="3" t="s">
        <v>230</v>
      </c>
      <c r="J1771" s="5">
        <v>2.0</v>
      </c>
      <c r="N1771" s="3" t="b">
        <v>0</v>
      </c>
      <c r="R1771" s="3">
        <v>0.0</v>
      </c>
      <c r="T1771" s="3">
        <v>10.0</v>
      </c>
      <c r="U1771" s="3">
        <v>5.5</v>
      </c>
      <c r="V1771" s="3" t="s">
        <v>1881</v>
      </c>
      <c r="W1771" s="3" t="s">
        <v>311</v>
      </c>
      <c r="X1771" s="77" t="s">
        <v>1877</v>
      </c>
      <c r="Y1771" s="3">
        <v>0.0</v>
      </c>
      <c r="Z1771" s="3">
        <v>2.0</v>
      </c>
      <c r="AA1771" s="3">
        <f>2+ (P1771*'Scoring System'!$B$3)+ (IF(OR(AD1771="DEF",AD1771="GK"),N1771*'Scoring System'!$B$4,IF(AD1771="MID",N1771*'Scoring System'!$B$5,0)))+ (IF(OR(AD1771="DEF",AD1771="GK"),H1771*'Scoring System'!$B$6,IF(AD1771="MID",H1771*'Scoring System'!$B$7,IF(AD1771="ATT",H1771*'Scoring System'!$B$8,0))))+ IF(AND(OR(AD1771="GK",AD1771="DEF"),J1771&gt;=3),1*'Scoring System'!$B$9,0)+ (I1771*'Scoring System'!$B$10)+ (K1771*'Scoring System'!$B$11)+ (M1771*'Scoring System'!$B$12)+ (L1771*'Scoring System'!$B$13)+ (O1771*'Scoring System'!$B$14)+ (Q1771*'Scoring System'!$B$15)+ (R1771*'Scoring System'!$B$16)</f>
        <v>2</v>
      </c>
      <c r="AB1771" s="3" t="b">
        <f>IFERROR(match(C1771,'Match Day Fees'!$B$2:$B$999,0),0)=0</f>
        <v>0</v>
      </c>
      <c r="AC1771" s="3">
        <f t="shared" si="2"/>
        <v>0</v>
      </c>
      <c r="AD1771" s="3" t="str">
        <f>VLOOKUP(D1771,'Position Lookup'!A:B,2,FALSE)</f>
        <v>DEF</v>
      </c>
    </row>
    <row r="1772" ht="17.25" customHeight="1">
      <c r="A1772" s="32">
        <v>45339.0</v>
      </c>
      <c r="B1772" s="5" t="s">
        <v>309</v>
      </c>
      <c r="C1772" s="3" t="s">
        <v>81</v>
      </c>
      <c r="D1772" s="3" t="s">
        <v>18</v>
      </c>
      <c r="E1772" s="5">
        <v>1.0</v>
      </c>
      <c r="F1772" s="3" t="s">
        <v>1875</v>
      </c>
      <c r="G1772" s="3" t="s">
        <v>230</v>
      </c>
      <c r="J1772" s="5">
        <v>2.0</v>
      </c>
      <c r="N1772" s="3" t="b">
        <v>0</v>
      </c>
      <c r="R1772" s="3">
        <v>0.0</v>
      </c>
      <c r="T1772" s="3">
        <v>5.0</v>
      </c>
      <c r="U1772" s="3">
        <v>4.5</v>
      </c>
      <c r="V1772" s="3" t="s">
        <v>1882</v>
      </c>
      <c r="W1772" s="3" t="s">
        <v>311</v>
      </c>
      <c r="X1772" s="77" t="s">
        <v>1877</v>
      </c>
      <c r="Y1772" s="3">
        <v>0.0</v>
      </c>
      <c r="Z1772" s="3">
        <v>2.0</v>
      </c>
      <c r="AA1772" s="3">
        <f>2+ (P1772*'Scoring System'!$B$3)+ (IF(OR(AD1772="DEF",AD1772="GK"),N1772*'Scoring System'!$B$4,IF(AD1772="MID",N1772*'Scoring System'!$B$5,0)))+ (IF(OR(AD1772="DEF",AD1772="GK"),H1772*'Scoring System'!$B$6,IF(AD1772="MID",H1772*'Scoring System'!$B$7,IF(AD1772="ATT",H1772*'Scoring System'!$B$8,0))))+ IF(AND(OR(AD1772="GK",AD1772="DEF"),J1772&gt;=3),1*'Scoring System'!$B$9,0)+ (I1772*'Scoring System'!$B$10)+ (K1772*'Scoring System'!$B$11)+ (M1772*'Scoring System'!$B$12)+ (L1772*'Scoring System'!$B$13)+ (O1772*'Scoring System'!$B$14)+ (Q1772*'Scoring System'!$B$15)+ (R1772*'Scoring System'!$B$16)</f>
        <v>2</v>
      </c>
      <c r="AB1772" s="3" t="b">
        <f>IFERROR(match(C1772,'Match Day Fees'!$B$2:$B$999,0),0)=0</f>
        <v>0</v>
      </c>
      <c r="AC1772" s="3">
        <f t="shared" si="2"/>
        <v>0</v>
      </c>
      <c r="AD1772" s="3" t="str">
        <f>VLOOKUP(D1772,'Position Lookup'!A:B,2,FALSE)</f>
        <v>DEF</v>
      </c>
    </row>
    <row r="1773" ht="17.25" customHeight="1">
      <c r="A1773" s="32">
        <v>45339.0</v>
      </c>
      <c r="B1773" s="5" t="s">
        <v>309</v>
      </c>
      <c r="C1773" s="3" t="s">
        <v>137</v>
      </c>
      <c r="D1773" s="3" t="s">
        <v>20</v>
      </c>
      <c r="E1773" s="5">
        <v>1.0</v>
      </c>
      <c r="F1773" s="3" t="s">
        <v>1875</v>
      </c>
      <c r="G1773" s="3" t="s">
        <v>230</v>
      </c>
      <c r="J1773" s="5">
        <v>2.0</v>
      </c>
      <c r="N1773" s="3" t="b">
        <v>0</v>
      </c>
      <c r="R1773" s="3">
        <v>0.0</v>
      </c>
      <c r="T1773" s="3">
        <v>7.0</v>
      </c>
      <c r="U1773" s="3">
        <v>6.0</v>
      </c>
      <c r="V1773" s="3" t="s">
        <v>1883</v>
      </c>
      <c r="W1773" s="3" t="s">
        <v>311</v>
      </c>
      <c r="X1773" s="77" t="s">
        <v>1877</v>
      </c>
      <c r="Y1773" s="3">
        <v>0.0</v>
      </c>
      <c r="Z1773" s="3">
        <v>2.0</v>
      </c>
      <c r="AA1773" s="3">
        <f>2+ (P1773*'Scoring System'!$B$3)+ (IF(OR(AD1773="DEF",AD1773="GK"),N1773*'Scoring System'!$B$4,IF(AD1773="MID",N1773*'Scoring System'!$B$5,0)))+ (IF(OR(AD1773="DEF",AD1773="GK"),H1773*'Scoring System'!$B$6,IF(AD1773="MID",H1773*'Scoring System'!$B$7,IF(AD1773="ATT",H1773*'Scoring System'!$B$8,0))))+ IF(AND(OR(AD1773="GK",AD1773="DEF"),J1773&gt;=3),1*'Scoring System'!$B$9,0)+ (I1773*'Scoring System'!$B$10)+ (K1773*'Scoring System'!$B$11)+ (M1773*'Scoring System'!$B$12)+ (L1773*'Scoring System'!$B$13)+ (O1773*'Scoring System'!$B$14)+ (Q1773*'Scoring System'!$B$15)+ (R1773*'Scoring System'!$B$16)</f>
        <v>2</v>
      </c>
      <c r="AB1773" s="3" t="b">
        <f>IFERROR(match(C1773,'Match Day Fees'!$B$2:$B$999,0),0)=0</f>
        <v>0</v>
      </c>
      <c r="AC1773" s="3">
        <f t="shared" si="2"/>
        <v>0</v>
      </c>
      <c r="AD1773" s="3" t="str">
        <f>VLOOKUP(D1773,'Position Lookup'!A:B,2,FALSE)</f>
        <v>MID</v>
      </c>
    </row>
    <row r="1774" ht="17.25" customHeight="1">
      <c r="A1774" s="32">
        <v>45339.0</v>
      </c>
      <c r="B1774" s="5" t="s">
        <v>309</v>
      </c>
      <c r="C1774" s="3" t="s">
        <v>67</v>
      </c>
      <c r="D1774" s="3" t="s">
        <v>20</v>
      </c>
      <c r="E1774" s="5">
        <v>1.0</v>
      </c>
      <c r="F1774" s="3" t="s">
        <v>1875</v>
      </c>
      <c r="G1774" s="3" t="s">
        <v>230</v>
      </c>
      <c r="J1774" s="5">
        <v>2.0</v>
      </c>
      <c r="N1774" s="3" t="b">
        <v>0</v>
      </c>
      <c r="R1774" s="3">
        <v>0.0</v>
      </c>
      <c r="T1774" s="3">
        <v>10.0</v>
      </c>
      <c r="U1774" s="3">
        <v>6.0</v>
      </c>
      <c r="V1774" s="3" t="s">
        <v>1884</v>
      </c>
      <c r="W1774" s="3" t="s">
        <v>311</v>
      </c>
      <c r="X1774" s="77" t="s">
        <v>1877</v>
      </c>
      <c r="Y1774" s="3">
        <v>0.0</v>
      </c>
      <c r="Z1774" s="3">
        <v>2.0</v>
      </c>
      <c r="AA1774" s="3">
        <f>2+ (P1774*'Scoring System'!$B$3)+ (IF(OR(AD1774="DEF",AD1774="GK"),N1774*'Scoring System'!$B$4,IF(AD1774="MID",N1774*'Scoring System'!$B$5,0)))+ (IF(OR(AD1774="DEF",AD1774="GK"),H1774*'Scoring System'!$B$6,IF(AD1774="MID",H1774*'Scoring System'!$B$7,IF(AD1774="ATT",H1774*'Scoring System'!$B$8,0))))+ IF(AND(OR(AD1774="GK",AD1774="DEF"),J1774&gt;=3),1*'Scoring System'!$B$9,0)+ (I1774*'Scoring System'!$B$10)+ (K1774*'Scoring System'!$B$11)+ (M1774*'Scoring System'!$B$12)+ (L1774*'Scoring System'!$B$13)+ (O1774*'Scoring System'!$B$14)+ (Q1774*'Scoring System'!$B$15)+ (R1774*'Scoring System'!$B$16)</f>
        <v>2</v>
      </c>
      <c r="AB1774" s="3" t="b">
        <f>IFERROR(match(C1774,'Match Day Fees'!$B$2:$B$999,0),0)=0</f>
        <v>0</v>
      </c>
      <c r="AC1774" s="3">
        <f t="shared" si="2"/>
        <v>0</v>
      </c>
      <c r="AD1774" s="3" t="str">
        <f>VLOOKUP(D1774,'Position Lookup'!A:B,2,FALSE)</f>
        <v>MID</v>
      </c>
    </row>
    <row r="1775" ht="17.25" customHeight="1">
      <c r="A1775" s="32">
        <v>45339.0</v>
      </c>
      <c r="B1775" s="5" t="s">
        <v>309</v>
      </c>
      <c r="C1775" s="3" t="s">
        <v>60</v>
      </c>
      <c r="D1775" s="3" t="s">
        <v>21</v>
      </c>
      <c r="E1775" s="5">
        <v>1.0</v>
      </c>
      <c r="F1775" s="3" t="s">
        <v>1875</v>
      </c>
      <c r="G1775" s="3" t="s">
        <v>230</v>
      </c>
      <c r="J1775" s="5">
        <v>2.0</v>
      </c>
      <c r="N1775" s="3" t="b">
        <v>0</v>
      </c>
      <c r="R1775" s="3">
        <v>0.0</v>
      </c>
      <c r="T1775" s="3">
        <v>10.0</v>
      </c>
      <c r="U1775" s="3">
        <v>5.0</v>
      </c>
      <c r="V1775" s="3" t="s">
        <v>1885</v>
      </c>
      <c r="W1775" s="3" t="s">
        <v>311</v>
      </c>
      <c r="X1775" s="77" t="s">
        <v>1877</v>
      </c>
      <c r="Y1775" s="3">
        <v>0.0</v>
      </c>
      <c r="Z1775" s="3">
        <v>2.0</v>
      </c>
      <c r="AA1775" s="3">
        <f>2+ (P1775*'Scoring System'!$B$3)+ (IF(OR(AD1775="DEF",AD1775="GK"),N1775*'Scoring System'!$B$4,IF(AD1775="MID",N1775*'Scoring System'!$B$5,0)))+ (IF(OR(AD1775="DEF",AD1775="GK"),H1775*'Scoring System'!$B$6,IF(AD1775="MID",H1775*'Scoring System'!$B$7,IF(AD1775="ATT",H1775*'Scoring System'!$B$8,0))))+ IF(AND(OR(AD1775="GK",AD1775="DEF"),J1775&gt;=3),1*'Scoring System'!$B$9,0)+ (I1775*'Scoring System'!$B$10)+ (K1775*'Scoring System'!$B$11)+ (M1775*'Scoring System'!$B$12)+ (L1775*'Scoring System'!$B$13)+ (O1775*'Scoring System'!$B$14)+ (Q1775*'Scoring System'!$B$15)+ (R1775*'Scoring System'!$B$16)</f>
        <v>2</v>
      </c>
      <c r="AB1775" s="3" t="b">
        <f>IFERROR(match(C1775,'Match Day Fees'!$B$2:$B$999,0),0)=0</f>
        <v>0</v>
      </c>
      <c r="AC1775" s="3">
        <f t="shared" si="2"/>
        <v>0</v>
      </c>
      <c r="AD1775" s="3" t="str">
        <f>VLOOKUP(D1775,'Position Lookup'!A:B,2,FALSE)</f>
        <v>MID</v>
      </c>
    </row>
    <row r="1776" ht="17.25" customHeight="1">
      <c r="A1776" s="32">
        <v>45339.0</v>
      </c>
      <c r="B1776" s="5" t="s">
        <v>309</v>
      </c>
      <c r="C1776" s="3" t="s">
        <v>47</v>
      </c>
      <c r="D1776" s="3" t="s">
        <v>24</v>
      </c>
      <c r="E1776" s="5">
        <v>1.0</v>
      </c>
      <c r="F1776" s="3" t="s">
        <v>1875</v>
      </c>
      <c r="G1776" s="3" t="s">
        <v>230</v>
      </c>
      <c r="J1776" s="5">
        <v>2.0</v>
      </c>
      <c r="N1776" s="3" t="b">
        <v>0</v>
      </c>
      <c r="R1776" s="3">
        <v>0.0</v>
      </c>
      <c r="T1776" s="3">
        <v>10.0</v>
      </c>
      <c r="U1776" s="3">
        <v>6.0</v>
      </c>
      <c r="V1776" s="3" t="s">
        <v>1886</v>
      </c>
      <c r="W1776" s="3" t="s">
        <v>311</v>
      </c>
      <c r="X1776" s="77" t="s">
        <v>1877</v>
      </c>
      <c r="Y1776" s="3">
        <v>0.0</v>
      </c>
      <c r="Z1776" s="3">
        <v>2.0</v>
      </c>
      <c r="AA1776" s="3">
        <f>2+ (P1776*'Scoring System'!$B$3)+ (IF(OR(AD1776="DEF",AD1776="GK"),N1776*'Scoring System'!$B$4,IF(AD1776="MID",N1776*'Scoring System'!$B$5,0)))+ (IF(OR(AD1776="DEF",AD1776="GK"),H1776*'Scoring System'!$B$6,IF(AD1776="MID",H1776*'Scoring System'!$B$7,IF(AD1776="ATT",H1776*'Scoring System'!$B$8,0))))+ IF(AND(OR(AD1776="GK",AD1776="DEF"),J1776&gt;=3),1*'Scoring System'!$B$9,0)+ (I1776*'Scoring System'!$B$10)+ (K1776*'Scoring System'!$B$11)+ (M1776*'Scoring System'!$B$12)+ (L1776*'Scoring System'!$B$13)+ (O1776*'Scoring System'!$B$14)+ (Q1776*'Scoring System'!$B$15)+ (R1776*'Scoring System'!$B$16)</f>
        <v>2</v>
      </c>
      <c r="AB1776" s="3" t="b">
        <f>IFERROR(match(C1776,'Match Day Fees'!$B$2:$B$999,0),0)=0</f>
        <v>0</v>
      </c>
      <c r="AC1776" s="3">
        <f t="shared" si="2"/>
        <v>0</v>
      </c>
      <c r="AD1776" s="3" t="str">
        <f>VLOOKUP(D1776,'Position Lookup'!A:B,2,FALSE)</f>
        <v>ATT</v>
      </c>
    </row>
    <row r="1777" ht="17.25" customHeight="1">
      <c r="A1777" s="32">
        <v>45339.0</v>
      </c>
      <c r="B1777" s="5" t="s">
        <v>309</v>
      </c>
      <c r="C1777" s="3" t="s">
        <v>62</v>
      </c>
      <c r="D1777" s="3" t="s">
        <v>24</v>
      </c>
      <c r="E1777" s="5">
        <v>1.0</v>
      </c>
      <c r="F1777" s="3" t="s">
        <v>1875</v>
      </c>
      <c r="G1777" s="3" t="s">
        <v>230</v>
      </c>
      <c r="J1777" s="5">
        <v>2.0</v>
      </c>
      <c r="N1777" s="3" t="b">
        <v>0</v>
      </c>
      <c r="R1777" s="3">
        <v>0.0</v>
      </c>
      <c r="T1777" s="3">
        <v>10.0</v>
      </c>
      <c r="U1777" s="3">
        <v>5.0</v>
      </c>
      <c r="V1777" s="3" t="s">
        <v>1887</v>
      </c>
      <c r="W1777" s="3" t="s">
        <v>311</v>
      </c>
      <c r="X1777" s="77" t="s">
        <v>1877</v>
      </c>
      <c r="Y1777" s="3">
        <v>0.0</v>
      </c>
      <c r="Z1777" s="3">
        <v>2.0</v>
      </c>
      <c r="AA1777" s="3">
        <f>2+ (P1777*'Scoring System'!$B$3)+ (IF(OR(AD1777="DEF",AD1777="GK"),N1777*'Scoring System'!$B$4,IF(AD1777="MID",N1777*'Scoring System'!$B$5,0)))+ (IF(OR(AD1777="DEF",AD1777="GK"),H1777*'Scoring System'!$B$6,IF(AD1777="MID",H1777*'Scoring System'!$B$7,IF(AD1777="ATT",H1777*'Scoring System'!$B$8,0))))+ IF(AND(OR(AD1777="GK",AD1777="DEF"),J1777&gt;=3),1*'Scoring System'!$B$9,0)+ (I1777*'Scoring System'!$B$10)+ (K1777*'Scoring System'!$B$11)+ (M1777*'Scoring System'!$B$12)+ (L1777*'Scoring System'!$B$13)+ (O1777*'Scoring System'!$B$14)+ (Q1777*'Scoring System'!$B$15)+ (R1777*'Scoring System'!$B$16)</f>
        <v>2</v>
      </c>
      <c r="AB1777" s="3" t="b">
        <f>IFERROR(match(C1777,'Match Day Fees'!$B$2:$B$999,0),0)=0</f>
        <v>0</v>
      </c>
      <c r="AC1777" s="3">
        <f t="shared" si="2"/>
        <v>0</v>
      </c>
      <c r="AD1777" s="3" t="str">
        <f>VLOOKUP(D1777,'Position Lookup'!A:B,2,FALSE)</f>
        <v>ATT</v>
      </c>
    </row>
    <row r="1778" ht="17.25" customHeight="1">
      <c r="A1778" s="32">
        <v>45339.0</v>
      </c>
      <c r="B1778" s="5" t="s">
        <v>309</v>
      </c>
      <c r="C1778" s="3" t="s">
        <v>85</v>
      </c>
      <c r="D1778" s="3" t="s">
        <v>20</v>
      </c>
      <c r="E1778" s="5">
        <v>1.0</v>
      </c>
      <c r="F1778" s="3" t="s">
        <v>1875</v>
      </c>
      <c r="G1778" s="3" t="s">
        <v>230</v>
      </c>
      <c r="J1778" s="5">
        <v>2.0</v>
      </c>
      <c r="N1778" s="3" t="b">
        <v>0</v>
      </c>
      <c r="R1778" s="3">
        <v>0.0</v>
      </c>
      <c r="T1778" s="3">
        <v>5.0</v>
      </c>
      <c r="U1778" s="3">
        <v>8.0</v>
      </c>
      <c r="V1778" s="3" t="s">
        <v>1888</v>
      </c>
      <c r="W1778" s="3" t="s">
        <v>311</v>
      </c>
      <c r="X1778" s="77" t="s">
        <v>1877</v>
      </c>
      <c r="Y1778" s="3">
        <v>0.0</v>
      </c>
      <c r="Z1778" s="3">
        <v>2.0</v>
      </c>
      <c r="AA1778" s="3">
        <f>2+ (P1778*'Scoring System'!$B$3)+ (IF(OR(AD1778="DEF",AD1778="GK"),N1778*'Scoring System'!$B$4,IF(AD1778="MID",N1778*'Scoring System'!$B$5,0)))+ (IF(OR(AD1778="DEF",AD1778="GK"),H1778*'Scoring System'!$B$6,IF(AD1778="MID",H1778*'Scoring System'!$B$7,IF(AD1778="ATT",H1778*'Scoring System'!$B$8,0))))+ IF(AND(OR(AD1778="GK",AD1778="DEF"),J1778&gt;=3),1*'Scoring System'!$B$9,0)+ (I1778*'Scoring System'!$B$10)+ (K1778*'Scoring System'!$B$11)+ (M1778*'Scoring System'!$B$12)+ (L1778*'Scoring System'!$B$13)+ (O1778*'Scoring System'!$B$14)+ (Q1778*'Scoring System'!$B$15)+ (R1778*'Scoring System'!$B$16)</f>
        <v>2</v>
      </c>
      <c r="AB1778" s="3" t="b">
        <f>IFERROR(match(C1778,'Match Day Fees'!$B$2:$B$999,0),0)=0</f>
        <v>0</v>
      </c>
      <c r="AC1778" s="3">
        <f t="shared" si="2"/>
        <v>0</v>
      </c>
      <c r="AD1778" s="3" t="str">
        <f>VLOOKUP(D1778,'Position Lookup'!A:B,2,FALSE)</f>
        <v>MID</v>
      </c>
    </row>
    <row r="1779" ht="17.25" customHeight="1">
      <c r="A1779" s="32">
        <v>45339.0</v>
      </c>
      <c r="B1779" s="5" t="s">
        <v>309</v>
      </c>
      <c r="C1779" s="3" t="s">
        <v>96</v>
      </c>
      <c r="D1779" s="3" t="s">
        <v>24</v>
      </c>
      <c r="E1779" s="5">
        <v>1.0</v>
      </c>
      <c r="F1779" s="3" t="s">
        <v>1875</v>
      </c>
      <c r="G1779" s="3" t="s">
        <v>230</v>
      </c>
      <c r="J1779" s="5">
        <v>2.0</v>
      </c>
      <c r="N1779" s="3" t="b">
        <v>0</v>
      </c>
      <c r="R1779" s="3">
        <v>0.0</v>
      </c>
      <c r="T1779" s="3">
        <v>4.0</v>
      </c>
      <c r="U1779" s="3">
        <v>7.0</v>
      </c>
      <c r="V1779" s="3" t="s">
        <v>1889</v>
      </c>
      <c r="W1779" s="3" t="s">
        <v>311</v>
      </c>
      <c r="X1779" s="77" t="s">
        <v>1877</v>
      </c>
      <c r="Y1779" s="3">
        <v>0.0</v>
      </c>
      <c r="Z1779" s="3">
        <v>2.0</v>
      </c>
      <c r="AA1779" s="3">
        <f>2+ (P1779*'Scoring System'!$B$3)+ (IF(OR(AD1779="DEF",AD1779="GK"),N1779*'Scoring System'!$B$4,IF(AD1779="MID",N1779*'Scoring System'!$B$5,0)))+ (IF(OR(AD1779="DEF",AD1779="GK"),H1779*'Scoring System'!$B$6,IF(AD1779="MID",H1779*'Scoring System'!$B$7,IF(AD1779="ATT",H1779*'Scoring System'!$B$8,0))))+ IF(AND(OR(AD1779="GK",AD1779="DEF"),J1779&gt;=3),1*'Scoring System'!$B$9,0)+ (I1779*'Scoring System'!$B$10)+ (K1779*'Scoring System'!$B$11)+ (M1779*'Scoring System'!$B$12)+ (L1779*'Scoring System'!$B$13)+ (O1779*'Scoring System'!$B$14)+ (Q1779*'Scoring System'!$B$15)+ (R1779*'Scoring System'!$B$16)</f>
        <v>2</v>
      </c>
      <c r="AB1779" s="3" t="b">
        <f>IFERROR(match(C1779,'Match Day Fees'!$B$2:$B$999,0),0)=0</f>
        <v>0</v>
      </c>
      <c r="AC1779" s="3">
        <f t="shared" si="2"/>
        <v>0</v>
      </c>
      <c r="AD1779" s="3" t="str">
        <f>VLOOKUP(D1779,'Position Lookup'!A:B,2,FALSE)</f>
        <v>ATT</v>
      </c>
    </row>
    <row r="1780" ht="17.25" customHeight="1">
      <c r="A1780" s="32">
        <v>45339.0</v>
      </c>
      <c r="B1780" s="5" t="s">
        <v>309</v>
      </c>
      <c r="C1780" s="3" t="s">
        <v>110</v>
      </c>
      <c r="D1780" s="3" t="s">
        <v>24</v>
      </c>
      <c r="E1780" s="5">
        <v>1.0</v>
      </c>
      <c r="F1780" s="3" t="s">
        <v>1875</v>
      </c>
      <c r="G1780" s="3" t="s">
        <v>230</v>
      </c>
      <c r="J1780" s="5">
        <v>2.0</v>
      </c>
      <c r="N1780" s="3" t="b">
        <v>0</v>
      </c>
      <c r="R1780" s="3">
        <v>0.0</v>
      </c>
      <c r="T1780" s="3">
        <v>4.0</v>
      </c>
      <c r="U1780" s="3">
        <v>5.5</v>
      </c>
      <c r="V1780" s="3" t="s">
        <v>1890</v>
      </c>
      <c r="W1780" s="3" t="s">
        <v>311</v>
      </c>
      <c r="X1780" s="77" t="s">
        <v>1877</v>
      </c>
      <c r="Y1780" s="3">
        <v>0.0</v>
      </c>
      <c r="Z1780" s="3">
        <v>2.0</v>
      </c>
      <c r="AA1780" s="3">
        <f>2+ (P1780*'Scoring System'!$B$3)+ (IF(OR(AD1780="DEF",AD1780="GK"),N1780*'Scoring System'!$B$4,IF(AD1780="MID",N1780*'Scoring System'!$B$5,0)))+ (IF(OR(AD1780="DEF",AD1780="GK"),H1780*'Scoring System'!$B$6,IF(AD1780="MID",H1780*'Scoring System'!$B$7,IF(AD1780="ATT",H1780*'Scoring System'!$B$8,0))))+ IF(AND(OR(AD1780="GK",AD1780="DEF"),J1780&gt;=3),1*'Scoring System'!$B$9,0)+ (I1780*'Scoring System'!$B$10)+ (K1780*'Scoring System'!$B$11)+ (M1780*'Scoring System'!$B$12)+ (L1780*'Scoring System'!$B$13)+ (O1780*'Scoring System'!$B$14)+ (Q1780*'Scoring System'!$B$15)+ (R1780*'Scoring System'!$B$16)</f>
        <v>2</v>
      </c>
      <c r="AB1780" s="3" t="b">
        <f>IFERROR(match(C1780,'Match Day Fees'!$B$2:$B$999,0),0)=0</f>
        <v>0</v>
      </c>
      <c r="AC1780" s="3">
        <f t="shared" si="2"/>
        <v>0</v>
      </c>
      <c r="AD1780" s="3" t="str">
        <f>VLOOKUP(D1780,'Position Lookup'!A:B,2,FALSE)</f>
        <v>ATT</v>
      </c>
    </row>
    <row r="1781" ht="17.25" customHeight="1">
      <c r="A1781" s="32">
        <v>45339.0</v>
      </c>
      <c r="B1781" s="5" t="s">
        <v>309</v>
      </c>
      <c r="C1781" s="3" t="s">
        <v>108</v>
      </c>
      <c r="D1781" s="3" t="s">
        <v>8</v>
      </c>
      <c r="E1781" s="5">
        <v>4.0</v>
      </c>
      <c r="F1781" s="3" t="s">
        <v>1891</v>
      </c>
      <c r="G1781" s="3" t="s">
        <v>242</v>
      </c>
      <c r="J1781" s="5">
        <v>1.0</v>
      </c>
      <c r="K1781" s="3">
        <v>1.0</v>
      </c>
      <c r="N1781" s="3" t="b">
        <v>0</v>
      </c>
      <c r="R1781" s="3">
        <v>0.0</v>
      </c>
      <c r="T1781" s="3">
        <v>0.0</v>
      </c>
      <c r="U1781" s="3">
        <v>7.0</v>
      </c>
      <c r="V1781" s="3" t="s">
        <v>1892</v>
      </c>
      <c r="W1781" s="3" t="s">
        <v>730</v>
      </c>
      <c r="X1781" s="77" t="s">
        <v>1893</v>
      </c>
      <c r="Y1781" s="3">
        <v>1.0</v>
      </c>
      <c r="Z1781" s="3">
        <v>1.0</v>
      </c>
      <c r="AA1781" s="3">
        <f>2+ (P1781*'Scoring System'!$B$3)+ (IF(OR(AD1781="DEF",AD1781="GK"),N1781*'Scoring System'!$B$4,IF(AD1781="MID",N1781*'Scoring System'!$B$5,0)))+ (IF(OR(AD1781="DEF",AD1781="GK"),H1781*'Scoring System'!$B$6,IF(AD1781="MID",H1781*'Scoring System'!$B$7,IF(AD1781="ATT",H1781*'Scoring System'!$B$8,0))))+ IF(AND(OR(AD1781="GK",AD1781="DEF"),J1781&gt;=3),1*'Scoring System'!$B$9,0)+ (I1781*'Scoring System'!$B$10)+ (K1781*'Scoring System'!$B$11)+ (M1781*'Scoring System'!$B$12)+ (L1781*'Scoring System'!$B$13)+ (O1781*'Scoring System'!$B$14)+ (Q1781*'Scoring System'!$B$15)+ (R1781*'Scoring System'!$B$16)</f>
        <v>1</v>
      </c>
      <c r="AB1781" s="3" t="b">
        <f>IFERROR(match(C1781,'Match Day Fees'!$B$2:$B$999,0),0)=0</f>
        <v>0</v>
      </c>
      <c r="AC1781" s="3">
        <f t="shared" si="2"/>
        <v>0</v>
      </c>
      <c r="AD1781" s="3" t="str">
        <f>VLOOKUP(D1781,'Position Lookup'!A:B,2,FALSE)</f>
        <v>GK</v>
      </c>
    </row>
    <row r="1782" ht="17.25" customHeight="1">
      <c r="A1782" s="32">
        <v>45339.0</v>
      </c>
      <c r="B1782" s="5" t="s">
        <v>309</v>
      </c>
      <c r="C1782" s="3" t="s">
        <v>94</v>
      </c>
      <c r="D1782" s="3" t="s">
        <v>14</v>
      </c>
      <c r="E1782" s="5">
        <v>4.0</v>
      </c>
      <c r="F1782" s="3" t="s">
        <v>1891</v>
      </c>
      <c r="G1782" s="3" t="s">
        <v>242</v>
      </c>
      <c r="J1782" s="5">
        <v>1.0</v>
      </c>
      <c r="N1782" s="3" t="b">
        <v>0</v>
      </c>
      <c r="R1782" s="3">
        <v>0.0</v>
      </c>
      <c r="T1782" s="3">
        <v>10.0</v>
      </c>
      <c r="U1782" s="3">
        <v>7.5</v>
      </c>
      <c r="V1782" s="3" t="s">
        <v>1894</v>
      </c>
      <c r="W1782" s="3" t="s">
        <v>730</v>
      </c>
      <c r="X1782" s="77" t="s">
        <v>1893</v>
      </c>
      <c r="Y1782" s="3">
        <v>1.0</v>
      </c>
      <c r="Z1782" s="3">
        <v>1.0</v>
      </c>
      <c r="AA1782" s="3">
        <f>2+ (P1782*'Scoring System'!$B$3)+ (IF(OR(AD1782="DEF",AD1782="GK"),N1782*'Scoring System'!$B$4,IF(AD1782="MID",N1782*'Scoring System'!$B$5,0)))+ (IF(OR(AD1782="DEF",AD1782="GK"),H1782*'Scoring System'!$B$6,IF(AD1782="MID",H1782*'Scoring System'!$B$7,IF(AD1782="ATT",H1782*'Scoring System'!$B$8,0))))+ IF(AND(OR(AD1782="GK",AD1782="DEF"),J1782&gt;=3),1*'Scoring System'!$B$9,0)+ (I1782*'Scoring System'!$B$10)+ (K1782*'Scoring System'!$B$11)+ (M1782*'Scoring System'!$B$12)+ (L1782*'Scoring System'!$B$13)+ (O1782*'Scoring System'!$B$14)+ (Q1782*'Scoring System'!$B$15)+ (R1782*'Scoring System'!$B$16)</f>
        <v>2</v>
      </c>
      <c r="AB1782" s="3" t="b">
        <f>IFERROR(match(C1782,'Match Day Fees'!$B$2:$B$999,0),0)=0</f>
        <v>0</v>
      </c>
      <c r="AC1782" s="3">
        <f t="shared" si="2"/>
        <v>0</v>
      </c>
      <c r="AD1782" s="3" t="str">
        <f>VLOOKUP(D1782,'Position Lookup'!A:B,2,FALSE)</f>
        <v>DEF</v>
      </c>
    </row>
    <row r="1783" ht="17.25" customHeight="1">
      <c r="A1783" s="32">
        <v>45339.0</v>
      </c>
      <c r="B1783" s="5" t="s">
        <v>309</v>
      </c>
      <c r="C1783" s="3" t="s">
        <v>122</v>
      </c>
      <c r="D1783" s="3" t="s">
        <v>14</v>
      </c>
      <c r="E1783" s="5">
        <v>4.0</v>
      </c>
      <c r="F1783" s="3" t="s">
        <v>1891</v>
      </c>
      <c r="G1783" s="3" t="s">
        <v>242</v>
      </c>
      <c r="J1783" s="5">
        <v>1.0</v>
      </c>
      <c r="N1783" s="3" t="b">
        <v>0</v>
      </c>
      <c r="R1783" s="3">
        <v>1.0</v>
      </c>
      <c r="T1783" s="3">
        <v>5.0</v>
      </c>
      <c r="U1783" s="3">
        <v>8.0</v>
      </c>
      <c r="V1783" s="3" t="s">
        <v>1895</v>
      </c>
      <c r="W1783" s="3" t="s">
        <v>730</v>
      </c>
      <c r="X1783" s="77" t="s">
        <v>1893</v>
      </c>
      <c r="Y1783" s="3">
        <v>1.0</v>
      </c>
      <c r="Z1783" s="3">
        <v>1.0</v>
      </c>
      <c r="AA1783" s="3">
        <f>2+ (P1783*'Scoring System'!$B$3)+ (IF(OR(AD1783="DEF",AD1783="GK"),N1783*'Scoring System'!$B$4,IF(AD1783="MID",N1783*'Scoring System'!$B$5,0)))+ (IF(OR(AD1783="DEF",AD1783="GK"),H1783*'Scoring System'!$B$6,IF(AD1783="MID",H1783*'Scoring System'!$B$7,IF(AD1783="ATT",H1783*'Scoring System'!$B$8,0))))+ IF(AND(OR(AD1783="GK",AD1783="DEF"),J1783&gt;=3),1*'Scoring System'!$B$9,0)+ (I1783*'Scoring System'!$B$10)+ (K1783*'Scoring System'!$B$11)+ (M1783*'Scoring System'!$B$12)+ (L1783*'Scoring System'!$B$13)+ (O1783*'Scoring System'!$B$14)+ (Q1783*'Scoring System'!$B$15)+ (R1783*'Scoring System'!$B$16)</f>
        <v>7</v>
      </c>
      <c r="AB1783" s="3" t="b">
        <f>IFERROR(match(C1783,'Match Day Fees'!$B$2:$B$999,0),0)=0</f>
        <v>0</v>
      </c>
      <c r="AC1783" s="3">
        <f t="shared" si="2"/>
        <v>0</v>
      </c>
      <c r="AD1783" s="3" t="str">
        <f>VLOOKUP(D1783,'Position Lookup'!A:B,2,FALSE)</f>
        <v>DEF</v>
      </c>
    </row>
    <row r="1784" ht="17.25" customHeight="1">
      <c r="A1784" s="32">
        <v>45339.0</v>
      </c>
      <c r="B1784" s="5" t="s">
        <v>309</v>
      </c>
      <c r="C1784" s="3" t="s">
        <v>126</v>
      </c>
      <c r="D1784" s="3" t="s">
        <v>12</v>
      </c>
      <c r="E1784" s="5">
        <v>4.0</v>
      </c>
      <c r="F1784" s="3" t="s">
        <v>1891</v>
      </c>
      <c r="G1784" s="3" t="s">
        <v>242</v>
      </c>
      <c r="J1784" s="5">
        <v>1.0</v>
      </c>
      <c r="K1784" s="3">
        <v>1.0</v>
      </c>
      <c r="N1784" s="3" t="b">
        <v>0</v>
      </c>
      <c r="R1784" s="3">
        <v>0.0</v>
      </c>
      <c r="T1784" s="3">
        <v>5.0</v>
      </c>
      <c r="U1784" s="3">
        <v>6.5</v>
      </c>
      <c r="V1784" s="3" t="s">
        <v>1896</v>
      </c>
      <c r="W1784" s="3" t="s">
        <v>730</v>
      </c>
      <c r="X1784" s="77" t="s">
        <v>1893</v>
      </c>
      <c r="Y1784" s="3">
        <v>1.0</v>
      </c>
      <c r="Z1784" s="3">
        <v>1.0</v>
      </c>
      <c r="AA1784" s="3">
        <f>2+ (P1784*'Scoring System'!$B$3)+ (IF(OR(AD1784="DEF",AD1784="GK"),N1784*'Scoring System'!$B$4,IF(AD1784="MID",N1784*'Scoring System'!$B$5,0)))+ (IF(OR(AD1784="DEF",AD1784="GK"),H1784*'Scoring System'!$B$6,IF(AD1784="MID",H1784*'Scoring System'!$B$7,IF(AD1784="ATT",H1784*'Scoring System'!$B$8,0))))+ IF(AND(OR(AD1784="GK",AD1784="DEF"),J1784&gt;=3),1*'Scoring System'!$B$9,0)+ (I1784*'Scoring System'!$B$10)+ (K1784*'Scoring System'!$B$11)+ (M1784*'Scoring System'!$B$12)+ (L1784*'Scoring System'!$B$13)+ (O1784*'Scoring System'!$B$14)+ (Q1784*'Scoring System'!$B$15)+ (R1784*'Scoring System'!$B$16)</f>
        <v>1</v>
      </c>
      <c r="AB1784" s="3" t="b">
        <f>IFERROR(match(C1784,'Match Day Fees'!$B$2:$B$999,0),0)=0</f>
        <v>0</v>
      </c>
      <c r="AC1784" s="3">
        <f t="shared" si="2"/>
        <v>0</v>
      </c>
      <c r="AD1784" s="3" t="str">
        <f>VLOOKUP(D1784,'Position Lookup'!A:B,2,FALSE)</f>
        <v>DEF</v>
      </c>
    </row>
    <row r="1785" ht="17.25" customHeight="1">
      <c r="A1785" s="32">
        <v>45339.0</v>
      </c>
      <c r="B1785" s="5" t="s">
        <v>309</v>
      </c>
      <c r="C1785" s="3" t="s">
        <v>54</v>
      </c>
      <c r="D1785" s="3" t="s">
        <v>16</v>
      </c>
      <c r="E1785" s="5">
        <v>4.0</v>
      </c>
      <c r="F1785" s="3" t="s">
        <v>1891</v>
      </c>
      <c r="G1785" s="3" t="s">
        <v>242</v>
      </c>
      <c r="J1785" s="5">
        <v>1.0</v>
      </c>
      <c r="N1785" s="3" t="b">
        <v>0</v>
      </c>
      <c r="R1785" s="3">
        <v>0.0</v>
      </c>
      <c r="T1785" s="3">
        <v>10.0</v>
      </c>
      <c r="U1785" s="3">
        <v>7.5</v>
      </c>
      <c r="V1785" s="3" t="s">
        <v>1897</v>
      </c>
      <c r="W1785" s="3" t="s">
        <v>730</v>
      </c>
      <c r="X1785" s="77" t="s">
        <v>1893</v>
      </c>
      <c r="Y1785" s="3">
        <v>1.0</v>
      </c>
      <c r="Z1785" s="3">
        <v>1.0</v>
      </c>
      <c r="AA1785" s="3">
        <f>2+ (P1785*'Scoring System'!$B$3)+ (IF(OR(AD1785="DEF",AD1785="GK"),N1785*'Scoring System'!$B$4,IF(AD1785="MID",N1785*'Scoring System'!$B$5,0)))+ (IF(OR(AD1785="DEF",AD1785="GK"),H1785*'Scoring System'!$B$6,IF(AD1785="MID",H1785*'Scoring System'!$B$7,IF(AD1785="ATT",H1785*'Scoring System'!$B$8,0))))+ IF(AND(OR(AD1785="GK",AD1785="DEF"),J1785&gt;=3),1*'Scoring System'!$B$9,0)+ (I1785*'Scoring System'!$B$10)+ (K1785*'Scoring System'!$B$11)+ (M1785*'Scoring System'!$B$12)+ (L1785*'Scoring System'!$B$13)+ (O1785*'Scoring System'!$B$14)+ (Q1785*'Scoring System'!$B$15)+ (R1785*'Scoring System'!$B$16)</f>
        <v>2</v>
      </c>
      <c r="AB1785" s="3" t="b">
        <f>IFERROR(match(C1785,'Match Day Fees'!$B$2:$B$999,0),0)=0</f>
        <v>0</v>
      </c>
      <c r="AC1785" s="3">
        <f t="shared" si="2"/>
        <v>0</v>
      </c>
      <c r="AD1785" s="3" t="str">
        <f>VLOOKUP(D1785,'Position Lookup'!A:B,2,FALSE)</f>
        <v>DEF</v>
      </c>
    </row>
    <row r="1786" ht="17.25" customHeight="1">
      <c r="A1786" s="32">
        <v>45339.0</v>
      </c>
      <c r="B1786" s="5" t="s">
        <v>309</v>
      </c>
      <c r="C1786" s="3" t="s">
        <v>72</v>
      </c>
      <c r="D1786" s="3" t="s">
        <v>20</v>
      </c>
      <c r="E1786" s="5">
        <v>4.0</v>
      </c>
      <c r="F1786" s="3" t="s">
        <v>1891</v>
      </c>
      <c r="G1786" s="3" t="s">
        <v>242</v>
      </c>
      <c r="J1786" s="5">
        <v>1.0</v>
      </c>
      <c r="N1786" s="3" t="b">
        <v>0</v>
      </c>
      <c r="R1786" s="3">
        <v>0.0</v>
      </c>
      <c r="T1786" s="3">
        <v>10.0</v>
      </c>
      <c r="U1786" s="3">
        <v>6.0</v>
      </c>
      <c r="V1786" s="3" t="s">
        <v>1898</v>
      </c>
      <c r="W1786" s="3" t="s">
        <v>730</v>
      </c>
      <c r="X1786" s="77" t="s">
        <v>1893</v>
      </c>
      <c r="Y1786" s="3">
        <v>1.0</v>
      </c>
      <c r="Z1786" s="3">
        <v>1.0</v>
      </c>
      <c r="AA1786" s="3">
        <f>2+ (P1786*'Scoring System'!$B$3)+ (IF(OR(AD1786="DEF",AD1786="GK"),N1786*'Scoring System'!$B$4,IF(AD1786="MID",N1786*'Scoring System'!$B$5,0)))+ (IF(OR(AD1786="DEF",AD1786="GK"),H1786*'Scoring System'!$B$6,IF(AD1786="MID",H1786*'Scoring System'!$B$7,IF(AD1786="ATT",H1786*'Scoring System'!$B$8,0))))+ IF(AND(OR(AD1786="GK",AD1786="DEF"),J1786&gt;=3),1*'Scoring System'!$B$9,0)+ (I1786*'Scoring System'!$B$10)+ (K1786*'Scoring System'!$B$11)+ (M1786*'Scoring System'!$B$12)+ (L1786*'Scoring System'!$B$13)+ (O1786*'Scoring System'!$B$14)+ (Q1786*'Scoring System'!$B$15)+ (R1786*'Scoring System'!$B$16)</f>
        <v>2</v>
      </c>
      <c r="AB1786" s="3" t="b">
        <f>IFERROR(match(C1786,'Match Day Fees'!$B$2:$B$999,0),0)=0</f>
        <v>0</v>
      </c>
      <c r="AC1786" s="3">
        <f t="shared" si="2"/>
        <v>0</v>
      </c>
      <c r="AD1786" s="3" t="str">
        <f>VLOOKUP(D1786,'Position Lookup'!A:B,2,FALSE)</f>
        <v>MID</v>
      </c>
    </row>
    <row r="1787" ht="17.25" customHeight="1">
      <c r="A1787" s="32">
        <v>45339.0</v>
      </c>
      <c r="B1787" s="5" t="s">
        <v>309</v>
      </c>
      <c r="C1787" s="3" t="s">
        <v>150</v>
      </c>
      <c r="D1787" s="3" t="s">
        <v>20</v>
      </c>
      <c r="E1787" s="5">
        <v>4.0</v>
      </c>
      <c r="F1787" s="3" t="s">
        <v>1891</v>
      </c>
      <c r="G1787" s="3" t="s">
        <v>242</v>
      </c>
      <c r="J1787" s="5">
        <v>1.0</v>
      </c>
      <c r="N1787" s="3" t="b">
        <v>0</v>
      </c>
      <c r="R1787" s="3">
        <v>0.0</v>
      </c>
      <c r="T1787" s="3">
        <v>10.0</v>
      </c>
      <c r="U1787" s="3">
        <v>6.0</v>
      </c>
      <c r="V1787" s="3" t="s">
        <v>1899</v>
      </c>
      <c r="W1787" s="3" t="s">
        <v>730</v>
      </c>
      <c r="X1787" s="77" t="s">
        <v>1893</v>
      </c>
      <c r="Y1787" s="3">
        <v>1.0</v>
      </c>
      <c r="Z1787" s="3">
        <v>1.0</v>
      </c>
      <c r="AA1787" s="3">
        <f>2+ (P1787*'Scoring System'!$B$3)+ (IF(OR(AD1787="DEF",AD1787="GK"),N1787*'Scoring System'!$B$4,IF(AD1787="MID",N1787*'Scoring System'!$B$5,0)))+ (IF(OR(AD1787="DEF",AD1787="GK"),H1787*'Scoring System'!$B$6,IF(AD1787="MID",H1787*'Scoring System'!$B$7,IF(AD1787="ATT",H1787*'Scoring System'!$B$8,0))))+ IF(AND(OR(AD1787="GK",AD1787="DEF"),J1787&gt;=3),1*'Scoring System'!$B$9,0)+ (I1787*'Scoring System'!$B$10)+ (K1787*'Scoring System'!$B$11)+ (M1787*'Scoring System'!$B$12)+ (L1787*'Scoring System'!$B$13)+ (O1787*'Scoring System'!$B$14)+ (Q1787*'Scoring System'!$B$15)+ (R1787*'Scoring System'!$B$16)</f>
        <v>2</v>
      </c>
      <c r="AB1787" s="3" t="b">
        <f>IFERROR(match(C1787,'Match Day Fees'!$B$2:$B$999,0),0)=0</f>
        <v>0</v>
      </c>
      <c r="AC1787" s="3">
        <f t="shared" si="2"/>
        <v>0</v>
      </c>
      <c r="AD1787" s="3" t="str">
        <f>VLOOKUP(D1787,'Position Lookup'!A:B,2,FALSE)</f>
        <v>MID</v>
      </c>
    </row>
    <row r="1788" ht="17.25" customHeight="1">
      <c r="A1788" s="32">
        <v>45339.0</v>
      </c>
      <c r="B1788" s="5" t="s">
        <v>309</v>
      </c>
      <c r="C1788" s="3" t="s">
        <v>136</v>
      </c>
      <c r="D1788" s="3" t="s">
        <v>20</v>
      </c>
      <c r="E1788" s="5">
        <v>4.0</v>
      </c>
      <c r="F1788" s="3" t="s">
        <v>1891</v>
      </c>
      <c r="G1788" s="3" t="s">
        <v>242</v>
      </c>
      <c r="J1788" s="5">
        <v>1.0</v>
      </c>
      <c r="K1788" s="3">
        <v>1.0</v>
      </c>
      <c r="N1788" s="3" t="b">
        <v>0</v>
      </c>
      <c r="R1788" s="3">
        <v>0.0</v>
      </c>
      <c r="S1788" s="3" t="b">
        <v>1</v>
      </c>
      <c r="T1788" s="3">
        <v>0.0</v>
      </c>
      <c r="U1788" s="3">
        <v>7.0</v>
      </c>
      <c r="V1788" s="3" t="s">
        <v>1900</v>
      </c>
      <c r="W1788" s="3" t="s">
        <v>730</v>
      </c>
      <c r="X1788" s="77" t="s">
        <v>1893</v>
      </c>
      <c r="Y1788" s="3">
        <v>1.0</v>
      </c>
      <c r="Z1788" s="3">
        <v>1.0</v>
      </c>
      <c r="AA1788" s="3">
        <f>2+ (P1788*'Scoring System'!$B$3)+ (IF(OR(AD1788="DEF",AD1788="GK"),N1788*'Scoring System'!$B$4,IF(AD1788="MID",N1788*'Scoring System'!$B$5,0)))+ (IF(OR(AD1788="DEF",AD1788="GK"),H1788*'Scoring System'!$B$6,IF(AD1788="MID",H1788*'Scoring System'!$B$7,IF(AD1788="ATT",H1788*'Scoring System'!$B$8,0))))+ IF(AND(OR(AD1788="GK",AD1788="DEF"),J1788&gt;=3),1*'Scoring System'!$B$9,0)+ (I1788*'Scoring System'!$B$10)+ (K1788*'Scoring System'!$B$11)+ (M1788*'Scoring System'!$B$12)+ (L1788*'Scoring System'!$B$13)+ (O1788*'Scoring System'!$B$14)+ (Q1788*'Scoring System'!$B$15)+ (R1788*'Scoring System'!$B$16)</f>
        <v>1</v>
      </c>
      <c r="AB1788" s="3" t="b">
        <f>IFERROR(match(C1788,'Match Day Fees'!$B$2:$B$999,0),0)=0</f>
        <v>0</v>
      </c>
      <c r="AC1788" s="3">
        <f t="shared" si="2"/>
        <v>0</v>
      </c>
      <c r="AD1788" s="3" t="str">
        <f>VLOOKUP(D1788,'Position Lookup'!A:B,2,FALSE)</f>
        <v>MID</v>
      </c>
    </row>
    <row r="1789" ht="17.25" customHeight="1">
      <c r="A1789" s="32">
        <v>45339.0</v>
      </c>
      <c r="B1789" s="5" t="s">
        <v>309</v>
      </c>
      <c r="C1789" s="3" t="s">
        <v>105</v>
      </c>
      <c r="D1789" s="3" t="s">
        <v>23</v>
      </c>
      <c r="E1789" s="5">
        <v>4.0</v>
      </c>
      <c r="F1789" s="3" t="s">
        <v>1891</v>
      </c>
      <c r="G1789" s="3" t="s">
        <v>242</v>
      </c>
      <c r="J1789" s="5">
        <v>1.0</v>
      </c>
      <c r="N1789" s="3" t="b">
        <v>0</v>
      </c>
      <c r="R1789" s="3">
        <v>0.0</v>
      </c>
      <c r="T1789" s="3">
        <v>10.0</v>
      </c>
      <c r="U1789" s="3">
        <v>6.5</v>
      </c>
      <c r="V1789" s="3" t="s">
        <v>1901</v>
      </c>
      <c r="W1789" s="3" t="s">
        <v>730</v>
      </c>
      <c r="X1789" s="77" t="s">
        <v>1893</v>
      </c>
      <c r="Y1789" s="3">
        <v>1.0</v>
      </c>
      <c r="Z1789" s="3">
        <v>1.0</v>
      </c>
      <c r="AA1789" s="3">
        <f>2+ (P1789*'Scoring System'!$B$3)+ (IF(OR(AD1789="DEF",AD1789="GK"),N1789*'Scoring System'!$B$4,IF(AD1789="MID",N1789*'Scoring System'!$B$5,0)))+ (IF(OR(AD1789="DEF",AD1789="GK"),H1789*'Scoring System'!$B$6,IF(AD1789="MID",H1789*'Scoring System'!$B$7,IF(AD1789="ATT",H1789*'Scoring System'!$B$8,0))))+ IF(AND(OR(AD1789="GK",AD1789="DEF"),J1789&gt;=3),1*'Scoring System'!$B$9,0)+ (I1789*'Scoring System'!$B$10)+ (K1789*'Scoring System'!$B$11)+ (M1789*'Scoring System'!$B$12)+ (L1789*'Scoring System'!$B$13)+ (O1789*'Scoring System'!$B$14)+ (Q1789*'Scoring System'!$B$15)+ (R1789*'Scoring System'!$B$16)</f>
        <v>2</v>
      </c>
      <c r="AB1789" s="3" t="b">
        <f>IFERROR(match(C1789,'Match Day Fees'!$B$2:$B$999,0),0)=0</f>
        <v>0</v>
      </c>
      <c r="AC1789" s="3">
        <f t="shared" si="2"/>
        <v>0</v>
      </c>
      <c r="AD1789" s="3" t="str">
        <f>VLOOKUP(D1789,'Position Lookup'!A:B,2,FALSE)</f>
        <v>ATT</v>
      </c>
    </row>
    <row r="1790" ht="17.25" customHeight="1">
      <c r="A1790" s="32">
        <v>45339.0</v>
      </c>
      <c r="B1790" s="5" t="s">
        <v>309</v>
      </c>
      <c r="C1790" s="3" t="s">
        <v>45</v>
      </c>
      <c r="D1790" s="3" t="s">
        <v>22</v>
      </c>
      <c r="E1790" s="5">
        <v>4.0</v>
      </c>
      <c r="F1790" s="3" t="s">
        <v>1891</v>
      </c>
      <c r="G1790" s="3" t="s">
        <v>242</v>
      </c>
      <c r="H1790" s="3">
        <v>1.0</v>
      </c>
      <c r="J1790" s="5">
        <v>1.0</v>
      </c>
      <c r="N1790" s="3" t="b">
        <v>0</v>
      </c>
      <c r="R1790" s="3">
        <v>0.0</v>
      </c>
      <c r="T1790" s="3">
        <v>10.0</v>
      </c>
      <c r="U1790" s="3">
        <v>7.5</v>
      </c>
      <c r="V1790" s="3" t="s">
        <v>1902</v>
      </c>
      <c r="W1790" s="3" t="s">
        <v>730</v>
      </c>
      <c r="X1790" s="77" t="s">
        <v>1893</v>
      </c>
      <c r="Y1790" s="3">
        <v>1.0</v>
      </c>
      <c r="Z1790" s="3">
        <v>1.0</v>
      </c>
      <c r="AA1790" s="3">
        <f>2+ (P1790*'Scoring System'!$B$3)+ (IF(OR(AD1790="DEF",AD1790="GK"),N1790*'Scoring System'!$B$4,IF(AD1790="MID",N1790*'Scoring System'!$B$5,0)))+ (IF(OR(AD1790="DEF",AD1790="GK"),H1790*'Scoring System'!$B$6,IF(AD1790="MID",H1790*'Scoring System'!$B$7,IF(AD1790="ATT",H1790*'Scoring System'!$B$8,0))))+ IF(AND(OR(AD1790="GK",AD1790="DEF"),J1790&gt;=3),1*'Scoring System'!$B$9,0)+ (I1790*'Scoring System'!$B$10)+ (K1790*'Scoring System'!$B$11)+ (M1790*'Scoring System'!$B$12)+ (L1790*'Scoring System'!$B$13)+ (O1790*'Scoring System'!$B$14)+ (Q1790*'Scoring System'!$B$15)+ (R1790*'Scoring System'!$B$16)</f>
        <v>6</v>
      </c>
      <c r="AB1790" s="3" t="b">
        <f>IFERROR(match(C1790,'Match Day Fees'!$B$2:$B$999,0),0)=0</f>
        <v>0</v>
      </c>
      <c r="AC1790" s="3">
        <f t="shared" si="2"/>
        <v>0</v>
      </c>
      <c r="AD1790" s="3" t="str">
        <f>VLOOKUP(D1790,'Position Lookup'!A:B,2,FALSE)</f>
        <v>ATT</v>
      </c>
    </row>
    <row r="1791" ht="17.25" customHeight="1">
      <c r="A1791" s="32">
        <v>45339.0</v>
      </c>
      <c r="B1791" s="5" t="s">
        <v>309</v>
      </c>
      <c r="C1791" s="3" t="s">
        <v>237</v>
      </c>
      <c r="D1791" s="3" t="s">
        <v>24</v>
      </c>
      <c r="E1791" s="5">
        <v>4.0</v>
      </c>
      <c r="F1791" s="3" t="s">
        <v>1891</v>
      </c>
      <c r="G1791" s="3" t="s">
        <v>242</v>
      </c>
      <c r="J1791" s="5">
        <v>1.0</v>
      </c>
      <c r="N1791" s="3" t="b">
        <v>0</v>
      </c>
      <c r="R1791" s="3">
        <v>0.0</v>
      </c>
      <c r="T1791" s="3">
        <v>10.0</v>
      </c>
      <c r="U1791" s="3">
        <v>7.0</v>
      </c>
      <c r="V1791" s="3" t="s">
        <v>1903</v>
      </c>
      <c r="W1791" s="3" t="s">
        <v>730</v>
      </c>
      <c r="X1791" s="77" t="s">
        <v>1893</v>
      </c>
      <c r="Y1791" s="3">
        <v>1.0</v>
      </c>
      <c r="Z1791" s="3">
        <v>1.0</v>
      </c>
      <c r="AA1791" s="3">
        <f>2+ (P1791*'Scoring System'!$B$3)+ (IF(OR(AD1791="DEF",AD1791="GK"),N1791*'Scoring System'!$B$4,IF(AD1791="MID",N1791*'Scoring System'!$B$5,0)))+ (IF(OR(AD1791="DEF",AD1791="GK"),H1791*'Scoring System'!$B$6,IF(AD1791="MID",H1791*'Scoring System'!$B$7,IF(AD1791="ATT",H1791*'Scoring System'!$B$8,0))))+ IF(AND(OR(AD1791="GK",AD1791="DEF"),J1791&gt;=3),1*'Scoring System'!$B$9,0)+ (I1791*'Scoring System'!$B$10)+ (K1791*'Scoring System'!$B$11)+ (M1791*'Scoring System'!$B$12)+ (L1791*'Scoring System'!$B$13)+ (O1791*'Scoring System'!$B$14)+ (Q1791*'Scoring System'!$B$15)+ (R1791*'Scoring System'!$B$16)</f>
        <v>2</v>
      </c>
      <c r="AB1791" s="3" t="b">
        <f>IFERROR(match(C1791,'Match Day Fees'!$B$2:$B$999,0),0)=0</f>
        <v>0</v>
      </c>
      <c r="AC1791" s="3">
        <f t="shared" si="2"/>
        <v>0</v>
      </c>
      <c r="AD1791" s="3" t="str">
        <f>VLOOKUP(D1791,'Position Lookup'!A:B,2,FALSE)</f>
        <v>ATT</v>
      </c>
    </row>
    <row r="1792" ht="17.25" customHeight="1">
      <c r="A1792" s="32">
        <v>45339.0</v>
      </c>
      <c r="B1792" s="5" t="s">
        <v>309</v>
      </c>
      <c r="C1792" s="3" t="s">
        <v>140</v>
      </c>
      <c r="D1792" s="3" t="s">
        <v>23</v>
      </c>
      <c r="E1792" s="5">
        <v>4.0</v>
      </c>
      <c r="F1792" s="3" t="s">
        <v>1891</v>
      </c>
      <c r="G1792" s="3" t="s">
        <v>242</v>
      </c>
      <c r="J1792" s="5">
        <v>1.0</v>
      </c>
      <c r="N1792" s="3" t="b">
        <v>0</v>
      </c>
      <c r="R1792" s="3">
        <v>0.0</v>
      </c>
      <c r="T1792" s="3">
        <v>5.0</v>
      </c>
      <c r="U1792" s="3">
        <v>7.0</v>
      </c>
      <c r="V1792" s="3" t="s">
        <v>1904</v>
      </c>
      <c r="W1792" s="3" t="s">
        <v>730</v>
      </c>
      <c r="X1792" s="77" t="s">
        <v>1893</v>
      </c>
      <c r="Y1792" s="3">
        <v>1.0</v>
      </c>
      <c r="Z1792" s="3">
        <v>1.0</v>
      </c>
      <c r="AA1792" s="3">
        <f>2+ (P1792*'Scoring System'!$B$3)+ (IF(OR(AD1792="DEF",AD1792="GK"),N1792*'Scoring System'!$B$4,IF(AD1792="MID",N1792*'Scoring System'!$B$5,0)))+ (IF(OR(AD1792="DEF",AD1792="GK"),H1792*'Scoring System'!$B$6,IF(AD1792="MID",H1792*'Scoring System'!$B$7,IF(AD1792="ATT",H1792*'Scoring System'!$B$8,0))))+ IF(AND(OR(AD1792="GK",AD1792="DEF"),J1792&gt;=3),1*'Scoring System'!$B$9,0)+ (I1792*'Scoring System'!$B$10)+ (K1792*'Scoring System'!$B$11)+ (M1792*'Scoring System'!$B$12)+ (L1792*'Scoring System'!$B$13)+ (O1792*'Scoring System'!$B$14)+ (Q1792*'Scoring System'!$B$15)+ (R1792*'Scoring System'!$B$16)</f>
        <v>2</v>
      </c>
      <c r="AB1792" s="3" t="b">
        <f>IFERROR(match(C1792,'Match Day Fees'!$B$2:$B$999,0),0)=0</f>
        <v>0</v>
      </c>
      <c r="AC1792" s="3">
        <f t="shared" si="2"/>
        <v>0</v>
      </c>
      <c r="AD1792" s="3" t="str">
        <f>VLOOKUP(D1792,'Position Lookup'!A:B,2,FALSE)</f>
        <v>ATT</v>
      </c>
    </row>
    <row r="1793" ht="17.25" customHeight="1">
      <c r="A1793" s="32">
        <v>45339.0</v>
      </c>
      <c r="B1793" s="5" t="s">
        <v>309</v>
      </c>
      <c r="C1793" s="3" t="s">
        <v>146</v>
      </c>
      <c r="D1793" s="3" t="s">
        <v>20</v>
      </c>
      <c r="E1793" s="5">
        <v>4.0</v>
      </c>
      <c r="F1793" s="3" t="s">
        <v>1891</v>
      </c>
      <c r="G1793" s="3" t="s">
        <v>242</v>
      </c>
      <c r="J1793" s="5">
        <v>1.0</v>
      </c>
      <c r="N1793" s="3" t="b">
        <v>0</v>
      </c>
      <c r="R1793" s="3">
        <v>0.0</v>
      </c>
      <c r="T1793" s="3">
        <v>10.0</v>
      </c>
      <c r="U1793" s="3">
        <v>7.0</v>
      </c>
      <c r="V1793" s="3" t="s">
        <v>1905</v>
      </c>
      <c r="W1793" s="3" t="s">
        <v>730</v>
      </c>
      <c r="X1793" s="77" t="s">
        <v>1893</v>
      </c>
      <c r="Y1793" s="3">
        <v>1.0</v>
      </c>
      <c r="Z1793" s="3">
        <v>1.0</v>
      </c>
      <c r="AA1793" s="3">
        <f>2+ (P1793*'Scoring System'!$B$3)+ (IF(OR(AD1793="DEF",AD1793="GK"),N1793*'Scoring System'!$B$4,IF(AD1793="MID",N1793*'Scoring System'!$B$5,0)))+ (IF(OR(AD1793="DEF",AD1793="GK"),H1793*'Scoring System'!$B$6,IF(AD1793="MID",H1793*'Scoring System'!$B$7,IF(AD1793="ATT",H1793*'Scoring System'!$B$8,0))))+ IF(AND(OR(AD1793="GK",AD1793="DEF"),J1793&gt;=3),1*'Scoring System'!$B$9,0)+ (I1793*'Scoring System'!$B$10)+ (K1793*'Scoring System'!$B$11)+ (M1793*'Scoring System'!$B$12)+ (L1793*'Scoring System'!$B$13)+ (O1793*'Scoring System'!$B$14)+ (Q1793*'Scoring System'!$B$15)+ (R1793*'Scoring System'!$B$16)</f>
        <v>2</v>
      </c>
      <c r="AB1793" s="3" t="b">
        <f>IFERROR(match(C1793,'Match Day Fees'!$B$2:$B$999,0),0)=0</f>
        <v>0</v>
      </c>
      <c r="AC1793" s="3">
        <f t="shared" si="2"/>
        <v>0</v>
      </c>
      <c r="AD1793" s="3" t="str">
        <f>VLOOKUP(D1793,'Position Lookup'!A:B,2,FALSE)</f>
        <v>MID</v>
      </c>
    </row>
    <row r="1794" ht="17.25" customHeight="1">
      <c r="A1794" s="32">
        <v>45339.0</v>
      </c>
      <c r="B1794" s="5" t="s">
        <v>309</v>
      </c>
      <c r="C1794" s="3" t="s">
        <v>55</v>
      </c>
      <c r="D1794" s="3" t="s">
        <v>24</v>
      </c>
      <c r="E1794" s="5">
        <v>4.0</v>
      </c>
      <c r="F1794" s="3" t="s">
        <v>1891</v>
      </c>
      <c r="G1794" s="3" t="s">
        <v>242</v>
      </c>
      <c r="I1794" s="3">
        <v>1.0</v>
      </c>
      <c r="J1794" s="5">
        <v>1.0</v>
      </c>
      <c r="N1794" s="3" t="b">
        <v>0</v>
      </c>
      <c r="R1794" s="3">
        <v>0.0</v>
      </c>
      <c r="T1794" s="3">
        <v>0.0</v>
      </c>
      <c r="U1794" s="3">
        <v>7.0</v>
      </c>
      <c r="V1794" s="3" t="s">
        <v>1906</v>
      </c>
      <c r="W1794" s="3" t="s">
        <v>730</v>
      </c>
      <c r="X1794" s="77" t="s">
        <v>1893</v>
      </c>
      <c r="Y1794" s="3">
        <v>1.0</v>
      </c>
      <c r="Z1794" s="3">
        <v>1.0</v>
      </c>
      <c r="AA1794" s="3">
        <f>2+ (P1794*'Scoring System'!$B$3)+ (IF(OR(AD1794="DEF",AD1794="GK"),N1794*'Scoring System'!$B$4,IF(AD1794="MID",N1794*'Scoring System'!$B$5,0)))+ (IF(OR(AD1794="DEF",AD1794="GK"),H1794*'Scoring System'!$B$6,IF(AD1794="MID",H1794*'Scoring System'!$B$7,IF(AD1794="ATT",H1794*'Scoring System'!$B$8,0))))+ IF(AND(OR(AD1794="GK",AD1794="DEF"),J1794&gt;=3),1*'Scoring System'!$B$9,0)+ (I1794*'Scoring System'!$B$10)+ (K1794*'Scoring System'!$B$11)+ (M1794*'Scoring System'!$B$12)+ (L1794*'Scoring System'!$B$13)+ (O1794*'Scoring System'!$B$14)+ (Q1794*'Scoring System'!$B$15)+ (R1794*'Scoring System'!$B$16)</f>
        <v>5</v>
      </c>
      <c r="AB1794" s="3" t="b">
        <f>IFERROR(match(C1794,'Match Day Fees'!$B$2:$B$999,0),0)=0</f>
        <v>0</v>
      </c>
      <c r="AC1794" s="3">
        <f t="shared" si="2"/>
        <v>0</v>
      </c>
      <c r="AD1794" s="3" t="str">
        <f>VLOOKUP(D1794,'Position Lookup'!A:B,2,FALSE)</f>
        <v>ATT</v>
      </c>
    </row>
    <row r="1795" ht="17.25" customHeight="1">
      <c r="A1795" s="32">
        <v>45339.0</v>
      </c>
      <c r="B1795" s="5" t="s">
        <v>309</v>
      </c>
      <c r="C1795" s="3" t="s">
        <v>106</v>
      </c>
      <c r="D1795" s="3" t="s">
        <v>8</v>
      </c>
      <c r="E1795" s="5">
        <v>5.0</v>
      </c>
      <c r="F1795" s="3" t="s">
        <v>1907</v>
      </c>
      <c r="G1795" s="3" t="s">
        <v>224</v>
      </c>
      <c r="J1795" s="5">
        <v>0.0</v>
      </c>
      <c r="N1795" s="3" t="b">
        <v>1</v>
      </c>
      <c r="R1795" s="3">
        <v>0.0</v>
      </c>
      <c r="S1795" s="3" t="b">
        <v>1</v>
      </c>
      <c r="T1795" s="3">
        <v>0.0</v>
      </c>
      <c r="U1795" s="3">
        <v>7.0</v>
      </c>
      <c r="W1795" s="3" t="s">
        <v>311</v>
      </c>
      <c r="X1795" s="77"/>
      <c r="Y1795" s="3">
        <v>1.0</v>
      </c>
      <c r="Z1795" s="3">
        <v>0.0</v>
      </c>
      <c r="AA1795" s="3">
        <f>2+ (P1795*'Scoring System'!$B$3)+ (IF(OR(AD1795="DEF",AD1795="GK"),N1795*'Scoring System'!$B$4,IF(AD1795="MID",N1795*'Scoring System'!$B$5,0)))+ (IF(OR(AD1795="DEF",AD1795="GK"),H1795*'Scoring System'!$B$6,IF(AD1795="MID",H1795*'Scoring System'!$B$7,IF(AD1795="ATT",H1795*'Scoring System'!$B$8,0))))+ IF(AND(OR(AD1795="GK",AD1795="DEF"),J1795&gt;=3),1*'Scoring System'!$B$9,0)+ (I1795*'Scoring System'!$B$10)+ (K1795*'Scoring System'!$B$11)+ (M1795*'Scoring System'!$B$12)+ (L1795*'Scoring System'!$B$13)+ (O1795*'Scoring System'!$B$14)+ (Q1795*'Scoring System'!$B$15)+ (R1795*'Scoring System'!$B$16)</f>
        <v>8</v>
      </c>
      <c r="AB1795" s="3" t="b">
        <f>IFERROR(match(C1795,'Match Day Fees'!$B$2:$B$999,0),0)=0</f>
        <v>0</v>
      </c>
      <c r="AC1795" s="3">
        <f t="shared" si="2"/>
        <v>0</v>
      </c>
      <c r="AD1795" s="3" t="str">
        <f>VLOOKUP(D1795,'Position Lookup'!A:B,2,FALSE)</f>
        <v>GK</v>
      </c>
    </row>
    <row r="1796" ht="17.25" customHeight="1">
      <c r="A1796" s="32">
        <v>45339.0</v>
      </c>
      <c r="B1796" s="5" t="s">
        <v>309</v>
      </c>
      <c r="C1796" s="3" t="s">
        <v>133</v>
      </c>
      <c r="D1796" s="3" t="s">
        <v>18</v>
      </c>
      <c r="E1796" s="5">
        <v>5.0</v>
      </c>
      <c r="F1796" s="3" t="s">
        <v>1907</v>
      </c>
      <c r="G1796" s="3" t="s">
        <v>224</v>
      </c>
      <c r="J1796" s="5">
        <v>0.0</v>
      </c>
      <c r="N1796" s="3" t="b">
        <v>1</v>
      </c>
      <c r="R1796" s="3">
        <v>0.0</v>
      </c>
      <c r="T1796" s="3">
        <v>10.0</v>
      </c>
      <c r="U1796" s="3">
        <v>7.0</v>
      </c>
      <c r="W1796" s="3" t="s">
        <v>311</v>
      </c>
      <c r="X1796" s="77"/>
      <c r="Y1796" s="3">
        <v>1.0</v>
      </c>
      <c r="Z1796" s="3">
        <v>0.0</v>
      </c>
      <c r="AA1796" s="3">
        <f>2+ (P1796*'Scoring System'!$B$3)+ (IF(OR(AD1796="DEF",AD1796="GK"),N1796*'Scoring System'!$B$4,IF(AD1796="MID",N1796*'Scoring System'!$B$5,0)))+ (IF(OR(AD1796="DEF",AD1796="GK"),H1796*'Scoring System'!$B$6,IF(AD1796="MID",H1796*'Scoring System'!$B$7,IF(AD1796="ATT",H1796*'Scoring System'!$B$8,0))))+ IF(AND(OR(AD1796="GK",AD1796="DEF"),J1796&gt;=3),1*'Scoring System'!$B$9,0)+ (I1796*'Scoring System'!$B$10)+ (K1796*'Scoring System'!$B$11)+ (M1796*'Scoring System'!$B$12)+ (L1796*'Scoring System'!$B$13)+ (O1796*'Scoring System'!$B$14)+ (Q1796*'Scoring System'!$B$15)+ (R1796*'Scoring System'!$B$16)</f>
        <v>8</v>
      </c>
      <c r="AB1796" s="3" t="b">
        <f>IFERROR(match(C1796,'Match Day Fees'!$B$2:$B$999,0),0)=0</f>
        <v>0</v>
      </c>
      <c r="AC1796" s="3">
        <f t="shared" si="2"/>
        <v>0</v>
      </c>
      <c r="AD1796" s="3" t="str">
        <f>VLOOKUP(D1796,'Position Lookup'!A:B,2,FALSE)</f>
        <v>DEF</v>
      </c>
    </row>
    <row r="1797" ht="17.25" customHeight="1">
      <c r="A1797" s="32">
        <v>45339.0</v>
      </c>
      <c r="B1797" s="5" t="s">
        <v>309</v>
      </c>
      <c r="C1797" s="3" t="s">
        <v>116</v>
      </c>
      <c r="D1797" s="3" t="s">
        <v>14</v>
      </c>
      <c r="E1797" s="5">
        <v>5.0</v>
      </c>
      <c r="F1797" s="3" t="s">
        <v>1907</v>
      </c>
      <c r="G1797" s="3" t="s">
        <v>224</v>
      </c>
      <c r="J1797" s="5">
        <v>0.0</v>
      </c>
      <c r="N1797" s="3" t="b">
        <v>1</v>
      </c>
      <c r="R1797" s="3">
        <v>1.0</v>
      </c>
      <c r="T1797" s="3">
        <v>10.0</v>
      </c>
      <c r="U1797" s="3">
        <v>8.0</v>
      </c>
      <c r="W1797" s="3" t="s">
        <v>311</v>
      </c>
      <c r="X1797" s="77"/>
      <c r="Y1797" s="3">
        <v>1.0</v>
      </c>
      <c r="Z1797" s="3">
        <v>0.0</v>
      </c>
      <c r="AA1797" s="3">
        <f>2+ (P1797*'Scoring System'!$B$3)+ (IF(OR(AD1797="DEF",AD1797="GK"),N1797*'Scoring System'!$B$4,IF(AD1797="MID",N1797*'Scoring System'!$B$5,0)))+ (IF(OR(AD1797="DEF",AD1797="GK"),H1797*'Scoring System'!$B$6,IF(AD1797="MID",H1797*'Scoring System'!$B$7,IF(AD1797="ATT",H1797*'Scoring System'!$B$8,0))))+ IF(AND(OR(AD1797="GK",AD1797="DEF"),J1797&gt;=3),1*'Scoring System'!$B$9,0)+ (I1797*'Scoring System'!$B$10)+ (K1797*'Scoring System'!$B$11)+ (M1797*'Scoring System'!$B$12)+ (L1797*'Scoring System'!$B$13)+ (O1797*'Scoring System'!$B$14)+ (Q1797*'Scoring System'!$B$15)+ (R1797*'Scoring System'!$B$16)</f>
        <v>13</v>
      </c>
      <c r="AB1797" s="3" t="b">
        <f>IFERROR(match(C1797,'Match Day Fees'!$B$2:$B$999,0),0)=0</f>
        <v>0</v>
      </c>
      <c r="AC1797" s="3">
        <f t="shared" si="2"/>
        <v>0</v>
      </c>
      <c r="AD1797" s="3" t="str">
        <f>VLOOKUP(D1797,'Position Lookup'!A:B,2,FALSE)</f>
        <v>DEF</v>
      </c>
    </row>
    <row r="1798" ht="17.25" customHeight="1">
      <c r="A1798" s="32">
        <v>45339.0</v>
      </c>
      <c r="B1798" s="5" t="s">
        <v>309</v>
      </c>
      <c r="C1798" s="3" t="s">
        <v>138</v>
      </c>
      <c r="D1798" s="3" t="s">
        <v>14</v>
      </c>
      <c r="E1798" s="5">
        <v>5.0</v>
      </c>
      <c r="F1798" s="3" t="s">
        <v>1907</v>
      </c>
      <c r="G1798" s="3" t="s">
        <v>224</v>
      </c>
      <c r="J1798" s="5">
        <v>0.0</v>
      </c>
      <c r="N1798" s="3" t="b">
        <v>1</v>
      </c>
      <c r="R1798" s="3">
        <v>0.0</v>
      </c>
      <c r="T1798" s="3">
        <v>10.0</v>
      </c>
      <c r="U1798" s="3">
        <v>7.0</v>
      </c>
      <c r="W1798" s="3" t="s">
        <v>311</v>
      </c>
      <c r="X1798" s="77"/>
      <c r="Y1798" s="3">
        <v>1.0</v>
      </c>
      <c r="Z1798" s="3">
        <v>0.0</v>
      </c>
      <c r="AA1798" s="3">
        <f>2+ (P1798*'Scoring System'!$B$3)+ (IF(OR(AD1798="DEF",AD1798="GK"),N1798*'Scoring System'!$B$4,IF(AD1798="MID",N1798*'Scoring System'!$B$5,0)))+ (IF(OR(AD1798="DEF",AD1798="GK"),H1798*'Scoring System'!$B$6,IF(AD1798="MID",H1798*'Scoring System'!$B$7,IF(AD1798="ATT",H1798*'Scoring System'!$B$8,0))))+ IF(AND(OR(AD1798="GK",AD1798="DEF"),J1798&gt;=3),1*'Scoring System'!$B$9,0)+ (I1798*'Scoring System'!$B$10)+ (K1798*'Scoring System'!$B$11)+ (M1798*'Scoring System'!$B$12)+ (L1798*'Scoring System'!$B$13)+ (O1798*'Scoring System'!$B$14)+ (Q1798*'Scoring System'!$B$15)+ (R1798*'Scoring System'!$B$16)</f>
        <v>8</v>
      </c>
      <c r="AB1798" s="3" t="b">
        <f>IFERROR(match(C1798,'Match Day Fees'!$B$2:$B$999,0),0)=0</f>
        <v>0</v>
      </c>
      <c r="AC1798" s="3">
        <f t="shared" si="2"/>
        <v>0</v>
      </c>
      <c r="AD1798" s="3" t="str">
        <f>VLOOKUP(D1798,'Position Lookup'!A:B,2,FALSE)</f>
        <v>DEF</v>
      </c>
    </row>
    <row r="1799" ht="17.25" customHeight="1">
      <c r="A1799" s="32">
        <v>45339.0</v>
      </c>
      <c r="B1799" s="5" t="s">
        <v>309</v>
      </c>
      <c r="C1799" s="3" t="s">
        <v>135</v>
      </c>
      <c r="D1799" s="3" t="s">
        <v>14</v>
      </c>
      <c r="E1799" s="5">
        <v>5.0</v>
      </c>
      <c r="F1799" s="3" t="s">
        <v>1907</v>
      </c>
      <c r="G1799" s="3" t="s">
        <v>224</v>
      </c>
      <c r="J1799" s="5">
        <v>0.0</v>
      </c>
      <c r="N1799" s="3" t="b">
        <v>1</v>
      </c>
      <c r="R1799" s="3">
        <v>0.0</v>
      </c>
      <c r="T1799" s="3">
        <v>10.0</v>
      </c>
      <c r="U1799" s="3">
        <v>7.0</v>
      </c>
      <c r="W1799" s="3" t="s">
        <v>311</v>
      </c>
      <c r="X1799" s="77"/>
      <c r="Y1799" s="3">
        <v>1.0</v>
      </c>
      <c r="Z1799" s="3">
        <v>0.0</v>
      </c>
      <c r="AA1799" s="3">
        <f>2+ (P1799*'Scoring System'!$B$3)+ (IF(OR(AD1799="DEF",AD1799="GK"),N1799*'Scoring System'!$B$4,IF(AD1799="MID",N1799*'Scoring System'!$B$5,0)))+ (IF(OR(AD1799="DEF",AD1799="GK"),H1799*'Scoring System'!$B$6,IF(AD1799="MID",H1799*'Scoring System'!$B$7,IF(AD1799="ATT",H1799*'Scoring System'!$B$8,0))))+ IF(AND(OR(AD1799="GK",AD1799="DEF"),J1799&gt;=3),1*'Scoring System'!$B$9,0)+ (I1799*'Scoring System'!$B$10)+ (K1799*'Scoring System'!$B$11)+ (M1799*'Scoring System'!$B$12)+ (L1799*'Scoring System'!$B$13)+ (O1799*'Scoring System'!$B$14)+ (Q1799*'Scoring System'!$B$15)+ (R1799*'Scoring System'!$B$16)</f>
        <v>8</v>
      </c>
      <c r="AB1799" s="3" t="b">
        <f>IFERROR(match(C1799,'Match Day Fees'!$B$2:$B$999,0),0)=0</f>
        <v>0</v>
      </c>
      <c r="AC1799" s="3">
        <f t="shared" si="2"/>
        <v>0</v>
      </c>
      <c r="AD1799" s="3" t="str">
        <f>VLOOKUP(D1799,'Position Lookup'!A:B,2,FALSE)</f>
        <v>DEF</v>
      </c>
    </row>
    <row r="1800" ht="17.25" customHeight="1">
      <c r="A1800" s="32">
        <v>45339.0</v>
      </c>
      <c r="B1800" s="5" t="s">
        <v>309</v>
      </c>
      <c r="C1800" s="3" t="s">
        <v>154</v>
      </c>
      <c r="D1800" s="3" t="s">
        <v>14</v>
      </c>
      <c r="E1800" s="5">
        <v>5.0</v>
      </c>
      <c r="F1800" s="3" t="s">
        <v>1907</v>
      </c>
      <c r="G1800" s="3" t="s">
        <v>224</v>
      </c>
      <c r="J1800" s="5">
        <v>0.0</v>
      </c>
      <c r="N1800" s="3" t="b">
        <v>1</v>
      </c>
      <c r="R1800" s="3">
        <v>0.0</v>
      </c>
      <c r="T1800" s="3">
        <v>10.0</v>
      </c>
      <c r="U1800" s="3">
        <v>7.0</v>
      </c>
      <c r="W1800" s="3" t="s">
        <v>311</v>
      </c>
      <c r="X1800" s="77"/>
      <c r="Y1800" s="3">
        <v>1.0</v>
      </c>
      <c r="Z1800" s="3">
        <v>0.0</v>
      </c>
      <c r="AA1800" s="3">
        <f>2+ (P1800*'Scoring System'!$B$3)+ (IF(OR(AD1800="DEF",AD1800="GK"),N1800*'Scoring System'!$B$4,IF(AD1800="MID",N1800*'Scoring System'!$B$5,0)))+ (IF(OR(AD1800="DEF",AD1800="GK"),H1800*'Scoring System'!$B$6,IF(AD1800="MID",H1800*'Scoring System'!$B$7,IF(AD1800="ATT",H1800*'Scoring System'!$B$8,0))))+ IF(AND(OR(AD1800="GK",AD1800="DEF"),J1800&gt;=3),1*'Scoring System'!$B$9,0)+ (I1800*'Scoring System'!$B$10)+ (K1800*'Scoring System'!$B$11)+ (M1800*'Scoring System'!$B$12)+ (L1800*'Scoring System'!$B$13)+ (O1800*'Scoring System'!$B$14)+ (Q1800*'Scoring System'!$B$15)+ (R1800*'Scoring System'!$B$16)</f>
        <v>8</v>
      </c>
      <c r="AB1800" s="3" t="b">
        <f>IFERROR(match(C1800,'Match Day Fees'!$B$2:$B$999,0),0)=0</f>
        <v>0</v>
      </c>
      <c r="AC1800" s="3">
        <f t="shared" si="2"/>
        <v>0</v>
      </c>
      <c r="AD1800" s="3" t="str">
        <f>VLOOKUP(D1800,'Position Lookup'!A:B,2,FALSE)</f>
        <v>DEF</v>
      </c>
    </row>
    <row r="1801" ht="17.25" customHeight="1">
      <c r="A1801" s="32">
        <v>45339.0</v>
      </c>
      <c r="B1801" s="5" t="s">
        <v>309</v>
      </c>
      <c r="C1801" s="3" t="s">
        <v>103</v>
      </c>
      <c r="D1801" s="3" t="s">
        <v>19</v>
      </c>
      <c r="E1801" s="5">
        <v>5.0</v>
      </c>
      <c r="F1801" s="3" t="s">
        <v>1907</v>
      </c>
      <c r="G1801" s="3" t="s">
        <v>224</v>
      </c>
      <c r="J1801" s="5">
        <v>0.0</v>
      </c>
      <c r="N1801" s="3" t="b">
        <v>1</v>
      </c>
      <c r="R1801" s="3">
        <v>0.0</v>
      </c>
      <c r="T1801" s="3">
        <v>10.0</v>
      </c>
      <c r="U1801" s="3">
        <v>7.0</v>
      </c>
      <c r="W1801" s="3" t="s">
        <v>311</v>
      </c>
      <c r="X1801" s="77"/>
      <c r="Y1801" s="3">
        <v>1.0</v>
      </c>
      <c r="Z1801" s="3">
        <v>0.0</v>
      </c>
      <c r="AA1801" s="3">
        <f>2+ (P1801*'Scoring System'!$B$3)+ (IF(OR(AD1801="DEF",AD1801="GK"),N1801*'Scoring System'!$B$4,IF(AD1801="MID",N1801*'Scoring System'!$B$5,0)))+ (IF(OR(AD1801="DEF",AD1801="GK"),H1801*'Scoring System'!$B$6,IF(AD1801="MID",H1801*'Scoring System'!$B$7,IF(AD1801="ATT",H1801*'Scoring System'!$B$8,0))))+ IF(AND(OR(AD1801="GK",AD1801="DEF"),J1801&gt;=3),1*'Scoring System'!$B$9,0)+ (I1801*'Scoring System'!$B$10)+ (K1801*'Scoring System'!$B$11)+ (M1801*'Scoring System'!$B$12)+ (L1801*'Scoring System'!$B$13)+ (O1801*'Scoring System'!$B$14)+ (Q1801*'Scoring System'!$B$15)+ (R1801*'Scoring System'!$B$16)</f>
        <v>4</v>
      </c>
      <c r="AB1801" s="3" t="b">
        <f>IFERROR(match(C1801,'Match Day Fees'!$B$2:$B$999,0),0)=0</f>
        <v>0</v>
      </c>
      <c r="AC1801" s="3">
        <f t="shared" si="2"/>
        <v>0</v>
      </c>
      <c r="AD1801" s="3" t="str">
        <f>VLOOKUP(D1801,'Position Lookup'!A:B,2,FALSE)</f>
        <v>MID</v>
      </c>
    </row>
    <row r="1802" ht="17.25" customHeight="1">
      <c r="A1802" s="32">
        <v>45339.0</v>
      </c>
      <c r="B1802" s="5" t="s">
        <v>309</v>
      </c>
      <c r="C1802" s="3" t="s">
        <v>474</v>
      </c>
      <c r="D1802" s="3" t="s">
        <v>19</v>
      </c>
      <c r="E1802" s="5">
        <v>5.0</v>
      </c>
      <c r="F1802" s="3" t="s">
        <v>1907</v>
      </c>
      <c r="G1802" s="3" t="s">
        <v>224</v>
      </c>
      <c r="J1802" s="5">
        <v>0.0</v>
      </c>
      <c r="N1802" s="3" t="b">
        <v>1</v>
      </c>
      <c r="R1802" s="3">
        <v>0.0</v>
      </c>
      <c r="T1802" s="3">
        <v>10.0</v>
      </c>
      <c r="U1802" s="3">
        <v>6.5</v>
      </c>
      <c r="W1802" s="3" t="s">
        <v>311</v>
      </c>
      <c r="X1802" s="77"/>
      <c r="Y1802" s="3">
        <v>1.0</v>
      </c>
      <c r="Z1802" s="3">
        <v>0.0</v>
      </c>
      <c r="AA1802" s="3">
        <f>2+ (P1802*'Scoring System'!$B$3)+ (IF(OR(AD1802="DEF",AD1802="GK"),N1802*'Scoring System'!$B$4,IF(AD1802="MID",N1802*'Scoring System'!$B$5,0)))+ (IF(OR(AD1802="DEF",AD1802="GK"),H1802*'Scoring System'!$B$6,IF(AD1802="MID",H1802*'Scoring System'!$B$7,IF(AD1802="ATT",H1802*'Scoring System'!$B$8,0))))+ IF(AND(OR(AD1802="GK",AD1802="DEF"),J1802&gt;=3),1*'Scoring System'!$B$9,0)+ (I1802*'Scoring System'!$B$10)+ (K1802*'Scoring System'!$B$11)+ (M1802*'Scoring System'!$B$12)+ (L1802*'Scoring System'!$B$13)+ (O1802*'Scoring System'!$B$14)+ (Q1802*'Scoring System'!$B$15)+ (R1802*'Scoring System'!$B$16)</f>
        <v>4</v>
      </c>
      <c r="AB1802" s="3" t="b">
        <f>IFERROR(match(C1802,'Match Day Fees'!$B$2:$B$999,0),0)=0</f>
        <v>0</v>
      </c>
      <c r="AC1802" s="3">
        <f t="shared" si="2"/>
        <v>0</v>
      </c>
      <c r="AD1802" s="3" t="str">
        <f>VLOOKUP(D1802,'Position Lookup'!A:B,2,FALSE)</f>
        <v>MID</v>
      </c>
    </row>
    <row r="1803" ht="17.25" customHeight="1">
      <c r="A1803" s="32">
        <v>45339.0</v>
      </c>
      <c r="B1803" s="5" t="s">
        <v>309</v>
      </c>
      <c r="C1803" s="3" t="s">
        <v>58</v>
      </c>
      <c r="D1803" s="3" t="s">
        <v>20</v>
      </c>
      <c r="E1803" s="5">
        <v>5.0</v>
      </c>
      <c r="F1803" s="3" t="s">
        <v>1907</v>
      </c>
      <c r="G1803" s="3" t="s">
        <v>224</v>
      </c>
      <c r="J1803" s="5">
        <v>0.0</v>
      </c>
      <c r="N1803" s="3" t="b">
        <v>1</v>
      </c>
      <c r="R1803" s="3">
        <v>0.0</v>
      </c>
      <c r="T1803" s="3">
        <v>10.0</v>
      </c>
      <c r="U1803" s="3">
        <v>7.0</v>
      </c>
      <c r="W1803" s="3" t="s">
        <v>311</v>
      </c>
      <c r="X1803" s="77"/>
      <c r="Y1803" s="3">
        <v>1.0</v>
      </c>
      <c r="Z1803" s="3">
        <v>0.0</v>
      </c>
      <c r="AA1803" s="3">
        <f>2+ (P1803*'Scoring System'!$B$3)+ (IF(OR(AD1803="DEF",AD1803="GK"),N1803*'Scoring System'!$B$4,IF(AD1803="MID",N1803*'Scoring System'!$B$5,0)))+ (IF(OR(AD1803="DEF",AD1803="GK"),H1803*'Scoring System'!$B$6,IF(AD1803="MID",H1803*'Scoring System'!$B$7,IF(AD1803="ATT",H1803*'Scoring System'!$B$8,0))))+ IF(AND(OR(AD1803="GK",AD1803="DEF"),J1803&gt;=3),1*'Scoring System'!$B$9,0)+ (I1803*'Scoring System'!$B$10)+ (K1803*'Scoring System'!$B$11)+ (M1803*'Scoring System'!$B$12)+ (L1803*'Scoring System'!$B$13)+ (O1803*'Scoring System'!$B$14)+ (Q1803*'Scoring System'!$B$15)+ (R1803*'Scoring System'!$B$16)</f>
        <v>4</v>
      </c>
      <c r="AB1803" s="3" t="b">
        <f>IFERROR(match(C1803,'Match Day Fees'!$B$2:$B$999,0),0)=0</f>
        <v>0</v>
      </c>
      <c r="AC1803" s="3">
        <f t="shared" si="2"/>
        <v>0</v>
      </c>
      <c r="AD1803" s="3" t="str">
        <f>VLOOKUP(D1803,'Position Lookup'!A:B,2,FALSE)</f>
        <v>MID</v>
      </c>
    </row>
    <row r="1804" ht="17.25" customHeight="1">
      <c r="A1804" s="32">
        <v>45339.0</v>
      </c>
      <c r="B1804" s="5" t="s">
        <v>309</v>
      </c>
      <c r="C1804" s="3" t="s">
        <v>270</v>
      </c>
      <c r="D1804" s="3" t="s">
        <v>16</v>
      </c>
      <c r="E1804" s="5">
        <v>5.0</v>
      </c>
      <c r="F1804" s="3" t="s">
        <v>1907</v>
      </c>
      <c r="G1804" s="3" t="s">
        <v>224</v>
      </c>
      <c r="J1804" s="5">
        <v>0.0</v>
      </c>
      <c r="N1804" s="3" t="b">
        <v>1</v>
      </c>
      <c r="R1804" s="3">
        <v>0.0</v>
      </c>
      <c r="T1804" s="3">
        <v>10.0</v>
      </c>
      <c r="U1804" s="3">
        <v>7.0</v>
      </c>
      <c r="W1804" s="3" t="s">
        <v>311</v>
      </c>
      <c r="X1804" s="77"/>
      <c r="Y1804" s="3">
        <v>1.0</v>
      </c>
      <c r="Z1804" s="3">
        <v>0.0</v>
      </c>
      <c r="AA1804" s="3">
        <f>2+ (P1804*'Scoring System'!$B$3)+ (IF(OR(AD1804="DEF",AD1804="GK"),N1804*'Scoring System'!$B$4,IF(AD1804="MID",N1804*'Scoring System'!$B$5,0)))+ (IF(OR(AD1804="DEF",AD1804="GK"),H1804*'Scoring System'!$B$6,IF(AD1804="MID",H1804*'Scoring System'!$B$7,IF(AD1804="ATT",H1804*'Scoring System'!$B$8,0))))+ IF(AND(OR(AD1804="GK",AD1804="DEF"),J1804&gt;=3),1*'Scoring System'!$B$9,0)+ (I1804*'Scoring System'!$B$10)+ (K1804*'Scoring System'!$B$11)+ (M1804*'Scoring System'!$B$12)+ (L1804*'Scoring System'!$B$13)+ (O1804*'Scoring System'!$B$14)+ (Q1804*'Scoring System'!$B$15)+ (R1804*'Scoring System'!$B$16)</f>
        <v>8</v>
      </c>
      <c r="AB1804" s="3" t="b">
        <f>IFERROR(match(C1804,'Match Day Fees'!$B$2:$B$999,0),0)=0</f>
        <v>0</v>
      </c>
      <c r="AC1804" s="3">
        <f t="shared" si="2"/>
        <v>0</v>
      </c>
      <c r="AD1804" s="3" t="str">
        <f>VLOOKUP(D1804,'Position Lookup'!A:B,2,FALSE)</f>
        <v>DEF</v>
      </c>
    </row>
    <row r="1805" ht="17.25" customHeight="1">
      <c r="A1805" s="32">
        <v>45339.0</v>
      </c>
      <c r="B1805" s="5" t="s">
        <v>309</v>
      </c>
      <c r="C1805" s="3" t="s">
        <v>117</v>
      </c>
      <c r="D1805" s="3" t="s">
        <v>17</v>
      </c>
      <c r="E1805" s="5">
        <v>5.0</v>
      </c>
      <c r="F1805" s="3" t="s">
        <v>1907</v>
      </c>
      <c r="G1805" s="3" t="s">
        <v>224</v>
      </c>
      <c r="J1805" s="5">
        <v>0.0</v>
      </c>
      <c r="N1805" s="3" t="b">
        <v>1</v>
      </c>
      <c r="R1805" s="3">
        <v>0.0</v>
      </c>
      <c r="T1805" s="3">
        <v>10.0</v>
      </c>
      <c r="U1805" s="3">
        <v>7.0</v>
      </c>
      <c r="W1805" s="3" t="s">
        <v>311</v>
      </c>
      <c r="X1805" s="77"/>
      <c r="Y1805" s="3">
        <v>1.0</v>
      </c>
      <c r="Z1805" s="3">
        <v>0.0</v>
      </c>
      <c r="AA1805" s="3">
        <f>2+ (P1805*'Scoring System'!$B$3)+ (IF(OR(AD1805="DEF",AD1805="GK"),N1805*'Scoring System'!$B$4,IF(AD1805="MID",N1805*'Scoring System'!$B$5,0)))+ (IF(OR(AD1805="DEF",AD1805="GK"),H1805*'Scoring System'!$B$6,IF(AD1805="MID",H1805*'Scoring System'!$B$7,IF(AD1805="ATT",H1805*'Scoring System'!$B$8,0))))+ IF(AND(OR(AD1805="GK",AD1805="DEF"),J1805&gt;=3),1*'Scoring System'!$B$9,0)+ (I1805*'Scoring System'!$B$10)+ (K1805*'Scoring System'!$B$11)+ (M1805*'Scoring System'!$B$12)+ (L1805*'Scoring System'!$B$13)+ (O1805*'Scoring System'!$B$14)+ (Q1805*'Scoring System'!$B$15)+ (R1805*'Scoring System'!$B$16)</f>
        <v>8</v>
      </c>
      <c r="AB1805" s="3" t="b">
        <f>IFERROR(match(C1805,'Match Day Fees'!$B$2:$B$999,0),0)=0</f>
        <v>0</v>
      </c>
      <c r="AC1805" s="3">
        <f t="shared" si="2"/>
        <v>0</v>
      </c>
      <c r="AD1805" s="3" t="str">
        <f>VLOOKUP(D1805,'Position Lookup'!A:B,2,FALSE)</f>
        <v>DEF</v>
      </c>
    </row>
    <row r="1806" ht="17.25" customHeight="1">
      <c r="A1806" s="32">
        <v>45339.0</v>
      </c>
      <c r="B1806" s="5" t="s">
        <v>309</v>
      </c>
      <c r="C1806" s="3" t="s">
        <v>1908</v>
      </c>
      <c r="D1806" s="3" t="s">
        <v>23</v>
      </c>
      <c r="E1806" s="5">
        <v>5.0</v>
      </c>
      <c r="F1806" s="3" t="s">
        <v>1907</v>
      </c>
      <c r="G1806" s="3" t="s">
        <v>224</v>
      </c>
      <c r="J1806" s="5">
        <v>0.0</v>
      </c>
      <c r="N1806" s="3" t="b">
        <v>1</v>
      </c>
      <c r="R1806" s="3">
        <v>0.0</v>
      </c>
      <c r="T1806" s="3">
        <v>5.0</v>
      </c>
      <c r="U1806" s="3">
        <v>7.0</v>
      </c>
      <c r="W1806" s="3" t="s">
        <v>311</v>
      </c>
      <c r="X1806" s="77"/>
      <c r="Y1806" s="3">
        <v>1.0</v>
      </c>
      <c r="Z1806" s="3">
        <v>0.0</v>
      </c>
      <c r="AA1806" s="3">
        <f>2+ (P1806*'Scoring System'!$B$3)+ (IF(OR(AD1806="DEF",AD1806="GK"),N1806*'Scoring System'!$B$4,IF(AD1806="MID",N1806*'Scoring System'!$B$5,0)))+ (IF(OR(AD1806="DEF",AD1806="GK"),H1806*'Scoring System'!$B$6,IF(AD1806="MID",H1806*'Scoring System'!$B$7,IF(AD1806="ATT",H1806*'Scoring System'!$B$8,0))))+ IF(AND(OR(AD1806="GK",AD1806="DEF"),J1806&gt;=3),1*'Scoring System'!$B$9,0)+ (I1806*'Scoring System'!$B$10)+ (K1806*'Scoring System'!$B$11)+ (M1806*'Scoring System'!$B$12)+ (L1806*'Scoring System'!$B$13)+ (O1806*'Scoring System'!$B$14)+ (Q1806*'Scoring System'!$B$15)+ (R1806*'Scoring System'!$B$16)</f>
        <v>2</v>
      </c>
      <c r="AB1806" s="3" t="b">
        <f>IFERROR(match(C1806,'Match Day Fees'!$B$2:$B$999,0),0)=0</f>
        <v>0</v>
      </c>
      <c r="AC1806" s="3">
        <f t="shared" si="2"/>
        <v>0</v>
      </c>
      <c r="AD1806" s="3" t="str">
        <f>VLOOKUP(D1806,'Position Lookup'!A:B,2,FALSE)</f>
        <v>ATT</v>
      </c>
    </row>
    <row r="1807" ht="17.25" customHeight="1">
      <c r="A1807" s="32">
        <v>45339.0</v>
      </c>
      <c r="B1807" s="5" t="s">
        <v>309</v>
      </c>
      <c r="C1807" s="3" t="s">
        <v>139</v>
      </c>
      <c r="D1807" s="3" t="s">
        <v>24</v>
      </c>
      <c r="E1807" s="5">
        <v>5.0</v>
      </c>
      <c r="F1807" s="3" t="s">
        <v>1907</v>
      </c>
      <c r="G1807" s="3" t="s">
        <v>224</v>
      </c>
      <c r="I1807" s="3">
        <v>1.0</v>
      </c>
      <c r="J1807" s="5">
        <v>0.0</v>
      </c>
      <c r="N1807" s="3" t="b">
        <v>1</v>
      </c>
      <c r="R1807" s="3">
        <v>0.0</v>
      </c>
      <c r="T1807" s="3">
        <v>10.0</v>
      </c>
      <c r="U1807" s="3">
        <v>6.0</v>
      </c>
      <c r="W1807" s="3" t="s">
        <v>311</v>
      </c>
      <c r="X1807" s="77"/>
      <c r="Y1807" s="3">
        <v>1.0</v>
      </c>
      <c r="Z1807" s="3">
        <v>0.0</v>
      </c>
      <c r="AA1807" s="3">
        <f>2+ (P1807*'Scoring System'!$B$3)+ (IF(OR(AD1807="DEF",AD1807="GK"),N1807*'Scoring System'!$B$4,IF(AD1807="MID",N1807*'Scoring System'!$B$5,0)))+ (IF(OR(AD1807="DEF",AD1807="GK"),H1807*'Scoring System'!$B$6,IF(AD1807="MID",H1807*'Scoring System'!$B$7,IF(AD1807="ATT",H1807*'Scoring System'!$B$8,0))))+ IF(AND(OR(AD1807="GK",AD1807="DEF"),J1807&gt;=3),1*'Scoring System'!$B$9,0)+ (I1807*'Scoring System'!$B$10)+ (K1807*'Scoring System'!$B$11)+ (M1807*'Scoring System'!$B$12)+ (L1807*'Scoring System'!$B$13)+ (O1807*'Scoring System'!$B$14)+ (Q1807*'Scoring System'!$B$15)+ (R1807*'Scoring System'!$B$16)</f>
        <v>5</v>
      </c>
      <c r="AB1807" s="3" t="b">
        <f>IFERROR(match(C1807,'Match Day Fees'!$B$2:$B$999,0),0)=0</f>
        <v>0</v>
      </c>
      <c r="AC1807" s="3">
        <f t="shared" si="2"/>
        <v>0</v>
      </c>
      <c r="AD1807" s="3" t="str">
        <f>VLOOKUP(D1807,'Position Lookup'!A:B,2,FALSE)</f>
        <v>ATT</v>
      </c>
    </row>
    <row r="1808" ht="17.25" customHeight="1">
      <c r="A1808" s="32">
        <v>45339.0</v>
      </c>
      <c r="B1808" s="5" t="s">
        <v>309</v>
      </c>
      <c r="C1808" s="3" t="s">
        <v>1372</v>
      </c>
      <c r="D1808" s="3" t="s">
        <v>24</v>
      </c>
      <c r="E1808" s="5">
        <v>5.0</v>
      </c>
      <c r="F1808" s="3" t="s">
        <v>1907</v>
      </c>
      <c r="G1808" s="3" t="s">
        <v>224</v>
      </c>
      <c r="H1808" s="3">
        <v>1.0</v>
      </c>
      <c r="J1808" s="5">
        <v>0.0</v>
      </c>
      <c r="N1808" s="3" t="b">
        <v>1</v>
      </c>
      <c r="R1808" s="3">
        <v>0.0</v>
      </c>
      <c r="T1808" s="3">
        <v>10.0</v>
      </c>
      <c r="U1808" s="3">
        <v>7.0</v>
      </c>
      <c r="W1808" s="3" t="s">
        <v>311</v>
      </c>
      <c r="X1808" s="77"/>
      <c r="Y1808" s="3">
        <v>1.0</v>
      </c>
      <c r="Z1808" s="3">
        <v>0.0</v>
      </c>
      <c r="AA1808" s="3">
        <f>2+ (P1808*'Scoring System'!$B$3)+ (IF(OR(AD1808="DEF",AD1808="GK"),N1808*'Scoring System'!$B$4,IF(AD1808="MID",N1808*'Scoring System'!$B$5,0)))+ (IF(OR(AD1808="DEF",AD1808="GK"),H1808*'Scoring System'!$B$6,IF(AD1808="MID",H1808*'Scoring System'!$B$7,IF(AD1808="ATT",H1808*'Scoring System'!$B$8,0))))+ IF(AND(OR(AD1808="GK",AD1808="DEF"),J1808&gt;=3),1*'Scoring System'!$B$9,0)+ (I1808*'Scoring System'!$B$10)+ (K1808*'Scoring System'!$B$11)+ (M1808*'Scoring System'!$B$12)+ (L1808*'Scoring System'!$B$13)+ (O1808*'Scoring System'!$B$14)+ (Q1808*'Scoring System'!$B$15)+ (R1808*'Scoring System'!$B$16)</f>
        <v>6</v>
      </c>
      <c r="AB1808" s="3" t="b">
        <f>IFERROR(match(C1808,'Match Day Fees'!$B$2:$B$999,0),0)=0</f>
        <v>0</v>
      </c>
      <c r="AC1808" s="3">
        <f t="shared" si="2"/>
        <v>0</v>
      </c>
      <c r="AD1808" s="3" t="str">
        <f>VLOOKUP(D1808,'Position Lookup'!A:B,2,FALSE)</f>
        <v>ATT</v>
      </c>
    </row>
    <row r="1809" ht="17.25" customHeight="1">
      <c r="A1809" s="32">
        <v>45339.0</v>
      </c>
      <c r="B1809" s="5" t="s">
        <v>309</v>
      </c>
      <c r="C1809" s="3" t="s">
        <v>38</v>
      </c>
      <c r="D1809" s="3" t="s">
        <v>8</v>
      </c>
      <c r="E1809" s="5">
        <v>2.0</v>
      </c>
      <c r="F1809" s="3" t="s">
        <v>1909</v>
      </c>
      <c r="G1809" s="3" t="s">
        <v>242</v>
      </c>
      <c r="J1809" s="5">
        <v>1.0</v>
      </c>
      <c r="N1809" s="3" t="b">
        <v>0</v>
      </c>
      <c r="R1809" s="3">
        <v>0.0</v>
      </c>
      <c r="T1809" s="3">
        <v>10.0</v>
      </c>
      <c r="X1809" s="77"/>
      <c r="Y1809" s="3">
        <v>1.0</v>
      </c>
      <c r="Z1809" s="3">
        <v>1.0</v>
      </c>
      <c r="AA1809" s="3">
        <f>2+ (P1809*'Scoring System'!$B$3)+ (IF(OR(AD1809="DEF",AD1809="GK"),N1809*'Scoring System'!$B$4,IF(AD1809="MID",N1809*'Scoring System'!$B$5,0)))+ (IF(OR(AD1809="DEF",AD1809="GK"),H1809*'Scoring System'!$B$6,IF(AD1809="MID",H1809*'Scoring System'!$B$7,IF(AD1809="ATT",H1809*'Scoring System'!$B$8,0))))+ IF(AND(OR(AD1809="GK",AD1809="DEF"),J1809&gt;=3),1*'Scoring System'!$B$9,0)+ (I1809*'Scoring System'!$B$10)+ (K1809*'Scoring System'!$B$11)+ (M1809*'Scoring System'!$B$12)+ (L1809*'Scoring System'!$B$13)+ (O1809*'Scoring System'!$B$14)+ (Q1809*'Scoring System'!$B$15)+ (R1809*'Scoring System'!$B$16)</f>
        <v>2</v>
      </c>
      <c r="AB1809" s="3" t="b">
        <f>IFERROR(match(C1809,'Match Day Fees'!$B$2:$B$999,0),0)=0</f>
        <v>0</v>
      </c>
      <c r="AC1809" s="3">
        <f t="shared" si="2"/>
        <v>0</v>
      </c>
      <c r="AD1809" s="3" t="str">
        <f>VLOOKUP(D1809,'Position Lookup'!A:B,2,FALSE)</f>
        <v>GK</v>
      </c>
    </row>
    <row r="1810" ht="17.25" customHeight="1">
      <c r="A1810" s="32">
        <v>45339.0</v>
      </c>
      <c r="B1810" s="5" t="s">
        <v>309</v>
      </c>
      <c r="C1810" s="3" t="s">
        <v>56</v>
      </c>
      <c r="D1810" s="3" t="s">
        <v>14</v>
      </c>
      <c r="E1810" s="5">
        <v>2.0</v>
      </c>
      <c r="F1810" s="3" t="s">
        <v>1909</v>
      </c>
      <c r="G1810" s="3" t="s">
        <v>242</v>
      </c>
      <c r="I1810" s="3">
        <v>1.0</v>
      </c>
      <c r="J1810" s="5">
        <v>1.0</v>
      </c>
      <c r="N1810" s="3" t="b">
        <v>0</v>
      </c>
      <c r="R1810" s="3">
        <v>0.0</v>
      </c>
      <c r="T1810" s="3">
        <v>10.0</v>
      </c>
      <c r="X1810" s="77"/>
      <c r="Y1810" s="3">
        <v>1.0</v>
      </c>
      <c r="Z1810" s="3">
        <v>1.0</v>
      </c>
      <c r="AA1810" s="3">
        <f>2+ (P1810*'Scoring System'!$B$3)+ (IF(OR(AD1810="DEF",AD1810="GK"),N1810*'Scoring System'!$B$4,IF(AD1810="MID",N1810*'Scoring System'!$B$5,0)))+ (IF(OR(AD1810="DEF",AD1810="GK"),H1810*'Scoring System'!$B$6,IF(AD1810="MID",H1810*'Scoring System'!$B$7,IF(AD1810="ATT",H1810*'Scoring System'!$B$8,0))))+ IF(AND(OR(AD1810="GK",AD1810="DEF"),J1810&gt;=3),1*'Scoring System'!$B$9,0)+ (I1810*'Scoring System'!$B$10)+ (K1810*'Scoring System'!$B$11)+ (M1810*'Scoring System'!$B$12)+ (L1810*'Scoring System'!$B$13)+ (O1810*'Scoring System'!$B$14)+ (Q1810*'Scoring System'!$B$15)+ (R1810*'Scoring System'!$B$16)</f>
        <v>5</v>
      </c>
      <c r="AB1810" s="3" t="b">
        <f>IFERROR(match(C1810,'Match Day Fees'!$B$2:$B$999,0),0)=0</f>
        <v>0</v>
      </c>
      <c r="AC1810" s="3">
        <f t="shared" si="2"/>
        <v>0</v>
      </c>
      <c r="AD1810" s="3" t="str">
        <f>VLOOKUP(D1810,'Position Lookup'!A:B,2,FALSE)</f>
        <v>DEF</v>
      </c>
    </row>
    <row r="1811" ht="17.25" customHeight="1">
      <c r="A1811" s="32">
        <v>45339.0</v>
      </c>
      <c r="B1811" s="5" t="s">
        <v>309</v>
      </c>
      <c r="C1811" s="3" t="s">
        <v>78</v>
      </c>
      <c r="D1811" s="3" t="s">
        <v>22</v>
      </c>
      <c r="E1811" s="5">
        <v>2.0</v>
      </c>
      <c r="F1811" s="3" t="s">
        <v>1909</v>
      </c>
      <c r="G1811" s="3" t="s">
        <v>242</v>
      </c>
      <c r="J1811" s="5">
        <v>1.0</v>
      </c>
      <c r="N1811" s="3" t="b">
        <v>0</v>
      </c>
      <c r="R1811" s="3">
        <v>0.0</v>
      </c>
      <c r="T1811" s="3">
        <v>5.0</v>
      </c>
      <c r="X1811" s="77"/>
      <c r="Y1811" s="3">
        <v>1.0</v>
      </c>
      <c r="Z1811" s="3">
        <v>1.0</v>
      </c>
      <c r="AA1811" s="3">
        <f>2+ (P1811*'Scoring System'!$B$3)+ (IF(OR(AD1811="DEF",AD1811="GK"),N1811*'Scoring System'!$B$4,IF(AD1811="MID",N1811*'Scoring System'!$B$5,0)))+ (IF(OR(AD1811="DEF",AD1811="GK"),H1811*'Scoring System'!$B$6,IF(AD1811="MID",H1811*'Scoring System'!$B$7,IF(AD1811="ATT",H1811*'Scoring System'!$B$8,0))))+ IF(AND(OR(AD1811="GK",AD1811="DEF"),J1811&gt;=3),1*'Scoring System'!$B$9,0)+ (I1811*'Scoring System'!$B$10)+ (K1811*'Scoring System'!$B$11)+ (M1811*'Scoring System'!$B$12)+ (L1811*'Scoring System'!$B$13)+ (O1811*'Scoring System'!$B$14)+ (Q1811*'Scoring System'!$B$15)+ (R1811*'Scoring System'!$B$16)</f>
        <v>2</v>
      </c>
      <c r="AB1811" s="3" t="b">
        <f>IFERROR(match(C1811,'Match Day Fees'!$B$2:$B$999,0),0)=0</f>
        <v>0</v>
      </c>
      <c r="AC1811" s="3">
        <f t="shared" si="2"/>
        <v>0</v>
      </c>
      <c r="AD1811" s="3" t="str">
        <f>VLOOKUP(D1811,'Position Lookup'!A:B,2,FALSE)</f>
        <v>ATT</v>
      </c>
    </row>
    <row r="1812" ht="17.25" customHeight="1">
      <c r="A1812" s="32">
        <v>45339.0</v>
      </c>
      <c r="B1812" s="5" t="s">
        <v>309</v>
      </c>
      <c r="C1812" s="3" t="s">
        <v>120</v>
      </c>
      <c r="D1812" s="3" t="s">
        <v>14</v>
      </c>
      <c r="E1812" s="5">
        <v>2.0</v>
      </c>
      <c r="F1812" s="3" t="s">
        <v>1909</v>
      </c>
      <c r="G1812" s="3" t="s">
        <v>242</v>
      </c>
      <c r="J1812" s="5">
        <v>1.0</v>
      </c>
      <c r="N1812" s="3" t="b">
        <v>0</v>
      </c>
      <c r="R1812" s="3">
        <v>0.0</v>
      </c>
      <c r="T1812" s="3">
        <v>10.0</v>
      </c>
      <c r="X1812" s="77"/>
      <c r="Y1812" s="3">
        <v>1.0</v>
      </c>
      <c r="Z1812" s="3">
        <v>1.0</v>
      </c>
      <c r="AA1812" s="3">
        <f>2+ (P1812*'Scoring System'!$B$3)+ (IF(OR(AD1812="DEF",AD1812="GK"),N1812*'Scoring System'!$B$4,IF(AD1812="MID",N1812*'Scoring System'!$B$5,0)))+ (IF(OR(AD1812="DEF",AD1812="GK"),H1812*'Scoring System'!$B$6,IF(AD1812="MID",H1812*'Scoring System'!$B$7,IF(AD1812="ATT",H1812*'Scoring System'!$B$8,0))))+ IF(AND(OR(AD1812="GK",AD1812="DEF"),J1812&gt;=3),1*'Scoring System'!$B$9,0)+ (I1812*'Scoring System'!$B$10)+ (K1812*'Scoring System'!$B$11)+ (M1812*'Scoring System'!$B$12)+ (L1812*'Scoring System'!$B$13)+ (O1812*'Scoring System'!$B$14)+ (Q1812*'Scoring System'!$B$15)+ (R1812*'Scoring System'!$B$16)</f>
        <v>2</v>
      </c>
      <c r="AB1812" s="3" t="b">
        <f>IFERROR(match(C1812,'Match Day Fees'!$B$2:$B$999,0),0)=0</f>
        <v>0</v>
      </c>
      <c r="AC1812" s="3">
        <f t="shared" si="2"/>
        <v>0</v>
      </c>
      <c r="AD1812" s="3" t="str">
        <f>VLOOKUP(D1812,'Position Lookup'!A:B,2,FALSE)</f>
        <v>DEF</v>
      </c>
    </row>
    <row r="1813" ht="17.25" customHeight="1">
      <c r="A1813" s="32">
        <v>45339.0</v>
      </c>
      <c r="B1813" s="5" t="s">
        <v>309</v>
      </c>
      <c r="C1813" s="3" t="s">
        <v>155</v>
      </c>
      <c r="D1813" s="3" t="s">
        <v>20</v>
      </c>
      <c r="E1813" s="5">
        <v>2.0</v>
      </c>
      <c r="F1813" s="3" t="s">
        <v>1909</v>
      </c>
      <c r="G1813" s="3" t="s">
        <v>242</v>
      </c>
      <c r="H1813" s="3">
        <v>1.0</v>
      </c>
      <c r="J1813" s="5">
        <v>1.0</v>
      </c>
      <c r="N1813" s="3" t="b">
        <v>0</v>
      </c>
      <c r="R1813" s="3">
        <v>0.0</v>
      </c>
      <c r="T1813" s="3">
        <v>10.0</v>
      </c>
      <c r="X1813" s="77"/>
      <c r="Y1813" s="3">
        <v>1.0</v>
      </c>
      <c r="Z1813" s="3">
        <v>1.0</v>
      </c>
      <c r="AA1813" s="3">
        <f>2+ (P1813*'Scoring System'!$B$3)+ (IF(OR(AD1813="DEF",AD1813="GK"),N1813*'Scoring System'!$B$4,IF(AD1813="MID",N1813*'Scoring System'!$B$5,0)))+ (IF(OR(AD1813="DEF",AD1813="GK"),H1813*'Scoring System'!$B$6,IF(AD1813="MID",H1813*'Scoring System'!$B$7,IF(AD1813="ATT",H1813*'Scoring System'!$B$8,0))))+ IF(AND(OR(AD1813="GK",AD1813="DEF"),J1813&gt;=3),1*'Scoring System'!$B$9,0)+ (I1813*'Scoring System'!$B$10)+ (K1813*'Scoring System'!$B$11)+ (M1813*'Scoring System'!$B$12)+ (L1813*'Scoring System'!$B$13)+ (O1813*'Scoring System'!$B$14)+ (Q1813*'Scoring System'!$B$15)+ (R1813*'Scoring System'!$B$16)</f>
        <v>7</v>
      </c>
      <c r="AB1813" s="3" t="b">
        <f>IFERROR(match(C1813,'Match Day Fees'!$B$2:$B$999,0),0)=0</f>
        <v>0</v>
      </c>
      <c r="AC1813" s="3">
        <f t="shared" si="2"/>
        <v>0</v>
      </c>
      <c r="AD1813" s="3" t="str">
        <f>VLOOKUP(D1813,'Position Lookup'!A:B,2,FALSE)</f>
        <v>MID</v>
      </c>
    </row>
    <row r="1814" ht="17.25" customHeight="1">
      <c r="A1814" s="32">
        <v>45339.0</v>
      </c>
      <c r="B1814" s="5" t="s">
        <v>309</v>
      </c>
      <c r="C1814" s="3" t="s">
        <v>111</v>
      </c>
      <c r="D1814" s="3" t="s">
        <v>16</v>
      </c>
      <c r="E1814" s="5">
        <v>2.0</v>
      </c>
      <c r="F1814" s="3" t="s">
        <v>1909</v>
      </c>
      <c r="G1814" s="3" t="s">
        <v>242</v>
      </c>
      <c r="J1814" s="5">
        <v>1.0</v>
      </c>
      <c r="N1814" s="3" t="b">
        <v>0</v>
      </c>
      <c r="R1814" s="3">
        <v>0.0</v>
      </c>
      <c r="T1814" s="3">
        <v>10.0</v>
      </c>
      <c r="X1814" s="77"/>
      <c r="Y1814" s="3">
        <v>1.0</v>
      </c>
      <c r="Z1814" s="3">
        <v>1.0</v>
      </c>
      <c r="AA1814" s="3">
        <f>2+ (P1814*'Scoring System'!$B$3)+ (IF(OR(AD1814="DEF",AD1814="GK"),N1814*'Scoring System'!$B$4,IF(AD1814="MID",N1814*'Scoring System'!$B$5,0)))+ (IF(OR(AD1814="DEF",AD1814="GK"),H1814*'Scoring System'!$B$6,IF(AD1814="MID",H1814*'Scoring System'!$B$7,IF(AD1814="ATT",H1814*'Scoring System'!$B$8,0))))+ IF(AND(OR(AD1814="GK",AD1814="DEF"),J1814&gt;=3),1*'Scoring System'!$B$9,0)+ (I1814*'Scoring System'!$B$10)+ (K1814*'Scoring System'!$B$11)+ (M1814*'Scoring System'!$B$12)+ (L1814*'Scoring System'!$B$13)+ (O1814*'Scoring System'!$B$14)+ (Q1814*'Scoring System'!$B$15)+ (R1814*'Scoring System'!$B$16)</f>
        <v>2</v>
      </c>
      <c r="AB1814" s="3" t="b">
        <f>IFERROR(match(C1814,'Match Day Fees'!$B$2:$B$999,0),0)=0</f>
        <v>0</v>
      </c>
      <c r="AC1814" s="3">
        <f t="shared" si="2"/>
        <v>0</v>
      </c>
      <c r="AD1814" s="3" t="str">
        <f>VLOOKUP(D1814,'Position Lookup'!A:B,2,FALSE)</f>
        <v>DEF</v>
      </c>
    </row>
    <row r="1815" ht="17.25" customHeight="1">
      <c r="A1815" s="32">
        <v>45339.0</v>
      </c>
      <c r="B1815" s="5" t="s">
        <v>309</v>
      </c>
      <c r="C1815" s="3" t="s">
        <v>43</v>
      </c>
      <c r="D1815" s="3" t="s">
        <v>12</v>
      </c>
      <c r="E1815" s="5">
        <v>2.0</v>
      </c>
      <c r="F1815" s="3" t="s">
        <v>1909</v>
      </c>
      <c r="G1815" s="3" t="s">
        <v>242</v>
      </c>
      <c r="J1815" s="5">
        <v>1.0</v>
      </c>
      <c r="N1815" s="3" t="b">
        <v>0</v>
      </c>
      <c r="R1815" s="3">
        <v>0.0</v>
      </c>
      <c r="T1815" s="3">
        <v>10.0</v>
      </c>
      <c r="X1815" s="77"/>
      <c r="Y1815" s="3">
        <v>1.0</v>
      </c>
      <c r="Z1815" s="3">
        <v>1.0</v>
      </c>
      <c r="AA1815" s="3">
        <f>2+ (P1815*'Scoring System'!$B$3)+ (IF(OR(AD1815="DEF",AD1815="GK"),N1815*'Scoring System'!$B$4,IF(AD1815="MID",N1815*'Scoring System'!$B$5,0)))+ (IF(OR(AD1815="DEF",AD1815="GK"),H1815*'Scoring System'!$B$6,IF(AD1815="MID",H1815*'Scoring System'!$B$7,IF(AD1815="ATT",H1815*'Scoring System'!$B$8,0))))+ IF(AND(OR(AD1815="GK",AD1815="DEF"),J1815&gt;=3),1*'Scoring System'!$B$9,0)+ (I1815*'Scoring System'!$B$10)+ (K1815*'Scoring System'!$B$11)+ (M1815*'Scoring System'!$B$12)+ (L1815*'Scoring System'!$B$13)+ (O1815*'Scoring System'!$B$14)+ (Q1815*'Scoring System'!$B$15)+ (R1815*'Scoring System'!$B$16)</f>
        <v>2</v>
      </c>
      <c r="AB1815" s="3" t="b">
        <f>IFERROR(match(C1815,'Match Day Fees'!$B$2:$B$999,0),0)=0</f>
        <v>0</v>
      </c>
      <c r="AC1815" s="3">
        <f t="shared" si="2"/>
        <v>0</v>
      </c>
      <c r="AD1815" s="3" t="str">
        <f>VLOOKUP(D1815,'Position Lookup'!A:B,2,FALSE)</f>
        <v>DEF</v>
      </c>
    </row>
    <row r="1816" ht="17.25" customHeight="1">
      <c r="A1816" s="32">
        <v>45339.0</v>
      </c>
      <c r="B1816" s="5" t="s">
        <v>309</v>
      </c>
      <c r="C1816" s="3" t="s">
        <v>243</v>
      </c>
      <c r="D1816" s="3" t="s">
        <v>20</v>
      </c>
      <c r="E1816" s="5">
        <v>2.0</v>
      </c>
      <c r="F1816" s="3" t="s">
        <v>1909</v>
      </c>
      <c r="G1816" s="3" t="s">
        <v>242</v>
      </c>
      <c r="J1816" s="5">
        <v>1.0</v>
      </c>
      <c r="N1816" s="3" t="b">
        <v>0</v>
      </c>
      <c r="R1816" s="3">
        <v>0.0</v>
      </c>
      <c r="T1816" s="3">
        <v>10.0</v>
      </c>
      <c r="X1816" s="77"/>
      <c r="Y1816" s="3">
        <v>1.0</v>
      </c>
      <c r="Z1816" s="3">
        <v>1.0</v>
      </c>
      <c r="AA1816" s="3">
        <f>2+ (P1816*'Scoring System'!$B$3)+ (IF(OR(AD1816="DEF",AD1816="GK"),N1816*'Scoring System'!$B$4,IF(AD1816="MID",N1816*'Scoring System'!$B$5,0)))+ (IF(OR(AD1816="DEF",AD1816="GK"),H1816*'Scoring System'!$B$6,IF(AD1816="MID",H1816*'Scoring System'!$B$7,IF(AD1816="ATT",H1816*'Scoring System'!$B$8,0))))+ IF(AND(OR(AD1816="GK",AD1816="DEF"),J1816&gt;=3),1*'Scoring System'!$B$9,0)+ (I1816*'Scoring System'!$B$10)+ (K1816*'Scoring System'!$B$11)+ (M1816*'Scoring System'!$B$12)+ (L1816*'Scoring System'!$B$13)+ (O1816*'Scoring System'!$B$14)+ (Q1816*'Scoring System'!$B$15)+ (R1816*'Scoring System'!$B$16)</f>
        <v>2</v>
      </c>
      <c r="AB1816" s="3" t="b">
        <f>IFERROR(match(C1816,'Match Day Fees'!$B$2:$B$999,0),0)=0</f>
        <v>0</v>
      </c>
      <c r="AC1816" s="3">
        <f t="shared" si="2"/>
        <v>0</v>
      </c>
      <c r="AD1816" s="3" t="str">
        <f>VLOOKUP(D1816,'Position Lookup'!A:B,2,FALSE)</f>
        <v>MID</v>
      </c>
    </row>
    <row r="1817" ht="17.25" customHeight="1">
      <c r="A1817" s="32">
        <v>45339.0</v>
      </c>
      <c r="B1817" s="5" t="s">
        <v>309</v>
      </c>
      <c r="C1817" s="3" t="s">
        <v>93</v>
      </c>
      <c r="D1817" s="3" t="s">
        <v>20</v>
      </c>
      <c r="E1817" s="5">
        <v>2.0</v>
      </c>
      <c r="F1817" s="3" t="s">
        <v>1909</v>
      </c>
      <c r="G1817" s="3" t="s">
        <v>242</v>
      </c>
      <c r="J1817" s="5">
        <v>1.0</v>
      </c>
      <c r="N1817" s="3" t="b">
        <v>0</v>
      </c>
      <c r="R1817" s="3">
        <v>1.0</v>
      </c>
      <c r="S1817" s="3" t="b">
        <v>1</v>
      </c>
      <c r="T1817" s="3">
        <v>0.0</v>
      </c>
      <c r="X1817" s="77"/>
      <c r="Y1817" s="3">
        <v>1.0</v>
      </c>
      <c r="Z1817" s="3">
        <v>1.0</v>
      </c>
      <c r="AA1817" s="3">
        <f>2+ (P1817*'Scoring System'!$B$3)+ (IF(OR(AD1817="DEF",AD1817="GK"),N1817*'Scoring System'!$B$4,IF(AD1817="MID",N1817*'Scoring System'!$B$5,0)))+ (IF(OR(AD1817="DEF",AD1817="GK"),H1817*'Scoring System'!$B$6,IF(AD1817="MID",H1817*'Scoring System'!$B$7,IF(AD1817="ATT",H1817*'Scoring System'!$B$8,0))))+ IF(AND(OR(AD1817="GK",AD1817="DEF"),J1817&gt;=3),1*'Scoring System'!$B$9,0)+ (I1817*'Scoring System'!$B$10)+ (K1817*'Scoring System'!$B$11)+ (M1817*'Scoring System'!$B$12)+ (L1817*'Scoring System'!$B$13)+ (O1817*'Scoring System'!$B$14)+ (Q1817*'Scoring System'!$B$15)+ (R1817*'Scoring System'!$B$16)</f>
        <v>7</v>
      </c>
      <c r="AB1817" s="3" t="b">
        <f>IFERROR(match(C1817,'Match Day Fees'!$B$2:$B$999,0),0)=0</f>
        <v>0</v>
      </c>
      <c r="AC1817" s="3">
        <f t="shared" si="2"/>
        <v>0</v>
      </c>
      <c r="AD1817" s="3" t="str">
        <f>VLOOKUP(D1817,'Position Lookup'!A:B,2,FALSE)</f>
        <v>MID</v>
      </c>
    </row>
    <row r="1818" ht="17.25" customHeight="1">
      <c r="A1818" s="32">
        <v>45339.0</v>
      </c>
      <c r="B1818" s="5" t="s">
        <v>309</v>
      </c>
      <c r="C1818" s="3" t="s">
        <v>114</v>
      </c>
      <c r="D1818" s="3" t="s">
        <v>22</v>
      </c>
      <c r="E1818" s="5">
        <v>2.0</v>
      </c>
      <c r="F1818" s="3" t="s">
        <v>1909</v>
      </c>
      <c r="G1818" s="3" t="s">
        <v>242</v>
      </c>
      <c r="J1818" s="5">
        <v>1.0</v>
      </c>
      <c r="N1818" s="3" t="b">
        <v>0</v>
      </c>
      <c r="R1818" s="3">
        <v>0.0</v>
      </c>
      <c r="T1818" s="3">
        <v>10.0</v>
      </c>
      <c r="X1818" s="77"/>
      <c r="Y1818" s="3">
        <v>1.0</v>
      </c>
      <c r="Z1818" s="3">
        <v>1.0</v>
      </c>
      <c r="AA1818" s="3">
        <f>2+ (P1818*'Scoring System'!$B$3)+ (IF(OR(AD1818="DEF",AD1818="GK"),N1818*'Scoring System'!$B$4,IF(AD1818="MID",N1818*'Scoring System'!$B$5,0)))+ (IF(OR(AD1818="DEF",AD1818="GK"),H1818*'Scoring System'!$B$6,IF(AD1818="MID",H1818*'Scoring System'!$B$7,IF(AD1818="ATT",H1818*'Scoring System'!$B$8,0))))+ IF(AND(OR(AD1818="GK",AD1818="DEF"),J1818&gt;=3),1*'Scoring System'!$B$9,0)+ (I1818*'Scoring System'!$B$10)+ (K1818*'Scoring System'!$B$11)+ (M1818*'Scoring System'!$B$12)+ (L1818*'Scoring System'!$B$13)+ (O1818*'Scoring System'!$B$14)+ (Q1818*'Scoring System'!$B$15)+ (R1818*'Scoring System'!$B$16)</f>
        <v>2</v>
      </c>
      <c r="AB1818" s="3" t="b">
        <f>IFERROR(match(C1818,'Match Day Fees'!$B$2:$B$999,0),0)=0</f>
        <v>0</v>
      </c>
      <c r="AC1818" s="3">
        <f t="shared" si="2"/>
        <v>0</v>
      </c>
      <c r="AD1818" s="3" t="str">
        <f>VLOOKUP(D1818,'Position Lookup'!A:B,2,FALSE)</f>
        <v>ATT</v>
      </c>
    </row>
    <row r="1819" ht="17.25" customHeight="1">
      <c r="A1819" s="32">
        <v>45339.0</v>
      </c>
      <c r="B1819" s="5" t="s">
        <v>309</v>
      </c>
      <c r="C1819" s="3" t="s">
        <v>61</v>
      </c>
      <c r="D1819" s="3" t="s">
        <v>21</v>
      </c>
      <c r="E1819" s="5">
        <v>2.0</v>
      </c>
      <c r="F1819" s="3" t="s">
        <v>1909</v>
      </c>
      <c r="G1819" s="3" t="s">
        <v>242</v>
      </c>
      <c r="J1819" s="5">
        <v>1.0</v>
      </c>
      <c r="N1819" s="3" t="b">
        <v>0</v>
      </c>
      <c r="R1819" s="3">
        <v>0.0</v>
      </c>
      <c r="T1819" s="3">
        <v>10.0</v>
      </c>
      <c r="X1819" s="77"/>
      <c r="Y1819" s="3">
        <v>1.0</v>
      </c>
      <c r="Z1819" s="3">
        <v>1.0</v>
      </c>
      <c r="AA1819" s="3">
        <f>2+ (P1819*'Scoring System'!$B$3)+ (IF(OR(AD1819="DEF",AD1819="GK"),N1819*'Scoring System'!$B$4,IF(AD1819="MID",N1819*'Scoring System'!$B$5,0)))+ (IF(OR(AD1819="DEF",AD1819="GK"),H1819*'Scoring System'!$B$6,IF(AD1819="MID",H1819*'Scoring System'!$B$7,IF(AD1819="ATT",H1819*'Scoring System'!$B$8,0))))+ IF(AND(OR(AD1819="GK",AD1819="DEF"),J1819&gt;=3),1*'Scoring System'!$B$9,0)+ (I1819*'Scoring System'!$B$10)+ (K1819*'Scoring System'!$B$11)+ (M1819*'Scoring System'!$B$12)+ (L1819*'Scoring System'!$B$13)+ (O1819*'Scoring System'!$B$14)+ (Q1819*'Scoring System'!$B$15)+ (R1819*'Scoring System'!$B$16)</f>
        <v>2</v>
      </c>
      <c r="AB1819" s="3" t="b">
        <f>IFERROR(match(C1819,'Match Day Fees'!$B$2:$B$999,0),0)=0</f>
        <v>0</v>
      </c>
      <c r="AC1819" s="3">
        <f t="shared" si="2"/>
        <v>0</v>
      </c>
      <c r="AD1819" s="3" t="str">
        <f>VLOOKUP(D1819,'Position Lookup'!A:B,2,FALSE)</f>
        <v>MID</v>
      </c>
    </row>
    <row r="1820" ht="17.25" customHeight="1">
      <c r="A1820" s="32">
        <v>45339.0</v>
      </c>
      <c r="B1820" s="5" t="s">
        <v>309</v>
      </c>
      <c r="C1820" s="3" t="s">
        <v>73</v>
      </c>
      <c r="D1820" s="3" t="s">
        <v>24</v>
      </c>
      <c r="E1820" s="5">
        <v>2.0</v>
      </c>
      <c r="F1820" s="3" t="s">
        <v>1909</v>
      </c>
      <c r="G1820" s="3" t="s">
        <v>242</v>
      </c>
      <c r="J1820" s="5">
        <v>1.0</v>
      </c>
      <c r="N1820" s="3" t="b">
        <v>0</v>
      </c>
      <c r="R1820" s="3">
        <v>0.0</v>
      </c>
      <c r="T1820" s="3">
        <v>10.0</v>
      </c>
      <c r="X1820" s="77"/>
      <c r="Y1820" s="3">
        <v>1.0</v>
      </c>
      <c r="Z1820" s="3">
        <v>1.0</v>
      </c>
      <c r="AA1820" s="3">
        <f>2+ (P1820*'Scoring System'!$B$3)+ (IF(OR(AD1820="DEF",AD1820="GK"),N1820*'Scoring System'!$B$4,IF(AD1820="MID",N1820*'Scoring System'!$B$5,0)))+ (IF(OR(AD1820="DEF",AD1820="GK"),H1820*'Scoring System'!$B$6,IF(AD1820="MID",H1820*'Scoring System'!$B$7,IF(AD1820="ATT",H1820*'Scoring System'!$B$8,0))))+ IF(AND(OR(AD1820="GK",AD1820="DEF"),J1820&gt;=3),1*'Scoring System'!$B$9,0)+ (I1820*'Scoring System'!$B$10)+ (K1820*'Scoring System'!$B$11)+ (M1820*'Scoring System'!$B$12)+ (L1820*'Scoring System'!$B$13)+ (O1820*'Scoring System'!$B$14)+ (Q1820*'Scoring System'!$B$15)+ (R1820*'Scoring System'!$B$16)</f>
        <v>2</v>
      </c>
      <c r="AB1820" s="3" t="b">
        <f>IFERROR(match(C1820,'Match Day Fees'!$B$2:$B$999,0),0)=0</f>
        <v>0</v>
      </c>
      <c r="AC1820" s="3">
        <f t="shared" si="2"/>
        <v>0</v>
      </c>
      <c r="AD1820" s="3" t="str">
        <f>VLOOKUP(D1820,'Position Lookup'!A:B,2,FALSE)</f>
        <v>ATT</v>
      </c>
    </row>
    <row r="1821" ht="17.25" customHeight="1">
      <c r="A1821" s="32">
        <v>45339.0</v>
      </c>
      <c r="B1821" s="5" t="s">
        <v>309</v>
      </c>
      <c r="C1821" s="3" t="s">
        <v>1910</v>
      </c>
      <c r="D1821" s="3" t="s">
        <v>22</v>
      </c>
      <c r="E1821" s="5">
        <v>2.0</v>
      </c>
      <c r="F1821" s="3" t="s">
        <v>1909</v>
      </c>
      <c r="G1821" s="3" t="s">
        <v>242</v>
      </c>
      <c r="J1821" s="5">
        <v>1.0</v>
      </c>
      <c r="N1821" s="3" t="b">
        <v>0</v>
      </c>
      <c r="R1821" s="3">
        <v>0.0</v>
      </c>
      <c r="T1821" s="3">
        <v>10.0</v>
      </c>
      <c r="X1821" s="77"/>
      <c r="Y1821" s="3">
        <v>1.0</v>
      </c>
      <c r="Z1821" s="3">
        <v>1.0</v>
      </c>
      <c r="AA1821" s="3">
        <f>2+ (P1821*'Scoring System'!$B$3)+ (IF(OR(AD1821="DEF",AD1821="GK"),N1821*'Scoring System'!$B$4,IF(AD1821="MID",N1821*'Scoring System'!$B$5,0)))+ (IF(OR(AD1821="DEF",AD1821="GK"),H1821*'Scoring System'!$B$6,IF(AD1821="MID",H1821*'Scoring System'!$B$7,IF(AD1821="ATT",H1821*'Scoring System'!$B$8,0))))+ IF(AND(OR(AD1821="GK",AD1821="DEF"),J1821&gt;=3),1*'Scoring System'!$B$9,0)+ (I1821*'Scoring System'!$B$10)+ (K1821*'Scoring System'!$B$11)+ (M1821*'Scoring System'!$B$12)+ (L1821*'Scoring System'!$B$13)+ (O1821*'Scoring System'!$B$14)+ (Q1821*'Scoring System'!$B$15)+ (R1821*'Scoring System'!$B$16)</f>
        <v>2</v>
      </c>
      <c r="AB1821" s="3" t="b">
        <f>IFERROR(match(C1821,'Match Day Fees'!$B$2:$B$999,0),0)=0</f>
        <v>0</v>
      </c>
      <c r="AC1821" s="3">
        <f t="shared" si="2"/>
        <v>0</v>
      </c>
      <c r="AD1821" s="3" t="str">
        <f>VLOOKUP(D1821,'Position Lookup'!A:B,2,FALSE)</f>
        <v>ATT</v>
      </c>
    </row>
    <row r="1822">
      <c r="A1822" s="32">
        <v>45360.0</v>
      </c>
      <c r="B1822" s="5" t="s">
        <v>309</v>
      </c>
      <c r="C1822" s="3" t="s">
        <v>53</v>
      </c>
      <c r="D1822" s="3" t="s">
        <v>8</v>
      </c>
      <c r="E1822" s="83">
        <v>1.0</v>
      </c>
      <c r="F1822" s="84" t="s">
        <v>1911</v>
      </c>
      <c r="G1822" s="3" t="s">
        <v>224</v>
      </c>
      <c r="J1822" s="83">
        <v>2.0</v>
      </c>
      <c r="N1822" s="3" t="b">
        <v>0</v>
      </c>
      <c r="P1822" s="3">
        <v>1.0</v>
      </c>
      <c r="R1822" s="3">
        <v>0.0</v>
      </c>
      <c r="T1822" s="3">
        <v>10.0</v>
      </c>
      <c r="U1822" s="3">
        <v>8.0</v>
      </c>
      <c r="V1822" s="3" t="s">
        <v>1912</v>
      </c>
      <c r="W1822" s="3" t="s">
        <v>311</v>
      </c>
      <c r="X1822" s="77" t="s">
        <v>1913</v>
      </c>
      <c r="Y1822" s="3">
        <v>4.0</v>
      </c>
      <c r="Z1822" s="3">
        <v>2.0</v>
      </c>
      <c r="AA1822" s="3">
        <f>2+ (P1822*'Scoring System'!$B$3)+ (IF(OR(AD1822="DEF",AD1822="GK"),N1822*'Scoring System'!$B$4,IF(AD1822="MID",N1822*'Scoring System'!$B$5,0)))+ (IF(OR(AD1822="DEF",AD1822="GK"),H1822*'Scoring System'!$B$6,IF(AD1822="MID",H1822*'Scoring System'!$B$7,IF(AD1822="ATT",H1822*'Scoring System'!$B$8,0))))+ IF(AND(OR(AD1822="GK",AD1822="DEF"),J1822&gt;=3),1*'Scoring System'!$B$9,0)+ (I1822*'Scoring System'!$B$10)+ (K1822*'Scoring System'!$B$11)+ (M1822*'Scoring System'!$B$12)+ (L1822*'Scoring System'!$B$13)+ (O1822*'Scoring System'!$B$14)+ (Q1822*'Scoring System'!$B$15)+ (R1822*'Scoring System'!$B$16)</f>
        <v>7</v>
      </c>
      <c r="AB1822" s="3" t="b">
        <f>IFERROR(match(C1822,'Match Day Fees'!$B$2:$B$999,0),0)=0</f>
        <v>0</v>
      </c>
      <c r="AC1822" s="3">
        <f t="shared" si="2"/>
        <v>0</v>
      </c>
      <c r="AD1822" s="3" t="str">
        <f>VLOOKUP(D1822,'Position Lookup'!A:B,2,FALSE)</f>
        <v>GK</v>
      </c>
    </row>
    <row r="1823" ht="17.25" customHeight="1">
      <c r="A1823" s="32">
        <v>45360.0</v>
      </c>
      <c r="B1823" s="5" t="s">
        <v>309</v>
      </c>
      <c r="C1823" s="3" t="s">
        <v>68</v>
      </c>
      <c r="D1823" s="3" t="s">
        <v>15</v>
      </c>
      <c r="E1823" s="83">
        <v>1.0</v>
      </c>
      <c r="F1823" s="84" t="s">
        <v>1911</v>
      </c>
      <c r="G1823" s="3" t="s">
        <v>224</v>
      </c>
      <c r="J1823" s="83">
        <v>2.0</v>
      </c>
      <c r="K1823" s="5">
        <v>1.0</v>
      </c>
      <c r="N1823" s="3" t="b">
        <v>0</v>
      </c>
      <c r="R1823" s="3">
        <v>0.0</v>
      </c>
      <c r="T1823" s="3">
        <v>7.0</v>
      </c>
      <c r="U1823" s="3">
        <v>8.0</v>
      </c>
      <c r="V1823" s="3" t="s">
        <v>1914</v>
      </c>
      <c r="W1823" s="3" t="s">
        <v>311</v>
      </c>
      <c r="X1823" s="77" t="s">
        <v>1913</v>
      </c>
      <c r="Y1823" s="3">
        <v>4.0</v>
      </c>
      <c r="Z1823" s="3">
        <v>2.0</v>
      </c>
      <c r="AA1823" s="3">
        <f>2+ (P1823*'Scoring System'!$B$3)+ (IF(OR(AD1823="DEF",AD1823="GK"),N1823*'Scoring System'!$B$4,IF(AD1823="MID",N1823*'Scoring System'!$B$5,0)))+ (IF(OR(AD1823="DEF",AD1823="GK"),H1823*'Scoring System'!$B$6,IF(AD1823="MID",H1823*'Scoring System'!$B$7,IF(AD1823="ATT",H1823*'Scoring System'!$B$8,0))))+ IF(AND(OR(AD1823="GK",AD1823="DEF"),J1823&gt;=3),1*'Scoring System'!$B$9,0)+ (I1823*'Scoring System'!$B$10)+ (K1823*'Scoring System'!$B$11)+ (M1823*'Scoring System'!$B$12)+ (L1823*'Scoring System'!$B$13)+ (O1823*'Scoring System'!$B$14)+ (Q1823*'Scoring System'!$B$15)+ (R1823*'Scoring System'!$B$16)</f>
        <v>1</v>
      </c>
      <c r="AB1823" s="3" t="b">
        <f>IFERROR(match(C1823,'Match Day Fees'!$B$2:$B$999,0),0)=0</f>
        <v>0</v>
      </c>
      <c r="AC1823" s="3">
        <f t="shared" si="2"/>
        <v>0</v>
      </c>
      <c r="AD1823" s="3" t="str">
        <f>VLOOKUP(D1823,'Position Lookup'!A:B,2,FALSE)</f>
        <v>DEF</v>
      </c>
    </row>
    <row r="1824" ht="17.25" customHeight="1">
      <c r="A1824" s="32">
        <v>45360.0</v>
      </c>
      <c r="B1824" s="5" t="s">
        <v>309</v>
      </c>
      <c r="C1824" s="3" t="s">
        <v>69</v>
      </c>
      <c r="D1824" s="3" t="s">
        <v>14</v>
      </c>
      <c r="E1824" s="83">
        <v>1.0</v>
      </c>
      <c r="F1824" s="84" t="s">
        <v>1911</v>
      </c>
      <c r="G1824" s="3" t="s">
        <v>224</v>
      </c>
      <c r="J1824" s="83">
        <v>2.0</v>
      </c>
      <c r="N1824" s="3" t="b">
        <v>0</v>
      </c>
      <c r="R1824" s="3">
        <v>0.0</v>
      </c>
      <c r="T1824" s="3">
        <v>10.0</v>
      </c>
      <c r="U1824" s="3">
        <v>8.0</v>
      </c>
      <c r="V1824" s="3" t="s">
        <v>1915</v>
      </c>
      <c r="W1824" s="3" t="s">
        <v>311</v>
      </c>
      <c r="X1824" s="77" t="s">
        <v>1913</v>
      </c>
      <c r="Y1824" s="3">
        <v>4.0</v>
      </c>
      <c r="Z1824" s="3">
        <v>2.0</v>
      </c>
      <c r="AA1824" s="3">
        <f>2+ (P1824*'Scoring System'!$B$3)+ (IF(OR(AD1824="DEF",AD1824="GK"),N1824*'Scoring System'!$B$4,IF(AD1824="MID",N1824*'Scoring System'!$B$5,0)))+ (IF(OR(AD1824="DEF",AD1824="GK"),H1824*'Scoring System'!$B$6,IF(AD1824="MID",H1824*'Scoring System'!$B$7,IF(AD1824="ATT",H1824*'Scoring System'!$B$8,0))))+ IF(AND(OR(AD1824="GK",AD1824="DEF"),J1824&gt;=3),1*'Scoring System'!$B$9,0)+ (I1824*'Scoring System'!$B$10)+ (K1824*'Scoring System'!$B$11)+ (M1824*'Scoring System'!$B$12)+ (L1824*'Scoring System'!$B$13)+ (O1824*'Scoring System'!$B$14)+ (Q1824*'Scoring System'!$B$15)+ (R1824*'Scoring System'!$B$16)</f>
        <v>2</v>
      </c>
      <c r="AB1824" s="3" t="b">
        <f>IFERROR(match(C1824,'Match Day Fees'!$B$2:$B$999,0),0)=0</f>
        <v>0</v>
      </c>
      <c r="AC1824" s="3">
        <f t="shared" si="2"/>
        <v>0</v>
      </c>
      <c r="AD1824" s="3" t="str">
        <f>VLOOKUP(D1824,'Position Lookup'!A:B,2,FALSE)</f>
        <v>DEF</v>
      </c>
    </row>
    <row r="1825" ht="17.25" customHeight="1">
      <c r="A1825" s="32">
        <v>45360.0</v>
      </c>
      <c r="B1825" s="5" t="s">
        <v>309</v>
      </c>
      <c r="C1825" s="3" t="s">
        <v>107</v>
      </c>
      <c r="D1825" s="3" t="s">
        <v>13</v>
      </c>
      <c r="E1825" s="83">
        <v>1.0</v>
      </c>
      <c r="F1825" s="84" t="s">
        <v>1911</v>
      </c>
      <c r="G1825" s="3" t="s">
        <v>224</v>
      </c>
      <c r="J1825" s="83">
        <v>2.0</v>
      </c>
      <c r="N1825" s="3" t="b">
        <v>0</v>
      </c>
      <c r="R1825" s="3">
        <v>0.0</v>
      </c>
      <c r="T1825" s="3">
        <v>10.0</v>
      </c>
      <c r="U1825" s="3">
        <v>8.0</v>
      </c>
      <c r="V1825" s="3" t="s">
        <v>1916</v>
      </c>
      <c r="W1825" s="3" t="s">
        <v>311</v>
      </c>
      <c r="X1825" s="77" t="s">
        <v>1913</v>
      </c>
      <c r="Y1825" s="3">
        <v>4.0</v>
      </c>
      <c r="Z1825" s="3">
        <v>2.0</v>
      </c>
      <c r="AA1825" s="3">
        <f>2+ (P1825*'Scoring System'!$B$3)+ (IF(OR(AD1825="DEF",AD1825="GK"),N1825*'Scoring System'!$B$4,IF(AD1825="MID",N1825*'Scoring System'!$B$5,0)))+ (IF(OR(AD1825="DEF",AD1825="GK"),H1825*'Scoring System'!$B$6,IF(AD1825="MID",H1825*'Scoring System'!$B$7,IF(AD1825="ATT",H1825*'Scoring System'!$B$8,0))))+ IF(AND(OR(AD1825="GK",AD1825="DEF"),J1825&gt;=3),1*'Scoring System'!$B$9,0)+ (I1825*'Scoring System'!$B$10)+ (K1825*'Scoring System'!$B$11)+ (M1825*'Scoring System'!$B$12)+ (L1825*'Scoring System'!$B$13)+ (O1825*'Scoring System'!$B$14)+ (Q1825*'Scoring System'!$B$15)+ (R1825*'Scoring System'!$B$16)</f>
        <v>2</v>
      </c>
      <c r="AB1825" s="3" t="b">
        <f>IFERROR(match(C1825,'Match Day Fees'!$B$2:$B$999,0),0)=0</f>
        <v>0</v>
      </c>
      <c r="AC1825" s="3">
        <f t="shared" si="2"/>
        <v>0</v>
      </c>
      <c r="AD1825" s="3" t="str">
        <f>VLOOKUP(D1825,'Position Lookup'!A:B,2,FALSE)</f>
        <v>DEF</v>
      </c>
    </row>
    <row r="1826" ht="17.25" customHeight="1">
      <c r="A1826" s="32">
        <v>45360.0</v>
      </c>
      <c r="B1826" s="5" t="s">
        <v>309</v>
      </c>
      <c r="C1826" s="3" t="s">
        <v>57</v>
      </c>
      <c r="D1826" s="3" t="s">
        <v>18</v>
      </c>
      <c r="E1826" s="83">
        <v>1.0</v>
      </c>
      <c r="F1826" s="84" t="s">
        <v>1911</v>
      </c>
      <c r="G1826" s="3" t="s">
        <v>224</v>
      </c>
      <c r="J1826" s="83">
        <v>2.0</v>
      </c>
      <c r="N1826" s="3" t="b">
        <v>0</v>
      </c>
      <c r="R1826" s="3">
        <v>0.0</v>
      </c>
      <c r="T1826" s="3">
        <v>5.0</v>
      </c>
      <c r="U1826" s="3">
        <v>8.5</v>
      </c>
      <c r="V1826" s="3" t="s">
        <v>1917</v>
      </c>
      <c r="W1826" s="3" t="s">
        <v>311</v>
      </c>
      <c r="X1826" s="77" t="s">
        <v>1913</v>
      </c>
      <c r="Y1826" s="3">
        <v>4.0</v>
      </c>
      <c r="Z1826" s="3">
        <v>2.0</v>
      </c>
      <c r="AA1826" s="3">
        <f>2+ (P1826*'Scoring System'!$B$3)+ (IF(OR(AD1826="DEF",AD1826="GK"),N1826*'Scoring System'!$B$4,IF(AD1826="MID",N1826*'Scoring System'!$B$5,0)))+ (IF(OR(AD1826="DEF",AD1826="GK"),H1826*'Scoring System'!$B$6,IF(AD1826="MID",H1826*'Scoring System'!$B$7,IF(AD1826="ATT",H1826*'Scoring System'!$B$8,0))))+ IF(AND(OR(AD1826="GK",AD1826="DEF"),J1826&gt;=3),1*'Scoring System'!$B$9,0)+ (I1826*'Scoring System'!$B$10)+ (K1826*'Scoring System'!$B$11)+ (M1826*'Scoring System'!$B$12)+ (L1826*'Scoring System'!$B$13)+ (O1826*'Scoring System'!$B$14)+ (Q1826*'Scoring System'!$B$15)+ (R1826*'Scoring System'!$B$16)</f>
        <v>2</v>
      </c>
      <c r="AB1826" s="3" t="b">
        <f>IFERROR(match(C1826,'Match Day Fees'!$B$2:$B$999,0),0)=0</f>
        <v>0</v>
      </c>
      <c r="AC1826" s="3">
        <f t="shared" si="2"/>
        <v>0</v>
      </c>
      <c r="AD1826" s="3" t="str">
        <f>VLOOKUP(D1826,'Position Lookup'!A:B,2,FALSE)</f>
        <v>DEF</v>
      </c>
    </row>
    <row r="1827" ht="17.25" customHeight="1">
      <c r="A1827" s="32">
        <v>45360.0</v>
      </c>
      <c r="B1827" s="5" t="s">
        <v>309</v>
      </c>
      <c r="C1827" s="3" t="s">
        <v>137</v>
      </c>
      <c r="D1827" s="3" t="s">
        <v>17</v>
      </c>
      <c r="E1827" s="83">
        <v>1.0</v>
      </c>
      <c r="F1827" s="84" t="s">
        <v>1911</v>
      </c>
      <c r="G1827" s="3" t="s">
        <v>224</v>
      </c>
      <c r="J1827" s="83">
        <v>2.0</v>
      </c>
      <c r="N1827" s="3" t="b">
        <v>0</v>
      </c>
      <c r="R1827" s="3">
        <v>0.0</v>
      </c>
      <c r="T1827" s="3">
        <v>10.0</v>
      </c>
      <c r="U1827" s="3">
        <v>8.0</v>
      </c>
      <c r="V1827" s="3" t="s">
        <v>1918</v>
      </c>
      <c r="W1827" s="3" t="s">
        <v>311</v>
      </c>
      <c r="X1827" s="77" t="s">
        <v>1913</v>
      </c>
      <c r="Y1827" s="3">
        <v>4.0</v>
      </c>
      <c r="Z1827" s="3">
        <v>2.0</v>
      </c>
      <c r="AA1827" s="3">
        <f>2+ (P1827*'Scoring System'!$B$3)+ (IF(OR(AD1827="DEF",AD1827="GK"),N1827*'Scoring System'!$B$4,IF(AD1827="MID",N1827*'Scoring System'!$B$5,0)))+ (IF(OR(AD1827="DEF",AD1827="GK"),H1827*'Scoring System'!$B$6,IF(AD1827="MID",H1827*'Scoring System'!$B$7,IF(AD1827="ATT",H1827*'Scoring System'!$B$8,0))))+ IF(AND(OR(AD1827="GK",AD1827="DEF"),J1827&gt;=3),1*'Scoring System'!$B$9,0)+ (I1827*'Scoring System'!$B$10)+ (K1827*'Scoring System'!$B$11)+ (M1827*'Scoring System'!$B$12)+ (L1827*'Scoring System'!$B$13)+ (O1827*'Scoring System'!$B$14)+ (Q1827*'Scoring System'!$B$15)+ (R1827*'Scoring System'!$B$16)</f>
        <v>2</v>
      </c>
      <c r="AB1827" s="3" t="b">
        <f>IFERROR(match(C1827,'Match Day Fees'!$B$2:$B$999,0),0)=0</f>
        <v>0</v>
      </c>
      <c r="AC1827" s="3">
        <f t="shared" si="2"/>
        <v>0</v>
      </c>
      <c r="AD1827" s="3" t="str">
        <f>VLOOKUP(D1827,'Position Lookup'!A:B,2,FALSE)</f>
        <v>DEF</v>
      </c>
    </row>
    <row r="1828" ht="17.25" customHeight="1">
      <c r="A1828" s="32">
        <v>45360.0</v>
      </c>
      <c r="B1828" s="5" t="s">
        <v>309</v>
      </c>
      <c r="C1828" s="3" t="s">
        <v>85</v>
      </c>
      <c r="D1828" s="3" t="s">
        <v>20</v>
      </c>
      <c r="E1828" s="83">
        <v>1.0</v>
      </c>
      <c r="F1828" s="84" t="s">
        <v>1911</v>
      </c>
      <c r="G1828" s="3" t="s">
        <v>224</v>
      </c>
      <c r="I1828" s="3">
        <v>1.0</v>
      </c>
      <c r="J1828" s="83">
        <v>2.0</v>
      </c>
      <c r="N1828" s="3" t="b">
        <v>0</v>
      </c>
      <c r="R1828" s="3">
        <v>0.0</v>
      </c>
      <c r="T1828" s="3">
        <v>10.0</v>
      </c>
      <c r="U1828" s="3">
        <v>8.0</v>
      </c>
      <c r="V1828" s="3" t="s">
        <v>1919</v>
      </c>
      <c r="W1828" s="3" t="s">
        <v>311</v>
      </c>
      <c r="X1828" s="77" t="s">
        <v>1913</v>
      </c>
      <c r="Y1828" s="3">
        <v>4.0</v>
      </c>
      <c r="Z1828" s="3">
        <v>2.0</v>
      </c>
      <c r="AA1828" s="3">
        <f>2+ (P1828*'Scoring System'!$B$3)+ (IF(OR(AD1828="DEF",AD1828="GK"),N1828*'Scoring System'!$B$4,IF(AD1828="MID",N1828*'Scoring System'!$B$5,0)))+ (IF(OR(AD1828="DEF",AD1828="GK"),H1828*'Scoring System'!$B$6,IF(AD1828="MID",H1828*'Scoring System'!$B$7,IF(AD1828="ATT",H1828*'Scoring System'!$B$8,0))))+ IF(AND(OR(AD1828="GK",AD1828="DEF"),J1828&gt;=3),1*'Scoring System'!$B$9,0)+ (I1828*'Scoring System'!$B$10)+ (K1828*'Scoring System'!$B$11)+ (M1828*'Scoring System'!$B$12)+ (L1828*'Scoring System'!$B$13)+ (O1828*'Scoring System'!$B$14)+ (Q1828*'Scoring System'!$B$15)+ (R1828*'Scoring System'!$B$16)</f>
        <v>5</v>
      </c>
      <c r="AB1828" s="3" t="b">
        <f>IFERROR(match(C1828,'Match Day Fees'!$B$2:$B$999,0),0)=0</f>
        <v>0</v>
      </c>
      <c r="AC1828" s="3">
        <f t="shared" si="2"/>
        <v>0</v>
      </c>
      <c r="AD1828" s="3" t="str">
        <f>VLOOKUP(D1828,'Position Lookup'!A:B,2,FALSE)</f>
        <v>MID</v>
      </c>
    </row>
    <row r="1829" ht="17.25" customHeight="1">
      <c r="A1829" s="32">
        <v>45360.0</v>
      </c>
      <c r="B1829" s="5" t="s">
        <v>309</v>
      </c>
      <c r="C1829" s="3" t="s">
        <v>67</v>
      </c>
      <c r="D1829" s="3" t="s">
        <v>20</v>
      </c>
      <c r="E1829" s="83">
        <v>1.0</v>
      </c>
      <c r="F1829" s="84" t="s">
        <v>1911</v>
      </c>
      <c r="G1829" s="3" t="s">
        <v>224</v>
      </c>
      <c r="J1829" s="83">
        <v>2.0</v>
      </c>
      <c r="N1829" s="3" t="b">
        <v>0</v>
      </c>
      <c r="R1829" s="3">
        <v>0.0</v>
      </c>
      <c r="T1829" s="3">
        <v>10.0</v>
      </c>
      <c r="U1829" s="3">
        <v>6.5</v>
      </c>
      <c r="V1829" s="3" t="s">
        <v>1920</v>
      </c>
      <c r="W1829" s="3" t="s">
        <v>311</v>
      </c>
      <c r="X1829" s="77" t="s">
        <v>1913</v>
      </c>
      <c r="Y1829" s="3">
        <v>4.0</v>
      </c>
      <c r="Z1829" s="3">
        <v>2.0</v>
      </c>
      <c r="AA1829" s="3">
        <f>2+ (P1829*'Scoring System'!$B$3)+ (IF(OR(AD1829="DEF",AD1829="GK"),N1829*'Scoring System'!$B$4,IF(AD1829="MID",N1829*'Scoring System'!$B$5,0)))+ (IF(OR(AD1829="DEF",AD1829="GK"),H1829*'Scoring System'!$B$6,IF(AD1829="MID",H1829*'Scoring System'!$B$7,IF(AD1829="ATT",H1829*'Scoring System'!$B$8,0))))+ IF(AND(OR(AD1829="GK",AD1829="DEF"),J1829&gt;=3),1*'Scoring System'!$B$9,0)+ (I1829*'Scoring System'!$B$10)+ (K1829*'Scoring System'!$B$11)+ (M1829*'Scoring System'!$B$12)+ (L1829*'Scoring System'!$B$13)+ (O1829*'Scoring System'!$B$14)+ (Q1829*'Scoring System'!$B$15)+ (R1829*'Scoring System'!$B$16)</f>
        <v>2</v>
      </c>
      <c r="AB1829" s="3" t="b">
        <f>IFERROR(match(C1829,'Match Day Fees'!$B$2:$B$999,0),0)=0</f>
        <v>0</v>
      </c>
      <c r="AC1829" s="3">
        <f t="shared" si="2"/>
        <v>0</v>
      </c>
      <c r="AD1829" s="3" t="str">
        <f>VLOOKUP(D1829,'Position Lookup'!A:B,2,FALSE)</f>
        <v>MID</v>
      </c>
    </row>
    <row r="1830" ht="17.25" customHeight="1">
      <c r="A1830" s="32">
        <v>45360.0</v>
      </c>
      <c r="B1830" s="5" t="s">
        <v>309</v>
      </c>
      <c r="C1830" s="3" t="s">
        <v>60</v>
      </c>
      <c r="D1830" s="3" t="s">
        <v>21</v>
      </c>
      <c r="E1830" s="83">
        <v>1.0</v>
      </c>
      <c r="F1830" s="84" t="s">
        <v>1911</v>
      </c>
      <c r="G1830" s="3" t="s">
        <v>224</v>
      </c>
      <c r="I1830" s="3">
        <v>2.0</v>
      </c>
      <c r="J1830" s="83">
        <v>2.0</v>
      </c>
      <c r="N1830" s="3" t="b">
        <v>0</v>
      </c>
      <c r="R1830" s="3">
        <v>0.0</v>
      </c>
      <c r="T1830" s="3">
        <v>10.0</v>
      </c>
      <c r="U1830" s="3">
        <v>7.0</v>
      </c>
      <c r="V1830" s="3" t="s">
        <v>1921</v>
      </c>
      <c r="W1830" s="3" t="s">
        <v>311</v>
      </c>
      <c r="X1830" s="77" t="s">
        <v>1913</v>
      </c>
      <c r="Y1830" s="3">
        <v>4.0</v>
      </c>
      <c r="Z1830" s="3">
        <v>2.0</v>
      </c>
      <c r="AA1830" s="3">
        <f>2+ (P1830*'Scoring System'!$B$3)+ (IF(OR(AD1830="DEF",AD1830="GK"),N1830*'Scoring System'!$B$4,IF(AD1830="MID",N1830*'Scoring System'!$B$5,0)))+ (IF(OR(AD1830="DEF",AD1830="GK"),H1830*'Scoring System'!$B$6,IF(AD1830="MID",H1830*'Scoring System'!$B$7,IF(AD1830="ATT",H1830*'Scoring System'!$B$8,0))))+ IF(AND(OR(AD1830="GK",AD1830="DEF"),J1830&gt;=3),1*'Scoring System'!$B$9,0)+ (I1830*'Scoring System'!$B$10)+ (K1830*'Scoring System'!$B$11)+ (M1830*'Scoring System'!$B$12)+ (L1830*'Scoring System'!$B$13)+ (O1830*'Scoring System'!$B$14)+ (Q1830*'Scoring System'!$B$15)+ (R1830*'Scoring System'!$B$16)</f>
        <v>8</v>
      </c>
      <c r="AB1830" s="3" t="b">
        <f>IFERROR(match(C1830,'Match Day Fees'!$B$2:$B$999,0),0)=0</f>
        <v>0</v>
      </c>
      <c r="AC1830" s="3">
        <f t="shared" si="2"/>
        <v>0</v>
      </c>
      <c r="AD1830" s="3" t="str">
        <f>VLOOKUP(D1830,'Position Lookup'!A:B,2,FALSE)</f>
        <v>MID</v>
      </c>
    </row>
    <row r="1831" ht="17.25" customHeight="1">
      <c r="A1831" s="32">
        <v>45360.0</v>
      </c>
      <c r="B1831" s="5" t="s">
        <v>309</v>
      </c>
      <c r="C1831" s="3" t="s">
        <v>62</v>
      </c>
      <c r="D1831" s="3" t="s">
        <v>24</v>
      </c>
      <c r="E1831" s="83">
        <v>1.0</v>
      </c>
      <c r="F1831" s="84" t="s">
        <v>1911</v>
      </c>
      <c r="G1831" s="3" t="s">
        <v>224</v>
      </c>
      <c r="H1831" s="3">
        <v>2.0</v>
      </c>
      <c r="I1831" s="3">
        <v>1.0</v>
      </c>
      <c r="J1831" s="83">
        <v>2.0</v>
      </c>
      <c r="N1831" s="3" t="b">
        <v>0</v>
      </c>
      <c r="R1831" s="3">
        <v>1.0</v>
      </c>
      <c r="T1831" s="3">
        <v>8.0</v>
      </c>
      <c r="U1831" s="3">
        <v>9.5</v>
      </c>
      <c r="V1831" s="3" t="s">
        <v>1922</v>
      </c>
      <c r="W1831" s="3" t="s">
        <v>311</v>
      </c>
      <c r="X1831" s="77" t="s">
        <v>1913</v>
      </c>
      <c r="Y1831" s="3">
        <v>4.0</v>
      </c>
      <c r="Z1831" s="3">
        <v>2.0</v>
      </c>
      <c r="AA1831" s="3">
        <f>2+ (P1831*'Scoring System'!$B$3)+ (IF(OR(AD1831="DEF",AD1831="GK"),N1831*'Scoring System'!$B$4,IF(AD1831="MID",N1831*'Scoring System'!$B$5,0)))+ (IF(OR(AD1831="DEF",AD1831="GK"),H1831*'Scoring System'!$B$6,IF(AD1831="MID",H1831*'Scoring System'!$B$7,IF(AD1831="ATT",H1831*'Scoring System'!$B$8,0))))+ IF(AND(OR(AD1831="GK",AD1831="DEF"),J1831&gt;=3),1*'Scoring System'!$B$9,0)+ (I1831*'Scoring System'!$B$10)+ (K1831*'Scoring System'!$B$11)+ (M1831*'Scoring System'!$B$12)+ (L1831*'Scoring System'!$B$13)+ (O1831*'Scoring System'!$B$14)+ (Q1831*'Scoring System'!$B$15)+ (R1831*'Scoring System'!$B$16)</f>
        <v>18</v>
      </c>
      <c r="AB1831" s="3" t="b">
        <f>IFERROR(match(C1831,'Match Day Fees'!$B$2:$B$999,0),0)=0</f>
        <v>0</v>
      </c>
      <c r="AC1831" s="3">
        <f t="shared" si="2"/>
        <v>0</v>
      </c>
      <c r="AD1831" s="3" t="str">
        <f>VLOOKUP(D1831,'Position Lookup'!A:B,2,FALSE)</f>
        <v>ATT</v>
      </c>
    </row>
    <row r="1832" ht="17.25" customHeight="1">
      <c r="A1832" s="32">
        <v>45360.0</v>
      </c>
      <c r="B1832" s="5" t="s">
        <v>309</v>
      </c>
      <c r="C1832" s="3" t="s">
        <v>47</v>
      </c>
      <c r="D1832" s="3" t="s">
        <v>24</v>
      </c>
      <c r="E1832" s="83">
        <v>1.0</v>
      </c>
      <c r="F1832" s="84" t="s">
        <v>1911</v>
      </c>
      <c r="G1832" s="3" t="s">
        <v>224</v>
      </c>
      <c r="H1832" s="3">
        <v>1.0</v>
      </c>
      <c r="J1832" s="83">
        <v>2.0</v>
      </c>
      <c r="N1832" s="3" t="b">
        <v>0</v>
      </c>
      <c r="R1832" s="3">
        <v>0.0</v>
      </c>
      <c r="T1832" s="3">
        <v>10.0</v>
      </c>
      <c r="U1832" s="3">
        <v>7.0</v>
      </c>
      <c r="V1832" s="3" t="s">
        <v>1923</v>
      </c>
      <c r="W1832" s="3" t="s">
        <v>311</v>
      </c>
      <c r="X1832" s="77" t="s">
        <v>1913</v>
      </c>
      <c r="Y1832" s="3">
        <v>4.0</v>
      </c>
      <c r="Z1832" s="3">
        <v>2.0</v>
      </c>
      <c r="AA1832" s="3">
        <f>2+ (P1832*'Scoring System'!$B$3)+ (IF(OR(AD1832="DEF",AD1832="GK"),N1832*'Scoring System'!$B$4,IF(AD1832="MID",N1832*'Scoring System'!$B$5,0)))+ (IF(OR(AD1832="DEF",AD1832="GK"),H1832*'Scoring System'!$B$6,IF(AD1832="MID",H1832*'Scoring System'!$B$7,IF(AD1832="ATT",H1832*'Scoring System'!$B$8,0))))+ IF(AND(OR(AD1832="GK",AD1832="DEF"),J1832&gt;=3),1*'Scoring System'!$B$9,0)+ (I1832*'Scoring System'!$B$10)+ (K1832*'Scoring System'!$B$11)+ (M1832*'Scoring System'!$B$12)+ (L1832*'Scoring System'!$B$13)+ (O1832*'Scoring System'!$B$14)+ (Q1832*'Scoring System'!$B$15)+ (R1832*'Scoring System'!$B$16)</f>
        <v>6</v>
      </c>
      <c r="AB1832" s="3" t="b">
        <f>IFERROR(match(C1832,'Match Day Fees'!$B$2:$B$999,0),0)=0</f>
        <v>0</v>
      </c>
      <c r="AC1832" s="3">
        <f t="shared" si="2"/>
        <v>0</v>
      </c>
      <c r="AD1832" s="3" t="str">
        <f>VLOOKUP(D1832,'Position Lookup'!A:B,2,FALSE)</f>
        <v>ATT</v>
      </c>
    </row>
    <row r="1833" ht="17.25" customHeight="1">
      <c r="A1833" s="32">
        <v>45360.0</v>
      </c>
      <c r="B1833" s="5" t="s">
        <v>309</v>
      </c>
      <c r="C1833" s="3" t="s">
        <v>77</v>
      </c>
      <c r="D1833" s="3" t="s">
        <v>18</v>
      </c>
      <c r="E1833" s="83">
        <v>1.0</v>
      </c>
      <c r="F1833" s="84" t="s">
        <v>1911</v>
      </c>
      <c r="G1833" s="3" t="s">
        <v>224</v>
      </c>
      <c r="J1833" s="83">
        <v>2.0</v>
      </c>
      <c r="N1833" s="3" t="b">
        <v>0</v>
      </c>
      <c r="R1833" s="3">
        <v>0.0</v>
      </c>
      <c r="T1833" s="3">
        <v>5.0</v>
      </c>
      <c r="U1833" s="3">
        <v>8.0</v>
      </c>
      <c r="V1833" s="3" t="s">
        <v>1924</v>
      </c>
      <c r="W1833" s="3" t="s">
        <v>311</v>
      </c>
      <c r="X1833" s="77" t="s">
        <v>1913</v>
      </c>
      <c r="Y1833" s="3">
        <v>4.0</v>
      </c>
      <c r="Z1833" s="3">
        <v>2.0</v>
      </c>
      <c r="AA1833" s="3">
        <f>2+ (P1833*'Scoring System'!$B$3)+ (IF(OR(AD1833="DEF",AD1833="GK"),N1833*'Scoring System'!$B$4,IF(AD1833="MID",N1833*'Scoring System'!$B$5,0)))+ (IF(OR(AD1833="DEF",AD1833="GK"),H1833*'Scoring System'!$B$6,IF(AD1833="MID",H1833*'Scoring System'!$B$7,IF(AD1833="ATT",H1833*'Scoring System'!$B$8,0))))+ IF(AND(OR(AD1833="GK",AD1833="DEF"),J1833&gt;=3),1*'Scoring System'!$B$9,0)+ (I1833*'Scoring System'!$B$10)+ (K1833*'Scoring System'!$B$11)+ (M1833*'Scoring System'!$B$12)+ (L1833*'Scoring System'!$B$13)+ (O1833*'Scoring System'!$B$14)+ (Q1833*'Scoring System'!$B$15)+ (R1833*'Scoring System'!$B$16)</f>
        <v>2</v>
      </c>
      <c r="AB1833" s="3" t="b">
        <f>IFERROR(match(C1833,'Match Day Fees'!$B$2:$B$999,0),0)=0</f>
        <v>0</v>
      </c>
      <c r="AC1833" s="3">
        <f t="shared" si="2"/>
        <v>0</v>
      </c>
      <c r="AD1833" s="3" t="str">
        <f>VLOOKUP(D1833,'Position Lookup'!A:B,2,FALSE)</f>
        <v>DEF</v>
      </c>
    </row>
    <row r="1834" ht="17.25" customHeight="1">
      <c r="A1834" s="32">
        <v>45360.0</v>
      </c>
      <c r="B1834" s="5" t="s">
        <v>309</v>
      </c>
      <c r="C1834" s="3" t="s">
        <v>96</v>
      </c>
      <c r="D1834" s="3" t="s">
        <v>24</v>
      </c>
      <c r="E1834" s="83">
        <v>1.0</v>
      </c>
      <c r="F1834" s="84" t="s">
        <v>1911</v>
      </c>
      <c r="G1834" s="3" t="s">
        <v>224</v>
      </c>
      <c r="J1834" s="83">
        <v>2.0</v>
      </c>
      <c r="N1834" s="3" t="b">
        <v>0</v>
      </c>
      <c r="R1834" s="3">
        <v>0.0</v>
      </c>
      <c r="T1834" s="3">
        <v>3.0</v>
      </c>
      <c r="U1834" s="3">
        <v>7.0</v>
      </c>
      <c r="V1834" s="3" t="s">
        <v>1925</v>
      </c>
      <c r="W1834" s="3" t="s">
        <v>311</v>
      </c>
      <c r="X1834" s="77" t="s">
        <v>1913</v>
      </c>
      <c r="Y1834" s="3">
        <v>4.0</v>
      </c>
      <c r="Z1834" s="3">
        <v>2.0</v>
      </c>
      <c r="AA1834" s="3">
        <f>2+ (P1834*'Scoring System'!$B$3)+ (IF(OR(AD1834="DEF",AD1834="GK"),N1834*'Scoring System'!$B$4,IF(AD1834="MID",N1834*'Scoring System'!$B$5,0)))+ (IF(OR(AD1834="DEF",AD1834="GK"),H1834*'Scoring System'!$B$6,IF(AD1834="MID",H1834*'Scoring System'!$B$7,IF(AD1834="ATT",H1834*'Scoring System'!$B$8,0))))+ IF(AND(OR(AD1834="GK",AD1834="DEF"),J1834&gt;=3),1*'Scoring System'!$B$9,0)+ (I1834*'Scoring System'!$B$10)+ (K1834*'Scoring System'!$B$11)+ (M1834*'Scoring System'!$B$12)+ (L1834*'Scoring System'!$B$13)+ (O1834*'Scoring System'!$B$14)+ (Q1834*'Scoring System'!$B$15)+ (R1834*'Scoring System'!$B$16)</f>
        <v>2</v>
      </c>
      <c r="AB1834" s="3" t="b">
        <f>IFERROR(match(C1834,'Match Day Fees'!$B$2:$B$999,0),0)=0</f>
        <v>0</v>
      </c>
      <c r="AC1834" s="3">
        <f t="shared" si="2"/>
        <v>0</v>
      </c>
      <c r="AD1834" s="3" t="str">
        <f>VLOOKUP(D1834,'Position Lookup'!A:B,2,FALSE)</f>
        <v>ATT</v>
      </c>
    </row>
    <row r="1835" ht="17.25" customHeight="1">
      <c r="A1835" s="32">
        <v>45360.0</v>
      </c>
      <c r="B1835" s="5" t="s">
        <v>309</v>
      </c>
      <c r="C1835" s="3" t="s">
        <v>110</v>
      </c>
      <c r="D1835" s="3" t="s">
        <v>24</v>
      </c>
      <c r="E1835" s="83">
        <v>1.0</v>
      </c>
      <c r="F1835" s="84" t="s">
        <v>1911</v>
      </c>
      <c r="G1835" s="3" t="s">
        <v>224</v>
      </c>
      <c r="J1835" s="83">
        <v>2.0</v>
      </c>
      <c r="N1835" s="3" t="b">
        <v>0</v>
      </c>
      <c r="R1835" s="3">
        <v>0.0</v>
      </c>
      <c r="T1835" s="3">
        <v>4.0</v>
      </c>
      <c r="U1835" s="3">
        <v>6.0</v>
      </c>
      <c r="V1835" s="3" t="s">
        <v>1926</v>
      </c>
      <c r="W1835" s="3" t="s">
        <v>311</v>
      </c>
      <c r="X1835" s="77" t="s">
        <v>1913</v>
      </c>
      <c r="Y1835" s="3">
        <v>4.0</v>
      </c>
      <c r="Z1835" s="3">
        <v>2.0</v>
      </c>
      <c r="AA1835" s="3">
        <f>2+ (P1835*'Scoring System'!$B$3)+ (IF(OR(AD1835="DEF",AD1835="GK"),N1835*'Scoring System'!$B$4,IF(AD1835="MID",N1835*'Scoring System'!$B$5,0)))+ (IF(OR(AD1835="DEF",AD1835="GK"),H1835*'Scoring System'!$B$6,IF(AD1835="MID",H1835*'Scoring System'!$B$7,IF(AD1835="ATT",H1835*'Scoring System'!$B$8,0))))+ IF(AND(OR(AD1835="GK",AD1835="DEF"),J1835&gt;=3),1*'Scoring System'!$B$9,0)+ (I1835*'Scoring System'!$B$10)+ (K1835*'Scoring System'!$B$11)+ (M1835*'Scoring System'!$B$12)+ (L1835*'Scoring System'!$B$13)+ (O1835*'Scoring System'!$B$14)+ (Q1835*'Scoring System'!$B$15)+ (R1835*'Scoring System'!$B$16)</f>
        <v>2</v>
      </c>
      <c r="AB1835" s="3" t="b">
        <f>IFERROR(match(C1835,'Match Day Fees'!$B$2:$B$999,0),0)=0</f>
        <v>0</v>
      </c>
      <c r="AC1835" s="3">
        <f t="shared" si="2"/>
        <v>0</v>
      </c>
      <c r="AD1835" s="3" t="str">
        <f>VLOOKUP(D1835,'Position Lookup'!A:B,2,FALSE)</f>
        <v>ATT</v>
      </c>
    </row>
    <row r="1836" ht="17.25" customHeight="1">
      <c r="A1836" s="32">
        <v>45360.0</v>
      </c>
      <c r="B1836" s="5" t="s">
        <v>309</v>
      </c>
      <c r="C1836" s="3" t="s">
        <v>908</v>
      </c>
      <c r="D1836" s="3" t="s">
        <v>8</v>
      </c>
      <c r="E1836" s="5">
        <v>3.0</v>
      </c>
      <c r="F1836" s="3" t="s">
        <v>1927</v>
      </c>
      <c r="G1836" s="3" t="s">
        <v>242</v>
      </c>
      <c r="J1836" s="5">
        <v>2.0</v>
      </c>
      <c r="N1836" s="3" t="b">
        <v>0</v>
      </c>
      <c r="R1836" s="3">
        <v>0.0</v>
      </c>
      <c r="T1836" s="3">
        <v>0.0</v>
      </c>
      <c r="U1836" s="3">
        <v>5.5</v>
      </c>
      <c r="V1836" s="3" t="s">
        <v>1928</v>
      </c>
      <c r="W1836" s="3" t="s">
        <v>1929</v>
      </c>
      <c r="X1836" s="77" t="s">
        <v>1930</v>
      </c>
      <c r="Y1836" s="3">
        <v>2.0</v>
      </c>
      <c r="Z1836" s="3">
        <v>2.0</v>
      </c>
      <c r="AA1836" s="3">
        <f>2+ (P1836*'Scoring System'!$B$3)+ (IF(OR(AD1836="DEF",AD1836="GK"),N1836*'Scoring System'!$B$4,IF(AD1836="MID",N1836*'Scoring System'!$B$5,0)))+ (IF(OR(AD1836="DEF",AD1836="GK"),H1836*'Scoring System'!$B$6,IF(AD1836="MID",H1836*'Scoring System'!$B$7,IF(AD1836="ATT",H1836*'Scoring System'!$B$8,0))))+ IF(AND(OR(AD1836="GK",AD1836="DEF"),J1836&gt;=3),1*'Scoring System'!$B$9,0)+ (I1836*'Scoring System'!$B$10)+ (K1836*'Scoring System'!$B$11)+ (M1836*'Scoring System'!$B$12)+ (L1836*'Scoring System'!$B$13)+ (O1836*'Scoring System'!$B$14)+ (Q1836*'Scoring System'!$B$15)+ (R1836*'Scoring System'!$B$16)</f>
        <v>2</v>
      </c>
      <c r="AB1836" s="3" t="b">
        <f>IFERROR(match(C1836,'Match Day Fees'!$B$2:$B$999,0),0)=0</f>
        <v>0</v>
      </c>
      <c r="AC1836" s="3">
        <f t="shared" si="2"/>
        <v>0</v>
      </c>
      <c r="AD1836" s="3" t="str">
        <f>VLOOKUP(D1836,'Position Lookup'!A:B,2,FALSE)</f>
        <v>GK</v>
      </c>
    </row>
    <row r="1837" ht="17.25" customHeight="1">
      <c r="A1837" s="32">
        <v>45360.0</v>
      </c>
      <c r="B1837" s="5" t="s">
        <v>309</v>
      </c>
      <c r="C1837" s="3" t="s">
        <v>254</v>
      </c>
      <c r="D1837" s="3" t="s">
        <v>12</v>
      </c>
      <c r="E1837" s="5">
        <v>3.0</v>
      </c>
      <c r="F1837" s="3" t="s">
        <v>1927</v>
      </c>
      <c r="G1837" s="3" t="s">
        <v>242</v>
      </c>
      <c r="J1837" s="5">
        <v>2.0</v>
      </c>
      <c r="N1837" s="3" t="b">
        <v>0</v>
      </c>
      <c r="R1837" s="3">
        <v>0.0</v>
      </c>
      <c r="S1837" s="3" t="b">
        <v>1</v>
      </c>
      <c r="T1837" s="3">
        <v>0.0</v>
      </c>
      <c r="U1837" s="3">
        <v>7.0</v>
      </c>
      <c r="V1837" s="3" t="s">
        <v>1931</v>
      </c>
      <c r="W1837" s="3" t="s">
        <v>1929</v>
      </c>
      <c r="X1837" s="77" t="s">
        <v>1930</v>
      </c>
      <c r="Y1837" s="3">
        <v>2.0</v>
      </c>
      <c r="Z1837" s="3">
        <v>2.0</v>
      </c>
      <c r="AA1837" s="3">
        <f>2+ (P1837*'Scoring System'!$B$3)+ (IF(OR(AD1837="DEF",AD1837="GK"),N1837*'Scoring System'!$B$4,IF(AD1837="MID",N1837*'Scoring System'!$B$5,0)))+ (IF(OR(AD1837="DEF",AD1837="GK"),H1837*'Scoring System'!$B$6,IF(AD1837="MID",H1837*'Scoring System'!$B$7,IF(AD1837="ATT",H1837*'Scoring System'!$B$8,0))))+ IF(AND(OR(AD1837="GK",AD1837="DEF"),J1837&gt;=3),1*'Scoring System'!$B$9,0)+ (I1837*'Scoring System'!$B$10)+ (K1837*'Scoring System'!$B$11)+ (M1837*'Scoring System'!$B$12)+ (L1837*'Scoring System'!$B$13)+ (O1837*'Scoring System'!$B$14)+ (Q1837*'Scoring System'!$B$15)+ (R1837*'Scoring System'!$B$16)</f>
        <v>2</v>
      </c>
      <c r="AB1837" s="3" t="b">
        <f>IFERROR(match(C1837,'Match Day Fees'!$B$2:$B$999,0),0)=0</f>
        <v>0</v>
      </c>
      <c r="AC1837" s="3">
        <f t="shared" si="2"/>
        <v>0</v>
      </c>
      <c r="AD1837" s="3" t="str">
        <f>VLOOKUP(D1837,'Position Lookup'!A:B,2,FALSE)</f>
        <v>DEF</v>
      </c>
    </row>
    <row r="1838" ht="17.25" customHeight="1">
      <c r="A1838" s="32">
        <v>45360.0</v>
      </c>
      <c r="B1838" s="5" t="s">
        <v>309</v>
      </c>
      <c r="C1838" s="3" t="s">
        <v>42</v>
      </c>
      <c r="D1838" s="3" t="s">
        <v>13</v>
      </c>
      <c r="E1838" s="5">
        <v>3.0</v>
      </c>
      <c r="F1838" s="3" t="s">
        <v>1927</v>
      </c>
      <c r="G1838" s="3" t="s">
        <v>242</v>
      </c>
      <c r="J1838" s="5">
        <v>2.0</v>
      </c>
      <c r="N1838" s="3" t="b">
        <v>0</v>
      </c>
      <c r="R1838" s="3">
        <v>0.0</v>
      </c>
      <c r="T1838" s="3">
        <v>10.0</v>
      </c>
      <c r="U1838" s="3">
        <v>6.5</v>
      </c>
      <c r="V1838" s="3" t="s">
        <v>1932</v>
      </c>
      <c r="W1838" s="3" t="s">
        <v>1929</v>
      </c>
      <c r="X1838" s="77" t="s">
        <v>1930</v>
      </c>
      <c r="Y1838" s="3">
        <v>2.0</v>
      </c>
      <c r="Z1838" s="3">
        <v>2.0</v>
      </c>
      <c r="AA1838" s="3">
        <f>2+ (P1838*'Scoring System'!$B$3)+ (IF(OR(AD1838="DEF",AD1838="GK"),N1838*'Scoring System'!$B$4,IF(AD1838="MID",N1838*'Scoring System'!$B$5,0)))+ (IF(OR(AD1838="DEF",AD1838="GK"),H1838*'Scoring System'!$B$6,IF(AD1838="MID",H1838*'Scoring System'!$B$7,IF(AD1838="ATT",H1838*'Scoring System'!$B$8,0))))+ IF(AND(OR(AD1838="GK",AD1838="DEF"),J1838&gt;=3),1*'Scoring System'!$B$9,0)+ (I1838*'Scoring System'!$B$10)+ (K1838*'Scoring System'!$B$11)+ (M1838*'Scoring System'!$B$12)+ (L1838*'Scoring System'!$B$13)+ (O1838*'Scoring System'!$B$14)+ (Q1838*'Scoring System'!$B$15)+ (R1838*'Scoring System'!$B$16)</f>
        <v>2</v>
      </c>
      <c r="AB1838" s="3" t="b">
        <f>IFERROR(match(C1838,'Match Day Fees'!$B$2:$B$999,0),0)=0</f>
        <v>0</v>
      </c>
      <c r="AC1838" s="3">
        <f t="shared" si="2"/>
        <v>0</v>
      </c>
      <c r="AD1838" s="3" t="str">
        <f>VLOOKUP(D1838,'Position Lookup'!A:B,2,FALSE)</f>
        <v>DEF</v>
      </c>
    </row>
    <row r="1839" ht="17.25" customHeight="1">
      <c r="A1839" s="32">
        <v>45360.0</v>
      </c>
      <c r="B1839" s="5" t="s">
        <v>309</v>
      </c>
      <c r="C1839" s="3" t="s">
        <v>43</v>
      </c>
      <c r="D1839" s="3" t="s">
        <v>15</v>
      </c>
      <c r="E1839" s="5">
        <v>3.0</v>
      </c>
      <c r="F1839" s="3" t="s">
        <v>1927</v>
      </c>
      <c r="G1839" s="3" t="s">
        <v>242</v>
      </c>
      <c r="J1839" s="5">
        <v>2.0</v>
      </c>
      <c r="N1839" s="3" t="b">
        <v>0</v>
      </c>
      <c r="R1839" s="3">
        <v>0.0</v>
      </c>
      <c r="T1839" s="3">
        <v>10.0</v>
      </c>
      <c r="U1839" s="3">
        <v>6.5</v>
      </c>
      <c r="V1839" s="3" t="s">
        <v>1933</v>
      </c>
      <c r="W1839" s="3" t="s">
        <v>1929</v>
      </c>
      <c r="X1839" s="77" t="s">
        <v>1930</v>
      </c>
      <c r="Y1839" s="3">
        <v>2.0</v>
      </c>
      <c r="Z1839" s="3">
        <v>2.0</v>
      </c>
      <c r="AA1839" s="3">
        <f>2+ (P1839*'Scoring System'!$B$3)+ (IF(OR(AD1839="DEF",AD1839="GK"),N1839*'Scoring System'!$B$4,IF(AD1839="MID",N1839*'Scoring System'!$B$5,0)))+ (IF(OR(AD1839="DEF",AD1839="GK"),H1839*'Scoring System'!$B$6,IF(AD1839="MID",H1839*'Scoring System'!$B$7,IF(AD1839="ATT",H1839*'Scoring System'!$B$8,0))))+ IF(AND(OR(AD1839="GK",AD1839="DEF"),J1839&gt;=3),1*'Scoring System'!$B$9,0)+ (I1839*'Scoring System'!$B$10)+ (K1839*'Scoring System'!$B$11)+ (M1839*'Scoring System'!$B$12)+ (L1839*'Scoring System'!$B$13)+ (O1839*'Scoring System'!$B$14)+ (Q1839*'Scoring System'!$B$15)+ (R1839*'Scoring System'!$B$16)</f>
        <v>2</v>
      </c>
      <c r="AB1839" s="3" t="b">
        <f>IFERROR(match(C1839,'Match Day Fees'!$B$2:$B$999,0),0)=0</f>
        <v>0</v>
      </c>
      <c r="AC1839" s="3">
        <f t="shared" si="2"/>
        <v>0</v>
      </c>
      <c r="AD1839" s="3" t="str">
        <f>VLOOKUP(D1839,'Position Lookup'!A:B,2,FALSE)</f>
        <v>DEF</v>
      </c>
    </row>
    <row r="1840" ht="17.25" customHeight="1">
      <c r="A1840" s="32">
        <v>45360.0</v>
      </c>
      <c r="B1840" s="5" t="s">
        <v>309</v>
      </c>
      <c r="C1840" s="3" t="s">
        <v>308</v>
      </c>
      <c r="D1840" s="3" t="s">
        <v>16</v>
      </c>
      <c r="E1840" s="5">
        <v>3.0</v>
      </c>
      <c r="F1840" s="3" t="s">
        <v>1927</v>
      </c>
      <c r="G1840" s="3" t="s">
        <v>242</v>
      </c>
      <c r="J1840" s="5">
        <v>2.0</v>
      </c>
      <c r="N1840" s="3" t="b">
        <v>0</v>
      </c>
      <c r="R1840" s="3">
        <v>0.0</v>
      </c>
      <c r="T1840" s="3">
        <v>5.0</v>
      </c>
      <c r="U1840" s="3">
        <v>6.0</v>
      </c>
      <c r="V1840" s="3" t="s">
        <v>1934</v>
      </c>
      <c r="W1840" s="3" t="s">
        <v>1929</v>
      </c>
      <c r="X1840" s="77" t="s">
        <v>1930</v>
      </c>
      <c r="Y1840" s="3">
        <v>2.0</v>
      </c>
      <c r="Z1840" s="3">
        <v>2.0</v>
      </c>
      <c r="AA1840" s="3">
        <f>2+ (P1840*'Scoring System'!$B$3)+ (IF(OR(AD1840="DEF",AD1840="GK"),N1840*'Scoring System'!$B$4,IF(AD1840="MID",N1840*'Scoring System'!$B$5,0)))+ (IF(OR(AD1840="DEF",AD1840="GK"),H1840*'Scoring System'!$B$6,IF(AD1840="MID",H1840*'Scoring System'!$B$7,IF(AD1840="ATT",H1840*'Scoring System'!$B$8,0))))+ IF(AND(OR(AD1840="GK",AD1840="DEF"),J1840&gt;=3),1*'Scoring System'!$B$9,0)+ (I1840*'Scoring System'!$B$10)+ (K1840*'Scoring System'!$B$11)+ (M1840*'Scoring System'!$B$12)+ (L1840*'Scoring System'!$B$13)+ (O1840*'Scoring System'!$B$14)+ (Q1840*'Scoring System'!$B$15)+ (R1840*'Scoring System'!$B$16)</f>
        <v>2</v>
      </c>
      <c r="AB1840" s="3" t="b">
        <f>IFERROR(match(C1840,'Match Day Fees'!$B$2:$B$999,0),0)=0</f>
        <v>0</v>
      </c>
      <c r="AC1840" s="3">
        <f t="shared" si="2"/>
        <v>0</v>
      </c>
      <c r="AD1840" s="3" t="str">
        <f>VLOOKUP(D1840,'Position Lookup'!A:B,2,FALSE)</f>
        <v>DEF</v>
      </c>
    </row>
    <row r="1841" ht="17.25" customHeight="1">
      <c r="A1841" s="32">
        <v>45360.0</v>
      </c>
      <c r="B1841" s="5" t="s">
        <v>309</v>
      </c>
      <c r="C1841" s="3" t="s">
        <v>59</v>
      </c>
      <c r="D1841" s="3" t="s">
        <v>20</v>
      </c>
      <c r="E1841" s="5">
        <v>3.0</v>
      </c>
      <c r="F1841" s="3" t="s">
        <v>1927</v>
      </c>
      <c r="G1841" s="3" t="s">
        <v>242</v>
      </c>
      <c r="J1841" s="5">
        <v>2.0</v>
      </c>
      <c r="N1841" s="3" t="b">
        <v>0</v>
      </c>
      <c r="R1841" s="3">
        <v>1.0</v>
      </c>
      <c r="T1841" s="3">
        <v>10.0</v>
      </c>
      <c r="U1841" s="3">
        <v>8.0</v>
      </c>
      <c r="V1841" s="3" t="s">
        <v>1935</v>
      </c>
      <c r="W1841" s="3" t="s">
        <v>1929</v>
      </c>
      <c r="X1841" s="77" t="s">
        <v>1930</v>
      </c>
      <c r="Y1841" s="3">
        <v>2.0</v>
      </c>
      <c r="Z1841" s="3">
        <v>2.0</v>
      </c>
      <c r="AA1841" s="3">
        <f>2+ (P1841*'Scoring System'!$B$3)+ (IF(OR(AD1841="DEF",AD1841="GK"),N1841*'Scoring System'!$B$4,IF(AD1841="MID",N1841*'Scoring System'!$B$5,0)))+ (IF(OR(AD1841="DEF",AD1841="GK"),H1841*'Scoring System'!$B$6,IF(AD1841="MID",H1841*'Scoring System'!$B$7,IF(AD1841="ATT",H1841*'Scoring System'!$B$8,0))))+ IF(AND(OR(AD1841="GK",AD1841="DEF"),J1841&gt;=3),1*'Scoring System'!$B$9,0)+ (I1841*'Scoring System'!$B$10)+ (K1841*'Scoring System'!$B$11)+ (M1841*'Scoring System'!$B$12)+ (L1841*'Scoring System'!$B$13)+ (O1841*'Scoring System'!$B$14)+ (Q1841*'Scoring System'!$B$15)+ (R1841*'Scoring System'!$B$16)</f>
        <v>7</v>
      </c>
      <c r="AB1841" s="3" t="b">
        <f>IFERROR(match(C1841,'Match Day Fees'!$B$2:$B$999,0),0)=0</f>
        <v>0</v>
      </c>
      <c r="AC1841" s="3">
        <f t="shared" si="2"/>
        <v>0</v>
      </c>
      <c r="AD1841" s="3" t="str">
        <f>VLOOKUP(D1841,'Position Lookup'!A:B,2,FALSE)</f>
        <v>MID</v>
      </c>
    </row>
    <row r="1842" ht="17.25" customHeight="1">
      <c r="A1842" s="32">
        <v>45360.0</v>
      </c>
      <c r="B1842" s="5" t="s">
        <v>309</v>
      </c>
      <c r="C1842" s="3" t="s">
        <v>113</v>
      </c>
      <c r="D1842" s="3" t="s">
        <v>20</v>
      </c>
      <c r="E1842" s="5">
        <v>3.0</v>
      </c>
      <c r="F1842" s="3" t="s">
        <v>1927</v>
      </c>
      <c r="G1842" s="3" t="s">
        <v>242</v>
      </c>
      <c r="J1842" s="5">
        <v>2.0</v>
      </c>
      <c r="N1842" s="3" t="b">
        <v>0</v>
      </c>
      <c r="R1842" s="3">
        <v>0.0</v>
      </c>
      <c r="T1842" s="3">
        <v>10.0</v>
      </c>
      <c r="U1842" s="3">
        <v>8.0</v>
      </c>
      <c r="V1842" s="3" t="s">
        <v>1936</v>
      </c>
      <c r="W1842" s="3" t="s">
        <v>1929</v>
      </c>
      <c r="X1842" s="77" t="s">
        <v>1930</v>
      </c>
      <c r="Y1842" s="3">
        <v>2.0</v>
      </c>
      <c r="Z1842" s="3">
        <v>2.0</v>
      </c>
      <c r="AA1842" s="3">
        <f>2+ (P1842*'Scoring System'!$B$3)+ (IF(OR(AD1842="DEF",AD1842="GK"),N1842*'Scoring System'!$B$4,IF(AD1842="MID",N1842*'Scoring System'!$B$5,0)))+ (IF(OR(AD1842="DEF",AD1842="GK"),H1842*'Scoring System'!$B$6,IF(AD1842="MID",H1842*'Scoring System'!$B$7,IF(AD1842="ATT",H1842*'Scoring System'!$B$8,0))))+ IF(AND(OR(AD1842="GK",AD1842="DEF"),J1842&gt;=3),1*'Scoring System'!$B$9,0)+ (I1842*'Scoring System'!$B$10)+ (K1842*'Scoring System'!$B$11)+ (M1842*'Scoring System'!$B$12)+ (L1842*'Scoring System'!$B$13)+ (O1842*'Scoring System'!$B$14)+ (Q1842*'Scoring System'!$B$15)+ (R1842*'Scoring System'!$B$16)</f>
        <v>2</v>
      </c>
      <c r="AB1842" s="3" t="b">
        <f>IFERROR(match(C1842,'Match Day Fees'!$B$2:$B$999,0),0)=0</f>
        <v>0</v>
      </c>
      <c r="AC1842" s="3">
        <f t="shared" si="2"/>
        <v>0</v>
      </c>
      <c r="AD1842" s="3" t="str">
        <f>VLOOKUP(D1842,'Position Lookup'!A:B,2,FALSE)</f>
        <v>MID</v>
      </c>
    </row>
    <row r="1843" ht="17.25" customHeight="1">
      <c r="A1843" s="32">
        <v>45360.0</v>
      </c>
      <c r="B1843" s="5" t="s">
        <v>309</v>
      </c>
      <c r="C1843" s="3" t="s">
        <v>130</v>
      </c>
      <c r="D1843" s="3" t="s">
        <v>20</v>
      </c>
      <c r="E1843" s="5">
        <v>3.0</v>
      </c>
      <c r="F1843" s="3" t="s">
        <v>1927</v>
      </c>
      <c r="G1843" s="3" t="s">
        <v>242</v>
      </c>
      <c r="H1843" s="3">
        <v>1.0</v>
      </c>
      <c r="J1843" s="5">
        <v>2.0</v>
      </c>
      <c r="N1843" s="3" t="b">
        <v>0</v>
      </c>
      <c r="R1843" s="3">
        <v>0.0</v>
      </c>
      <c r="T1843" s="3">
        <v>10.0</v>
      </c>
      <c r="U1843" s="3">
        <v>8.0</v>
      </c>
      <c r="V1843" s="3" t="s">
        <v>1937</v>
      </c>
      <c r="W1843" s="3" t="s">
        <v>1929</v>
      </c>
      <c r="X1843" s="77" t="s">
        <v>1930</v>
      </c>
      <c r="Y1843" s="3">
        <v>2.0</v>
      </c>
      <c r="Z1843" s="3">
        <v>2.0</v>
      </c>
      <c r="AA1843" s="3">
        <f>2+ (P1843*'Scoring System'!$B$3)+ (IF(OR(AD1843="DEF",AD1843="GK"),N1843*'Scoring System'!$B$4,IF(AD1843="MID",N1843*'Scoring System'!$B$5,0)))+ (IF(OR(AD1843="DEF",AD1843="GK"),H1843*'Scoring System'!$B$6,IF(AD1843="MID",H1843*'Scoring System'!$B$7,IF(AD1843="ATT",H1843*'Scoring System'!$B$8,0))))+ IF(AND(OR(AD1843="GK",AD1843="DEF"),J1843&gt;=3),1*'Scoring System'!$B$9,0)+ (I1843*'Scoring System'!$B$10)+ (K1843*'Scoring System'!$B$11)+ (M1843*'Scoring System'!$B$12)+ (L1843*'Scoring System'!$B$13)+ (O1843*'Scoring System'!$B$14)+ (Q1843*'Scoring System'!$B$15)+ (R1843*'Scoring System'!$B$16)</f>
        <v>7</v>
      </c>
      <c r="AB1843" s="3" t="b">
        <f>IFERROR(match(C1843,'Match Day Fees'!$B$2:$B$999,0),0)=0</f>
        <v>0</v>
      </c>
      <c r="AC1843" s="3">
        <f t="shared" si="2"/>
        <v>0</v>
      </c>
      <c r="AD1843" s="3" t="str">
        <f>VLOOKUP(D1843,'Position Lookup'!A:B,2,FALSE)</f>
        <v>MID</v>
      </c>
    </row>
    <row r="1844" ht="17.25" customHeight="1">
      <c r="A1844" s="32">
        <v>45360.0</v>
      </c>
      <c r="B1844" s="5" t="s">
        <v>309</v>
      </c>
      <c r="C1844" s="3" t="s">
        <v>151</v>
      </c>
      <c r="D1844" s="3" t="s">
        <v>21</v>
      </c>
      <c r="E1844" s="5">
        <v>3.0</v>
      </c>
      <c r="F1844" s="3" t="s">
        <v>1927</v>
      </c>
      <c r="G1844" s="3" t="s">
        <v>242</v>
      </c>
      <c r="I1844" s="3">
        <v>1.0</v>
      </c>
      <c r="J1844" s="5">
        <v>2.0</v>
      </c>
      <c r="N1844" s="3" t="b">
        <v>0</v>
      </c>
      <c r="R1844" s="3">
        <v>0.0</v>
      </c>
      <c r="T1844" s="3">
        <v>5.0</v>
      </c>
      <c r="U1844" s="3">
        <v>8.0</v>
      </c>
      <c r="V1844" s="3" t="s">
        <v>1938</v>
      </c>
      <c r="W1844" s="3" t="s">
        <v>1929</v>
      </c>
      <c r="X1844" s="77" t="s">
        <v>1930</v>
      </c>
      <c r="Y1844" s="3">
        <v>2.0</v>
      </c>
      <c r="Z1844" s="3">
        <v>2.0</v>
      </c>
      <c r="AA1844" s="3">
        <f>2+ (P1844*'Scoring System'!$B$3)+ (IF(OR(AD1844="DEF",AD1844="GK"),N1844*'Scoring System'!$B$4,IF(AD1844="MID",N1844*'Scoring System'!$B$5,0)))+ (IF(OR(AD1844="DEF",AD1844="GK"),H1844*'Scoring System'!$B$6,IF(AD1844="MID",H1844*'Scoring System'!$B$7,IF(AD1844="ATT",H1844*'Scoring System'!$B$8,0))))+ IF(AND(OR(AD1844="GK",AD1844="DEF"),J1844&gt;=3),1*'Scoring System'!$B$9,0)+ (I1844*'Scoring System'!$B$10)+ (K1844*'Scoring System'!$B$11)+ (M1844*'Scoring System'!$B$12)+ (L1844*'Scoring System'!$B$13)+ (O1844*'Scoring System'!$B$14)+ (Q1844*'Scoring System'!$B$15)+ (R1844*'Scoring System'!$B$16)</f>
        <v>5</v>
      </c>
      <c r="AB1844" s="3" t="b">
        <f>IFERROR(match(C1844,'Match Day Fees'!$B$2:$B$999,0),0)=0</f>
        <v>0</v>
      </c>
      <c r="AC1844" s="3">
        <f t="shared" si="2"/>
        <v>0</v>
      </c>
      <c r="AD1844" s="3" t="str">
        <f>VLOOKUP(D1844,'Position Lookup'!A:B,2,FALSE)</f>
        <v>MID</v>
      </c>
    </row>
    <row r="1845" ht="17.25" customHeight="1">
      <c r="A1845" s="32">
        <v>45360.0</v>
      </c>
      <c r="B1845" s="5" t="s">
        <v>309</v>
      </c>
      <c r="C1845" s="3" t="s">
        <v>74</v>
      </c>
      <c r="D1845" s="3" t="s">
        <v>24</v>
      </c>
      <c r="E1845" s="5">
        <v>3.0</v>
      </c>
      <c r="F1845" s="3" t="s">
        <v>1927</v>
      </c>
      <c r="G1845" s="3" t="s">
        <v>242</v>
      </c>
      <c r="H1845" s="3">
        <v>1.0</v>
      </c>
      <c r="J1845" s="5">
        <v>2.0</v>
      </c>
      <c r="N1845" s="3" t="b">
        <v>0</v>
      </c>
      <c r="R1845" s="3">
        <v>0.0</v>
      </c>
      <c r="T1845" s="3">
        <v>10.0</v>
      </c>
      <c r="U1845" s="3">
        <v>7.0</v>
      </c>
      <c r="V1845" s="3" t="s">
        <v>1939</v>
      </c>
      <c r="W1845" s="3" t="s">
        <v>1929</v>
      </c>
      <c r="X1845" s="77" t="s">
        <v>1930</v>
      </c>
      <c r="Y1845" s="3">
        <v>2.0</v>
      </c>
      <c r="Z1845" s="3">
        <v>2.0</v>
      </c>
      <c r="AA1845" s="3">
        <f>2+ (P1845*'Scoring System'!$B$3)+ (IF(OR(AD1845="DEF",AD1845="GK"),N1845*'Scoring System'!$B$4,IF(AD1845="MID",N1845*'Scoring System'!$B$5,0)))+ (IF(OR(AD1845="DEF",AD1845="GK"),H1845*'Scoring System'!$B$6,IF(AD1845="MID",H1845*'Scoring System'!$B$7,IF(AD1845="ATT",H1845*'Scoring System'!$B$8,0))))+ IF(AND(OR(AD1845="GK",AD1845="DEF"),J1845&gt;=3),1*'Scoring System'!$B$9,0)+ (I1845*'Scoring System'!$B$10)+ (K1845*'Scoring System'!$B$11)+ (M1845*'Scoring System'!$B$12)+ (L1845*'Scoring System'!$B$13)+ (O1845*'Scoring System'!$B$14)+ (Q1845*'Scoring System'!$B$15)+ (R1845*'Scoring System'!$B$16)</f>
        <v>6</v>
      </c>
      <c r="AB1845" s="3" t="b">
        <f>IFERROR(match(C1845,'Match Day Fees'!$B$2:$B$999,0),0)=0</f>
        <v>0</v>
      </c>
      <c r="AC1845" s="3">
        <f t="shared" si="2"/>
        <v>0</v>
      </c>
      <c r="AD1845" s="3" t="str">
        <f>VLOOKUP(D1845,'Position Lookup'!A:B,2,FALSE)</f>
        <v>ATT</v>
      </c>
    </row>
    <row r="1846" ht="17.25" customHeight="1">
      <c r="A1846" s="32">
        <v>45360.0</v>
      </c>
      <c r="B1846" s="5" t="s">
        <v>309</v>
      </c>
      <c r="C1846" s="3" t="s">
        <v>79</v>
      </c>
      <c r="D1846" s="3" t="s">
        <v>24</v>
      </c>
      <c r="E1846" s="5">
        <v>3.0</v>
      </c>
      <c r="F1846" s="3" t="s">
        <v>1927</v>
      </c>
      <c r="G1846" s="3" t="s">
        <v>242</v>
      </c>
      <c r="J1846" s="5">
        <v>2.0</v>
      </c>
      <c r="N1846" s="3" t="b">
        <v>0</v>
      </c>
      <c r="R1846" s="3">
        <v>0.0</v>
      </c>
      <c r="T1846" s="3">
        <v>10.0</v>
      </c>
      <c r="U1846" s="3">
        <v>6.5</v>
      </c>
      <c r="V1846" s="3" t="s">
        <v>1940</v>
      </c>
      <c r="W1846" s="3" t="s">
        <v>1929</v>
      </c>
      <c r="X1846" s="77" t="s">
        <v>1930</v>
      </c>
      <c r="Y1846" s="3">
        <v>2.0</v>
      </c>
      <c r="Z1846" s="3">
        <v>2.0</v>
      </c>
      <c r="AA1846" s="3">
        <f>2+ (P1846*'Scoring System'!$B$3)+ (IF(OR(AD1846="DEF",AD1846="GK"),N1846*'Scoring System'!$B$4,IF(AD1846="MID",N1846*'Scoring System'!$B$5,0)))+ (IF(OR(AD1846="DEF",AD1846="GK"),H1846*'Scoring System'!$B$6,IF(AD1846="MID",H1846*'Scoring System'!$B$7,IF(AD1846="ATT",H1846*'Scoring System'!$B$8,0))))+ IF(AND(OR(AD1846="GK",AD1846="DEF"),J1846&gt;=3),1*'Scoring System'!$B$9,0)+ (I1846*'Scoring System'!$B$10)+ (K1846*'Scoring System'!$B$11)+ (M1846*'Scoring System'!$B$12)+ (L1846*'Scoring System'!$B$13)+ (O1846*'Scoring System'!$B$14)+ (Q1846*'Scoring System'!$B$15)+ (R1846*'Scoring System'!$B$16)</f>
        <v>2</v>
      </c>
      <c r="AB1846" s="3" t="b">
        <f>IFERROR(match(C1846,'Match Day Fees'!$B$2:$B$999,0),0)=0</f>
        <v>0</v>
      </c>
      <c r="AC1846" s="3">
        <f t="shared" si="2"/>
        <v>0</v>
      </c>
      <c r="AD1846" s="3" t="str">
        <f>VLOOKUP(D1846,'Position Lookup'!A:B,2,FALSE)</f>
        <v>ATT</v>
      </c>
    </row>
    <row r="1847" ht="17.25" customHeight="1">
      <c r="A1847" s="32">
        <v>45360.0</v>
      </c>
      <c r="B1847" s="5" t="s">
        <v>309</v>
      </c>
      <c r="C1847" s="3" t="s">
        <v>119</v>
      </c>
      <c r="D1847" s="3" t="s">
        <v>12</v>
      </c>
      <c r="E1847" s="5">
        <v>3.0</v>
      </c>
      <c r="F1847" s="3" t="s">
        <v>1927</v>
      </c>
      <c r="G1847" s="3" t="s">
        <v>242</v>
      </c>
      <c r="J1847" s="5">
        <v>2.0</v>
      </c>
      <c r="N1847" s="3" t="b">
        <v>0</v>
      </c>
      <c r="R1847" s="3">
        <v>0.0</v>
      </c>
      <c r="T1847" s="3">
        <v>10.0</v>
      </c>
      <c r="U1847" s="3">
        <v>5.5</v>
      </c>
      <c r="V1847" s="3" t="s">
        <v>1941</v>
      </c>
      <c r="W1847" s="3" t="s">
        <v>1929</v>
      </c>
      <c r="X1847" s="77" t="s">
        <v>1930</v>
      </c>
      <c r="Y1847" s="3">
        <v>2.0</v>
      </c>
      <c r="Z1847" s="3">
        <v>2.0</v>
      </c>
      <c r="AA1847" s="3">
        <f>2+ (P1847*'Scoring System'!$B$3)+ (IF(OR(AD1847="DEF",AD1847="GK"),N1847*'Scoring System'!$B$4,IF(AD1847="MID",N1847*'Scoring System'!$B$5,0)))+ (IF(OR(AD1847="DEF",AD1847="GK"),H1847*'Scoring System'!$B$6,IF(AD1847="MID",H1847*'Scoring System'!$B$7,IF(AD1847="ATT",H1847*'Scoring System'!$B$8,0))))+ IF(AND(OR(AD1847="GK",AD1847="DEF"),J1847&gt;=3),1*'Scoring System'!$B$9,0)+ (I1847*'Scoring System'!$B$10)+ (K1847*'Scoring System'!$B$11)+ (M1847*'Scoring System'!$B$12)+ (L1847*'Scoring System'!$B$13)+ (O1847*'Scoring System'!$B$14)+ (Q1847*'Scoring System'!$B$15)+ (R1847*'Scoring System'!$B$16)</f>
        <v>2</v>
      </c>
      <c r="AB1847" s="3" t="b">
        <f>IFERROR(match(C1847,'Match Day Fees'!$B$2:$B$999,0),0)=0</f>
        <v>0</v>
      </c>
      <c r="AC1847" s="3">
        <f t="shared" si="2"/>
        <v>0</v>
      </c>
      <c r="AD1847" s="3" t="str">
        <f>VLOOKUP(D1847,'Position Lookup'!A:B,2,FALSE)</f>
        <v>DEF</v>
      </c>
    </row>
    <row r="1848" ht="17.25" customHeight="1">
      <c r="A1848" s="32">
        <v>45360.0</v>
      </c>
      <c r="B1848" s="5" t="s">
        <v>309</v>
      </c>
      <c r="C1848" s="3" t="s">
        <v>46</v>
      </c>
      <c r="D1848" s="3" t="s">
        <v>22</v>
      </c>
      <c r="E1848" s="5">
        <v>3.0</v>
      </c>
      <c r="F1848" s="3" t="s">
        <v>1927</v>
      </c>
      <c r="G1848" s="3" t="s">
        <v>242</v>
      </c>
      <c r="J1848" s="5">
        <v>2.0</v>
      </c>
      <c r="N1848" s="3" t="b">
        <v>0</v>
      </c>
      <c r="R1848" s="3">
        <v>0.0</v>
      </c>
      <c r="T1848" s="3">
        <v>5.0</v>
      </c>
      <c r="U1848" s="3">
        <v>5.5</v>
      </c>
      <c r="V1848" s="3" t="s">
        <v>1942</v>
      </c>
      <c r="W1848" s="3" t="s">
        <v>1929</v>
      </c>
      <c r="X1848" s="77" t="s">
        <v>1930</v>
      </c>
      <c r="Y1848" s="3">
        <v>2.0</v>
      </c>
      <c r="Z1848" s="3">
        <v>2.0</v>
      </c>
      <c r="AA1848" s="3">
        <f>2+ (P1848*'Scoring System'!$B$3)+ (IF(OR(AD1848="DEF",AD1848="GK"),N1848*'Scoring System'!$B$4,IF(AD1848="MID",N1848*'Scoring System'!$B$5,0)))+ (IF(OR(AD1848="DEF",AD1848="GK"),H1848*'Scoring System'!$B$6,IF(AD1848="MID",H1848*'Scoring System'!$B$7,IF(AD1848="ATT",H1848*'Scoring System'!$B$8,0))))+ IF(AND(OR(AD1848="GK",AD1848="DEF"),J1848&gt;=3),1*'Scoring System'!$B$9,0)+ (I1848*'Scoring System'!$B$10)+ (K1848*'Scoring System'!$B$11)+ (M1848*'Scoring System'!$B$12)+ (L1848*'Scoring System'!$B$13)+ (O1848*'Scoring System'!$B$14)+ (Q1848*'Scoring System'!$B$15)+ (R1848*'Scoring System'!$B$16)</f>
        <v>2</v>
      </c>
      <c r="AB1848" s="3" t="b">
        <f>IFERROR(match(C1848,'Match Day Fees'!$B$2:$B$999,0),0)=0</f>
        <v>0</v>
      </c>
      <c r="AC1848" s="3">
        <f t="shared" si="2"/>
        <v>0</v>
      </c>
      <c r="AD1848" s="3" t="str">
        <f>VLOOKUP(D1848,'Position Lookup'!A:B,2,FALSE)</f>
        <v>ATT</v>
      </c>
    </row>
    <row r="1849" ht="17.25" customHeight="1">
      <c r="A1849" s="32">
        <v>45360.0</v>
      </c>
      <c r="B1849" s="5" t="s">
        <v>309</v>
      </c>
      <c r="C1849" s="3" t="s">
        <v>144</v>
      </c>
      <c r="D1849" s="3" t="s">
        <v>16</v>
      </c>
      <c r="E1849" s="5">
        <v>3.0</v>
      </c>
      <c r="F1849" s="3" t="s">
        <v>1927</v>
      </c>
      <c r="G1849" s="3" t="s">
        <v>242</v>
      </c>
      <c r="J1849" s="5">
        <v>2.0</v>
      </c>
      <c r="N1849" s="3" t="b">
        <v>0</v>
      </c>
      <c r="R1849" s="3">
        <v>0.0</v>
      </c>
      <c r="T1849" s="3">
        <v>10.0</v>
      </c>
      <c r="U1849" s="3">
        <v>7.0</v>
      </c>
      <c r="V1849" s="3" t="s">
        <v>1943</v>
      </c>
      <c r="W1849" s="3" t="s">
        <v>1929</v>
      </c>
      <c r="X1849" s="77" t="s">
        <v>1930</v>
      </c>
      <c r="Y1849" s="3">
        <v>2.0</v>
      </c>
      <c r="Z1849" s="3">
        <v>2.0</v>
      </c>
      <c r="AA1849" s="3">
        <f>2+ (P1849*'Scoring System'!$B$3)+ (IF(OR(AD1849="DEF",AD1849="GK"),N1849*'Scoring System'!$B$4,IF(AD1849="MID",N1849*'Scoring System'!$B$5,0)))+ (IF(OR(AD1849="DEF",AD1849="GK"),H1849*'Scoring System'!$B$6,IF(AD1849="MID",H1849*'Scoring System'!$B$7,IF(AD1849="ATT",H1849*'Scoring System'!$B$8,0))))+ IF(AND(OR(AD1849="GK",AD1849="DEF"),J1849&gt;=3),1*'Scoring System'!$B$9,0)+ (I1849*'Scoring System'!$B$10)+ (K1849*'Scoring System'!$B$11)+ (M1849*'Scoring System'!$B$12)+ (L1849*'Scoring System'!$B$13)+ (O1849*'Scoring System'!$B$14)+ (Q1849*'Scoring System'!$B$15)+ (R1849*'Scoring System'!$B$16)</f>
        <v>2</v>
      </c>
      <c r="AB1849" s="3" t="b">
        <f>IFERROR(match(C1849,'Match Day Fees'!$B$2:$B$999,0),0)=0</f>
        <v>0</v>
      </c>
      <c r="AC1849" s="3">
        <f t="shared" si="2"/>
        <v>0</v>
      </c>
      <c r="AD1849" s="3" t="str">
        <f>VLOOKUP(D1849,'Position Lookup'!A:B,2,FALSE)</f>
        <v>DEF</v>
      </c>
    </row>
    <row r="1850" ht="17.25" customHeight="1">
      <c r="A1850" s="32">
        <v>45360.0</v>
      </c>
      <c r="B1850" s="5" t="s">
        <v>309</v>
      </c>
      <c r="C1850" s="3" t="s">
        <v>108</v>
      </c>
      <c r="D1850" s="3" t="s">
        <v>8</v>
      </c>
      <c r="E1850" s="5">
        <v>4.0</v>
      </c>
      <c r="F1850" s="3" t="s">
        <v>1944</v>
      </c>
      <c r="G1850" s="3" t="s">
        <v>224</v>
      </c>
      <c r="J1850" s="5">
        <v>3.0</v>
      </c>
      <c r="N1850" s="3" t="b">
        <v>0</v>
      </c>
      <c r="R1850" s="3">
        <v>0.0</v>
      </c>
      <c r="T1850" s="3">
        <v>0.0</v>
      </c>
      <c r="U1850" s="3">
        <v>7.0</v>
      </c>
      <c r="V1850" s="3" t="s">
        <v>1945</v>
      </c>
      <c r="W1850" s="3" t="s">
        <v>730</v>
      </c>
      <c r="X1850" s="77" t="s">
        <v>1946</v>
      </c>
      <c r="Y1850" s="3">
        <v>4.0</v>
      </c>
      <c r="Z1850" s="3">
        <v>3.0</v>
      </c>
      <c r="AA1850" s="3">
        <f>2+ (P1850*'Scoring System'!$B$3)+ (IF(OR(AD1850="DEF",AD1850="GK"),N1850*'Scoring System'!$B$4,IF(AD1850="MID",N1850*'Scoring System'!$B$5,0)))+ (IF(OR(AD1850="DEF",AD1850="GK"),H1850*'Scoring System'!$B$6,IF(AD1850="MID",H1850*'Scoring System'!$B$7,IF(AD1850="ATT",H1850*'Scoring System'!$B$8,0))))+ IF(AND(OR(AD1850="GK",AD1850="DEF"),J1850&gt;=3),1*'Scoring System'!$B$9,0)+ (I1850*'Scoring System'!$B$10)+ (K1850*'Scoring System'!$B$11)+ (M1850*'Scoring System'!$B$12)+ (L1850*'Scoring System'!$B$13)+ (O1850*'Scoring System'!$B$14)+ (Q1850*'Scoring System'!$B$15)+ (R1850*'Scoring System'!$B$16)</f>
        <v>1</v>
      </c>
      <c r="AB1850" s="3" t="b">
        <f>IFERROR(match(C1850,'Match Day Fees'!$B$2:$B$999,0),0)=0</f>
        <v>0</v>
      </c>
      <c r="AC1850" s="3">
        <f t="shared" si="2"/>
        <v>0</v>
      </c>
      <c r="AD1850" s="3" t="str">
        <f>VLOOKUP(D1850,'Position Lookup'!A:B,2,FALSE)</f>
        <v>GK</v>
      </c>
    </row>
    <row r="1851" ht="17.25" customHeight="1">
      <c r="A1851" s="32">
        <v>45360.0</v>
      </c>
      <c r="B1851" s="5" t="s">
        <v>309</v>
      </c>
      <c r="C1851" s="3" t="s">
        <v>94</v>
      </c>
      <c r="D1851" s="3" t="s">
        <v>14</v>
      </c>
      <c r="E1851" s="5">
        <v>4.0</v>
      </c>
      <c r="F1851" s="3" t="s">
        <v>1944</v>
      </c>
      <c r="G1851" s="3" t="s">
        <v>224</v>
      </c>
      <c r="J1851" s="5">
        <v>3.0</v>
      </c>
      <c r="N1851" s="3" t="b">
        <v>0</v>
      </c>
      <c r="R1851" s="3">
        <v>0.0</v>
      </c>
      <c r="T1851" s="3">
        <v>10.0</v>
      </c>
      <c r="U1851" s="3">
        <v>7.5</v>
      </c>
      <c r="V1851" s="3" t="s">
        <v>1947</v>
      </c>
      <c r="W1851" s="3" t="s">
        <v>730</v>
      </c>
      <c r="X1851" s="77" t="s">
        <v>1946</v>
      </c>
      <c r="Y1851" s="3">
        <v>4.0</v>
      </c>
      <c r="Z1851" s="3">
        <v>3.0</v>
      </c>
      <c r="AA1851" s="3">
        <f>2+ (P1851*'Scoring System'!$B$3)+ (IF(OR(AD1851="DEF",AD1851="GK"),N1851*'Scoring System'!$B$4,IF(AD1851="MID",N1851*'Scoring System'!$B$5,0)))+ (IF(OR(AD1851="DEF",AD1851="GK"),H1851*'Scoring System'!$B$6,IF(AD1851="MID",H1851*'Scoring System'!$B$7,IF(AD1851="ATT",H1851*'Scoring System'!$B$8,0))))+ IF(AND(OR(AD1851="GK",AD1851="DEF"),J1851&gt;=3),1*'Scoring System'!$B$9,0)+ (I1851*'Scoring System'!$B$10)+ (K1851*'Scoring System'!$B$11)+ (M1851*'Scoring System'!$B$12)+ (L1851*'Scoring System'!$B$13)+ (O1851*'Scoring System'!$B$14)+ (Q1851*'Scoring System'!$B$15)+ (R1851*'Scoring System'!$B$16)</f>
        <v>1</v>
      </c>
      <c r="AB1851" s="3" t="b">
        <f>IFERROR(match(C1851,'Match Day Fees'!$B$2:$B$999,0),0)=0</f>
        <v>0</v>
      </c>
      <c r="AC1851" s="3">
        <f t="shared" si="2"/>
        <v>0</v>
      </c>
      <c r="AD1851" s="3" t="str">
        <f>VLOOKUP(D1851,'Position Lookup'!A:B,2,FALSE)</f>
        <v>DEF</v>
      </c>
    </row>
    <row r="1852" ht="17.25" customHeight="1">
      <c r="A1852" s="32">
        <v>45360.0</v>
      </c>
      <c r="B1852" s="5" t="s">
        <v>309</v>
      </c>
      <c r="C1852" s="3" t="s">
        <v>126</v>
      </c>
      <c r="D1852" s="3" t="s">
        <v>14</v>
      </c>
      <c r="E1852" s="5">
        <v>4.0</v>
      </c>
      <c r="F1852" s="3" t="s">
        <v>1944</v>
      </c>
      <c r="G1852" s="3" t="s">
        <v>224</v>
      </c>
      <c r="J1852" s="5">
        <v>3.0</v>
      </c>
      <c r="N1852" s="3" t="b">
        <v>0</v>
      </c>
      <c r="R1852" s="3">
        <v>0.0</v>
      </c>
      <c r="T1852" s="3">
        <v>5.0</v>
      </c>
      <c r="U1852" s="3">
        <v>7.5</v>
      </c>
      <c r="V1852" s="3" t="s">
        <v>1948</v>
      </c>
      <c r="W1852" s="3" t="s">
        <v>730</v>
      </c>
      <c r="X1852" s="77" t="s">
        <v>1946</v>
      </c>
      <c r="Y1852" s="3">
        <v>4.0</v>
      </c>
      <c r="Z1852" s="3">
        <v>3.0</v>
      </c>
      <c r="AA1852" s="3">
        <f>2+ (P1852*'Scoring System'!$B$3)+ (IF(OR(AD1852="DEF",AD1852="GK"),N1852*'Scoring System'!$B$4,IF(AD1852="MID",N1852*'Scoring System'!$B$5,0)))+ (IF(OR(AD1852="DEF",AD1852="GK"),H1852*'Scoring System'!$B$6,IF(AD1852="MID",H1852*'Scoring System'!$B$7,IF(AD1852="ATT",H1852*'Scoring System'!$B$8,0))))+ IF(AND(OR(AD1852="GK",AD1852="DEF"),J1852&gt;=3),1*'Scoring System'!$B$9,0)+ (I1852*'Scoring System'!$B$10)+ (K1852*'Scoring System'!$B$11)+ (M1852*'Scoring System'!$B$12)+ (L1852*'Scoring System'!$B$13)+ (O1852*'Scoring System'!$B$14)+ (Q1852*'Scoring System'!$B$15)+ (R1852*'Scoring System'!$B$16)</f>
        <v>1</v>
      </c>
      <c r="AB1852" s="3" t="b">
        <f>IFERROR(match(C1852,'Match Day Fees'!$B$2:$B$999,0),0)=0</f>
        <v>0</v>
      </c>
      <c r="AC1852" s="3">
        <f t="shared" si="2"/>
        <v>0</v>
      </c>
      <c r="AD1852" s="3" t="str">
        <f>VLOOKUP(D1852,'Position Lookup'!A:B,2,FALSE)</f>
        <v>DEF</v>
      </c>
    </row>
    <row r="1853" ht="17.25" customHeight="1">
      <c r="A1853" s="32">
        <v>45360.0</v>
      </c>
      <c r="B1853" s="5" t="s">
        <v>309</v>
      </c>
      <c r="C1853" s="3" t="s">
        <v>54</v>
      </c>
      <c r="D1853" s="3" t="s">
        <v>16</v>
      </c>
      <c r="E1853" s="5">
        <v>4.0</v>
      </c>
      <c r="F1853" s="3" t="s">
        <v>1944</v>
      </c>
      <c r="G1853" s="3" t="s">
        <v>224</v>
      </c>
      <c r="H1853" s="3">
        <v>1.0</v>
      </c>
      <c r="J1853" s="5">
        <v>3.0</v>
      </c>
      <c r="N1853" s="3" t="b">
        <v>0</v>
      </c>
      <c r="R1853" s="3">
        <v>0.0</v>
      </c>
      <c r="T1853" s="3">
        <v>10.0</v>
      </c>
      <c r="U1853" s="3">
        <v>7.5</v>
      </c>
      <c r="V1853" s="3" t="s">
        <v>1949</v>
      </c>
      <c r="W1853" s="3" t="s">
        <v>730</v>
      </c>
      <c r="X1853" s="77" t="s">
        <v>1946</v>
      </c>
      <c r="Y1853" s="3">
        <v>4.0</v>
      </c>
      <c r="Z1853" s="3">
        <v>3.0</v>
      </c>
      <c r="AA1853" s="3">
        <f>2+ (P1853*'Scoring System'!$B$3)+ (IF(OR(AD1853="DEF",AD1853="GK"),N1853*'Scoring System'!$B$4,IF(AD1853="MID",N1853*'Scoring System'!$B$5,0)))+ (IF(OR(AD1853="DEF",AD1853="GK"),H1853*'Scoring System'!$B$6,IF(AD1853="MID",H1853*'Scoring System'!$B$7,IF(AD1853="ATT",H1853*'Scoring System'!$B$8,0))))+ IF(AND(OR(AD1853="GK",AD1853="DEF"),J1853&gt;=3),1*'Scoring System'!$B$9,0)+ (I1853*'Scoring System'!$B$10)+ (K1853*'Scoring System'!$B$11)+ (M1853*'Scoring System'!$B$12)+ (L1853*'Scoring System'!$B$13)+ (O1853*'Scoring System'!$B$14)+ (Q1853*'Scoring System'!$B$15)+ (R1853*'Scoring System'!$B$16)</f>
        <v>7</v>
      </c>
      <c r="AB1853" s="3" t="b">
        <f>IFERROR(match(C1853,'Match Day Fees'!$B$2:$B$999,0),0)=0</f>
        <v>0</v>
      </c>
      <c r="AC1853" s="3">
        <f t="shared" si="2"/>
        <v>0</v>
      </c>
      <c r="AD1853" s="3" t="str">
        <f>VLOOKUP(D1853,'Position Lookup'!A:B,2,FALSE)</f>
        <v>DEF</v>
      </c>
    </row>
    <row r="1854" ht="17.25" customHeight="1">
      <c r="A1854" s="32">
        <v>45360.0</v>
      </c>
      <c r="B1854" s="5" t="s">
        <v>309</v>
      </c>
      <c r="C1854" s="3" t="s">
        <v>291</v>
      </c>
      <c r="D1854" s="3" t="s">
        <v>12</v>
      </c>
      <c r="E1854" s="5">
        <v>4.0</v>
      </c>
      <c r="F1854" s="3" t="s">
        <v>1944</v>
      </c>
      <c r="G1854" s="3" t="s">
        <v>224</v>
      </c>
      <c r="J1854" s="5">
        <v>3.0</v>
      </c>
      <c r="N1854" s="3" t="b">
        <v>0</v>
      </c>
      <c r="R1854" s="3">
        <v>0.0</v>
      </c>
      <c r="T1854" s="3">
        <v>10.0</v>
      </c>
      <c r="U1854" s="3">
        <v>7.5</v>
      </c>
      <c r="V1854" s="3" t="s">
        <v>1950</v>
      </c>
      <c r="W1854" s="3" t="s">
        <v>730</v>
      </c>
      <c r="X1854" s="77" t="s">
        <v>1946</v>
      </c>
      <c r="Y1854" s="3">
        <v>4.0</v>
      </c>
      <c r="Z1854" s="3">
        <v>3.0</v>
      </c>
      <c r="AA1854" s="3">
        <f>2+ (P1854*'Scoring System'!$B$3)+ (IF(OR(AD1854="DEF",AD1854="GK"),N1854*'Scoring System'!$B$4,IF(AD1854="MID",N1854*'Scoring System'!$B$5,0)))+ (IF(OR(AD1854="DEF",AD1854="GK"),H1854*'Scoring System'!$B$6,IF(AD1854="MID",H1854*'Scoring System'!$B$7,IF(AD1854="ATT",H1854*'Scoring System'!$B$8,0))))+ IF(AND(OR(AD1854="GK",AD1854="DEF"),J1854&gt;=3),1*'Scoring System'!$B$9,0)+ (I1854*'Scoring System'!$B$10)+ (K1854*'Scoring System'!$B$11)+ (M1854*'Scoring System'!$B$12)+ (L1854*'Scoring System'!$B$13)+ (O1854*'Scoring System'!$B$14)+ (Q1854*'Scoring System'!$B$15)+ (R1854*'Scoring System'!$B$16)</f>
        <v>1</v>
      </c>
      <c r="AB1854" s="3" t="b">
        <f>IFERROR(match(C1854,'Match Day Fees'!$B$2:$B$999,0),0)=0</f>
        <v>0</v>
      </c>
      <c r="AC1854" s="3">
        <f t="shared" si="2"/>
        <v>0</v>
      </c>
      <c r="AD1854" s="3" t="str">
        <f>VLOOKUP(D1854,'Position Lookup'!A:B,2,FALSE)</f>
        <v>DEF</v>
      </c>
    </row>
    <row r="1855" ht="17.25" customHeight="1">
      <c r="A1855" s="32">
        <v>45360.0</v>
      </c>
      <c r="B1855" s="5" t="s">
        <v>309</v>
      </c>
      <c r="C1855" s="3" t="s">
        <v>44</v>
      </c>
      <c r="D1855" s="3" t="s">
        <v>20</v>
      </c>
      <c r="E1855" s="5">
        <v>4.0</v>
      </c>
      <c r="F1855" s="3" t="s">
        <v>1944</v>
      </c>
      <c r="G1855" s="3" t="s">
        <v>224</v>
      </c>
      <c r="H1855" s="3">
        <v>1.0</v>
      </c>
      <c r="J1855" s="5">
        <v>3.0</v>
      </c>
      <c r="N1855" s="3" t="b">
        <v>0</v>
      </c>
      <c r="R1855" s="3">
        <v>0.0</v>
      </c>
      <c r="T1855" s="3">
        <v>5.0</v>
      </c>
      <c r="U1855" s="3">
        <v>7.5</v>
      </c>
      <c r="V1855" s="3" t="s">
        <v>1951</v>
      </c>
      <c r="W1855" s="3" t="s">
        <v>730</v>
      </c>
      <c r="X1855" s="77" t="s">
        <v>1946</v>
      </c>
      <c r="Y1855" s="3">
        <v>4.0</v>
      </c>
      <c r="Z1855" s="3">
        <v>3.0</v>
      </c>
      <c r="AA1855" s="3">
        <f>2+ (P1855*'Scoring System'!$B$3)+ (IF(OR(AD1855="DEF",AD1855="GK"),N1855*'Scoring System'!$B$4,IF(AD1855="MID",N1855*'Scoring System'!$B$5,0)))+ (IF(OR(AD1855="DEF",AD1855="GK"),H1855*'Scoring System'!$B$6,IF(AD1855="MID",H1855*'Scoring System'!$B$7,IF(AD1855="ATT",H1855*'Scoring System'!$B$8,0))))+ IF(AND(OR(AD1855="GK",AD1855="DEF"),J1855&gt;=3),1*'Scoring System'!$B$9,0)+ (I1855*'Scoring System'!$B$10)+ (K1855*'Scoring System'!$B$11)+ (M1855*'Scoring System'!$B$12)+ (L1855*'Scoring System'!$B$13)+ (O1855*'Scoring System'!$B$14)+ (Q1855*'Scoring System'!$B$15)+ (R1855*'Scoring System'!$B$16)</f>
        <v>7</v>
      </c>
      <c r="AB1855" s="3" t="b">
        <f>IFERROR(match(C1855,'Match Day Fees'!$B$2:$B$999,0),0)=0</f>
        <v>0</v>
      </c>
      <c r="AC1855" s="3">
        <f t="shared" si="2"/>
        <v>0</v>
      </c>
      <c r="AD1855" s="3" t="str">
        <f>VLOOKUP(D1855,'Position Lookup'!A:B,2,FALSE)</f>
        <v>MID</v>
      </c>
    </row>
    <row r="1856" ht="17.25" customHeight="1">
      <c r="A1856" s="32">
        <v>45360.0</v>
      </c>
      <c r="B1856" s="5" t="s">
        <v>309</v>
      </c>
      <c r="C1856" s="3" t="s">
        <v>1952</v>
      </c>
      <c r="D1856" s="3" t="s">
        <v>20</v>
      </c>
      <c r="E1856" s="5">
        <v>4.0</v>
      </c>
      <c r="F1856" s="3" t="s">
        <v>1944</v>
      </c>
      <c r="G1856" s="3" t="s">
        <v>224</v>
      </c>
      <c r="J1856" s="5">
        <v>3.0</v>
      </c>
      <c r="N1856" s="3" t="b">
        <v>0</v>
      </c>
      <c r="R1856" s="3">
        <v>0.0</v>
      </c>
      <c r="T1856" s="3">
        <v>5.0</v>
      </c>
      <c r="U1856" s="3">
        <v>6.5</v>
      </c>
      <c r="V1856" s="3" t="s">
        <v>1953</v>
      </c>
      <c r="W1856" s="3" t="s">
        <v>730</v>
      </c>
      <c r="X1856" s="77" t="s">
        <v>1946</v>
      </c>
      <c r="Y1856" s="3">
        <v>4.0</v>
      </c>
      <c r="Z1856" s="3">
        <v>3.0</v>
      </c>
      <c r="AA1856" s="3">
        <f>2+ (P1856*'Scoring System'!$B$3)+ (IF(OR(AD1856="DEF",AD1856="GK"),N1856*'Scoring System'!$B$4,IF(AD1856="MID",N1856*'Scoring System'!$B$5,0)))+ (IF(OR(AD1856="DEF",AD1856="GK"),H1856*'Scoring System'!$B$6,IF(AD1856="MID",H1856*'Scoring System'!$B$7,IF(AD1856="ATT",H1856*'Scoring System'!$B$8,0))))+ IF(AND(OR(AD1856="GK",AD1856="DEF"),J1856&gt;=3),1*'Scoring System'!$B$9,0)+ (I1856*'Scoring System'!$B$10)+ (K1856*'Scoring System'!$B$11)+ (M1856*'Scoring System'!$B$12)+ (L1856*'Scoring System'!$B$13)+ (O1856*'Scoring System'!$B$14)+ (Q1856*'Scoring System'!$B$15)+ (R1856*'Scoring System'!$B$16)</f>
        <v>2</v>
      </c>
      <c r="AB1856" s="3" t="b">
        <f>IFERROR(match(C1856,'Match Day Fees'!$B$2:$B$999,0),0)=0</f>
        <v>0</v>
      </c>
      <c r="AC1856" s="3">
        <f t="shared" si="2"/>
        <v>0</v>
      </c>
      <c r="AD1856" s="3" t="str">
        <f>VLOOKUP(D1856,'Position Lookup'!A:B,2,FALSE)</f>
        <v>MID</v>
      </c>
    </row>
    <row r="1857" ht="17.25" customHeight="1">
      <c r="A1857" s="32">
        <v>45360.0</v>
      </c>
      <c r="B1857" s="5" t="s">
        <v>309</v>
      </c>
      <c r="C1857" s="3" t="s">
        <v>136</v>
      </c>
      <c r="D1857" s="3" t="s">
        <v>21</v>
      </c>
      <c r="E1857" s="5">
        <v>4.0</v>
      </c>
      <c r="F1857" s="3" t="s">
        <v>1944</v>
      </c>
      <c r="G1857" s="3" t="s">
        <v>224</v>
      </c>
      <c r="J1857" s="5">
        <v>3.0</v>
      </c>
      <c r="K1857" s="5">
        <v>1.0</v>
      </c>
      <c r="N1857" s="3" t="b">
        <v>0</v>
      </c>
      <c r="R1857" s="3">
        <v>0.0</v>
      </c>
      <c r="S1857" s="3" t="b">
        <v>1</v>
      </c>
      <c r="T1857" s="3">
        <v>0.0</v>
      </c>
      <c r="U1857" s="3">
        <v>7.0</v>
      </c>
      <c r="V1857" s="3" t="s">
        <v>1954</v>
      </c>
      <c r="W1857" s="3" t="s">
        <v>730</v>
      </c>
      <c r="X1857" s="77" t="s">
        <v>1946</v>
      </c>
      <c r="Y1857" s="3">
        <v>4.0</v>
      </c>
      <c r="Z1857" s="3">
        <v>3.0</v>
      </c>
      <c r="AA1857" s="3">
        <f>2+ (P1857*'Scoring System'!$B$3)+ (IF(OR(AD1857="DEF",AD1857="GK"),N1857*'Scoring System'!$B$4,IF(AD1857="MID",N1857*'Scoring System'!$B$5,0)))+ (IF(OR(AD1857="DEF",AD1857="GK"),H1857*'Scoring System'!$B$6,IF(AD1857="MID",H1857*'Scoring System'!$B$7,IF(AD1857="ATT",H1857*'Scoring System'!$B$8,0))))+ IF(AND(OR(AD1857="GK",AD1857="DEF"),J1857&gt;=3),1*'Scoring System'!$B$9,0)+ (I1857*'Scoring System'!$B$10)+ (K1857*'Scoring System'!$B$11)+ (M1857*'Scoring System'!$B$12)+ (L1857*'Scoring System'!$B$13)+ (O1857*'Scoring System'!$B$14)+ (Q1857*'Scoring System'!$B$15)+ (R1857*'Scoring System'!$B$16)</f>
        <v>1</v>
      </c>
      <c r="AB1857" s="3" t="b">
        <f>IFERROR(match(C1857,'Match Day Fees'!$B$2:$B$999,0),0)=0</f>
        <v>0</v>
      </c>
      <c r="AC1857" s="3">
        <f t="shared" si="2"/>
        <v>0</v>
      </c>
      <c r="AD1857" s="3" t="str">
        <f>VLOOKUP(D1857,'Position Lookup'!A:B,2,FALSE)</f>
        <v>MID</v>
      </c>
    </row>
    <row r="1858" ht="17.25" customHeight="1">
      <c r="A1858" s="32">
        <v>45360.0</v>
      </c>
      <c r="B1858" s="5" t="s">
        <v>309</v>
      </c>
      <c r="C1858" s="3" t="s">
        <v>45</v>
      </c>
      <c r="D1858" s="3" t="s">
        <v>22</v>
      </c>
      <c r="E1858" s="5">
        <v>4.0</v>
      </c>
      <c r="F1858" s="3" t="s">
        <v>1944</v>
      </c>
      <c r="G1858" s="3" t="s">
        <v>224</v>
      </c>
      <c r="H1858" s="3">
        <v>1.0</v>
      </c>
      <c r="I1858" s="3">
        <v>2.0</v>
      </c>
      <c r="J1858" s="5">
        <v>3.0</v>
      </c>
      <c r="N1858" s="3" t="b">
        <v>0</v>
      </c>
      <c r="R1858" s="3">
        <v>1.0</v>
      </c>
      <c r="T1858" s="3">
        <v>10.0</v>
      </c>
      <c r="U1858" s="3">
        <v>9.0</v>
      </c>
      <c r="V1858" s="3" t="s">
        <v>1955</v>
      </c>
      <c r="W1858" s="3" t="s">
        <v>730</v>
      </c>
      <c r="X1858" s="77" t="s">
        <v>1946</v>
      </c>
      <c r="Y1858" s="3">
        <v>4.0</v>
      </c>
      <c r="Z1858" s="3">
        <v>3.0</v>
      </c>
      <c r="AA1858" s="3">
        <f>2+ (P1858*'Scoring System'!$B$3)+ (IF(OR(AD1858="DEF",AD1858="GK"),N1858*'Scoring System'!$B$4,IF(AD1858="MID",N1858*'Scoring System'!$B$5,0)))+ (IF(OR(AD1858="DEF",AD1858="GK"),H1858*'Scoring System'!$B$6,IF(AD1858="MID",H1858*'Scoring System'!$B$7,IF(AD1858="ATT",H1858*'Scoring System'!$B$8,0))))+ IF(AND(OR(AD1858="GK",AD1858="DEF"),J1858&gt;=3),1*'Scoring System'!$B$9,0)+ (I1858*'Scoring System'!$B$10)+ (K1858*'Scoring System'!$B$11)+ (M1858*'Scoring System'!$B$12)+ (L1858*'Scoring System'!$B$13)+ (O1858*'Scoring System'!$B$14)+ (Q1858*'Scoring System'!$B$15)+ (R1858*'Scoring System'!$B$16)</f>
        <v>17</v>
      </c>
      <c r="AB1858" s="3" t="b">
        <f>IFERROR(match(C1858,'Match Day Fees'!$B$2:$B$999,0),0)=0</f>
        <v>0</v>
      </c>
      <c r="AC1858" s="3">
        <f t="shared" si="2"/>
        <v>0</v>
      </c>
      <c r="AD1858" s="3" t="str">
        <f>VLOOKUP(D1858,'Position Lookup'!A:B,2,FALSE)</f>
        <v>ATT</v>
      </c>
    </row>
    <row r="1859" ht="17.25" customHeight="1">
      <c r="A1859" s="32">
        <v>45360.0</v>
      </c>
      <c r="B1859" s="5" t="s">
        <v>309</v>
      </c>
      <c r="C1859" s="3" t="s">
        <v>139</v>
      </c>
      <c r="D1859" s="3" t="s">
        <v>24</v>
      </c>
      <c r="E1859" s="5">
        <v>4.0</v>
      </c>
      <c r="F1859" s="3" t="s">
        <v>1944</v>
      </c>
      <c r="G1859" s="3" t="s">
        <v>224</v>
      </c>
      <c r="J1859" s="5">
        <v>3.0</v>
      </c>
      <c r="N1859" s="3" t="b">
        <v>0</v>
      </c>
      <c r="R1859" s="3">
        <v>0.0</v>
      </c>
      <c r="T1859" s="3">
        <v>10.0</v>
      </c>
      <c r="U1859" s="3">
        <v>7.5</v>
      </c>
      <c r="V1859" s="3" t="s">
        <v>1956</v>
      </c>
      <c r="W1859" s="3" t="s">
        <v>730</v>
      </c>
      <c r="X1859" s="77" t="s">
        <v>1946</v>
      </c>
      <c r="Y1859" s="3">
        <v>4.0</v>
      </c>
      <c r="Z1859" s="3">
        <v>3.0</v>
      </c>
      <c r="AA1859" s="3">
        <f>2+ (P1859*'Scoring System'!$B$3)+ (IF(OR(AD1859="DEF",AD1859="GK"),N1859*'Scoring System'!$B$4,IF(AD1859="MID",N1859*'Scoring System'!$B$5,0)))+ (IF(OR(AD1859="DEF",AD1859="GK"),H1859*'Scoring System'!$B$6,IF(AD1859="MID",H1859*'Scoring System'!$B$7,IF(AD1859="ATT",H1859*'Scoring System'!$B$8,0))))+ IF(AND(OR(AD1859="GK",AD1859="DEF"),J1859&gt;=3),1*'Scoring System'!$B$9,0)+ (I1859*'Scoring System'!$B$10)+ (K1859*'Scoring System'!$B$11)+ (M1859*'Scoring System'!$B$12)+ (L1859*'Scoring System'!$B$13)+ (O1859*'Scoring System'!$B$14)+ (Q1859*'Scoring System'!$B$15)+ (R1859*'Scoring System'!$B$16)</f>
        <v>2</v>
      </c>
      <c r="AB1859" s="3" t="b">
        <f>IFERROR(match(C1859,'Match Day Fees'!$B$2:$B$999,0),0)=0</f>
        <v>0</v>
      </c>
      <c r="AC1859" s="3">
        <f t="shared" si="2"/>
        <v>0</v>
      </c>
      <c r="AD1859" s="3" t="str">
        <f>VLOOKUP(D1859,'Position Lookup'!A:B,2,FALSE)</f>
        <v>ATT</v>
      </c>
    </row>
    <row r="1860" ht="17.25" customHeight="1">
      <c r="A1860" s="32">
        <v>45360.0</v>
      </c>
      <c r="B1860" s="5" t="s">
        <v>309</v>
      </c>
      <c r="C1860" s="3" t="s">
        <v>132</v>
      </c>
      <c r="D1860" s="3" t="s">
        <v>23</v>
      </c>
      <c r="E1860" s="5">
        <v>4.0</v>
      </c>
      <c r="F1860" s="3" t="s">
        <v>1944</v>
      </c>
      <c r="G1860" s="3" t="s">
        <v>224</v>
      </c>
      <c r="H1860" s="3">
        <v>1.0</v>
      </c>
      <c r="J1860" s="5">
        <v>3.0</v>
      </c>
      <c r="N1860" s="3" t="b">
        <v>0</v>
      </c>
      <c r="R1860" s="3">
        <v>0.0</v>
      </c>
      <c r="T1860" s="3">
        <v>10.0</v>
      </c>
      <c r="U1860" s="3">
        <v>8.0</v>
      </c>
      <c r="V1860" s="3" t="s">
        <v>1957</v>
      </c>
      <c r="W1860" s="3" t="s">
        <v>730</v>
      </c>
      <c r="X1860" s="77" t="s">
        <v>1946</v>
      </c>
      <c r="Y1860" s="3">
        <v>4.0</v>
      </c>
      <c r="Z1860" s="3">
        <v>3.0</v>
      </c>
      <c r="AA1860" s="3">
        <f>2+ (P1860*'Scoring System'!$B$3)+ (IF(OR(AD1860="DEF",AD1860="GK"),N1860*'Scoring System'!$B$4,IF(AD1860="MID",N1860*'Scoring System'!$B$5,0)))+ (IF(OR(AD1860="DEF",AD1860="GK"),H1860*'Scoring System'!$B$6,IF(AD1860="MID",H1860*'Scoring System'!$B$7,IF(AD1860="ATT",H1860*'Scoring System'!$B$8,0))))+ IF(AND(OR(AD1860="GK",AD1860="DEF"),J1860&gt;=3),1*'Scoring System'!$B$9,0)+ (I1860*'Scoring System'!$B$10)+ (K1860*'Scoring System'!$B$11)+ (M1860*'Scoring System'!$B$12)+ (L1860*'Scoring System'!$B$13)+ (O1860*'Scoring System'!$B$14)+ (Q1860*'Scoring System'!$B$15)+ (R1860*'Scoring System'!$B$16)</f>
        <v>6</v>
      </c>
      <c r="AB1860" s="3" t="b">
        <f>IFERROR(match(C1860,'Match Day Fees'!$B$2:$B$999,0),0)=0</f>
        <v>0</v>
      </c>
      <c r="AC1860" s="3">
        <f t="shared" si="2"/>
        <v>0</v>
      </c>
      <c r="AD1860" s="3" t="str">
        <f>VLOOKUP(D1860,'Position Lookup'!A:B,2,FALSE)</f>
        <v>ATT</v>
      </c>
    </row>
    <row r="1861" ht="17.25" customHeight="1">
      <c r="A1861" s="32">
        <v>45360.0</v>
      </c>
      <c r="B1861" s="5" t="s">
        <v>309</v>
      </c>
      <c r="C1861" s="3" t="s">
        <v>72</v>
      </c>
      <c r="D1861" s="3" t="s">
        <v>20</v>
      </c>
      <c r="E1861" s="5">
        <v>4.0</v>
      </c>
      <c r="F1861" s="3" t="s">
        <v>1944</v>
      </c>
      <c r="G1861" s="3" t="s">
        <v>224</v>
      </c>
      <c r="J1861" s="5">
        <v>3.0</v>
      </c>
      <c r="N1861" s="3" t="b">
        <v>0</v>
      </c>
      <c r="R1861" s="3">
        <v>0.0</v>
      </c>
      <c r="T1861" s="3">
        <v>5.0</v>
      </c>
      <c r="U1861" s="3">
        <v>6.5</v>
      </c>
      <c r="V1861" s="3" t="s">
        <v>1958</v>
      </c>
      <c r="W1861" s="3" t="s">
        <v>730</v>
      </c>
      <c r="X1861" s="77" t="s">
        <v>1946</v>
      </c>
      <c r="Y1861" s="3">
        <v>4.0</v>
      </c>
      <c r="Z1861" s="3">
        <v>3.0</v>
      </c>
      <c r="AA1861" s="3">
        <f>2+ (P1861*'Scoring System'!$B$3)+ (IF(OR(AD1861="DEF",AD1861="GK"),N1861*'Scoring System'!$B$4,IF(AD1861="MID",N1861*'Scoring System'!$B$5,0)))+ (IF(OR(AD1861="DEF",AD1861="GK"),H1861*'Scoring System'!$B$6,IF(AD1861="MID",H1861*'Scoring System'!$B$7,IF(AD1861="ATT",H1861*'Scoring System'!$B$8,0))))+ IF(AND(OR(AD1861="GK",AD1861="DEF"),J1861&gt;=3),1*'Scoring System'!$B$9,0)+ (I1861*'Scoring System'!$B$10)+ (K1861*'Scoring System'!$B$11)+ (M1861*'Scoring System'!$B$12)+ (L1861*'Scoring System'!$B$13)+ (O1861*'Scoring System'!$B$14)+ (Q1861*'Scoring System'!$B$15)+ (R1861*'Scoring System'!$B$16)</f>
        <v>2</v>
      </c>
      <c r="AB1861" s="3" t="b">
        <f>IFERROR(match(C1861,'Match Day Fees'!$B$2:$B$999,0),0)=0</f>
        <v>0</v>
      </c>
      <c r="AC1861" s="3">
        <f t="shared" si="2"/>
        <v>0</v>
      </c>
      <c r="AD1861" s="3" t="str">
        <f>VLOOKUP(D1861,'Position Lookup'!A:B,2,FALSE)</f>
        <v>MID</v>
      </c>
    </row>
    <row r="1862" ht="17.25" customHeight="1">
      <c r="A1862" s="32">
        <v>45360.0</v>
      </c>
      <c r="B1862" s="5" t="s">
        <v>309</v>
      </c>
      <c r="C1862" s="3" t="s">
        <v>140</v>
      </c>
      <c r="D1862" s="3" t="s">
        <v>23</v>
      </c>
      <c r="E1862" s="5">
        <v>4.0</v>
      </c>
      <c r="F1862" s="3" t="s">
        <v>1944</v>
      </c>
      <c r="G1862" s="3" t="s">
        <v>224</v>
      </c>
      <c r="J1862" s="5">
        <v>3.0</v>
      </c>
      <c r="N1862" s="3" t="b">
        <v>0</v>
      </c>
      <c r="R1862" s="3">
        <v>0.0</v>
      </c>
      <c r="T1862" s="3">
        <v>10.0</v>
      </c>
      <c r="U1862" s="3">
        <v>6.5</v>
      </c>
      <c r="V1862" s="3" t="s">
        <v>1959</v>
      </c>
      <c r="W1862" s="3" t="s">
        <v>730</v>
      </c>
      <c r="X1862" s="77" t="s">
        <v>1946</v>
      </c>
      <c r="Y1862" s="3">
        <v>4.0</v>
      </c>
      <c r="Z1862" s="3">
        <v>3.0</v>
      </c>
      <c r="AA1862" s="3">
        <f>2+ (P1862*'Scoring System'!$B$3)+ (IF(OR(AD1862="DEF",AD1862="GK"),N1862*'Scoring System'!$B$4,IF(AD1862="MID",N1862*'Scoring System'!$B$5,0)))+ (IF(OR(AD1862="DEF",AD1862="GK"),H1862*'Scoring System'!$B$6,IF(AD1862="MID",H1862*'Scoring System'!$B$7,IF(AD1862="ATT",H1862*'Scoring System'!$B$8,0))))+ IF(AND(OR(AD1862="GK",AD1862="DEF"),J1862&gt;=3),1*'Scoring System'!$B$9,0)+ (I1862*'Scoring System'!$B$10)+ (K1862*'Scoring System'!$B$11)+ (M1862*'Scoring System'!$B$12)+ (L1862*'Scoring System'!$B$13)+ (O1862*'Scoring System'!$B$14)+ (Q1862*'Scoring System'!$B$15)+ (R1862*'Scoring System'!$B$16)</f>
        <v>2</v>
      </c>
      <c r="AB1862" s="3" t="b">
        <f>IFERROR(match(C1862,'Match Day Fees'!$B$2:$B$999,0),0)=0</f>
        <v>0</v>
      </c>
      <c r="AC1862" s="3">
        <f t="shared" si="2"/>
        <v>0</v>
      </c>
      <c r="AD1862" s="3" t="str">
        <f>VLOOKUP(D1862,'Position Lookup'!A:B,2,FALSE)</f>
        <v>ATT</v>
      </c>
    </row>
    <row r="1863" ht="17.25" customHeight="1">
      <c r="A1863" s="32">
        <v>45360.0</v>
      </c>
      <c r="B1863" s="5" t="s">
        <v>309</v>
      </c>
      <c r="C1863" s="3" t="s">
        <v>259</v>
      </c>
      <c r="D1863" s="3" t="s">
        <v>8</v>
      </c>
      <c r="E1863" s="5">
        <v>6.0</v>
      </c>
      <c r="F1863" s="3" t="s">
        <v>1960</v>
      </c>
      <c r="G1863" s="3" t="s">
        <v>230</v>
      </c>
      <c r="J1863" s="5">
        <v>2.0</v>
      </c>
      <c r="N1863" s="3" t="b">
        <v>0</v>
      </c>
      <c r="R1863" s="3">
        <v>0.0</v>
      </c>
      <c r="S1863" s="3" t="b">
        <v>1</v>
      </c>
      <c r="T1863" s="3">
        <v>0.0</v>
      </c>
      <c r="U1863" s="3">
        <v>6.0</v>
      </c>
      <c r="V1863" s="3" t="s">
        <v>1961</v>
      </c>
      <c r="W1863" s="3" t="s">
        <v>1375</v>
      </c>
      <c r="X1863" s="77" t="s">
        <v>1962</v>
      </c>
      <c r="Y1863" s="3">
        <v>0.0</v>
      </c>
      <c r="Z1863" s="3">
        <v>2.0</v>
      </c>
      <c r="AA1863" s="3">
        <f>2+ (P1863*'Scoring System'!$B$3)+ (IF(OR(AD1863="DEF",AD1863="GK"),N1863*'Scoring System'!$B$4,IF(AD1863="MID",N1863*'Scoring System'!$B$5,0)))+ (IF(OR(AD1863="DEF",AD1863="GK"),H1863*'Scoring System'!$B$6,IF(AD1863="MID",H1863*'Scoring System'!$B$7,IF(AD1863="ATT",H1863*'Scoring System'!$B$8,0))))+ IF(AND(OR(AD1863="GK",AD1863="DEF"),J1863&gt;=3),1*'Scoring System'!$B$9,0)+ (I1863*'Scoring System'!$B$10)+ (K1863*'Scoring System'!$B$11)+ (M1863*'Scoring System'!$B$12)+ (L1863*'Scoring System'!$B$13)+ (O1863*'Scoring System'!$B$14)+ (Q1863*'Scoring System'!$B$15)+ (R1863*'Scoring System'!$B$16)</f>
        <v>2</v>
      </c>
      <c r="AB1863" s="3" t="b">
        <f>IFERROR(match(C1863,'Match Day Fees'!$B$2:$B$999,0),0)=0</f>
        <v>0</v>
      </c>
      <c r="AC1863" s="3">
        <f t="shared" si="2"/>
        <v>0</v>
      </c>
      <c r="AD1863" s="3" t="str">
        <f>VLOOKUP(D1863,'Position Lookup'!A:B,2,FALSE)</f>
        <v>GK</v>
      </c>
    </row>
    <row r="1864" ht="17.25" customHeight="1">
      <c r="A1864" s="32">
        <v>45360.0</v>
      </c>
      <c r="B1864" s="5" t="s">
        <v>309</v>
      </c>
      <c r="C1864" s="3" t="s">
        <v>135</v>
      </c>
      <c r="D1864" s="3" t="s">
        <v>14</v>
      </c>
      <c r="E1864" s="5">
        <v>6.0</v>
      </c>
      <c r="F1864" s="3" t="s">
        <v>1960</v>
      </c>
      <c r="G1864" s="3" t="s">
        <v>230</v>
      </c>
      <c r="J1864" s="5">
        <v>2.0</v>
      </c>
      <c r="N1864" s="3" t="b">
        <v>0</v>
      </c>
      <c r="R1864" s="3">
        <v>0.0</v>
      </c>
      <c r="T1864" s="3">
        <v>5.0</v>
      </c>
      <c r="U1864" s="3">
        <v>7.0</v>
      </c>
      <c r="V1864" s="3" t="s">
        <v>1963</v>
      </c>
      <c r="W1864" s="3" t="s">
        <v>1375</v>
      </c>
      <c r="X1864" s="77" t="s">
        <v>1962</v>
      </c>
      <c r="Y1864" s="3">
        <v>0.0</v>
      </c>
      <c r="Z1864" s="3">
        <v>2.0</v>
      </c>
      <c r="AA1864" s="3">
        <f>2+ (P1864*'Scoring System'!$B$3)+ (IF(OR(AD1864="DEF",AD1864="GK"),N1864*'Scoring System'!$B$4,IF(AD1864="MID",N1864*'Scoring System'!$B$5,0)))+ (IF(OR(AD1864="DEF",AD1864="GK"),H1864*'Scoring System'!$B$6,IF(AD1864="MID",H1864*'Scoring System'!$B$7,IF(AD1864="ATT",H1864*'Scoring System'!$B$8,0))))+ IF(AND(OR(AD1864="GK",AD1864="DEF"),J1864&gt;=3),1*'Scoring System'!$B$9,0)+ (I1864*'Scoring System'!$B$10)+ (K1864*'Scoring System'!$B$11)+ (M1864*'Scoring System'!$B$12)+ (L1864*'Scoring System'!$B$13)+ (O1864*'Scoring System'!$B$14)+ (Q1864*'Scoring System'!$B$15)+ (R1864*'Scoring System'!$B$16)</f>
        <v>2</v>
      </c>
      <c r="AB1864" s="3" t="b">
        <f>IFERROR(match(C1864,'Match Day Fees'!$B$2:$B$999,0),0)=0</f>
        <v>0</v>
      </c>
      <c r="AC1864" s="3">
        <f t="shared" si="2"/>
        <v>0</v>
      </c>
      <c r="AD1864" s="3" t="str">
        <f>VLOOKUP(D1864,'Position Lookup'!A:B,2,FALSE)</f>
        <v>DEF</v>
      </c>
    </row>
    <row r="1865" ht="17.25" customHeight="1">
      <c r="A1865" s="32">
        <v>45360.0</v>
      </c>
      <c r="B1865" s="5" t="s">
        <v>309</v>
      </c>
      <c r="C1865" s="3" t="s">
        <v>99</v>
      </c>
      <c r="D1865" s="3" t="s">
        <v>14</v>
      </c>
      <c r="E1865" s="5">
        <v>6.0</v>
      </c>
      <c r="F1865" s="3" t="s">
        <v>1960</v>
      </c>
      <c r="G1865" s="3" t="s">
        <v>230</v>
      </c>
      <c r="J1865" s="5">
        <v>2.0</v>
      </c>
      <c r="N1865" s="3" t="b">
        <v>0</v>
      </c>
      <c r="R1865" s="3">
        <v>0.0</v>
      </c>
      <c r="T1865" s="3">
        <v>5.0</v>
      </c>
      <c r="U1865" s="3">
        <v>6.0</v>
      </c>
      <c r="V1865" s="3" t="s">
        <v>1964</v>
      </c>
      <c r="W1865" s="3" t="s">
        <v>1375</v>
      </c>
      <c r="X1865" s="77" t="s">
        <v>1962</v>
      </c>
      <c r="Y1865" s="3">
        <v>0.0</v>
      </c>
      <c r="Z1865" s="3">
        <v>2.0</v>
      </c>
      <c r="AA1865" s="3">
        <f>2+ (P1865*'Scoring System'!$B$3)+ (IF(OR(AD1865="DEF",AD1865="GK"),N1865*'Scoring System'!$B$4,IF(AD1865="MID",N1865*'Scoring System'!$B$5,0)))+ (IF(OR(AD1865="DEF",AD1865="GK"),H1865*'Scoring System'!$B$6,IF(AD1865="MID",H1865*'Scoring System'!$B$7,IF(AD1865="ATT",H1865*'Scoring System'!$B$8,0))))+ IF(AND(OR(AD1865="GK",AD1865="DEF"),J1865&gt;=3),1*'Scoring System'!$B$9,0)+ (I1865*'Scoring System'!$B$10)+ (K1865*'Scoring System'!$B$11)+ (M1865*'Scoring System'!$B$12)+ (L1865*'Scoring System'!$B$13)+ (O1865*'Scoring System'!$B$14)+ (Q1865*'Scoring System'!$B$15)+ (R1865*'Scoring System'!$B$16)</f>
        <v>2</v>
      </c>
      <c r="AB1865" s="3" t="b">
        <f>IFERROR(match(C1865,'Match Day Fees'!$B$2:$B$999,0),0)=0</f>
        <v>0</v>
      </c>
      <c r="AC1865" s="3">
        <f t="shared" si="2"/>
        <v>0</v>
      </c>
      <c r="AD1865" s="3" t="str">
        <f>VLOOKUP(D1865,'Position Lookup'!A:B,2,FALSE)</f>
        <v>DEF</v>
      </c>
    </row>
    <row r="1866" ht="17.25" customHeight="1">
      <c r="A1866" s="32">
        <v>45360.0</v>
      </c>
      <c r="B1866" s="5" t="s">
        <v>309</v>
      </c>
      <c r="C1866" s="3" t="s">
        <v>90</v>
      </c>
      <c r="D1866" s="3" t="s">
        <v>20</v>
      </c>
      <c r="E1866" s="5">
        <v>6.0</v>
      </c>
      <c r="F1866" s="3" t="s">
        <v>1960</v>
      </c>
      <c r="G1866" s="3" t="s">
        <v>230</v>
      </c>
      <c r="J1866" s="5">
        <v>2.0</v>
      </c>
      <c r="N1866" s="3" t="b">
        <v>0</v>
      </c>
      <c r="R1866" s="3">
        <v>0.0</v>
      </c>
      <c r="T1866" s="3">
        <v>10.0</v>
      </c>
      <c r="U1866" s="3">
        <v>6.5</v>
      </c>
      <c r="V1866" s="3" t="s">
        <v>1965</v>
      </c>
      <c r="W1866" s="3" t="s">
        <v>1375</v>
      </c>
      <c r="X1866" s="77" t="s">
        <v>1962</v>
      </c>
      <c r="Y1866" s="3">
        <v>0.0</v>
      </c>
      <c r="Z1866" s="3">
        <v>2.0</v>
      </c>
      <c r="AA1866" s="3">
        <f>2+ (P1866*'Scoring System'!$B$3)+ (IF(OR(AD1866="DEF",AD1866="GK"),N1866*'Scoring System'!$B$4,IF(AD1866="MID",N1866*'Scoring System'!$B$5,0)))+ (IF(OR(AD1866="DEF",AD1866="GK"),H1866*'Scoring System'!$B$6,IF(AD1866="MID",H1866*'Scoring System'!$B$7,IF(AD1866="ATT",H1866*'Scoring System'!$B$8,0))))+ IF(AND(OR(AD1866="GK",AD1866="DEF"),J1866&gt;=3),1*'Scoring System'!$B$9,0)+ (I1866*'Scoring System'!$B$10)+ (K1866*'Scoring System'!$B$11)+ (M1866*'Scoring System'!$B$12)+ (L1866*'Scoring System'!$B$13)+ (O1866*'Scoring System'!$B$14)+ (Q1866*'Scoring System'!$B$15)+ (R1866*'Scoring System'!$B$16)</f>
        <v>2</v>
      </c>
      <c r="AB1866" s="3" t="b">
        <f>IFERROR(match(C1866,'Match Day Fees'!$B$2:$B$999,0),0)=0</f>
        <v>0</v>
      </c>
      <c r="AC1866" s="3">
        <f t="shared" si="2"/>
        <v>0</v>
      </c>
      <c r="AD1866" s="3" t="str">
        <f>VLOOKUP(D1866,'Position Lookup'!A:B,2,FALSE)</f>
        <v>MID</v>
      </c>
    </row>
    <row r="1867" ht="17.25" customHeight="1">
      <c r="A1867" s="32">
        <v>45360.0</v>
      </c>
      <c r="B1867" s="5" t="s">
        <v>309</v>
      </c>
      <c r="C1867" s="3" t="s">
        <v>287</v>
      </c>
      <c r="D1867" s="3" t="s">
        <v>16</v>
      </c>
      <c r="E1867" s="5">
        <v>6.0</v>
      </c>
      <c r="F1867" s="3" t="s">
        <v>1960</v>
      </c>
      <c r="G1867" s="3" t="s">
        <v>230</v>
      </c>
      <c r="J1867" s="5">
        <v>2.0</v>
      </c>
      <c r="N1867" s="3" t="b">
        <v>0</v>
      </c>
      <c r="R1867" s="3">
        <v>0.0</v>
      </c>
      <c r="T1867" s="3">
        <v>10.0</v>
      </c>
      <c r="U1867" s="3">
        <v>6.0</v>
      </c>
      <c r="V1867" s="3" t="s">
        <v>1966</v>
      </c>
      <c r="W1867" s="3" t="s">
        <v>1375</v>
      </c>
      <c r="X1867" s="77" t="s">
        <v>1962</v>
      </c>
      <c r="Y1867" s="3">
        <v>0.0</v>
      </c>
      <c r="Z1867" s="3">
        <v>2.0</v>
      </c>
      <c r="AA1867" s="3">
        <f>2+ (P1867*'Scoring System'!$B$3)+ (IF(OR(AD1867="DEF",AD1867="GK"),N1867*'Scoring System'!$B$4,IF(AD1867="MID",N1867*'Scoring System'!$B$5,0)))+ (IF(OR(AD1867="DEF",AD1867="GK"),H1867*'Scoring System'!$B$6,IF(AD1867="MID",H1867*'Scoring System'!$B$7,IF(AD1867="ATT",H1867*'Scoring System'!$B$8,0))))+ IF(AND(OR(AD1867="GK",AD1867="DEF"),J1867&gt;=3),1*'Scoring System'!$B$9,0)+ (I1867*'Scoring System'!$B$10)+ (K1867*'Scoring System'!$B$11)+ (M1867*'Scoring System'!$B$12)+ (L1867*'Scoring System'!$B$13)+ (O1867*'Scoring System'!$B$14)+ (Q1867*'Scoring System'!$B$15)+ (R1867*'Scoring System'!$B$16)</f>
        <v>2</v>
      </c>
      <c r="AB1867" s="3" t="b">
        <f>IFERROR(match(C1867,'Match Day Fees'!$B$2:$B$999,0),0)=0</f>
        <v>0</v>
      </c>
      <c r="AC1867" s="3">
        <f t="shared" si="2"/>
        <v>0</v>
      </c>
      <c r="AD1867" s="3" t="str">
        <f>VLOOKUP(D1867,'Position Lookup'!A:B,2,FALSE)</f>
        <v>DEF</v>
      </c>
    </row>
    <row r="1868" ht="17.25" customHeight="1">
      <c r="A1868" s="32">
        <v>45360.0</v>
      </c>
      <c r="B1868" s="5" t="s">
        <v>309</v>
      </c>
      <c r="C1868" s="3" t="s">
        <v>95</v>
      </c>
      <c r="D1868" s="3" t="s">
        <v>20</v>
      </c>
      <c r="E1868" s="5">
        <v>6.0</v>
      </c>
      <c r="F1868" s="3" t="s">
        <v>1960</v>
      </c>
      <c r="G1868" s="3" t="s">
        <v>230</v>
      </c>
      <c r="J1868" s="5">
        <v>2.0</v>
      </c>
      <c r="N1868" s="3" t="b">
        <v>0</v>
      </c>
      <c r="R1868" s="3">
        <v>0.0</v>
      </c>
      <c r="T1868" s="3">
        <v>10.0</v>
      </c>
      <c r="U1868" s="3">
        <v>6.5</v>
      </c>
      <c r="V1868" s="3" t="s">
        <v>1967</v>
      </c>
      <c r="W1868" s="3" t="s">
        <v>1375</v>
      </c>
      <c r="X1868" s="77" t="s">
        <v>1962</v>
      </c>
      <c r="Y1868" s="3">
        <v>0.0</v>
      </c>
      <c r="Z1868" s="3">
        <v>2.0</v>
      </c>
      <c r="AA1868" s="3">
        <f>2+ (P1868*'Scoring System'!$B$3)+ (IF(OR(AD1868="DEF",AD1868="GK"),N1868*'Scoring System'!$B$4,IF(AD1868="MID",N1868*'Scoring System'!$B$5,0)))+ (IF(OR(AD1868="DEF",AD1868="GK"),H1868*'Scoring System'!$B$6,IF(AD1868="MID",H1868*'Scoring System'!$B$7,IF(AD1868="ATT",H1868*'Scoring System'!$B$8,0))))+ IF(AND(OR(AD1868="GK",AD1868="DEF"),J1868&gt;=3),1*'Scoring System'!$B$9,0)+ (I1868*'Scoring System'!$B$10)+ (K1868*'Scoring System'!$B$11)+ (M1868*'Scoring System'!$B$12)+ (L1868*'Scoring System'!$B$13)+ (O1868*'Scoring System'!$B$14)+ (Q1868*'Scoring System'!$B$15)+ (R1868*'Scoring System'!$B$16)</f>
        <v>2</v>
      </c>
      <c r="AB1868" s="3" t="b">
        <f>IFERROR(match(C1868,'Match Day Fees'!$B$2:$B$999,0),0)=0</f>
        <v>0</v>
      </c>
      <c r="AC1868" s="3">
        <f t="shared" si="2"/>
        <v>0</v>
      </c>
      <c r="AD1868" s="3" t="str">
        <f>VLOOKUP(D1868,'Position Lookup'!A:B,2,FALSE)</f>
        <v>MID</v>
      </c>
    </row>
    <row r="1869" ht="17.25" customHeight="1">
      <c r="A1869" s="32">
        <v>45360.0</v>
      </c>
      <c r="B1869" s="5" t="s">
        <v>309</v>
      </c>
      <c r="C1869" s="3" t="s">
        <v>138</v>
      </c>
      <c r="D1869" s="3" t="s">
        <v>12</v>
      </c>
      <c r="E1869" s="5">
        <v>6.0</v>
      </c>
      <c r="F1869" s="3" t="s">
        <v>1960</v>
      </c>
      <c r="G1869" s="3" t="s">
        <v>230</v>
      </c>
      <c r="J1869" s="5">
        <v>2.0</v>
      </c>
      <c r="N1869" s="3" t="b">
        <v>0</v>
      </c>
      <c r="R1869" s="3">
        <v>0.0</v>
      </c>
      <c r="T1869" s="3">
        <v>10.0</v>
      </c>
      <c r="U1869" s="3">
        <v>7.0</v>
      </c>
      <c r="V1869" s="3" t="s">
        <v>1968</v>
      </c>
      <c r="W1869" s="3" t="s">
        <v>1375</v>
      </c>
      <c r="X1869" s="77" t="s">
        <v>1962</v>
      </c>
      <c r="Y1869" s="3">
        <v>0.0</v>
      </c>
      <c r="Z1869" s="3">
        <v>2.0</v>
      </c>
      <c r="AA1869" s="3">
        <f>2+ (P1869*'Scoring System'!$B$3)+ (IF(OR(AD1869="DEF",AD1869="GK"),N1869*'Scoring System'!$B$4,IF(AD1869="MID",N1869*'Scoring System'!$B$5,0)))+ (IF(OR(AD1869="DEF",AD1869="GK"),H1869*'Scoring System'!$B$6,IF(AD1869="MID",H1869*'Scoring System'!$B$7,IF(AD1869="ATT",H1869*'Scoring System'!$B$8,0))))+ IF(AND(OR(AD1869="GK",AD1869="DEF"),J1869&gt;=3),1*'Scoring System'!$B$9,0)+ (I1869*'Scoring System'!$B$10)+ (K1869*'Scoring System'!$B$11)+ (M1869*'Scoring System'!$B$12)+ (L1869*'Scoring System'!$B$13)+ (O1869*'Scoring System'!$B$14)+ (Q1869*'Scoring System'!$B$15)+ (R1869*'Scoring System'!$B$16)</f>
        <v>2</v>
      </c>
      <c r="AB1869" s="3" t="b">
        <f>IFERROR(match(C1869,'Match Day Fees'!$B$2:$B$999,0),0)=0</f>
        <v>0</v>
      </c>
      <c r="AC1869" s="3">
        <f t="shared" si="2"/>
        <v>0</v>
      </c>
      <c r="AD1869" s="3" t="str">
        <f>VLOOKUP(D1869,'Position Lookup'!A:B,2,FALSE)</f>
        <v>DEF</v>
      </c>
    </row>
    <row r="1870" ht="17.25" customHeight="1">
      <c r="A1870" s="32">
        <v>45360.0</v>
      </c>
      <c r="B1870" s="5" t="s">
        <v>309</v>
      </c>
      <c r="C1870" s="3" t="s">
        <v>58</v>
      </c>
      <c r="D1870" s="3" t="s">
        <v>20</v>
      </c>
      <c r="E1870" s="5">
        <v>6.0</v>
      </c>
      <c r="F1870" s="3" t="s">
        <v>1960</v>
      </c>
      <c r="G1870" s="3" t="s">
        <v>230</v>
      </c>
      <c r="J1870" s="5">
        <v>2.0</v>
      </c>
      <c r="N1870" s="3" t="b">
        <v>0</v>
      </c>
      <c r="R1870" s="3">
        <v>1.0</v>
      </c>
      <c r="T1870" s="3">
        <v>5.0</v>
      </c>
      <c r="U1870" s="3">
        <v>8.5</v>
      </c>
      <c r="V1870" s="3" t="s">
        <v>1969</v>
      </c>
      <c r="W1870" s="3" t="s">
        <v>1375</v>
      </c>
      <c r="X1870" s="77" t="s">
        <v>1962</v>
      </c>
      <c r="Y1870" s="3">
        <v>0.0</v>
      </c>
      <c r="Z1870" s="3">
        <v>2.0</v>
      </c>
      <c r="AA1870" s="3">
        <f>2+ (P1870*'Scoring System'!$B$3)+ (IF(OR(AD1870="DEF",AD1870="GK"),N1870*'Scoring System'!$B$4,IF(AD1870="MID",N1870*'Scoring System'!$B$5,0)))+ (IF(OR(AD1870="DEF",AD1870="GK"),H1870*'Scoring System'!$B$6,IF(AD1870="MID",H1870*'Scoring System'!$B$7,IF(AD1870="ATT",H1870*'Scoring System'!$B$8,0))))+ IF(AND(OR(AD1870="GK",AD1870="DEF"),J1870&gt;=3),1*'Scoring System'!$B$9,0)+ (I1870*'Scoring System'!$B$10)+ (K1870*'Scoring System'!$B$11)+ (M1870*'Scoring System'!$B$12)+ (L1870*'Scoring System'!$B$13)+ (O1870*'Scoring System'!$B$14)+ (Q1870*'Scoring System'!$B$15)+ (R1870*'Scoring System'!$B$16)</f>
        <v>7</v>
      </c>
      <c r="AB1870" s="3" t="b">
        <f>IFERROR(match(C1870,'Match Day Fees'!$B$2:$B$999,0),0)=0</f>
        <v>0</v>
      </c>
      <c r="AC1870" s="3">
        <f t="shared" si="2"/>
        <v>0</v>
      </c>
      <c r="AD1870" s="3" t="str">
        <f>VLOOKUP(D1870,'Position Lookup'!A:B,2,FALSE)</f>
        <v>MID</v>
      </c>
    </row>
    <row r="1871" ht="17.25" customHeight="1">
      <c r="A1871" s="32">
        <v>45360.0</v>
      </c>
      <c r="B1871" s="5" t="s">
        <v>309</v>
      </c>
      <c r="C1871" s="3" t="s">
        <v>474</v>
      </c>
      <c r="D1871" s="3" t="s">
        <v>19</v>
      </c>
      <c r="E1871" s="5">
        <v>6.0</v>
      </c>
      <c r="F1871" s="3" t="s">
        <v>1960</v>
      </c>
      <c r="G1871" s="3" t="s">
        <v>230</v>
      </c>
      <c r="J1871" s="5">
        <v>2.0</v>
      </c>
      <c r="N1871" s="3" t="b">
        <v>0</v>
      </c>
      <c r="R1871" s="3">
        <v>0.0</v>
      </c>
      <c r="T1871" s="3">
        <v>10.0</v>
      </c>
      <c r="U1871" s="3">
        <v>5.0</v>
      </c>
      <c r="V1871" s="3" t="s">
        <v>1970</v>
      </c>
      <c r="W1871" s="3" t="s">
        <v>1375</v>
      </c>
      <c r="X1871" s="77" t="s">
        <v>1962</v>
      </c>
      <c r="Y1871" s="3">
        <v>0.0</v>
      </c>
      <c r="Z1871" s="3">
        <v>2.0</v>
      </c>
      <c r="AA1871" s="3">
        <f>2+ (P1871*'Scoring System'!$B$3)+ (IF(OR(AD1871="DEF",AD1871="GK"),N1871*'Scoring System'!$B$4,IF(AD1871="MID",N1871*'Scoring System'!$B$5,0)))+ (IF(OR(AD1871="DEF",AD1871="GK"),H1871*'Scoring System'!$B$6,IF(AD1871="MID",H1871*'Scoring System'!$B$7,IF(AD1871="ATT",H1871*'Scoring System'!$B$8,0))))+ IF(AND(OR(AD1871="GK",AD1871="DEF"),J1871&gt;=3),1*'Scoring System'!$B$9,0)+ (I1871*'Scoring System'!$B$10)+ (K1871*'Scoring System'!$B$11)+ (M1871*'Scoring System'!$B$12)+ (L1871*'Scoring System'!$B$13)+ (O1871*'Scoring System'!$B$14)+ (Q1871*'Scoring System'!$B$15)+ (R1871*'Scoring System'!$B$16)</f>
        <v>2</v>
      </c>
      <c r="AB1871" s="3" t="b">
        <f>IFERROR(match(C1871,'Match Day Fees'!$B$2:$B$999,0),0)=0</f>
        <v>0</v>
      </c>
      <c r="AC1871" s="3">
        <f t="shared" si="2"/>
        <v>0</v>
      </c>
      <c r="AD1871" s="3" t="str">
        <f>VLOOKUP(D1871,'Position Lookup'!A:B,2,FALSE)</f>
        <v>MID</v>
      </c>
    </row>
    <row r="1872" ht="17.25" customHeight="1">
      <c r="A1872" s="32">
        <v>45360.0</v>
      </c>
      <c r="B1872" s="5" t="s">
        <v>309</v>
      </c>
      <c r="C1872" s="3" t="s">
        <v>147</v>
      </c>
      <c r="D1872" s="3" t="s">
        <v>22</v>
      </c>
      <c r="E1872" s="5">
        <v>6.0</v>
      </c>
      <c r="F1872" s="3" t="s">
        <v>1960</v>
      </c>
      <c r="G1872" s="3" t="s">
        <v>230</v>
      </c>
      <c r="J1872" s="5">
        <v>2.0</v>
      </c>
      <c r="N1872" s="3" t="b">
        <v>0</v>
      </c>
      <c r="R1872" s="3">
        <v>0.0</v>
      </c>
      <c r="T1872" s="3">
        <v>5.0</v>
      </c>
      <c r="U1872" s="3">
        <v>6.0</v>
      </c>
      <c r="V1872" s="3" t="s">
        <v>1971</v>
      </c>
      <c r="W1872" s="3" t="s">
        <v>1375</v>
      </c>
      <c r="X1872" s="77" t="s">
        <v>1962</v>
      </c>
      <c r="Y1872" s="3">
        <v>0.0</v>
      </c>
      <c r="Z1872" s="3">
        <v>2.0</v>
      </c>
      <c r="AA1872" s="3">
        <f>2+ (P1872*'Scoring System'!$B$3)+ (IF(OR(AD1872="DEF",AD1872="GK"),N1872*'Scoring System'!$B$4,IF(AD1872="MID",N1872*'Scoring System'!$B$5,0)))+ (IF(OR(AD1872="DEF",AD1872="GK"),H1872*'Scoring System'!$B$6,IF(AD1872="MID",H1872*'Scoring System'!$B$7,IF(AD1872="ATT",H1872*'Scoring System'!$B$8,0))))+ IF(AND(OR(AD1872="GK",AD1872="DEF"),J1872&gt;=3),1*'Scoring System'!$B$9,0)+ (I1872*'Scoring System'!$B$10)+ (K1872*'Scoring System'!$B$11)+ (M1872*'Scoring System'!$B$12)+ (L1872*'Scoring System'!$B$13)+ (O1872*'Scoring System'!$B$14)+ (Q1872*'Scoring System'!$B$15)+ (R1872*'Scoring System'!$B$16)</f>
        <v>2</v>
      </c>
      <c r="AB1872" s="3" t="b">
        <f>IFERROR(match(C1872,'Match Day Fees'!$B$2:$B$999,0),0)=0</f>
        <v>0</v>
      </c>
      <c r="AC1872" s="3">
        <f t="shared" si="2"/>
        <v>0</v>
      </c>
      <c r="AD1872" s="3" t="str">
        <f>VLOOKUP(D1872,'Position Lookup'!A:B,2,FALSE)</f>
        <v>ATT</v>
      </c>
    </row>
    <row r="1873" ht="17.25" customHeight="1">
      <c r="A1873" s="32">
        <v>45360.0</v>
      </c>
      <c r="B1873" s="5" t="s">
        <v>309</v>
      </c>
      <c r="C1873" s="3" t="s">
        <v>576</v>
      </c>
      <c r="D1873" s="3" t="s">
        <v>23</v>
      </c>
      <c r="E1873" s="5">
        <v>6.0</v>
      </c>
      <c r="F1873" s="3" t="s">
        <v>1960</v>
      </c>
      <c r="G1873" s="3" t="s">
        <v>230</v>
      </c>
      <c r="J1873" s="5">
        <v>2.0</v>
      </c>
      <c r="N1873" s="3" t="b">
        <v>0</v>
      </c>
      <c r="R1873" s="3">
        <v>0.0</v>
      </c>
      <c r="T1873" s="3">
        <v>10.0</v>
      </c>
      <c r="U1873" s="3">
        <v>5.5</v>
      </c>
      <c r="V1873" s="3" t="s">
        <v>1972</v>
      </c>
      <c r="W1873" s="3" t="s">
        <v>1375</v>
      </c>
      <c r="X1873" s="77" t="s">
        <v>1962</v>
      </c>
      <c r="Y1873" s="3">
        <v>0.0</v>
      </c>
      <c r="Z1873" s="3">
        <v>2.0</v>
      </c>
      <c r="AA1873" s="3">
        <f>2+ (P1873*'Scoring System'!$B$3)+ (IF(OR(AD1873="DEF",AD1873="GK"),N1873*'Scoring System'!$B$4,IF(AD1873="MID",N1873*'Scoring System'!$B$5,0)))+ (IF(OR(AD1873="DEF",AD1873="GK"),H1873*'Scoring System'!$B$6,IF(AD1873="MID",H1873*'Scoring System'!$B$7,IF(AD1873="ATT",H1873*'Scoring System'!$B$8,0))))+ IF(AND(OR(AD1873="GK",AD1873="DEF"),J1873&gt;=3),1*'Scoring System'!$B$9,0)+ (I1873*'Scoring System'!$B$10)+ (K1873*'Scoring System'!$B$11)+ (M1873*'Scoring System'!$B$12)+ (L1873*'Scoring System'!$B$13)+ (O1873*'Scoring System'!$B$14)+ (Q1873*'Scoring System'!$B$15)+ (R1873*'Scoring System'!$B$16)</f>
        <v>2</v>
      </c>
      <c r="AB1873" s="3" t="b">
        <f>IFERROR(match(C1873,'Match Day Fees'!$B$2:$B$999,0),0)=0</f>
        <v>0</v>
      </c>
      <c r="AC1873" s="3">
        <f t="shared" si="2"/>
        <v>0</v>
      </c>
      <c r="AD1873" s="3" t="str">
        <f>VLOOKUP(D1873,'Position Lookup'!A:B,2,FALSE)</f>
        <v>ATT</v>
      </c>
    </row>
    <row r="1874" ht="17.25" customHeight="1">
      <c r="A1874" s="32">
        <v>45360.0</v>
      </c>
      <c r="B1874" s="5" t="s">
        <v>309</v>
      </c>
      <c r="C1874" s="3" t="s">
        <v>89</v>
      </c>
      <c r="D1874" s="3" t="s">
        <v>23</v>
      </c>
      <c r="E1874" s="5">
        <v>6.0</v>
      </c>
      <c r="F1874" s="3" t="s">
        <v>1960</v>
      </c>
      <c r="G1874" s="3" t="s">
        <v>230</v>
      </c>
      <c r="J1874" s="5">
        <v>2.0</v>
      </c>
      <c r="N1874" s="3" t="b">
        <v>0</v>
      </c>
      <c r="R1874" s="3">
        <v>0.0</v>
      </c>
      <c r="T1874" s="3">
        <v>10.0</v>
      </c>
      <c r="U1874" s="3">
        <v>6.0</v>
      </c>
      <c r="V1874" s="3" t="s">
        <v>1973</v>
      </c>
      <c r="W1874" s="3" t="s">
        <v>1375</v>
      </c>
      <c r="X1874" s="77" t="s">
        <v>1962</v>
      </c>
      <c r="Y1874" s="3">
        <v>0.0</v>
      </c>
      <c r="Z1874" s="3">
        <v>2.0</v>
      </c>
      <c r="AA1874" s="3">
        <f>2+ (P1874*'Scoring System'!$B$3)+ (IF(OR(AD1874="DEF",AD1874="GK"),N1874*'Scoring System'!$B$4,IF(AD1874="MID",N1874*'Scoring System'!$B$5,0)))+ (IF(OR(AD1874="DEF",AD1874="GK"),H1874*'Scoring System'!$B$6,IF(AD1874="MID",H1874*'Scoring System'!$B$7,IF(AD1874="ATT",H1874*'Scoring System'!$B$8,0))))+ IF(AND(OR(AD1874="GK",AD1874="DEF"),J1874&gt;=3),1*'Scoring System'!$B$9,0)+ (I1874*'Scoring System'!$B$10)+ (K1874*'Scoring System'!$B$11)+ (M1874*'Scoring System'!$B$12)+ (L1874*'Scoring System'!$B$13)+ (O1874*'Scoring System'!$B$14)+ (Q1874*'Scoring System'!$B$15)+ (R1874*'Scoring System'!$B$16)</f>
        <v>2</v>
      </c>
      <c r="AB1874" s="3" t="b">
        <f>IFERROR(match(C1874,'Match Day Fees'!$B$2:$B$999,0),0)=0</f>
        <v>0</v>
      </c>
      <c r="AC1874" s="3">
        <f t="shared" si="2"/>
        <v>0</v>
      </c>
      <c r="AD1874" s="3" t="str">
        <f>VLOOKUP(D1874,'Position Lookup'!A:B,2,FALSE)</f>
        <v>ATT</v>
      </c>
    </row>
    <row r="1875" ht="17.25" customHeight="1">
      <c r="A1875" s="32">
        <v>45360.0</v>
      </c>
      <c r="B1875" s="5" t="s">
        <v>309</v>
      </c>
      <c r="C1875" s="3" t="s">
        <v>116</v>
      </c>
      <c r="D1875" s="3" t="s">
        <v>14</v>
      </c>
      <c r="E1875" s="5">
        <v>6.0</v>
      </c>
      <c r="F1875" s="3" t="s">
        <v>1960</v>
      </c>
      <c r="G1875" s="3" t="s">
        <v>230</v>
      </c>
      <c r="J1875" s="5">
        <v>2.0</v>
      </c>
      <c r="N1875" s="3" t="b">
        <v>0</v>
      </c>
      <c r="R1875" s="3">
        <v>0.0</v>
      </c>
      <c r="T1875" s="3">
        <v>10.0</v>
      </c>
      <c r="U1875" s="3">
        <v>7.0</v>
      </c>
      <c r="V1875" s="3" t="s">
        <v>1974</v>
      </c>
      <c r="W1875" s="3" t="s">
        <v>1375</v>
      </c>
      <c r="X1875" s="77" t="s">
        <v>1962</v>
      </c>
      <c r="Y1875" s="3">
        <v>0.0</v>
      </c>
      <c r="Z1875" s="3">
        <v>2.0</v>
      </c>
      <c r="AA1875" s="3">
        <f>2+ (P1875*'Scoring System'!$B$3)+ (IF(OR(AD1875="DEF",AD1875="GK"),N1875*'Scoring System'!$B$4,IF(AD1875="MID",N1875*'Scoring System'!$B$5,0)))+ (IF(OR(AD1875="DEF",AD1875="GK"),H1875*'Scoring System'!$B$6,IF(AD1875="MID",H1875*'Scoring System'!$B$7,IF(AD1875="ATT",H1875*'Scoring System'!$B$8,0))))+ IF(AND(OR(AD1875="GK",AD1875="DEF"),J1875&gt;=3),1*'Scoring System'!$B$9,0)+ (I1875*'Scoring System'!$B$10)+ (K1875*'Scoring System'!$B$11)+ (M1875*'Scoring System'!$B$12)+ (L1875*'Scoring System'!$B$13)+ (O1875*'Scoring System'!$B$14)+ (Q1875*'Scoring System'!$B$15)+ (R1875*'Scoring System'!$B$16)</f>
        <v>2</v>
      </c>
      <c r="AB1875" s="3" t="b">
        <f>IFERROR(match(C1875,'Match Day Fees'!$B$2:$B$999,0),0)=0</f>
        <v>0</v>
      </c>
      <c r="AC1875" s="3">
        <f t="shared" si="2"/>
        <v>0</v>
      </c>
      <c r="AD1875" s="3" t="str">
        <f>VLOOKUP(D1875,'Position Lookup'!A:B,2,FALSE)</f>
        <v>DEF</v>
      </c>
    </row>
    <row r="1876" ht="17.25" customHeight="1">
      <c r="A1876" s="32">
        <v>45360.0</v>
      </c>
      <c r="B1876" s="5" t="s">
        <v>309</v>
      </c>
      <c r="C1876" s="3" t="s">
        <v>1372</v>
      </c>
      <c r="D1876" s="3" t="s">
        <v>24</v>
      </c>
      <c r="E1876" s="5">
        <v>6.0</v>
      </c>
      <c r="F1876" s="3" t="s">
        <v>1960</v>
      </c>
      <c r="G1876" s="3" t="s">
        <v>230</v>
      </c>
      <c r="J1876" s="5">
        <v>2.0</v>
      </c>
      <c r="N1876" s="3" t="b">
        <v>0</v>
      </c>
      <c r="R1876" s="3">
        <v>0.0</v>
      </c>
      <c r="T1876" s="3">
        <v>10.0</v>
      </c>
      <c r="U1876" s="3">
        <v>6.5</v>
      </c>
      <c r="V1876" s="3" t="s">
        <v>1975</v>
      </c>
      <c r="W1876" s="3" t="s">
        <v>1375</v>
      </c>
      <c r="X1876" s="77" t="s">
        <v>1962</v>
      </c>
      <c r="Y1876" s="3">
        <v>0.0</v>
      </c>
      <c r="Z1876" s="3">
        <v>2.0</v>
      </c>
      <c r="AA1876" s="3">
        <f>2+ (P1876*'Scoring System'!$B$3)+ (IF(OR(AD1876="DEF",AD1876="GK"),N1876*'Scoring System'!$B$4,IF(AD1876="MID",N1876*'Scoring System'!$B$5,0)))+ (IF(OR(AD1876="DEF",AD1876="GK"),H1876*'Scoring System'!$B$6,IF(AD1876="MID",H1876*'Scoring System'!$B$7,IF(AD1876="ATT",H1876*'Scoring System'!$B$8,0))))+ IF(AND(OR(AD1876="GK",AD1876="DEF"),J1876&gt;=3),1*'Scoring System'!$B$9,0)+ (I1876*'Scoring System'!$B$10)+ (K1876*'Scoring System'!$B$11)+ (M1876*'Scoring System'!$B$12)+ (L1876*'Scoring System'!$B$13)+ (O1876*'Scoring System'!$B$14)+ (Q1876*'Scoring System'!$B$15)+ (R1876*'Scoring System'!$B$16)</f>
        <v>2</v>
      </c>
      <c r="AB1876" s="3" t="b">
        <f>IFERROR(match(C1876,'Match Day Fees'!$B$2:$B$999,0),0)=0</f>
        <v>0</v>
      </c>
      <c r="AC1876" s="3">
        <f t="shared" si="2"/>
        <v>0</v>
      </c>
      <c r="AD1876" s="3" t="str">
        <f>VLOOKUP(D1876,'Position Lookup'!A:B,2,FALSE)</f>
        <v>ATT</v>
      </c>
    </row>
    <row r="1877" ht="17.25" customHeight="1">
      <c r="A1877" s="32">
        <v>45360.0</v>
      </c>
      <c r="B1877" s="5" t="s">
        <v>309</v>
      </c>
      <c r="C1877" s="3" t="s">
        <v>676</v>
      </c>
      <c r="D1877" s="3" t="s">
        <v>22</v>
      </c>
      <c r="E1877" s="5" t="s">
        <v>157</v>
      </c>
      <c r="G1877" s="3" t="s">
        <v>230</v>
      </c>
      <c r="I1877" s="3">
        <v>1.0</v>
      </c>
      <c r="J1877" s="5">
        <v>5.0</v>
      </c>
      <c r="N1877" s="3" t="b">
        <v>0</v>
      </c>
      <c r="R1877" s="3">
        <v>0.0</v>
      </c>
      <c r="T1877" s="3">
        <v>10.0</v>
      </c>
      <c r="X1877" s="77"/>
      <c r="Y1877" s="3">
        <v>4.0</v>
      </c>
      <c r="Z1877" s="3">
        <v>5.0</v>
      </c>
      <c r="AA1877" s="3">
        <f>2+ (P1877*'Scoring System'!$B$3)+ (IF(OR(AD1877="DEF",AD1877="GK"),N1877*'Scoring System'!$B$4,IF(AD1877="MID",N1877*'Scoring System'!$B$5,0)))+ (IF(OR(AD1877="DEF",AD1877="GK"),H1877*'Scoring System'!$B$6,IF(AD1877="MID",H1877*'Scoring System'!$B$7,IF(AD1877="ATT",H1877*'Scoring System'!$B$8,0))))+ IF(AND(OR(AD1877="GK",AD1877="DEF"),J1877&gt;=3),1*'Scoring System'!$B$9,0)+ (I1877*'Scoring System'!$B$10)+ (K1877*'Scoring System'!$B$11)+ (M1877*'Scoring System'!$B$12)+ (L1877*'Scoring System'!$B$13)+ (O1877*'Scoring System'!$B$14)+ (Q1877*'Scoring System'!$B$15)+ (R1877*'Scoring System'!$B$16)</f>
        <v>5</v>
      </c>
      <c r="AB1877" s="3" t="b">
        <f>IFERROR(match(C1877,'Match Day Fees'!$B$2:$B$999,0),0)=0</f>
        <v>0</v>
      </c>
      <c r="AC1877" s="3">
        <f t="shared" si="2"/>
        <v>0</v>
      </c>
      <c r="AD1877" s="3" t="str">
        <f>VLOOKUP(D1877,'Position Lookup'!A:B,2,FALSE)</f>
        <v>ATT</v>
      </c>
    </row>
    <row r="1878" ht="17.25" customHeight="1">
      <c r="A1878" s="32">
        <v>45360.0</v>
      </c>
      <c r="B1878" s="5" t="s">
        <v>309</v>
      </c>
      <c r="C1878" s="3" t="s">
        <v>118</v>
      </c>
      <c r="D1878" s="3" t="s">
        <v>8</v>
      </c>
      <c r="E1878" s="5" t="s">
        <v>157</v>
      </c>
      <c r="G1878" s="3" t="s">
        <v>230</v>
      </c>
      <c r="J1878" s="5">
        <v>5.0</v>
      </c>
      <c r="N1878" s="3" t="b">
        <v>0</v>
      </c>
      <c r="R1878" s="3">
        <v>0.0</v>
      </c>
      <c r="T1878" s="3">
        <v>10.0</v>
      </c>
      <c r="X1878" s="77"/>
      <c r="Y1878" s="3">
        <v>4.0</v>
      </c>
      <c r="Z1878" s="3">
        <v>5.0</v>
      </c>
      <c r="AA1878" s="3">
        <f>2+ (P1878*'Scoring System'!$B$3)+ (IF(OR(AD1878="DEF",AD1878="GK"),N1878*'Scoring System'!$B$4,IF(AD1878="MID",N1878*'Scoring System'!$B$5,0)))+ (IF(OR(AD1878="DEF",AD1878="GK"),H1878*'Scoring System'!$B$6,IF(AD1878="MID",H1878*'Scoring System'!$B$7,IF(AD1878="ATT",H1878*'Scoring System'!$B$8,0))))+ IF(AND(OR(AD1878="GK",AD1878="DEF"),J1878&gt;=3),1*'Scoring System'!$B$9,0)+ (I1878*'Scoring System'!$B$10)+ (K1878*'Scoring System'!$B$11)+ (M1878*'Scoring System'!$B$12)+ (L1878*'Scoring System'!$B$13)+ (O1878*'Scoring System'!$B$14)+ (Q1878*'Scoring System'!$B$15)+ (R1878*'Scoring System'!$B$16)</f>
        <v>1</v>
      </c>
      <c r="AB1878" s="3" t="b">
        <f>IFERROR(match(C1878,'Match Day Fees'!$B$2:$B$999,0),0)=0</f>
        <v>0</v>
      </c>
      <c r="AC1878" s="3">
        <f t="shared" si="2"/>
        <v>0</v>
      </c>
      <c r="AD1878" s="3" t="str">
        <f>VLOOKUP(D1878,'Position Lookup'!A:B,2,FALSE)</f>
        <v>GK</v>
      </c>
    </row>
    <row r="1879" ht="17.25" customHeight="1">
      <c r="A1879" s="32">
        <v>45360.0</v>
      </c>
      <c r="B1879" s="5" t="s">
        <v>309</v>
      </c>
      <c r="C1879" s="3" t="s">
        <v>678</v>
      </c>
      <c r="D1879" s="3" t="s">
        <v>14</v>
      </c>
      <c r="E1879" s="5" t="s">
        <v>157</v>
      </c>
      <c r="G1879" s="3" t="s">
        <v>230</v>
      </c>
      <c r="J1879" s="5">
        <v>5.0</v>
      </c>
      <c r="N1879" s="3" t="b">
        <v>0</v>
      </c>
      <c r="R1879" s="3">
        <v>0.0</v>
      </c>
      <c r="T1879" s="3">
        <v>10.0</v>
      </c>
      <c r="X1879" s="77"/>
      <c r="Y1879" s="3">
        <v>4.0</v>
      </c>
      <c r="Z1879" s="3">
        <v>5.0</v>
      </c>
      <c r="AA1879" s="3">
        <f>2+ (P1879*'Scoring System'!$B$3)+ (IF(OR(AD1879="DEF",AD1879="GK"),N1879*'Scoring System'!$B$4,IF(AD1879="MID",N1879*'Scoring System'!$B$5,0)))+ (IF(OR(AD1879="DEF",AD1879="GK"),H1879*'Scoring System'!$B$6,IF(AD1879="MID",H1879*'Scoring System'!$B$7,IF(AD1879="ATT",H1879*'Scoring System'!$B$8,0))))+ IF(AND(OR(AD1879="GK",AD1879="DEF"),J1879&gt;=3),1*'Scoring System'!$B$9,0)+ (I1879*'Scoring System'!$B$10)+ (K1879*'Scoring System'!$B$11)+ (M1879*'Scoring System'!$B$12)+ (L1879*'Scoring System'!$B$13)+ (O1879*'Scoring System'!$B$14)+ (Q1879*'Scoring System'!$B$15)+ (R1879*'Scoring System'!$B$16)</f>
        <v>1</v>
      </c>
      <c r="AB1879" s="3" t="b">
        <f>IFERROR(match(C1879,'Match Day Fees'!$B$2:$B$999,0),0)=0</f>
        <v>0</v>
      </c>
      <c r="AC1879" s="3">
        <f t="shared" si="2"/>
        <v>0</v>
      </c>
      <c r="AD1879" s="3" t="str">
        <f>VLOOKUP(D1879,'Position Lookup'!A:B,2,FALSE)</f>
        <v>DEF</v>
      </c>
    </row>
    <row r="1880" ht="17.25" customHeight="1">
      <c r="A1880" s="32">
        <v>45360.0</v>
      </c>
      <c r="B1880" s="5" t="s">
        <v>309</v>
      </c>
      <c r="C1880" s="3" t="s">
        <v>146</v>
      </c>
      <c r="D1880" s="3" t="s">
        <v>20</v>
      </c>
      <c r="E1880" s="5" t="s">
        <v>157</v>
      </c>
      <c r="G1880" s="3" t="s">
        <v>230</v>
      </c>
      <c r="H1880" s="3">
        <v>1.0</v>
      </c>
      <c r="J1880" s="5">
        <v>5.0</v>
      </c>
      <c r="N1880" s="3" t="b">
        <v>0</v>
      </c>
      <c r="R1880" s="3">
        <v>0.0</v>
      </c>
      <c r="T1880" s="3">
        <v>10.0</v>
      </c>
      <c r="X1880" s="77"/>
      <c r="Y1880" s="3">
        <v>4.0</v>
      </c>
      <c r="Z1880" s="3">
        <v>5.0</v>
      </c>
      <c r="AA1880" s="3">
        <f>2+ (P1880*'Scoring System'!$B$3)+ (IF(OR(AD1880="DEF",AD1880="GK"),N1880*'Scoring System'!$B$4,IF(AD1880="MID",N1880*'Scoring System'!$B$5,0)))+ (IF(OR(AD1880="DEF",AD1880="GK"),H1880*'Scoring System'!$B$6,IF(AD1880="MID",H1880*'Scoring System'!$B$7,IF(AD1880="ATT",H1880*'Scoring System'!$B$8,0))))+ IF(AND(OR(AD1880="GK",AD1880="DEF"),J1880&gt;=3),1*'Scoring System'!$B$9,0)+ (I1880*'Scoring System'!$B$10)+ (K1880*'Scoring System'!$B$11)+ (M1880*'Scoring System'!$B$12)+ (L1880*'Scoring System'!$B$13)+ (O1880*'Scoring System'!$B$14)+ (Q1880*'Scoring System'!$B$15)+ (R1880*'Scoring System'!$B$16)</f>
        <v>7</v>
      </c>
      <c r="AB1880" s="3" t="b">
        <f>IFERROR(match(C1880,'Match Day Fees'!$B$2:$B$999,0),0)=0</f>
        <v>0</v>
      </c>
      <c r="AC1880" s="3">
        <f t="shared" si="2"/>
        <v>0</v>
      </c>
      <c r="AD1880" s="3" t="str">
        <f>VLOOKUP(D1880,'Position Lookup'!A:B,2,FALSE)</f>
        <v>MID</v>
      </c>
    </row>
    <row r="1881" ht="17.25" customHeight="1">
      <c r="A1881" s="32">
        <v>45360.0</v>
      </c>
      <c r="B1881" s="5" t="s">
        <v>309</v>
      </c>
      <c r="C1881" s="3" t="s">
        <v>1115</v>
      </c>
      <c r="D1881" s="3" t="s">
        <v>20</v>
      </c>
      <c r="E1881" s="5" t="s">
        <v>157</v>
      </c>
      <c r="G1881" s="3" t="s">
        <v>230</v>
      </c>
      <c r="J1881" s="5">
        <v>5.0</v>
      </c>
      <c r="N1881" s="3" t="b">
        <v>0</v>
      </c>
      <c r="R1881" s="3">
        <v>0.0</v>
      </c>
      <c r="T1881" s="3">
        <v>10.0</v>
      </c>
      <c r="X1881" s="77"/>
      <c r="Y1881" s="3">
        <v>4.0</v>
      </c>
      <c r="Z1881" s="3">
        <v>5.0</v>
      </c>
      <c r="AA1881" s="3">
        <f>2+ (P1881*'Scoring System'!$B$3)+ (IF(OR(AD1881="DEF",AD1881="GK"),N1881*'Scoring System'!$B$4,IF(AD1881="MID",N1881*'Scoring System'!$B$5,0)))+ (IF(OR(AD1881="DEF",AD1881="GK"),H1881*'Scoring System'!$B$6,IF(AD1881="MID",H1881*'Scoring System'!$B$7,IF(AD1881="ATT",H1881*'Scoring System'!$B$8,0))))+ IF(AND(OR(AD1881="GK",AD1881="DEF"),J1881&gt;=3),1*'Scoring System'!$B$9,0)+ (I1881*'Scoring System'!$B$10)+ (K1881*'Scoring System'!$B$11)+ (M1881*'Scoring System'!$B$12)+ (L1881*'Scoring System'!$B$13)+ (O1881*'Scoring System'!$B$14)+ (Q1881*'Scoring System'!$B$15)+ (R1881*'Scoring System'!$B$16)</f>
        <v>2</v>
      </c>
      <c r="AB1881" s="3" t="b">
        <f>IFERROR(match(C1881,'Match Day Fees'!$B$2:$B$999,0),0)=0</f>
        <v>0</v>
      </c>
      <c r="AC1881" s="3">
        <f t="shared" si="2"/>
        <v>0</v>
      </c>
      <c r="AD1881" s="3" t="str">
        <f>VLOOKUP(D1881,'Position Lookup'!A:B,2,FALSE)</f>
        <v>MID</v>
      </c>
    </row>
    <row r="1882" ht="17.25" customHeight="1">
      <c r="A1882" s="32">
        <v>45360.0</v>
      </c>
      <c r="B1882" s="5" t="s">
        <v>309</v>
      </c>
      <c r="C1882" s="3" t="s">
        <v>391</v>
      </c>
      <c r="D1882" s="3" t="s">
        <v>17</v>
      </c>
      <c r="E1882" s="5" t="s">
        <v>157</v>
      </c>
      <c r="G1882" s="3" t="s">
        <v>230</v>
      </c>
      <c r="J1882" s="5">
        <v>5.0</v>
      </c>
      <c r="N1882" s="3" t="b">
        <v>0</v>
      </c>
      <c r="R1882" s="3">
        <v>0.0</v>
      </c>
      <c r="T1882" s="3">
        <v>10.0</v>
      </c>
      <c r="X1882" s="77"/>
      <c r="Y1882" s="3">
        <v>4.0</v>
      </c>
      <c r="Z1882" s="3">
        <v>5.0</v>
      </c>
      <c r="AA1882" s="3">
        <f>2+ (P1882*'Scoring System'!$B$3)+ (IF(OR(AD1882="DEF",AD1882="GK"),N1882*'Scoring System'!$B$4,IF(AD1882="MID",N1882*'Scoring System'!$B$5,0)))+ (IF(OR(AD1882="DEF",AD1882="GK"),H1882*'Scoring System'!$B$6,IF(AD1882="MID",H1882*'Scoring System'!$B$7,IF(AD1882="ATT",H1882*'Scoring System'!$B$8,0))))+ IF(AND(OR(AD1882="GK",AD1882="DEF"),J1882&gt;=3),1*'Scoring System'!$B$9,0)+ (I1882*'Scoring System'!$B$10)+ (K1882*'Scoring System'!$B$11)+ (M1882*'Scoring System'!$B$12)+ (L1882*'Scoring System'!$B$13)+ (O1882*'Scoring System'!$B$14)+ (Q1882*'Scoring System'!$B$15)+ (R1882*'Scoring System'!$B$16)</f>
        <v>1</v>
      </c>
      <c r="AB1882" s="3" t="b">
        <f>IFERROR(match(C1882,'Match Day Fees'!$B$2:$B$999,0),0)=0</f>
        <v>0</v>
      </c>
      <c r="AC1882" s="3">
        <f t="shared" si="2"/>
        <v>0</v>
      </c>
      <c r="AD1882" s="3" t="str">
        <f>VLOOKUP(D1882,'Position Lookup'!A:B,2,FALSE)</f>
        <v>DEF</v>
      </c>
    </row>
    <row r="1883" ht="17.25" customHeight="1">
      <c r="A1883" s="32">
        <v>45360.0</v>
      </c>
      <c r="B1883" s="5" t="s">
        <v>309</v>
      </c>
      <c r="C1883" s="3" t="s">
        <v>290</v>
      </c>
      <c r="D1883" s="3" t="s">
        <v>14</v>
      </c>
      <c r="E1883" s="5" t="s">
        <v>157</v>
      </c>
      <c r="G1883" s="3" t="s">
        <v>230</v>
      </c>
      <c r="J1883" s="5">
        <v>5.0</v>
      </c>
      <c r="L1883" s="3" t="b">
        <v>0</v>
      </c>
      <c r="N1883" s="3" t="b">
        <v>0</v>
      </c>
      <c r="R1883" s="3">
        <v>0.0</v>
      </c>
      <c r="T1883" s="3">
        <v>10.0</v>
      </c>
      <c r="X1883" s="77"/>
      <c r="Y1883" s="3">
        <v>4.0</v>
      </c>
      <c r="Z1883" s="3">
        <v>5.0</v>
      </c>
      <c r="AA1883" s="3">
        <f>2+ (P1883*'Scoring System'!$B$3)+ (IF(OR(AD1883="DEF",AD1883="GK"),N1883*'Scoring System'!$B$4,IF(AD1883="MID",N1883*'Scoring System'!$B$5,0)))+ (IF(OR(AD1883="DEF",AD1883="GK"),H1883*'Scoring System'!$B$6,IF(AD1883="MID",H1883*'Scoring System'!$B$7,IF(AD1883="ATT",H1883*'Scoring System'!$B$8,0))))+ IF(AND(OR(AD1883="GK",AD1883="DEF"),J1883&gt;=3),1*'Scoring System'!$B$9,0)+ (I1883*'Scoring System'!$B$10)+ (K1883*'Scoring System'!$B$11)+ (M1883*'Scoring System'!$B$12)+ (L1883*'Scoring System'!$B$13)+ (O1883*'Scoring System'!$B$14)+ (Q1883*'Scoring System'!$B$15)+ (R1883*'Scoring System'!$B$16)</f>
        <v>1</v>
      </c>
      <c r="AB1883" s="3" t="b">
        <f>IFERROR(match(C1883,'Match Day Fees'!$B$2:$B$999,0),0)=0</f>
        <v>0</v>
      </c>
      <c r="AC1883" s="3">
        <f t="shared" si="2"/>
        <v>0</v>
      </c>
      <c r="AD1883" s="3" t="str">
        <f>VLOOKUP(D1883,'Position Lookup'!A:B,2,FALSE)</f>
        <v>DEF</v>
      </c>
    </row>
    <row r="1884" ht="17.25" customHeight="1">
      <c r="A1884" s="32">
        <v>45360.0</v>
      </c>
      <c r="B1884" s="5" t="s">
        <v>309</v>
      </c>
      <c r="C1884" s="3" t="s">
        <v>679</v>
      </c>
      <c r="D1884" s="3" t="s">
        <v>20</v>
      </c>
      <c r="E1884" s="5" t="s">
        <v>157</v>
      </c>
      <c r="G1884" s="3" t="s">
        <v>230</v>
      </c>
      <c r="J1884" s="5">
        <v>5.0</v>
      </c>
      <c r="N1884" s="3" t="b">
        <v>0</v>
      </c>
      <c r="R1884" s="3">
        <v>0.0</v>
      </c>
      <c r="T1884" s="3">
        <v>5.0</v>
      </c>
      <c r="X1884" s="77"/>
      <c r="Y1884" s="3">
        <v>4.0</v>
      </c>
      <c r="Z1884" s="3">
        <v>5.0</v>
      </c>
      <c r="AA1884" s="3">
        <f>2+ (P1884*'Scoring System'!$B$3)+ (IF(OR(AD1884="DEF",AD1884="GK"),N1884*'Scoring System'!$B$4,IF(AD1884="MID",N1884*'Scoring System'!$B$5,0)))+ (IF(OR(AD1884="DEF",AD1884="GK"),H1884*'Scoring System'!$B$6,IF(AD1884="MID",H1884*'Scoring System'!$B$7,IF(AD1884="ATT",H1884*'Scoring System'!$B$8,0))))+ IF(AND(OR(AD1884="GK",AD1884="DEF"),J1884&gt;=3),1*'Scoring System'!$B$9,0)+ (I1884*'Scoring System'!$B$10)+ (K1884*'Scoring System'!$B$11)+ (M1884*'Scoring System'!$B$12)+ (L1884*'Scoring System'!$B$13)+ (O1884*'Scoring System'!$B$14)+ (Q1884*'Scoring System'!$B$15)+ (R1884*'Scoring System'!$B$16)</f>
        <v>2</v>
      </c>
      <c r="AB1884" s="3" t="b">
        <f>IFERROR(match(C1884,'Match Day Fees'!$B$2:$B$999,0),0)=0</f>
        <v>0</v>
      </c>
      <c r="AC1884" s="3">
        <f t="shared" si="2"/>
        <v>0</v>
      </c>
      <c r="AD1884" s="3" t="str">
        <f>VLOOKUP(D1884,'Position Lookup'!A:B,2,FALSE)</f>
        <v>MID</v>
      </c>
    </row>
    <row r="1885" ht="17.25" customHeight="1">
      <c r="A1885" s="32">
        <v>45360.0</v>
      </c>
      <c r="B1885" s="5" t="s">
        <v>309</v>
      </c>
      <c r="C1885" s="3" t="s">
        <v>1747</v>
      </c>
      <c r="D1885" s="3" t="s">
        <v>20</v>
      </c>
      <c r="E1885" s="5" t="s">
        <v>157</v>
      </c>
      <c r="G1885" s="3" t="s">
        <v>230</v>
      </c>
      <c r="I1885" s="3">
        <v>1.0</v>
      </c>
      <c r="J1885" s="5">
        <v>5.0</v>
      </c>
      <c r="N1885" s="3" t="b">
        <v>0</v>
      </c>
      <c r="R1885" s="3">
        <v>1.0</v>
      </c>
      <c r="T1885" s="3">
        <v>10.0</v>
      </c>
      <c r="X1885" s="77"/>
      <c r="Y1885" s="3">
        <v>4.0</v>
      </c>
      <c r="Z1885" s="3">
        <v>5.0</v>
      </c>
      <c r="AA1885" s="3">
        <f>2+ (P1885*'Scoring System'!$B$3)+ (IF(OR(AD1885="DEF",AD1885="GK"),N1885*'Scoring System'!$B$4,IF(AD1885="MID",N1885*'Scoring System'!$B$5,0)))+ (IF(OR(AD1885="DEF",AD1885="GK"),H1885*'Scoring System'!$B$6,IF(AD1885="MID",H1885*'Scoring System'!$B$7,IF(AD1885="ATT",H1885*'Scoring System'!$B$8,0))))+ IF(AND(OR(AD1885="GK",AD1885="DEF"),J1885&gt;=3),1*'Scoring System'!$B$9,0)+ (I1885*'Scoring System'!$B$10)+ (K1885*'Scoring System'!$B$11)+ (M1885*'Scoring System'!$B$12)+ (L1885*'Scoring System'!$B$13)+ (O1885*'Scoring System'!$B$14)+ (Q1885*'Scoring System'!$B$15)+ (R1885*'Scoring System'!$B$16)</f>
        <v>10</v>
      </c>
      <c r="AB1885" s="3" t="b">
        <f>IFERROR(match(C1885,'Match Day Fees'!$B$2:$B$999,0),0)=0</f>
        <v>0</v>
      </c>
      <c r="AC1885" s="3">
        <f t="shared" si="2"/>
        <v>0</v>
      </c>
      <c r="AD1885" s="3" t="str">
        <f>VLOOKUP(D1885,'Position Lookup'!A:B,2,FALSE)</f>
        <v>MID</v>
      </c>
    </row>
    <row r="1886" ht="17.25" customHeight="1">
      <c r="A1886" s="32">
        <v>45360.0</v>
      </c>
      <c r="B1886" s="5" t="s">
        <v>309</v>
      </c>
      <c r="C1886" s="5" t="s">
        <v>55</v>
      </c>
      <c r="D1886" s="3" t="s">
        <v>14</v>
      </c>
      <c r="E1886" s="5" t="s">
        <v>157</v>
      </c>
      <c r="G1886" s="3" t="s">
        <v>230</v>
      </c>
      <c r="H1886" s="3">
        <v>1.0</v>
      </c>
      <c r="I1886" s="3">
        <v>1.0</v>
      </c>
      <c r="J1886" s="5">
        <v>5.0</v>
      </c>
      <c r="N1886" s="3" t="b">
        <v>0</v>
      </c>
      <c r="R1886" s="3">
        <v>0.0</v>
      </c>
      <c r="T1886" s="3">
        <v>10.0</v>
      </c>
      <c r="X1886" s="77"/>
      <c r="Y1886" s="3">
        <v>4.0</v>
      </c>
      <c r="Z1886" s="3">
        <v>5.0</v>
      </c>
      <c r="AA1886" s="3">
        <f>2+ (P1886*'Scoring System'!$B$3)+ (IF(OR(AD1886="DEF",AD1886="GK"),N1886*'Scoring System'!$B$4,IF(AD1886="MID",N1886*'Scoring System'!$B$5,0)))+ (IF(OR(AD1886="DEF",AD1886="GK"),H1886*'Scoring System'!$B$6,IF(AD1886="MID",H1886*'Scoring System'!$B$7,IF(AD1886="ATT",H1886*'Scoring System'!$B$8,0))))+ IF(AND(OR(AD1886="GK",AD1886="DEF"),J1886&gt;=3),1*'Scoring System'!$B$9,0)+ (I1886*'Scoring System'!$B$10)+ (K1886*'Scoring System'!$B$11)+ (M1886*'Scoring System'!$B$12)+ (L1886*'Scoring System'!$B$13)+ (O1886*'Scoring System'!$B$14)+ (Q1886*'Scoring System'!$B$15)+ (R1886*'Scoring System'!$B$16)</f>
        <v>10</v>
      </c>
      <c r="AB1886" s="3" t="b">
        <f>IFERROR(match(C1886,'Match Day Fees'!$B$2:$B$999,0),0)=0</f>
        <v>0</v>
      </c>
      <c r="AC1886" s="3">
        <f t="shared" si="2"/>
        <v>0</v>
      </c>
      <c r="AD1886" s="3" t="str">
        <f>VLOOKUP(D1886,'Position Lookup'!A:B,2,FALSE)</f>
        <v>DEF</v>
      </c>
    </row>
    <row r="1887" ht="17.25" customHeight="1">
      <c r="A1887" s="32">
        <v>45360.0</v>
      </c>
      <c r="B1887" s="5" t="s">
        <v>309</v>
      </c>
      <c r="C1887" s="5" t="s">
        <v>393</v>
      </c>
      <c r="D1887" s="3" t="s">
        <v>18</v>
      </c>
      <c r="E1887" s="5" t="s">
        <v>157</v>
      </c>
      <c r="G1887" s="3" t="s">
        <v>230</v>
      </c>
      <c r="J1887" s="5">
        <v>5.0</v>
      </c>
      <c r="N1887" s="3" t="b">
        <v>0</v>
      </c>
      <c r="R1887" s="3">
        <v>0.0</v>
      </c>
      <c r="S1887" s="5">
        <v>1.0</v>
      </c>
      <c r="T1887" s="5">
        <v>0.0</v>
      </c>
      <c r="X1887" s="77"/>
      <c r="Y1887" s="3">
        <v>4.0</v>
      </c>
      <c r="Z1887" s="3">
        <v>5.0</v>
      </c>
      <c r="AA1887" s="3">
        <f>2+ (P1887*'Scoring System'!$B$3)+ (IF(OR(AD1887="DEF",AD1887="GK"),N1887*'Scoring System'!$B$4,IF(AD1887="MID",N1887*'Scoring System'!$B$5,0)))+ (IF(OR(AD1887="DEF",AD1887="GK"),H1887*'Scoring System'!$B$6,IF(AD1887="MID",H1887*'Scoring System'!$B$7,IF(AD1887="ATT",H1887*'Scoring System'!$B$8,0))))+ IF(AND(OR(AD1887="GK",AD1887="DEF"),J1887&gt;=3),1*'Scoring System'!$B$9,0)+ (I1887*'Scoring System'!$B$10)+ (K1887*'Scoring System'!$B$11)+ (M1887*'Scoring System'!$B$12)+ (L1887*'Scoring System'!$B$13)+ (O1887*'Scoring System'!$B$14)+ (Q1887*'Scoring System'!$B$15)+ (R1887*'Scoring System'!$B$16)</f>
        <v>1</v>
      </c>
      <c r="AB1887" s="3" t="b">
        <f>IFERROR(match(C1887,'Match Day Fees'!$B$2:$B$999,0),0)=0</f>
        <v>0</v>
      </c>
      <c r="AC1887" s="3">
        <f t="shared" si="2"/>
        <v>0</v>
      </c>
      <c r="AD1887" s="3" t="str">
        <f>VLOOKUP(D1887,'Position Lookup'!A:B,2,FALSE)</f>
        <v>DEF</v>
      </c>
    </row>
    <row r="1888" ht="17.25" customHeight="1">
      <c r="A1888" s="32">
        <v>45360.0</v>
      </c>
      <c r="B1888" s="5" t="s">
        <v>309</v>
      </c>
      <c r="C1888" s="3" t="s">
        <v>129</v>
      </c>
      <c r="D1888" s="3" t="s">
        <v>24</v>
      </c>
      <c r="E1888" s="5" t="s">
        <v>157</v>
      </c>
      <c r="G1888" s="3" t="s">
        <v>230</v>
      </c>
      <c r="J1888" s="5">
        <v>5.0</v>
      </c>
      <c r="N1888" s="3" t="b">
        <v>0</v>
      </c>
      <c r="R1888" s="3">
        <v>0.0</v>
      </c>
      <c r="T1888" s="3">
        <v>5.0</v>
      </c>
      <c r="X1888" s="77"/>
      <c r="Y1888" s="3">
        <v>4.0</v>
      </c>
      <c r="Z1888" s="3">
        <v>5.0</v>
      </c>
      <c r="AA1888" s="3">
        <f>2+ (P1888*'Scoring System'!$B$3)+ (IF(OR(AD1888="DEF",AD1888="GK"),N1888*'Scoring System'!$B$4,IF(AD1888="MID",N1888*'Scoring System'!$B$5,0)))+ (IF(OR(AD1888="DEF",AD1888="GK"),H1888*'Scoring System'!$B$6,IF(AD1888="MID",H1888*'Scoring System'!$B$7,IF(AD1888="ATT",H1888*'Scoring System'!$B$8,0))))+ IF(AND(OR(AD1888="GK",AD1888="DEF"),J1888&gt;=3),1*'Scoring System'!$B$9,0)+ (I1888*'Scoring System'!$B$10)+ (K1888*'Scoring System'!$B$11)+ (M1888*'Scoring System'!$B$12)+ (L1888*'Scoring System'!$B$13)+ (O1888*'Scoring System'!$B$14)+ (Q1888*'Scoring System'!$B$15)+ (R1888*'Scoring System'!$B$16)</f>
        <v>2</v>
      </c>
      <c r="AB1888" s="3" t="b">
        <f>IFERROR(match(C1888,'Match Day Fees'!$B$2:$B$999,0),0)=0</f>
        <v>0</v>
      </c>
      <c r="AC1888" s="3">
        <f t="shared" si="2"/>
        <v>0</v>
      </c>
      <c r="AD1888" s="3" t="str">
        <f>VLOOKUP(D1888,'Position Lookup'!A:B,2,FALSE)</f>
        <v>ATT</v>
      </c>
    </row>
    <row r="1889" ht="17.25" customHeight="1">
      <c r="A1889" s="32">
        <v>45360.0</v>
      </c>
      <c r="B1889" s="5" t="s">
        <v>309</v>
      </c>
      <c r="C1889" s="3" t="s">
        <v>153</v>
      </c>
      <c r="D1889" s="3" t="s">
        <v>24</v>
      </c>
      <c r="E1889" s="5" t="s">
        <v>157</v>
      </c>
      <c r="G1889" s="3" t="s">
        <v>230</v>
      </c>
      <c r="H1889" s="3">
        <v>2.0</v>
      </c>
      <c r="J1889" s="5">
        <v>5.0</v>
      </c>
      <c r="N1889" s="3" t="b">
        <v>0</v>
      </c>
      <c r="R1889" s="3">
        <v>0.0</v>
      </c>
      <c r="T1889" s="3">
        <v>5.0</v>
      </c>
      <c r="X1889" s="77"/>
      <c r="Y1889" s="3">
        <v>4.0</v>
      </c>
      <c r="Z1889" s="3">
        <v>5.0</v>
      </c>
      <c r="AA1889" s="3">
        <f>2+ (P1889*'Scoring System'!$B$3)+ (IF(OR(AD1889="DEF",AD1889="GK"),N1889*'Scoring System'!$B$4,IF(AD1889="MID",N1889*'Scoring System'!$B$5,0)))+ (IF(OR(AD1889="DEF",AD1889="GK"),H1889*'Scoring System'!$B$6,IF(AD1889="MID",H1889*'Scoring System'!$B$7,IF(AD1889="ATT",H1889*'Scoring System'!$B$8,0))))+ IF(AND(OR(AD1889="GK",AD1889="DEF"),J1889&gt;=3),1*'Scoring System'!$B$9,0)+ (I1889*'Scoring System'!$B$10)+ (K1889*'Scoring System'!$B$11)+ (M1889*'Scoring System'!$B$12)+ (L1889*'Scoring System'!$B$13)+ (O1889*'Scoring System'!$B$14)+ (Q1889*'Scoring System'!$B$15)+ (R1889*'Scoring System'!$B$16)</f>
        <v>10</v>
      </c>
      <c r="AB1889" s="3" t="b">
        <f>IFERROR(match(C1889,'Match Day Fees'!$B$2:$B$999,0),0)=0</f>
        <v>0</v>
      </c>
      <c r="AC1889" s="3">
        <f t="shared" si="2"/>
        <v>0</v>
      </c>
      <c r="AD1889" s="3" t="str">
        <f>VLOOKUP(D1889,'Position Lookup'!A:B,2,FALSE)</f>
        <v>ATT</v>
      </c>
    </row>
    <row r="1890" ht="17.25" customHeight="1">
      <c r="A1890" s="32">
        <v>45360.0</v>
      </c>
      <c r="B1890" s="5" t="s">
        <v>309</v>
      </c>
      <c r="C1890" s="3" t="s">
        <v>152</v>
      </c>
      <c r="D1890" s="3" t="s">
        <v>24</v>
      </c>
      <c r="E1890" s="5" t="s">
        <v>157</v>
      </c>
      <c r="G1890" s="3" t="s">
        <v>230</v>
      </c>
      <c r="J1890" s="5">
        <v>5.0</v>
      </c>
      <c r="N1890" s="3" t="b">
        <v>0</v>
      </c>
      <c r="R1890" s="3">
        <v>0.0</v>
      </c>
      <c r="T1890" s="3">
        <v>10.0</v>
      </c>
      <c r="X1890" s="77"/>
      <c r="Y1890" s="3">
        <v>4.0</v>
      </c>
      <c r="Z1890" s="3">
        <v>5.0</v>
      </c>
      <c r="AA1890" s="3">
        <f>2+ (P1890*'Scoring System'!$B$3)+ (IF(OR(AD1890="DEF",AD1890="GK"),N1890*'Scoring System'!$B$4,IF(AD1890="MID",N1890*'Scoring System'!$B$5,0)))+ (IF(OR(AD1890="DEF",AD1890="GK"),H1890*'Scoring System'!$B$6,IF(AD1890="MID",H1890*'Scoring System'!$B$7,IF(AD1890="ATT",H1890*'Scoring System'!$B$8,0))))+ IF(AND(OR(AD1890="GK",AD1890="DEF"),J1890&gt;=3),1*'Scoring System'!$B$9,0)+ (I1890*'Scoring System'!$B$10)+ (K1890*'Scoring System'!$B$11)+ (M1890*'Scoring System'!$B$12)+ (L1890*'Scoring System'!$B$13)+ (O1890*'Scoring System'!$B$14)+ (Q1890*'Scoring System'!$B$15)+ (R1890*'Scoring System'!$B$16)</f>
        <v>2</v>
      </c>
      <c r="AB1890" s="3" t="b">
        <f>IFERROR(match(C1890,'Match Day Fees'!$B$2:$B$999,0),0)=0</f>
        <v>0</v>
      </c>
      <c r="AC1890" s="3">
        <f t="shared" si="2"/>
        <v>0</v>
      </c>
      <c r="AD1890" s="3" t="str">
        <f>VLOOKUP(D1890,'Position Lookup'!A:B,2,FALSE)</f>
        <v>ATT</v>
      </c>
    </row>
    <row r="1891" ht="17.25" customHeight="1">
      <c r="A1891" s="32">
        <v>45360.0</v>
      </c>
      <c r="B1891" s="5" t="s">
        <v>309</v>
      </c>
      <c r="C1891" s="3" t="s">
        <v>38</v>
      </c>
      <c r="D1891" s="3" t="s">
        <v>8</v>
      </c>
      <c r="E1891" s="5">
        <v>2.0</v>
      </c>
      <c r="F1891" s="3" t="s">
        <v>1976</v>
      </c>
      <c r="G1891" s="3" t="s">
        <v>224</v>
      </c>
      <c r="J1891" s="5">
        <v>1.0</v>
      </c>
      <c r="N1891" s="3" t="b">
        <v>0</v>
      </c>
      <c r="R1891" s="3">
        <v>0.0</v>
      </c>
      <c r="T1891" s="3">
        <v>10.0</v>
      </c>
      <c r="U1891" s="3">
        <v>6.5</v>
      </c>
      <c r="V1891" s="3" t="s">
        <v>1977</v>
      </c>
      <c r="W1891" s="3" t="s">
        <v>327</v>
      </c>
      <c r="X1891" s="77" t="s">
        <v>1978</v>
      </c>
      <c r="Y1891" s="3">
        <v>4.0</v>
      </c>
      <c r="Z1891" s="3">
        <v>1.0</v>
      </c>
      <c r="AA1891" s="3">
        <f>2+ (P1891*'Scoring System'!$B$3)+ (IF(OR(AD1891="DEF",AD1891="GK"),N1891*'Scoring System'!$B$4,IF(AD1891="MID",N1891*'Scoring System'!$B$5,0)))+ (IF(OR(AD1891="DEF",AD1891="GK"),H1891*'Scoring System'!$B$6,IF(AD1891="MID",H1891*'Scoring System'!$B$7,IF(AD1891="ATT",H1891*'Scoring System'!$B$8,0))))+ IF(AND(OR(AD1891="GK",AD1891="DEF"),J1891&gt;=3),1*'Scoring System'!$B$9,0)+ (I1891*'Scoring System'!$B$10)+ (K1891*'Scoring System'!$B$11)+ (M1891*'Scoring System'!$B$12)+ (L1891*'Scoring System'!$B$13)+ (O1891*'Scoring System'!$B$14)+ (Q1891*'Scoring System'!$B$15)+ (R1891*'Scoring System'!$B$16)</f>
        <v>2</v>
      </c>
      <c r="AB1891" s="3" t="b">
        <f>IFERROR(match(C1891,'Match Day Fees'!$B$2:$B$999,0),0)=0</f>
        <v>0</v>
      </c>
      <c r="AC1891" s="3">
        <f t="shared" si="2"/>
        <v>0</v>
      </c>
      <c r="AD1891" s="3" t="str">
        <f>VLOOKUP(D1891,'Position Lookup'!A:B,2,FALSE)</f>
        <v>GK</v>
      </c>
    </row>
    <row r="1892" ht="17.25" customHeight="1">
      <c r="A1892" s="32">
        <v>45360.0</v>
      </c>
      <c r="B1892" s="5" t="s">
        <v>309</v>
      </c>
      <c r="C1892" s="3" t="s">
        <v>56</v>
      </c>
      <c r="D1892" s="3" t="s">
        <v>14</v>
      </c>
      <c r="E1892" s="5">
        <v>2.0</v>
      </c>
      <c r="F1892" s="3" t="s">
        <v>1976</v>
      </c>
      <c r="G1892" s="3" t="s">
        <v>224</v>
      </c>
      <c r="J1892" s="5">
        <v>1.0</v>
      </c>
      <c r="N1892" s="3" t="b">
        <v>0</v>
      </c>
      <c r="R1892" s="3">
        <v>0.0</v>
      </c>
      <c r="T1892" s="3">
        <v>10.0</v>
      </c>
      <c r="U1892" s="3">
        <v>8.5</v>
      </c>
      <c r="V1892" s="3" t="s">
        <v>1979</v>
      </c>
      <c r="W1892" s="3" t="s">
        <v>327</v>
      </c>
      <c r="X1892" s="77" t="s">
        <v>1978</v>
      </c>
      <c r="Y1892" s="3">
        <v>4.0</v>
      </c>
      <c r="Z1892" s="3">
        <v>1.0</v>
      </c>
      <c r="AA1892" s="3">
        <f>2+ (P1892*'Scoring System'!$B$3)+ (IF(OR(AD1892="DEF",AD1892="GK"),N1892*'Scoring System'!$B$4,IF(AD1892="MID",N1892*'Scoring System'!$B$5,0)))+ (IF(OR(AD1892="DEF",AD1892="GK"),H1892*'Scoring System'!$B$6,IF(AD1892="MID",H1892*'Scoring System'!$B$7,IF(AD1892="ATT",H1892*'Scoring System'!$B$8,0))))+ IF(AND(OR(AD1892="GK",AD1892="DEF"),J1892&gt;=3),1*'Scoring System'!$B$9,0)+ (I1892*'Scoring System'!$B$10)+ (K1892*'Scoring System'!$B$11)+ (M1892*'Scoring System'!$B$12)+ (L1892*'Scoring System'!$B$13)+ (O1892*'Scoring System'!$B$14)+ (Q1892*'Scoring System'!$B$15)+ (R1892*'Scoring System'!$B$16)</f>
        <v>2</v>
      </c>
      <c r="AB1892" s="3" t="b">
        <f>IFERROR(match(C1892,'Match Day Fees'!$B$2:$B$999,0),0)=0</f>
        <v>0</v>
      </c>
      <c r="AC1892" s="3">
        <f t="shared" si="2"/>
        <v>0</v>
      </c>
      <c r="AD1892" s="3" t="str">
        <f>VLOOKUP(D1892,'Position Lookup'!A:B,2,FALSE)</f>
        <v>DEF</v>
      </c>
    </row>
    <row r="1893" ht="17.25" customHeight="1">
      <c r="A1893" s="32">
        <v>45360.0</v>
      </c>
      <c r="B1893" s="5" t="s">
        <v>309</v>
      </c>
      <c r="C1893" s="3" t="s">
        <v>120</v>
      </c>
      <c r="D1893" s="3" t="s">
        <v>14</v>
      </c>
      <c r="E1893" s="5">
        <v>2.0</v>
      </c>
      <c r="F1893" s="3" t="s">
        <v>1976</v>
      </c>
      <c r="G1893" s="3" t="s">
        <v>224</v>
      </c>
      <c r="J1893" s="5">
        <v>1.0</v>
      </c>
      <c r="N1893" s="3" t="b">
        <v>0</v>
      </c>
      <c r="R1893" s="3">
        <v>0.0</v>
      </c>
      <c r="T1893" s="3">
        <v>10.0</v>
      </c>
      <c r="U1893" s="3">
        <v>6.5</v>
      </c>
      <c r="V1893" s="3" t="s">
        <v>1980</v>
      </c>
      <c r="W1893" s="3" t="s">
        <v>327</v>
      </c>
      <c r="X1893" s="77" t="s">
        <v>1978</v>
      </c>
      <c r="Y1893" s="3">
        <v>4.0</v>
      </c>
      <c r="Z1893" s="3">
        <v>1.0</v>
      </c>
      <c r="AA1893" s="3">
        <f>2+ (P1893*'Scoring System'!$B$3)+ (IF(OR(AD1893="DEF",AD1893="GK"),N1893*'Scoring System'!$B$4,IF(AD1893="MID",N1893*'Scoring System'!$B$5,0)))+ (IF(OR(AD1893="DEF",AD1893="GK"),H1893*'Scoring System'!$B$6,IF(AD1893="MID",H1893*'Scoring System'!$B$7,IF(AD1893="ATT",H1893*'Scoring System'!$B$8,0))))+ IF(AND(OR(AD1893="GK",AD1893="DEF"),J1893&gt;=3),1*'Scoring System'!$B$9,0)+ (I1893*'Scoring System'!$B$10)+ (K1893*'Scoring System'!$B$11)+ (M1893*'Scoring System'!$B$12)+ (L1893*'Scoring System'!$B$13)+ (O1893*'Scoring System'!$B$14)+ (Q1893*'Scoring System'!$B$15)+ (R1893*'Scoring System'!$B$16)</f>
        <v>2</v>
      </c>
      <c r="AB1893" s="3" t="b">
        <f>IFERROR(match(C1893,'Match Day Fees'!$B$2:$B$999,0),0)=0</f>
        <v>0</v>
      </c>
      <c r="AC1893" s="3">
        <f t="shared" si="2"/>
        <v>0</v>
      </c>
      <c r="AD1893" s="3" t="str">
        <f>VLOOKUP(D1893,'Position Lookup'!A:B,2,FALSE)</f>
        <v>DEF</v>
      </c>
    </row>
    <row r="1894" ht="17.25" customHeight="1">
      <c r="A1894" s="32">
        <v>45360.0</v>
      </c>
      <c r="B1894" s="5" t="s">
        <v>309</v>
      </c>
      <c r="C1894" s="3" t="s">
        <v>81</v>
      </c>
      <c r="D1894" s="3" t="s">
        <v>16</v>
      </c>
      <c r="E1894" s="5">
        <v>2.0</v>
      </c>
      <c r="F1894" s="3" t="s">
        <v>1976</v>
      </c>
      <c r="G1894" s="3" t="s">
        <v>224</v>
      </c>
      <c r="J1894" s="5">
        <v>1.0</v>
      </c>
      <c r="N1894" s="3" t="b">
        <v>0</v>
      </c>
      <c r="R1894" s="3">
        <v>0.0</v>
      </c>
      <c r="T1894" s="3">
        <v>10.0</v>
      </c>
      <c r="U1894" s="3">
        <v>6.5</v>
      </c>
      <c r="V1894" s="3" t="s">
        <v>1981</v>
      </c>
      <c r="W1894" s="3" t="s">
        <v>327</v>
      </c>
      <c r="X1894" s="77" t="s">
        <v>1978</v>
      </c>
      <c r="Y1894" s="3">
        <v>4.0</v>
      </c>
      <c r="Z1894" s="3">
        <v>1.0</v>
      </c>
      <c r="AA1894" s="3">
        <f>2+ (P1894*'Scoring System'!$B$3)+ (IF(OR(AD1894="DEF",AD1894="GK"),N1894*'Scoring System'!$B$4,IF(AD1894="MID",N1894*'Scoring System'!$B$5,0)))+ (IF(OR(AD1894="DEF",AD1894="GK"),H1894*'Scoring System'!$B$6,IF(AD1894="MID",H1894*'Scoring System'!$B$7,IF(AD1894="ATT",H1894*'Scoring System'!$B$8,0))))+ IF(AND(OR(AD1894="GK",AD1894="DEF"),J1894&gt;=3),1*'Scoring System'!$B$9,0)+ (I1894*'Scoring System'!$B$10)+ (K1894*'Scoring System'!$B$11)+ (M1894*'Scoring System'!$B$12)+ (L1894*'Scoring System'!$B$13)+ (O1894*'Scoring System'!$B$14)+ (Q1894*'Scoring System'!$B$15)+ (R1894*'Scoring System'!$B$16)</f>
        <v>2</v>
      </c>
      <c r="AB1894" s="3" t="b">
        <f>IFERROR(match(C1894,'Match Day Fees'!$B$2:$B$999,0),0)=0</f>
        <v>0</v>
      </c>
      <c r="AC1894" s="3">
        <f t="shared" si="2"/>
        <v>0</v>
      </c>
      <c r="AD1894" s="3" t="str">
        <f>VLOOKUP(D1894,'Position Lookup'!A:B,2,FALSE)</f>
        <v>DEF</v>
      </c>
    </row>
    <row r="1895" ht="17.25" customHeight="1">
      <c r="A1895" s="32">
        <v>45360.0</v>
      </c>
      <c r="B1895" s="5" t="s">
        <v>309</v>
      </c>
      <c r="C1895" s="3" t="s">
        <v>1253</v>
      </c>
      <c r="D1895" s="3" t="s">
        <v>12</v>
      </c>
      <c r="E1895" s="5">
        <v>2.0</v>
      </c>
      <c r="F1895" s="3" t="s">
        <v>1976</v>
      </c>
      <c r="G1895" s="3" t="s">
        <v>224</v>
      </c>
      <c r="J1895" s="5">
        <v>1.0</v>
      </c>
      <c r="N1895" s="3" t="b">
        <v>0</v>
      </c>
      <c r="R1895" s="3">
        <v>0.0</v>
      </c>
      <c r="T1895" s="3">
        <v>5.0</v>
      </c>
      <c r="U1895" s="3">
        <v>7.0</v>
      </c>
      <c r="V1895" s="3" t="s">
        <v>1982</v>
      </c>
      <c r="W1895" s="3" t="s">
        <v>327</v>
      </c>
      <c r="X1895" s="77" t="s">
        <v>1978</v>
      </c>
      <c r="Y1895" s="3">
        <v>4.0</v>
      </c>
      <c r="Z1895" s="3">
        <v>1.0</v>
      </c>
      <c r="AA1895" s="3">
        <f>2+ (P1895*'Scoring System'!$B$3)+ (IF(OR(AD1895="DEF",AD1895="GK"),N1895*'Scoring System'!$B$4,IF(AD1895="MID",N1895*'Scoring System'!$B$5,0)))+ (IF(OR(AD1895="DEF",AD1895="GK"),H1895*'Scoring System'!$B$6,IF(AD1895="MID",H1895*'Scoring System'!$B$7,IF(AD1895="ATT",H1895*'Scoring System'!$B$8,0))))+ IF(AND(OR(AD1895="GK",AD1895="DEF"),J1895&gt;=3),1*'Scoring System'!$B$9,0)+ (I1895*'Scoring System'!$B$10)+ (K1895*'Scoring System'!$B$11)+ (M1895*'Scoring System'!$B$12)+ (L1895*'Scoring System'!$B$13)+ (O1895*'Scoring System'!$B$14)+ (Q1895*'Scoring System'!$B$15)+ (R1895*'Scoring System'!$B$16)</f>
        <v>2</v>
      </c>
      <c r="AB1895" s="3" t="b">
        <f>IFERROR(match(C1895,'Match Day Fees'!$B$2:$B$999,0),0)=0</f>
        <v>0</v>
      </c>
      <c r="AC1895" s="3">
        <f t="shared" si="2"/>
        <v>0</v>
      </c>
      <c r="AD1895" s="3" t="str">
        <f>VLOOKUP(D1895,'Position Lookup'!A:B,2,FALSE)</f>
        <v>DEF</v>
      </c>
    </row>
    <row r="1896" ht="17.25" customHeight="1">
      <c r="A1896" s="32">
        <v>45360.0</v>
      </c>
      <c r="B1896" s="5" t="s">
        <v>309</v>
      </c>
      <c r="C1896" s="3" t="s">
        <v>104</v>
      </c>
      <c r="D1896" s="3" t="s">
        <v>20</v>
      </c>
      <c r="E1896" s="5">
        <v>2.0</v>
      </c>
      <c r="F1896" s="3" t="s">
        <v>1976</v>
      </c>
      <c r="G1896" s="3" t="s">
        <v>224</v>
      </c>
      <c r="J1896" s="5">
        <v>1.0</v>
      </c>
      <c r="N1896" s="3" t="b">
        <v>0</v>
      </c>
      <c r="R1896" s="3">
        <v>0.0</v>
      </c>
      <c r="T1896" s="3">
        <v>5.0</v>
      </c>
      <c r="U1896" s="3">
        <v>6.0</v>
      </c>
      <c r="V1896" s="3" t="s">
        <v>1983</v>
      </c>
      <c r="W1896" s="3" t="s">
        <v>327</v>
      </c>
      <c r="X1896" s="77" t="s">
        <v>1978</v>
      </c>
      <c r="Y1896" s="3">
        <v>4.0</v>
      </c>
      <c r="Z1896" s="3">
        <v>1.0</v>
      </c>
      <c r="AA1896" s="3">
        <f>2+ (P1896*'Scoring System'!$B$3)+ (IF(OR(AD1896="DEF",AD1896="GK"),N1896*'Scoring System'!$B$4,IF(AD1896="MID",N1896*'Scoring System'!$B$5,0)))+ (IF(OR(AD1896="DEF",AD1896="GK"),H1896*'Scoring System'!$B$6,IF(AD1896="MID",H1896*'Scoring System'!$B$7,IF(AD1896="ATT",H1896*'Scoring System'!$B$8,0))))+ IF(AND(OR(AD1896="GK",AD1896="DEF"),J1896&gt;=3),1*'Scoring System'!$B$9,0)+ (I1896*'Scoring System'!$B$10)+ (K1896*'Scoring System'!$B$11)+ (M1896*'Scoring System'!$B$12)+ (L1896*'Scoring System'!$B$13)+ (O1896*'Scoring System'!$B$14)+ (Q1896*'Scoring System'!$B$15)+ (R1896*'Scoring System'!$B$16)</f>
        <v>2</v>
      </c>
      <c r="AB1896" s="3" t="b">
        <f>IFERROR(match(C1896,'Match Day Fees'!$B$2:$B$999,0),0)=0</f>
        <v>0</v>
      </c>
      <c r="AC1896" s="3">
        <f t="shared" si="2"/>
        <v>0</v>
      </c>
      <c r="AD1896" s="3" t="str">
        <f>VLOOKUP(D1896,'Position Lookup'!A:B,2,FALSE)</f>
        <v>MID</v>
      </c>
    </row>
    <row r="1897" ht="17.25" customHeight="1">
      <c r="A1897" s="32">
        <v>45360.0</v>
      </c>
      <c r="B1897" s="5" t="s">
        <v>309</v>
      </c>
      <c r="C1897" s="3" t="s">
        <v>93</v>
      </c>
      <c r="D1897" s="3" t="s">
        <v>20</v>
      </c>
      <c r="E1897" s="5">
        <v>2.0</v>
      </c>
      <c r="F1897" s="3" t="s">
        <v>1976</v>
      </c>
      <c r="G1897" s="3" t="s">
        <v>224</v>
      </c>
      <c r="J1897" s="5">
        <v>1.0</v>
      </c>
      <c r="N1897" s="3" t="b">
        <v>0</v>
      </c>
      <c r="R1897" s="3">
        <v>0.0</v>
      </c>
      <c r="T1897" s="3">
        <v>10.0</v>
      </c>
      <c r="U1897" s="3">
        <v>6.5</v>
      </c>
      <c r="V1897" s="3" t="s">
        <v>1984</v>
      </c>
      <c r="W1897" s="3" t="s">
        <v>327</v>
      </c>
      <c r="X1897" s="77" t="s">
        <v>1978</v>
      </c>
      <c r="Y1897" s="3">
        <v>4.0</v>
      </c>
      <c r="Z1897" s="3">
        <v>1.0</v>
      </c>
      <c r="AA1897" s="3">
        <f>2+ (P1897*'Scoring System'!$B$3)+ (IF(OR(AD1897="DEF",AD1897="GK"),N1897*'Scoring System'!$B$4,IF(AD1897="MID",N1897*'Scoring System'!$B$5,0)))+ (IF(OR(AD1897="DEF",AD1897="GK"),H1897*'Scoring System'!$B$6,IF(AD1897="MID",H1897*'Scoring System'!$B$7,IF(AD1897="ATT",H1897*'Scoring System'!$B$8,0))))+ IF(AND(OR(AD1897="GK",AD1897="DEF"),J1897&gt;=3),1*'Scoring System'!$B$9,0)+ (I1897*'Scoring System'!$B$10)+ (K1897*'Scoring System'!$B$11)+ (M1897*'Scoring System'!$B$12)+ (L1897*'Scoring System'!$B$13)+ (O1897*'Scoring System'!$B$14)+ (Q1897*'Scoring System'!$B$15)+ (R1897*'Scoring System'!$B$16)</f>
        <v>2</v>
      </c>
      <c r="AB1897" s="3" t="b">
        <f>IFERROR(match(C1897,'Match Day Fees'!$B$2:$B$999,0),0)=0</f>
        <v>0</v>
      </c>
      <c r="AC1897" s="3">
        <f t="shared" si="2"/>
        <v>0</v>
      </c>
      <c r="AD1897" s="3" t="str">
        <f>VLOOKUP(D1897,'Position Lookup'!A:B,2,FALSE)</f>
        <v>MID</v>
      </c>
    </row>
    <row r="1898" ht="17.25" customHeight="1">
      <c r="A1898" s="32">
        <v>45360.0</v>
      </c>
      <c r="B1898" s="5" t="s">
        <v>309</v>
      </c>
      <c r="C1898" s="3" t="s">
        <v>114</v>
      </c>
      <c r="D1898" s="3" t="s">
        <v>22</v>
      </c>
      <c r="E1898" s="5">
        <v>2.0</v>
      </c>
      <c r="F1898" s="3" t="s">
        <v>1976</v>
      </c>
      <c r="G1898" s="3" t="s">
        <v>224</v>
      </c>
      <c r="I1898" s="3">
        <v>1.0</v>
      </c>
      <c r="J1898" s="5">
        <v>1.0</v>
      </c>
      <c r="N1898" s="3" t="b">
        <v>0</v>
      </c>
      <c r="R1898" s="3">
        <v>0.0</v>
      </c>
      <c r="T1898" s="3">
        <v>10.0</v>
      </c>
      <c r="U1898" s="3">
        <v>6.5</v>
      </c>
      <c r="V1898" s="3" t="s">
        <v>1985</v>
      </c>
      <c r="W1898" s="3" t="s">
        <v>327</v>
      </c>
      <c r="X1898" s="77" t="s">
        <v>1978</v>
      </c>
      <c r="Y1898" s="3">
        <v>4.0</v>
      </c>
      <c r="Z1898" s="3">
        <v>1.0</v>
      </c>
      <c r="AA1898" s="3">
        <f>2+ (P1898*'Scoring System'!$B$3)+ (IF(OR(AD1898="DEF",AD1898="GK"),N1898*'Scoring System'!$B$4,IF(AD1898="MID",N1898*'Scoring System'!$B$5,0)))+ (IF(OR(AD1898="DEF",AD1898="GK"),H1898*'Scoring System'!$B$6,IF(AD1898="MID",H1898*'Scoring System'!$B$7,IF(AD1898="ATT",H1898*'Scoring System'!$B$8,0))))+ IF(AND(OR(AD1898="GK",AD1898="DEF"),J1898&gt;=3),1*'Scoring System'!$B$9,0)+ (I1898*'Scoring System'!$B$10)+ (K1898*'Scoring System'!$B$11)+ (M1898*'Scoring System'!$B$12)+ (L1898*'Scoring System'!$B$13)+ (O1898*'Scoring System'!$B$14)+ (Q1898*'Scoring System'!$B$15)+ (R1898*'Scoring System'!$B$16)</f>
        <v>5</v>
      </c>
      <c r="AB1898" s="3" t="b">
        <f>IFERROR(match(C1898,'Match Day Fees'!$B$2:$B$999,0),0)=0</f>
        <v>0</v>
      </c>
      <c r="AC1898" s="3">
        <f t="shared" si="2"/>
        <v>0</v>
      </c>
      <c r="AD1898" s="3" t="str">
        <f>VLOOKUP(D1898,'Position Lookup'!A:B,2,FALSE)</f>
        <v>ATT</v>
      </c>
    </row>
    <row r="1899" ht="17.25" customHeight="1">
      <c r="A1899" s="32">
        <v>45360.0</v>
      </c>
      <c r="B1899" s="5" t="s">
        <v>309</v>
      </c>
      <c r="C1899" s="3" t="s">
        <v>1986</v>
      </c>
      <c r="D1899" s="3" t="s">
        <v>22</v>
      </c>
      <c r="E1899" s="5">
        <v>2.0</v>
      </c>
      <c r="F1899" s="3" t="s">
        <v>1976</v>
      </c>
      <c r="G1899" s="3" t="s">
        <v>224</v>
      </c>
      <c r="I1899" s="3">
        <v>1.0</v>
      </c>
      <c r="J1899" s="5">
        <v>1.0</v>
      </c>
      <c r="N1899" s="3" t="b">
        <v>0</v>
      </c>
      <c r="R1899" s="3">
        <v>0.0</v>
      </c>
      <c r="T1899" s="3">
        <v>10.0</v>
      </c>
      <c r="U1899" s="3">
        <v>6.5</v>
      </c>
      <c r="V1899" s="3" t="s">
        <v>1987</v>
      </c>
      <c r="W1899" s="3" t="s">
        <v>327</v>
      </c>
      <c r="X1899" s="77" t="s">
        <v>1978</v>
      </c>
      <c r="Y1899" s="3">
        <v>4.0</v>
      </c>
      <c r="Z1899" s="3">
        <v>1.0</v>
      </c>
      <c r="AA1899" s="3">
        <f>2+ (P1899*'Scoring System'!$B$3)+ (IF(OR(AD1899="DEF",AD1899="GK"),N1899*'Scoring System'!$B$4,IF(AD1899="MID",N1899*'Scoring System'!$B$5,0)))+ (IF(OR(AD1899="DEF",AD1899="GK"),H1899*'Scoring System'!$B$6,IF(AD1899="MID",H1899*'Scoring System'!$B$7,IF(AD1899="ATT",H1899*'Scoring System'!$B$8,0))))+ IF(AND(OR(AD1899="GK",AD1899="DEF"),J1899&gt;=3),1*'Scoring System'!$B$9,0)+ (I1899*'Scoring System'!$B$10)+ (K1899*'Scoring System'!$B$11)+ (M1899*'Scoring System'!$B$12)+ (L1899*'Scoring System'!$B$13)+ (O1899*'Scoring System'!$B$14)+ (Q1899*'Scoring System'!$B$15)+ (R1899*'Scoring System'!$B$16)</f>
        <v>5</v>
      </c>
      <c r="AB1899" s="3" t="b">
        <f>IFERROR(match(C1899,'Match Day Fees'!$B$2:$B$999,0),0)=0</f>
        <v>0</v>
      </c>
      <c r="AC1899" s="3">
        <f t="shared" si="2"/>
        <v>0</v>
      </c>
      <c r="AD1899" s="3" t="str">
        <f>VLOOKUP(D1899,'Position Lookup'!A:B,2,FALSE)</f>
        <v>ATT</v>
      </c>
    </row>
    <row r="1900" ht="17.25" customHeight="1">
      <c r="A1900" s="32">
        <v>45360.0</v>
      </c>
      <c r="B1900" s="5" t="s">
        <v>309</v>
      </c>
      <c r="C1900" s="3" t="s">
        <v>61</v>
      </c>
      <c r="D1900" s="3" t="s">
        <v>23</v>
      </c>
      <c r="E1900" s="5">
        <v>2.0</v>
      </c>
      <c r="F1900" s="3" t="s">
        <v>1976</v>
      </c>
      <c r="G1900" s="3" t="s">
        <v>224</v>
      </c>
      <c r="H1900" s="3">
        <v>3.0</v>
      </c>
      <c r="J1900" s="5">
        <v>1.0</v>
      </c>
      <c r="N1900" s="3" t="b">
        <v>0</v>
      </c>
      <c r="R1900" s="3">
        <v>1.0</v>
      </c>
      <c r="S1900" s="3" t="b">
        <v>1</v>
      </c>
      <c r="T1900" s="3">
        <v>0.0</v>
      </c>
      <c r="U1900" s="3">
        <v>9.5</v>
      </c>
      <c r="V1900" s="3" t="s">
        <v>1988</v>
      </c>
      <c r="W1900" s="3" t="s">
        <v>327</v>
      </c>
      <c r="X1900" s="77" t="s">
        <v>1978</v>
      </c>
      <c r="Y1900" s="3">
        <v>4.0</v>
      </c>
      <c r="Z1900" s="3">
        <v>1.0</v>
      </c>
      <c r="AA1900" s="3">
        <f>2+ (P1900*'Scoring System'!$B$3)+ (IF(OR(AD1900="DEF",AD1900="GK"),N1900*'Scoring System'!$B$4,IF(AD1900="MID",N1900*'Scoring System'!$B$5,0)))+ (IF(OR(AD1900="DEF",AD1900="GK"),H1900*'Scoring System'!$B$6,IF(AD1900="MID",H1900*'Scoring System'!$B$7,IF(AD1900="ATT",H1900*'Scoring System'!$B$8,0))))+ IF(AND(OR(AD1900="GK",AD1900="DEF"),J1900&gt;=3),1*'Scoring System'!$B$9,0)+ (I1900*'Scoring System'!$B$10)+ (K1900*'Scoring System'!$B$11)+ (M1900*'Scoring System'!$B$12)+ (L1900*'Scoring System'!$B$13)+ (O1900*'Scoring System'!$B$14)+ (Q1900*'Scoring System'!$B$15)+ (R1900*'Scoring System'!$B$16)</f>
        <v>19</v>
      </c>
      <c r="AB1900" s="3" t="b">
        <f>IFERROR(match(C1900,'Match Day Fees'!$B$2:$B$999,0),0)=0</f>
        <v>0</v>
      </c>
      <c r="AC1900" s="3">
        <f t="shared" si="2"/>
        <v>0</v>
      </c>
      <c r="AD1900" s="3" t="str">
        <f>VLOOKUP(D1900,'Position Lookup'!A:B,2,FALSE)</f>
        <v>ATT</v>
      </c>
    </row>
    <row r="1901" ht="17.25" customHeight="1">
      <c r="A1901" s="32">
        <v>45360.0</v>
      </c>
      <c r="B1901" s="5" t="s">
        <v>309</v>
      </c>
      <c r="C1901" s="3" t="s">
        <v>73</v>
      </c>
      <c r="D1901" s="3" t="s">
        <v>24</v>
      </c>
      <c r="E1901" s="5">
        <v>2.0</v>
      </c>
      <c r="F1901" s="3" t="s">
        <v>1976</v>
      </c>
      <c r="G1901" s="3" t="s">
        <v>224</v>
      </c>
      <c r="J1901" s="5">
        <v>1.0</v>
      </c>
      <c r="N1901" s="3" t="b">
        <v>0</v>
      </c>
      <c r="R1901" s="3">
        <v>0.0</v>
      </c>
      <c r="T1901" s="3">
        <v>10.0</v>
      </c>
      <c r="U1901" s="3">
        <v>7.5</v>
      </c>
      <c r="V1901" s="3" t="s">
        <v>1989</v>
      </c>
      <c r="W1901" s="3" t="s">
        <v>327</v>
      </c>
      <c r="X1901" s="77" t="s">
        <v>1978</v>
      </c>
      <c r="Y1901" s="3">
        <v>4.0</v>
      </c>
      <c r="Z1901" s="3">
        <v>1.0</v>
      </c>
      <c r="AA1901" s="3">
        <f>2+ (P1901*'Scoring System'!$B$3)+ (IF(OR(AD1901="DEF",AD1901="GK"),N1901*'Scoring System'!$B$4,IF(AD1901="MID",N1901*'Scoring System'!$B$5,0)))+ (IF(OR(AD1901="DEF",AD1901="GK"),H1901*'Scoring System'!$B$6,IF(AD1901="MID",H1901*'Scoring System'!$B$7,IF(AD1901="ATT",H1901*'Scoring System'!$B$8,0))))+ IF(AND(OR(AD1901="GK",AD1901="DEF"),J1901&gt;=3),1*'Scoring System'!$B$9,0)+ (I1901*'Scoring System'!$B$10)+ (K1901*'Scoring System'!$B$11)+ (M1901*'Scoring System'!$B$12)+ (L1901*'Scoring System'!$B$13)+ (O1901*'Scoring System'!$B$14)+ (Q1901*'Scoring System'!$B$15)+ (R1901*'Scoring System'!$B$16)</f>
        <v>2</v>
      </c>
      <c r="AB1901" s="3" t="b">
        <f>IFERROR(match(C1901,'Match Day Fees'!$B$2:$B$999,0),0)=0</f>
        <v>0</v>
      </c>
      <c r="AC1901" s="3">
        <f t="shared" si="2"/>
        <v>0</v>
      </c>
      <c r="AD1901" s="3" t="str">
        <f>VLOOKUP(D1901,'Position Lookup'!A:B,2,FALSE)</f>
        <v>ATT</v>
      </c>
    </row>
    <row r="1902" ht="17.25" customHeight="1">
      <c r="A1902" s="32">
        <v>45360.0</v>
      </c>
      <c r="B1902" s="5" t="s">
        <v>309</v>
      </c>
      <c r="C1902" s="3" t="s">
        <v>239</v>
      </c>
      <c r="D1902" s="3" t="s">
        <v>24</v>
      </c>
      <c r="E1902" s="5">
        <v>2.0</v>
      </c>
      <c r="F1902" s="3" t="s">
        <v>1976</v>
      </c>
      <c r="G1902" s="3" t="s">
        <v>224</v>
      </c>
      <c r="H1902" s="3">
        <v>0.0</v>
      </c>
      <c r="I1902" s="3">
        <v>2.0</v>
      </c>
      <c r="J1902" s="5">
        <v>1.0</v>
      </c>
      <c r="N1902" s="3" t="b">
        <v>0</v>
      </c>
      <c r="R1902" s="3">
        <v>0.0</v>
      </c>
      <c r="T1902" s="3">
        <v>5.0</v>
      </c>
      <c r="U1902" s="3">
        <v>8.5</v>
      </c>
      <c r="V1902" s="3" t="s">
        <v>1990</v>
      </c>
      <c r="W1902" s="3" t="s">
        <v>327</v>
      </c>
      <c r="X1902" s="77" t="s">
        <v>1978</v>
      </c>
      <c r="Y1902" s="3">
        <v>4.0</v>
      </c>
      <c r="Z1902" s="3">
        <v>1.0</v>
      </c>
      <c r="AA1902" s="3">
        <f>2+ (P1902*'Scoring System'!$B$3)+ (IF(OR(AD1902="DEF",AD1902="GK"),N1902*'Scoring System'!$B$4,IF(AD1902="MID",N1902*'Scoring System'!$B$5,0)))+ (IF(OR(AD1902="DEF",AD1902="GK"),H1902*'Scoring System'!$B$6,IF(AD1902="MID",H1902*'Scoring System'!$B$7,IF(AD1902="ATT",H1902*'Scoring System'!$B$8,0))))+ IF(AND(OR(AD1902="GK",AD1902="DEF"),J1902&gt;=3),1*'Scoring System'!$B$9,0)+ (I1902*'Scoring System'!$B$10)+ (K1902*'Scoring System'!$B$11)+ (M1902*'Scoring System'!$B$12)+ (L1902*'Scoring System'!$B$13)+ (O1902*'Scoring System'!$B$14)+ (Q1902*'Scoring System'!$B$15)+ (R1902*'Scoring System'!$B$16)</f>
        <v>8</v>
      </c>
      <c r="AB1902" s="3" t="b">
        <f>IFERROR(match(C1902,'Match Day Fees'!$B$2:$B$999,0),0)=0</f>
        <v>0</v>
      </c>
      <c r="AC1902" s="3">
        <f t="shared" si="2"/>
        <v>0</v>
      </c>
      <c r="AD1902" s="3" t="str">
        <f>VLOOKUP(D1902,'Position Lookup'!A:B,2,FALSE)</f>
        <v>ATT</v>
      </c>
    </row>
    <row r="1903" ht="17.25" customHeight="1">
      <c r="A1903" s="32">
        <v>45360.0</v>
      </c>
      <c r="B1903" s="5" t="s">
        <v>309</v>
      </c>
      <c r="C1903" s="3" t="s">
        <v>272</v>
      </c>
      <c r="D1903" s="3" t="s">
        <v>20</v>
      </c>
      <c r="E1903" s="5">
        <v>2.0</v>
      </c>
      <c r="F1903" s="3" t="s">
        <v>1976</v>
      </c>
      <c r="G1903" s="3" t="s">
        <v>224</v>
      </c>
      <c r="J1903" s="5">
        <v>1.0</v>
      </c>
      <c r="N1903" s="3" t="b">
        <v>0</v>
      </c>
      <c r="R1903" s="3">
        <v>0.0</v>
      </c>
      <c r="T1903" s="3">
        <v>10.0</v>
      </c>
      <c r="U1903" s="3">
        <v>7.0</v>
      </c>
      <c r="V1903" s="3" t="s">
        <v>1991</v>
      </c>
      <c r="W1903" s="3" t="s">
        <v>327</v>
      </c>
      <c r="X1903" s="77" t="s">
        <v>1978</v>
      </c>
      <c r="Y1903" s="3">
        <v>4.0</v>
      </c>
      <c r="Z1903" s="3">
        <v>1.0</v>
      </c>
      <c r="AA1903" s="3">
        <f>2+ (P1903*'Scoring System'!$B$3)+ (IF(OR(AD1903="DEF",AD1903="GK"),N1903*'Scoring System'!$B$4,IF(AD1903="MID",N1903*'Scoring System'!$B$5,0)))+ (IF(OR(AD1903="DEF",AD1903="GK"),H1903*'Scoring System'!$B$6,IF(AD1903="MID",H1903*'Scoring System'!$B$7,IF(AD1903="ATT",H1903*'Scoring System'!$B$8,0))))+ IF(AND(OR(AD1903="GK",AD1903="DEF"),J1903&gt;=3),1*'Scoring System'!$B$9,0)+ (I1903*'Scoring System'!$B$10)+ (K1903*'Scoring System'!$B$11)+ (M1903*'Scoring System'!$B$12)+ (L1903*'Scoring System'!$B$13)+ (O1903*'Scoring System'!$B$14)+ (Q1903*'Scoring System'!$B$15)+ (R1903*'Scoring System'!$B$16)</f>
        <v>2</v>
      </c>
      <c r="AB1903" s="3" t="b">
        <f>IFERROR(match(C1903,'Match Day Fees'!$B$2:$B$999,0),0)=0</f>
        <v>0</v>
      </c>
      <c r="AC1903" s="3">
        <f t="shared" si="2"/>
        <v>0</v>
      </c>
      <c r="AD1903" s="3" t="str">
        <f>VLOOKUP(D1903,'Position Lookup'!A:B,2,FALSE)</f>
        <v>MID</v>
      </c>
    </row>
    <row r="1904" ht="17.25" customHeight="1">
      <c r="A1904" s="32">
        <v>45360.0</v>
      </c>
      <c r="B1904" s="5" t="s">
        <v>309</v>
      </c>
      <c r="C1904" s="3" t="s">
        <v>86</v>
      </c>
      <c r="D1904" s="3" t="s">
        <v>20</v>
      </c>
      <c r="E1904" s="5">
        <v>2.0</v>
      </c>
      <c r="F1904" s="3" t="s">
        <v>1976</v>
      </c>
      <c r="G1904" s="3" t="s">
        <v>224</v>
      </c>
      <c r="H1904" s="3">
        <v>1.0</v>
      </c>
      <c r="J1904" s="5">
        <v>1.0</v>
      </c>
      <c r="N1904" s="3" t="b">
        <v>0</v>
      </c>
      <c r="R1904" s="3">
        <v>0.0</v>
      </c>
      <c r="T1904" s="3">
        <v>10.0</v>
      </c>
      <c r="U1904" s="3">
        <v>7.0</v>
      </c>
      <c r="V1904" s="3" t="s">
        <v>1992</v>
      </c>
      <c r="W1904" s="3" t="s">
        <v>327</v>
      </c>
      <c r="X1904" s="77" t="s">
        <v>1978</v>
      </c>
      <c r="Y1904" s="3">
        <v>4.0</v>
      </c>
      <c r="Z1904" s="3">
        <v>1.0</v>
      </c>
      <c r="AA1904" s="3">
        <f>2+ (P1904*'Scoring System'!$B$3)+ (IF(OR(AD1904="DEF",AD1904="GK"),N1904*'Scoring System'!$B$4,IF(AD1904="MID",N1904*'Scoring System'!$B$5,0)))+ (IF(OR(AD1904="DEF",AD1904="GK"),H1904*'Scoring System'!$B$6,IF(AD1904="MID",H1904*'Scoring System'!$B$7,IF(AD1904="ATT",H1904*'Scoring System'!$B$8,0))))+ IF(AND(OR(AD1904="GK",AD1904="DEF"),J1904&gt;=3),1*'Scoring System'!$B$9,0)+ (I1904*'Scoring System'!$B$10)+ (K1904*'Scoring System'!$B$11)+ (M1904*'Scoring System'!$B$12)+ (L1904*'Scoring System'!$B$13)+ (O1904*'Scoring System'!$B$14)+ (Q1904*'Scoring System'!$B$15)+ (R1904*'Scoring System'!$B$16)</f>
        <v>7</v>
      </c>
      <c r="AB1904" s="3" t="b">
        <f>IFERROR(match(C1904,'Match Day Fees'!$B$2:$B$999,0),0)=0</f>
        <v>0</v>
      </c>
      <c r="AC1904" s="3">
        <f t="shared" si="2"/>
        <v>0</v>
      </c>
      <c r="AD1904" s="3" t="str">
        <f>VLOOKUP(D1904,'Position Lookup'!A:B,2,FALSE)</f>
        <v>MID</v>
      </c>
    </row>
    <row r="1905" ht="17.25" customHeight="1">
      <c r="A1905" s="10">
        <v>45367.0</v>
      </c>
      <c r="B1905" s="5" t="s">
        <v>309</v>
      </c>
      <c r="C1905" s="3" t="s">
        <v>53</v>
      </c>
      <c r="D1905" s="3" t="s">
        <v>8</v>
      </c>
      <c r="E1905" s="5">
        <v>1.0</v>
      </c>
      <c r="F1905" s="84" t="s">
        <v>1993</v>
      </c>
      <c r="G1905" s="3" t="s">
        <v>242</v>
      </c>
      <c r="J1905" s="5">
        <v>2.0</v>
      </c>
      <c r="N1905" s="3" t="b">
        <v>0</v>
      </c>
      <c r="R1905" s="3">
        <v>0.0</v>
      </c>
      <c r="T1905" s="3">
        <v>10.0</v>
      </c>
      <c r="U1905" s="3">
        <v>8.0</v>
      </c>
      <c r="V1905" s="3" t="s">
        <v>1994</v>
      </c>
      <c r="W1905" s="3" t="s">
        <v>344</v>
      </c>
      <c r="X1905" s="77" t="s">
        <v>1995</v>
      </c>
      <c r="Y1905" s="3">
        <v>2.0</v>
      </c>
      <c r="Z1905" s="3">
        <v>2.0</v>
      </c>
      <c r="AA1905" s="3">
        <f>2+ (P1905*'Scoring System'!$B$3)+ (IF(OR(AD1905="DEF",AD1905="GK"),N1905*'Scoring System'!$B$4,IF(AD1905="MID",N1905*'Scoring System'!$B$5,0)))+ (IF(OR(AD1905="DEF",AD1905="GK"),H1905*'Scoring System'!$B$6,IF(AD1905="MID",H1905*'Scoring System'!$B$7,IF(AD1905="ATT",H1905*'Scoring System'!$B$8,0))))+ IF(AND(OR(AD1905="GK",AD1905="DEF"),J1905&gt;=3),1*'Scoring System'!$B$9,0)+ (I1905*'Scoring System'!$B$10)+ (K1905*'Scoring System'!$B$11)+ (M1905*'Scoring System'!$B$12)+ (L1905*'Scoring System'!$B$13)+ (O1905*'Scoring System'!$B$14)+ (Q1905*'Scoring System'!$B$15)+ (R1905*'Scoring System'!$B$16)</f>
        <v>2</v>
      </c>
      <c r="AB1905" s="3" t="b">
        <f>IFERROR(match(C1905,'Match Day Fees'!$B$2:$B$999,0),0)=0</f>
        <v>0</v>
      </c>
      <c r="AC1905" s="3">
        <f t="shared" si="2"/>
        <v>0</v>
      </c>
      <c r="AD1905" s="3" t="str">
        <f>VLOOKUP(D1905,'Position Lookup'!A:B,2,FALSE)</f>
        <v>GK</v>
      </c>
    </row>
    <row r="1906" ht="17.25" customHeight="1">
      <c r="A1906" s="10">
        <v>45367.0</v>
      </c>
      <c r="B1906" s="5" t="s">
        <v>309</v>
      </c>
      <c r="C1906" s="3" t="s">
        <v>76</v>
      </c>
      <c r="D1906" s="3" t="s">
        <v>14</v>
      </c>
      <c r="E1906" s="5">
        <v>1.0</v>
      </c>
      <c r="F1906" s="84" t="s">
        <v>1993</v>
      </c>
      <c r="G1906" s="3" t="s">
        <v>242</v>
      </c>
      <c r="J1906" s="5">
        <v>2.0</v>
      </c>
      <c r="N1906" s="3" t="b">
        <v>0</v>
      </c>
      <c r="R1906" s="3">
        <v>0.0</v>
      </c>
      <c r="T1906" s="3">
        <v>10.0</v>
      </c>
      <c r="U1906" s="3">
        <v>8.5</v>
      </c>
      <c r="V1906" s="3" t="s">
        <v>1996</v>
      </c>
      <c r="W1906" s="3" t="s">
        <v>344</v>
      </c>
      <c r="X1906" s="77" t="s">
        <v>1995</v>
      </c>
      <c r="Y1906" s="3">
        <v>2.0</v>
      </c>
      <c r="Z1906" s="3">
        <v>2.0</v>
      </c>
      <c r="AA1906" s="3">
        <f>2+ (P1906*'Scoring System'!$B$3)+ (IF(OR(AD1906="DEF",AD1906="GK"),N1906*'Scoring System'!$B$4,IF(AD1906="MID",N1906*'Scoring System'!$B$5,0)))+ (IF(OR(AD1906="DEF",AD1906="GK"),H1906*'Scoring System'!$B$6,IF(AD1906="MID",H1906*'Scoring System'!$B$7,IF(AD1906="ATT",H1906*'Scoring System'!$B$8,0))))+ IF(AND(OR(AD1906="GK",AD1906="DEF"),J1906&gt;=3),1*'Scoring System'!$B$9,0)+ (I1906*'Scoring System'!$B$10)+ (K1906*'Scoring System'!$B$11)+ (M1906*'Scoring System'!$B$12)+ (L1906*'Scoring System'!$B$13)+ (O1906*'Scoring System'!$B$14)+ (Q1906*'Scoring System'!$B$15)+ (R1906*'Scoring System'!$B$16)</f>
        <v>2</v>
      </c>
      <c r="AB1906" s="3" t="b">
        <f>IFERROR(match(C1906,'Match Day Fees'!$B$2:$B$999,0),0)=0</f>
        <v>0</v>
      </c>
      <c r="AC1906" s="3">
        <f t="shared" si="2"/>
        <v>0</v>
      </c>
      <c r="AD1906" s="3" t="str">
        <f>VLOOKUP(D1906,'Position Lookup'!A:B,2,FALSE)</f>
        <v>DEF</v>
      </c>
    </row>
    <row r="1907" ht="17.25" customHeight="1">
      <c r="A1907" s="10">
        <v>45367.0</v>
      </c>
      <c r="B1907" s="5" t="s">
        <v>309</v>
      </c>
      <c r="C1907" s="3" t="s">
        <v>68</v>
      </c>
      <c r="D1907" s="3" t="s">
        <v>14</v>
      </c>
      <c r="E1907" s="5">
        <v>1.0</v>
      </c>
      <c r="F1907" s="84" t="s">
        <v>1993</v>
      </c>
      <c r="G1907" s="3" t="s">
        <v>242</v>
      </c>
      <c r="H1907" s="3">
        <v>1.0</v>
      </c>
      <c r="J1907" s="5">
        <v>2.0</v>
      </c>
      <c r="K1907" s="5">
        <v>1.0</v>
      </c>
      <c r="N1907" s="3" t="b">
        <v>0</v>
      </c>
      <c r="R1907" s="3">
        <v>0.0</v>
      </c>
      <c r="T1907" s="3">
        <v>10.0</v>
      </c>
      <c r="U1907" s="3">
        <v>8.0</v>
      </c>
      <c r="V1907" s="3" t="s">
        <v>1997</v>
      </c>
      <c r="W1907" s="3" t="s">
        <v>344</v>
      </c>
      <c r="X1907" s="77" t="s">
        <v>1995</v>
      </c>
      <c r="Y1907" s="3">
        <v>2.0</v>
      </c>
      <c r="Z1907" s="3">
        <v>2.0</v>
      </c>
      <c r="AA1907" s="3">
        <f>2+ (P1907*'Scoring System'!$B$3)+ (IF(OR(AD1907="DEF",AD1907="GK"),N1907*'Scoring System'!$B$4,IF(AD1907="MID",N1907*'Scoring System'!$B$5,0)))+ (IF(OR(AD1907="DEF",AD1907="GK"),H1907*'Scoring System'!$B$6,IF(AD1907="MID",H1907*'Scoring System'!$B$7,IF(AD1907="ATT",H1907*'Scoring System'!$B$8,0))))+ IF(AND(OR(AD1907="GK",AD1907="DEF"),J1907&gt;=3),1*'Scoring System'!$B$9,0)+ (I1907*'Scoring System'!$B$10)+ (K1907*'Scoring System'!$B$11)+ (M1907*'Scoring System'!$B$12)+ (L1907*'Scoring System'!$B$13)+ (O1907*'Scoring System'!$B$14)+ (Q1907*'Scoring System'!$B$15)+ (R1907*'Scoring System'!$B$16)</f>
        <v>7</v>
      </c>
      <c r="AB1907" s="3" t="b">
        <f>IFERROR(match(C1907,'Match Day Fees'!$B$2:$B$999,0),0)=0</f>
        <v>0</v>
      </c>
      <c r="AC1907" s="3">
        <f t="shared" si="2"/>
        <v>0</v>
      </c>
      <c r="AD1907" s="3" t="str">
        <f>VLOOKUP(D1907,'Position Lookup'!A:B,2,FALSE)</f>
        <v>DEF</v>
      </c>
    </row>
    <row r="1908" ht="17.25" customHeight="1">
      <c r="A1908" s="10">
        <v>45367.0</v>
      </c>
      <c r="B1908" s="5" t="s">
        <v>309</v>
      </c>
      <c r="C1908" s="3" t="s">
        <v>77</v>
      </c>
      <c r="D1908" s="3" t="s">
        <v>16</v>
      </c>
      <c r="E1908" s="5">
        <v>1.0</v>
      </c>
      <c r="F1908" s="84" t="s">
        <v>1993</v>
      </c>
      <c r="G1908" s="3" t="s">
        <v>242</v>
      </c>
      <c r="I1908" s="3">
        <v>1.0</v>
      </c>
      <c r="J1908" s="5">
        <v>2.0</v>
      </c>
      <c r="N1908" s="3" t="b">
        <v>0</v>
      </c>
      <c r="R1908" s="3">
        <v>0.0</v>
      </c>
      <c r="T1908" s="3">
        <v>10.0</v>
      </c>
      <c r="U1908" s="3">
        <v>8.0</v>
      </c>
      <c r="V1908" s="3" t="s">
        <v>1998</v>
      </c>
      <c r="W1908" s="3" t="s">
        <v>344</v>
      </c>
      <c r="X1908" s="77" t="s">
        <v>1995</v>
      </c>
      <c r="Y1908" s="3">
        <v>2.0</v>
      </c>
      <c r="Z1908" s="3">
        <v>2.0</v>
      </c>
      <c r="AA1908" s="3">
        <f>2+ (P1908*'Scoring System'!$B$3)+ (IF(OR(AD1908="DEF",AD1908="GK"),N1908*'Scoring System'!$B$4,IF(AD1908="MID",N1908*'Scoring System'!$B$5,0)))+ (IF(OR(AD1908="DEF",AD1908="GK"),H1908*'Scoring System'!$B$6,IF(AD1908="MID",H1908*'Scoring System'!$B$7,IF(AD1908="ATT",H1908*'Scoring System'!$B$8,0))))+ IF(AND(OR(AD1908="GK",AD1908="DEF"),J1908&gt;=3),1*'Scoring System'!$B$9,0)+ (I1908*'Scoring System'!$B$10)+ (K1908*'Scoring System'!$B$11)+ (M1908*'Scoring System'!$B$12)+ (L1908*'Scoring System'!$B$13)+ (O1908*'Scoring System'!$B$14)+ (Q1908*'Scoring System'!$B$15)+ (R1908*'Scoring System'!$B$16)</f>
        <v>5</v>
      </c>
      <c r="AB1908" s="3" t="b">
        <f>IFERROR(match(C1908,'Match Day Fees'!$B$2:$B$999,0),0)=0</f>
        <v>0</v>
      </c>
      <c r="AC1908" s="3">
        <f t="shared" si="2"/>
        <v>0</v>
      </c>
      <c r="AD1908" s="3" t="str">
        <f>VLOOKUP(D1908,'Position Lookup'!A:B,2,FALSE)</f>
        <v>DEF</v>
      </c>
    </row>
    <row r="1909" ht="17.25" customHeight="1">
      <c r="A1909" s="10">
        <v>45367.0</v>
      </c>
      <c r="B1909" s="5" t="s">
        <v>309</v>
      </c>
      <c r="C1909" s="3" t="s">
        <v>272</v>
      </c>
      <c r="D1909" s="3" t="s">
        <v>20</v>
      </c>
      <c r="E1909" s="5">
        <v>1.0</v>
      </c>
      <c r="F1909" s="84" t="s">
        <v>1993</v>
      </c>
      <c r="G1909" s="3" t="s">
        <v>242</v>
      </c>
      <c r="I1909" s="3">
        <v>1.0</v>
      </c>
      <c r="J1909" s="5">
        <v>2.0</v>
      </c>
      <c r="N1909" s="3" t="b">
        <v>0</v>
      </c>
      <c r="R1909" s="3">
        <v>0.0</v>
      </c>
      <c r="T1909" s="3">
        <v>10.0</v>
      </c>
      <c r="U1909" s="3">
        <v>8.5</v>
      </c>
      <c r="V1909" s="3" t="s">
        <v>1999</v>
      </c>
      <c r="W1909" s="3" t="s">
        <v>344</v>
      </c>
      <c r="X1909" s="77" t="s">
        <v>1995</v>
      </c>
      <c r="Y1909" s="3">
        <v>2.0</v>
      </c>
      <c r="Z1909" s="3">
        <v>2.0</v>
      </c>
      <c r="AA1909" s="3">
        <f>2+ (P1909*'Scoring System'!$B$3)+ (IF(OR(AD1909="DEF",AD1909="GK"),N1909*'Scoring System'!$B$4,IF(AD1909="MID",N1909*'Scoring System'!$B$5,0)))+ (IF(OR(AD1909="DEF",AD1909="GK"),H1909*'Scoring System'!$B$6,IF(AD1909="MID",H1909*'Scoring System'!$B$7,IF(AD1909="ATT",H1909*'Scoring System'!$B$8,0))))+ IF(AND(OR(AD1909="GK",AD1909="DEF"),J1909&gt;=3),1*'Scoring System'!$B$9,0)+ (I1909*'Scoring System'!$B$10)+ (K1909*'Scoring System'!$B$11)+ (M1909*'Scoring System'!$B$12)+ (L1909*'Scoring System'!$B$13)+ (O1909*'Scoring System'!$B$14)+ (Q1909*'Scoring System'!$B$15)+ (R1909*'Scoring System'!$B$16)</f>
        <v>5</v>
      </c>
      <c r="AB1909" s="3" t="b">
        <f>IFERROR(match(C1909,'Match Day Fees'!$B$2:$B$999,0),0)=0</f>
        <v>0</v>
      </c>
      <c r="AC1909" s="3">
        <f t="shared" si="2"/>
        <v>0</v>
      </c>
      <c r="AD1909" s="3" t="str">
        <f>VLOOKUP(D1909,'Position Lookup'!A:B,2,FALSE)</f>
        <v>MID</v>
      </c>
    </row>
    <row r="1910" ht="17.25" customHeight="1">
      <c r="A1910" s="10">
        <v>45367.0</v>
      </c>
      <c r="B1910" s="5" t="s">
        <v>309</v>
      </c>
      <c r="C1910" s="3" t="s">
        <v>85</v>
      </c>
      <c r="D1910" s="3" t="s">
        <v>20</v>
      </c>
      <c r="E1910" s="5">
        <v>1.0</v>
      </c>
      <c r="F1910" s="84" t="s">
        <v>1993</v>
      </c>
      <c r="G1910" s="3" t="s">
        <v>242</v>
      </c>
      <c r="J1910" s="5">
        <v>2.0</v>
      </c>
      <c r="N1910" s="3" t="b">
        <v>0</v>
      </c>
      <c r="R1910" s="3">
        <v>0.0</v>
      </c>
      <c r="T1910" s="3">
        <v>10.0</v>
      </c>
      <c r="U1910" s="3">
        <v>8.5</v>
      </c>
      <c r="V1910" s="3" t="s">
        <v>2000</v>
      </c>
      <c r="W1910" s="3" t="s">
        <v>344</v>
      </c>
      <c r="X1910" s="77" t="s">
        <v>1995</v>
      </c>
      <c r="Y1910" s="3">
        <v>2.0</v>
      </c>
      <c r="Z1910" s="3">
        <v>2.0</v>
      </c>
      <c r="AA1910" s="3">
        <f>2+ (P1910*'Scoring System'!$B$3)+ (IF(OR(AD1910="DEF",AD1910="GK"),N1910*'Scoring System'!$B$4,IF(AD1910="MID",N1910*'Scoring System'!$B$5,0)))+ (IF(OR(AD1910="DEF",AD1910="GK"),H1910*'Scoring System'!$B$6,IF(AD1910="MID",H1910*'Scoring System'!$B$7,IF(AD1910="ATT",H1910*'Scoring System'!$B$8,0))))+ IF(AND(OR(AD1910="GK",AD1910="DEF"),J1910&gt;=3),1*'Scoring System'!$B$9,0)+ (I1910*'Scoring System'!$B$10)+ (K1910*'Scoring System'!$B$11)+ (M1910*'Scoring System'!$B$12)+ (L1910*'Scoring System'!$B$13)+ (O1910*'Scoring System'!$B$14)+ (Q1910*'Scoring System'!$B$15)+ (R1910*'Scoring System'!$B$16)</f>
        <v>2</v>
      </c>
      <c r="AB1910" s="3" t="b">
        <f>IFERROR(match(C1910,'Match Day Fees'!$B$2:$B$999,0),0)=0</f>
        <v>0</v>
      </c>
      <c r="AC1910" s="3">
        <f t="shared" si="2"/>
        <v>0</v>
      </c>
      <c r="AD1910" s="3" t="str">
        <f>VLOOKUP(D1910,'Position Lookup'!A:B,2,FALSE)</f>
        <v>MID</v>
      </c>
    </row>
    <row r="1911" ht="17.25" customHeight="1">
      <c r="A1911" s="10">
        <v>45367.0</v>
      </c>
      <c r="B1911" s="5" t="s">
        <v>309</v>
      </c>
      <c r="C1911" s="3" t="s">
        <v>67</v>
      </c>
      <c r="D1911" s="3" t="s">
        <v>12</v>
      </c>
      <c r="E1911" s="5">
        <v>1.0</v>
      </c>
      <c r="F1911" s="84" t="s">
        <v>1993</v>
      </c>
      <c r="G1911" s="3" t="s">
        <v>242</v>
      </c>
      <c r="J1911" s="5">
        <v>2.0</v>
      </c>
      <c r="N1911" s="3" t="b">
        <v>0</v>
      </c>
      <c r="R1911" s="3">
        <v>1.0</v>
      </c>
      <c r="T1911" s="3">
        <v>10.0</v>
      </c>
      <c r="U1911" s="3">
        <v>9.5</v>
      </c>
      <c r="V1911" s="3" t="s">
        <v>2001</v>
      </c>
      <c r="W1911" s="3" t="s">
        <v>344</v>
      </c>
      <c r="X1911" s="77" t="s">
        <v>1995</v>
      </c>
      <c r="Y1911" s="3">
        <v>2.0</v>
      </c>
      <c r="Z1911" s="3">
        <v>2.0</v>
      </c>
      <c r="AA1911" s="3">
        <f>2+ (P1911*'Scoring System'!$B$3)+ (IF(OR(AD1911="DEF",AD1911="GK"),N1911*'Scoring System'!$B$4,IF(AD1911="MID",N1911*'Scoring System'!$B$5,0)))+ (IF(OR(AD1911="DEF",AD1911="GK"),H1911*'Scoring System'!$B$6,IF(AD1911="MID",H1911*'Scoring System'!$B$7,IF(AD1911="ATT",H1911*'Scoring System'!$B$8,0))))+ IF(AND(OR(AD1911="GK",AD1911="DEF"),J1911&gt;=3),1*'Scoring System'!$B$9,0)+ (I1911*'Scoring System'!$B$10)+ (K1911*'Scoring System'!$B$11)+ (M1911*'Scoring System'!$B$12)+ (L1911*'Scoring System'!$B$13)+ (O1911*'Scoring System'!$B$14)+ (Q1911*'Scoring System'!$B$15)+ (R1911*'Scoring System'!$B$16)</f>
        <v>7</v>
      </c>
      <c r="AB1911" s="3" t="b">
        <f>IFERROR(match(C1911,'Match Day Fees'!$B$2:$B$999,0),0)=0</f>
        <v>0</v>
      </c>
      <c r="AC1911" s="3">
        <f t="shared" si="2"/>
        <v>0</v>
      </c>
      <c r="AD1911" s="3" t="str">
        <f>VLOOKUP(D1911,'Position Lookup'!A:B,2,FALSE)</f>
        <v>DEF</v>
      </c>
    </row>
    <row r="1912" ht="17.25" customHeight="1">
      <c r="A1912" s="10">
        <v>45367.0</v>
      </c>
      <c r="B1912" s="5" t="s">
        <v>309</v>
      </c>
      <c r="C1912" s="3" t="s">
        <v>60</v>
      </c>
      <c r="D1912" s="3" t="s">
        <v>21</v>
      </c>
      <c r="E1912" s="5">
        <v>1.0</v>
      </c>
      <c r="F1912" s="84" t="s">
        <v>1993</v>
      </c>
      <c r="G1912" s="3" t="s">
        <v>242</v>
      </c>
      <c r="J1912" s="5">
        <v>2.0</v>
      </c>
      <c r="N1912" s="3" t="b">
        <v>0</v>
      </c>
      <c r="R1912" s="3">
        <v>0.0</v>
      </c>
      <c r="T1912" s="3">
        <v>10.0</v>
      </c>
      <c r="U1912" s="3">
        <v>7.5</v>
      </c>
      <c r="V1912" s="3" t="s">
        <v>2002</v>
      </c>
      <c r="W1912" s="3" t="s">
        <v>344</v>
      </c>
      <c r="X1912" s="77" t="s">
        <v>1995</v>
      </c>
      <c r="Y1912" s="3">
        <v>2.0</v>
      </c>
      <c r="Z1912" s="3">
        <v>2.0</v>
      </c>
      <c r="AA1912" s="3">
        <f>2+ (P1912*'Scoring System'!$B$3)+ (IF(OR(AD1912="DEF",AD1912="GK"),N1912*'Scoring System'!$B$4,IF(AD1912="MID",N1912*'Scoring System'!$B$5,0)))+ (IF(OR(AD1912="DEF",AD1912="GK"),H1912*'Scoring System'!$B$6,IF(AD1912="MID",H1912*'Scoring System'!$B$7,IF(AD1912="ATT",H1912*'Scoring System'!$B$8,0))))+ IF(AND(OR(AD1912="GK",AD1912="DEF"),J1912&gt;=3),1*'Scoring System'!$B$9,0)+ (I1912*'Scoring System'!$B$10)+ (K1912*'Scoring System'!$B$11)+ (M1912*'Scoring System'!$B$12)+ (L1912*'Scoring System'!$B$13)+ (O1912*'Scoring System'!$B$14)+ (Q1912*'Scoring System'!$B$15)+ (R1912*'Scoring System'!$B$16)</f>
        <v>2</v>
      </c>
      <c r="AB1912" s="3" t="b">
        <f>IFERROR(match(C1912,'Match Day Fees'!$B$2:$B$999,0),0)=0</f>
        <v>0</v>
      </c>
      <c r="AC1912" s="3">
        <f t="shared" si="2"/>
        <v>0</v>
      </c>
      <c r="AD1912" s="3" t="str">
        <f>VLOOKUP(D1912,'Position Lookup'!A:B,2,FALSE)</f>
        <v>MID</v>
      </c>
    </row>
    <row r="1913" ht="17.25" customHeight="1">
      <c r="A1913" s="10">
        <v>45367.0</v>
      </c>
      <c r="B1913" s="5" t="s">
        <v>309</v>
      </c>
      <c r="C1913" s="3" t="s">
        <v>62</v>
      </c>
      <c r="D1913" s="3" t="s">
        <v>23</v>
      </c>
      <c r="E1913" s="5">
        <v>1.0</v>
      </c>
      <c r="F1913" s="84" t="s">
        <v>1993</v>
      </c>
      <c r="G1913" s="3" t="s">
        <v>242</v>
      </c>
      <c r="J1913" s="5">
        <v>2.0</v>
      </c>
      <c r="N1913" s="3" t="b">
        <v>0</v>
      </c>
      <c r="R1913" s="3">
        <v>0.0</v>
      </c>
      <c r="T1913" s="3">
        <v>10.0</v>
      </c>
      <c r="U1913" s="3">
        <v>9.0</v>
      </c>
      <c r="V1913" s="3" t="s">
        <v>2003</v>
      </c>
      <c r="W1913" s="3" t="s">
        <v>344</v>
      </c>
      <c r="X1913" s="77" t="s">
        <v>1995</v>
      </c>
      <c r="Y1913" s="3">
        <v>2.0</v>
      </c>
      <c r="Z1913" s="3">
        <v>2.0</v>
      </c>
      <c r="AA1913" s="3">
        <f>2+ (P1913*'Scoring System'!$B$3)+ (IF(OR(AD1913="DEF",AD1913="GK"),N1913*'Scoring System'!$B$4,IF(AD1913="MID",N1913*'Scoring System'!$B$5,0)))+ (IF(OR(AD1913="DEF",AD1913="GK"),H1913*'Scoring System'!$B$6,IF(AD1913="MID",H1913*'Scoring System'!$B$7,IF(AD1913="ATT",H1913*'Scoring System'!$B$8,0))))+ IF(AND(OR(AD1913="GK",AD1913="DEF"),J1913&gt;=3),1*'Scoring System'!$B$9,0)+ (I1913*'Scoring System'!$B$10)+ (K1913*'Scoring System'!$B$11)+ (M1913*'Scoring System'!$B$12)+ (L1913*'Scoring System'!$B$13)+ (O1913*'Scoring System'!$B$14)+ (Q1913*'Scoring System'!$B$15)+ (R1913*'Scoring System'!$B$16)</f>
        <v>2</v>
      </c>
      <c r="AB1913" s="3" t="b">
        <f>IFERROR(match(C1913,'Match Day Fees'!$B$2:$B$999,0),0)=0</f>
        <v>0</v>
      </c>
      <c r="AC1913" s="3">
        <f t="shared" si="2"/>
        <v>0</v>
      </c>
      <c r="AD1913" s="3" t="str">
        <f>VLOOKUP(D1913,'Position Lookup'!A:B,2,FALSE)</f>
        <v>ATT</v>
      </c>
    </row>
    <row r="1914" ht="17.25" customHeight="1">
      <c r="A1914" s="10">
        <v>45367.0</v>
      </c>
      <c r="B1914" s="5" t="s">
        <v>309</v>
      </c>
      <c r="C1914" s="3" t="s">
        <v>47</v>
      </c>
      <c r="D1914" s="3" t="s">
        <v>22</v>
      </c>
      <c r="E1914" s="5">
        <v>1.0</v>
      </c>
      <c r="F1914" s="84" t="s">
        <v>1993</v>
      </c>
      <c r="G1914" s="3" t="s">
        <v>242</v>
      </c>
      <c r="H1914" s="3">
        <v>1.0</v>
      </c>
      <c r="J1914" s="5">
        <v>2.0</v>
      </c>
      <c r="N1914" s="3" t="b">
        <v>0</v>
      </c>
      <c r="R1914" s="3">
        <v>0.0</v>
      </c>
      <c r="T1914" s="3">
        <v>10.0</v>
      </c>
      <c r="U1914" s="3">
        <v>8.5</v>
      </c>
      <c r="V1914" s="3" t="s">
        <v>2004</v>
      </c>
      <c r="W1914" s="3" t="s">
        <v>344</v>
      </c>
      <c r="X1914" s="77" t="s">
        <v>1995</v>
      </c>
      <c r="Y1914" s="3">
        <v>2.0</v>
      </c>
      <c r="Z1914" s="3">
        <v>2.0</v>
      </c>
      <c r="AA1914" s="3">
        <f>2+ (P1914*'Scoring System'!$B$3)+ (IF(OR(AD1914="DEF",AD1914="GK"),N1914*'Scoring System'!$B$4,IF(AD1914="MID",N1914*'Scoring System'!$B$5,0)))+ (IF(OR(AD1914="DEF",AD1914="GK"),H1914*'Scoring System'!$B$6,IF(AD1914="MID",H1914*'Scoring System'!$B$7,IF(AD1914="ATT",H1914*'Scoring System'!$B$8,0))))+ IF(AND(OR(AD1914="GK",AD1914="DEF"),J1914&gt;=3),1*'Scoring System'!$B$9,0)+ (I1914*'Scoring System'!$B$10)+ (K1914*'Scoring System'!$B$11)+ (M1914*'Scoring System'!$B$12)+ (L1914*'Scoring System'!$B$13)+ (O1914*'Scoring System'!$B$14)+ (Q1914*'Scoring System'!$B$15)+ (R1914*'Scoring System'!$B$16)</f>
        <v>6</v>
      </c>
      <c r="AB1914" s="3" t="b">
        <f>IFERROR(match(C1914,'Match Day Fees'!$B$2:$B$999,0),0)=0</f>
        <v>0</v>
      </c>
      <c r="AC1914" s="3">
        <f t="shared" si="2"/>
        <v>0</v>
      </c>
      <c r="AD1914" s="3" t="str">
        <f>VLOOKUP(D1914,'Position Lookup'!A:B,2,FALSE)</f>
        <v>ATT</v>
      </c>
    </row>
    <row r="1915" ht="17.25" customHeight="1">
      <c r="A1915" s="10">
        <v>45367.0</v>
      </c>
      <c r="B1915" s="5" t="s">
        <v>309</v>
      </c>
      <c r="C1915" s="3" t="s">
        <v>96</v>
      </c>
      <c r="D1915" s="3" t="s">
        <v>24</v>
      </c>
      <c r="E1915" s="5">
        <v>1.0</v>
      </c>
      <c r="F1915" s="84" t="s">
        <v>1993</v>
      </c>
      <c r="G1915" s="3" t="s">
        <v>242</v>
      </c>
      <c r="J1915" s="5">
        <v>2.0</v>
      </c>
      <c r="N1915" s="3" t="b">
        <v>0</v>
      </c>
      <c r="R1915" s="3">
        <v>0.0</v>
      </c>
      <c r="T1915" s="3">
        <v>5.0</v>
      </c>
      <c r="U1915" s="3">
        <v>9.0</v>
      </c>
      <c r="V1915" s="3" t="s">
        <v>2005</v>
      </c>
      <c r="W1915" s="3" t="s">
        <v>344</v>
      </c>
      <c r="X1915" s="77" t="s">
        <v>1995</v>
      </c>
      <c r="Y1915" s="3">
        <v>2.0</v>
      </c>
      <c r="Z1915" s="3">
        <v>2.0</v>
      </c>
      <c r="AA1915" s="3">
        <f>2+ (P1915*'Scoring System'!$B$3)+ (IF(OR(AD1915="DEF",AD1915="GK"),N1915*'Scoring System'!$B$4,IF(AD1915="MID",N1915*'Scoring System'!$B$5,0)))+ (IF(OR(AD1915="DEF",AD1915="GK"),H1915*'Scoring System'!$B$6,IF(AD1915="MID",H1915*'Scoring System'!$B$7,IF(AD1915="ATT",H1915*'Scoring System'!$B$8,0))))+ IF(AND(OR(AD1915="GK",AD1915="DEF"),J1915&gt;=3),1*'Scoring System'!$B$9,0)+ (I1915*'Scoring System'!$B$10)+ (K1915*'Scoring System'!$B$11)+ (M1915*'Scoring System'!$B$12)+ (L1915*'Scoring System'!$B$13)+ (O1915*'Scoring System'!$B$14)+ (Q1915*'Scoring System'!$B$15)+ (R1915*'Scoring System'!$B$16)</f>
        <v>2</v>
      </c>
      <c r="AB1915" s="3" t="b">
        <f>IFERROR(match(C1915,'Match Day Fees'!$B$2:$B$999,0),0)=0</f>
        <v>0</v>
      </c>
      <c r="AC1915" s="3">
        <f t="shared" si="2"/>
        <v>0</v>
      </c>
      <c r="AD1915" s="3" t="str">
        <f>VLOOKUP(D1915,'Position Lookup'!A:B,2,FALSE)</f>
        <v>ATT</v>
      </c>
    </row>
    <row r="1916" ht="17.25" customHeight="1">
      <c r="A1916" s="10">
        <v>45367.0</v>
      </c>
      <c r="B1916" s="5" t="s">
        <v>309</v>
      </c>
      <c r="C1916" s="3" t="s">
        <v>110</v>
      </c>
      <c r="D1916" s="3" t="s">
        <v>22</v>
      </c>
      <c r="E1916" s="5">
        <v>1.0</v>
      </c>
      <c r="F1916" s="84" t="s">
        <v>1993</v>
      </c>
      <c r="G1916" s="3" t="s">
        <v>242</v>
      </c>
      <c r="J1916" s="5">
        <v>2.0</v>
      </c>
      <c r="N1916" s="3" t="b">
        <v>0</v>
      </c>
      <c r="R1916" s="3">
        <v>0.0</v>
      </c>
      <c r="T1916" s="3">
        <v>5.0</v>
      </c>
      <c r="U1916" s="3">
        <v>6.5</v>
      </c>
      <c r="V1916" s="3" t="s">
        <v>2006</v>
      </c>
      <c r="W1916" s="3" t="s">
        <v>344</v>
      </c>
      <c r="X1916" s="77" t="s">
        <v>1995</v>
      </c>
      <c r="Y1916" s="3">
        <v>2.0</v>
      </c>
      <c r="Z1916" s="3">
        <v>2.0</v>
      </c>
      <c r="AA1916" s="3">
        <f>2+ (P1916*'Scoring System'!$B$3)+ (IF(OR(AD1916="DEF",AD1916="GK"),N1916*'Scoring System'!$B$4,IF(AD1916="MID",N1916*'Scoring System'!$B$5,0)))+ (IF(OR(AD1916="DEF",AD1916="GK"),H1916*'Scoring System'!$B$6,IF(AD1916="MID",H1916*'Scoring System'!$B$7,IF(AD1916="ATT",H1916*'Scoring System'!$B$8,0))))+ IF(AND(OR(AD1916="GK",AD1916="DEF"),J1916&gt;=3),1*'Scoring System'!$B$9,0)+ (I1916*'Scoring System'!$B$10)+ (K1916*'Scoring System'!$B$11)+ (M1916*'Scoring System'!$B$12)+ (L1916*'Scoring System'!$B$13)+ (O1916*'Scoring System'!$B$14)+ (Q1916*'Scoring System'!$B$15)+ (R1916*'Scoring System'!$B$16)</f>
        <v>2</v>
      </c>
      <c r="AB1916" s="3" t="b">
        <f>IFERROR(match(C1916,'Match Day Fees'!$B$2:$B$999,0),0)=0</f>
        <v>0</v>
      </c>
      <c r="AC1916" s="3">
        <f t="shared" si="2"/>
        <v>0</v>
      </c>
      <c r="AD1916" s="3" t="str">
        <f>VLOOKUP(D1916,'Position Lookup'!A:B,2,FALSE)</f>
        <v>ATT</v>
      </c>
    </row>
    <row r="1917" ht="17.25" customHeight="1">
      <c r="A1917" s="10">
        <v>45367.0</v>
      </c>
      <c r="B1917" s="5" t="s">
        <v>309</v>
      </c>
      <c r="C1917" s="3" t="s">
        <v>93</v>
      </c>
      <c r="D1917" s="3" t="s">
        <v>20</v>
      </c>
      <c r="E1917" s="5">
        <v>1.0</v>
      </c>
      <c r="F1917" s="84" t="s">
        <v>1993</v>
      </c>
      <c r="G1917" s="3" t="s">
        <v>242</v>
      </c>
      <c r="J1917" s="5">
        <v>2.0</v>
      </c>
      <c r="N1917" s="3" t="b">
        <v>0</v>
      </c>
      <c r="R1917" s="3">
        <v>0.0</v>
      </c>
      <c r="U1917" s="3">
        <v>8.5</v>
      </c>
      <c r="V1917" s="3" t="s">
        <v>2007</v>
      </c>
      <c r="W1917" s="3" t="s">
        <v>344</v>
      </c>
      <c r="X1917" s="77" t="s">
        <v>1995</v>
      </c>
      <c r="Y1917" s="3">
        <v>2.0</v>
      </c>
      <c r="Z1917" s="3">
        <v>2.0</v>
      </c>
      <c r="AA1917" s="3">
        <f>2+ (P1917*'Scoring System'!$B$3)+ (IF(OR(AD1917="DEF",AD1917="GK"),N1917*'Scoring System'!$B$4,IF(AD1917="MID",N1917*'Scoring System'!$B$5,0)))+ (IF(OR(AD1917="DEF",AD1917="GK"),H1917*'Scoring System'!$B$6,IF(AD1917="MID",H1917*'Scoring System'!$B$7,IF(AD1917="ATT",H1917*'Scoring System'!$B$8,0))))+ IF(AND(OR(AD1917="GK",AD1917="DEF"),J1917&gt;=3),1*'Scoring System'!$B$9,0)+ (I1917*'Scoring System'!$B$10)+ (K1917*'Scoring System'!$B$11)+ (M1917*'Scoring System'!$B$12)+ (L1917*'Scoring System'!$B$13)+ (O1917*'Scoring System'!$B$14)+ (Q1917*'Scoring System'!$B$15)+ (R1917*'Scoring System'!$B$16)</f>
        <v>2</v>
      </c>
      <c r="AB1917" s="3" t="b">
        <f>IFERROR(match(C1917,'Match Day Fees'!$B$2:$B$999,0),0)=0</f>
        <v>0</v>
      </c>
      <c r="AC1917" s="3">
        <f t="shared" si="2"/>
        <v>0</v>
      </c>
      <c r="AD1917" s="3" t="str">
        <f>VLOOKUP(D1917,'Position Lookup'!A:B,2,FALSE)</f>
        <v>MID</v>
      </c>
    </row>
    <row r="1918" ht="17.25" customHeight="1">
      <c r="A1918" s="10">
        <v>45367.0</v>
      </c>
      <c r="B1918" s="5" t="s">
        <v>309</v>
      </c>
      <c r="C1918" s="3" t="s">
        <v>38</v>
      </c>
      <c r="D1918" s="3" t="s">
        <v>8</v>
      </c>
      <c r="E1918" s="5">
        <v>3.0</v>
      </c>
      <c r="F1918" s="3" t="s">
        <v>2008</v>
      </c>
      <c r="G1918" s="3" t="s">
        <v>224</v>
      </c>
      <c r="J1918" s="5">
        <v>0.0</v>
      </c>
      <c r="N1918" s="3" t="b">
        <v>1</v>
      </c>
      <c r="R1918" s="3">
        <v>0.0</v>
      </c>
      <c r="T1918" s="3">
        <v>10.0</v>
      </c>
      <c r="U1918" s="3">
        <v>6.0</v>
      </c>
      <c r="V1918" s="3" t="s">
        <v>2009</v>
      </c>
      <c r="W1918" s="3" t="s">
        <v>344</v>
      </c>
      <c r="X1918" s="77" t="s">
        <v>2010</v>
      </c>
      <c r="Y1918" s="3">
        <v>2.0</v>
      </c>
      <c r="Z1918" s="3">
        <v>0.0</v>
      </c>
      <c r="AA1918" s="3">
        <f>2+ (P1918*'Scoring System'!$B$3)+ (IF(OR(AD1918="DEF",AD1918="GK"),N1918*'Scoring System'!$B$4,IF(AD1918="MID",N1918*'Scoring System'!$B$5,0)))+ (IF(OR(AD1918="DEF",AD1918="GK"),H1918*'Scoring System'!$B$6,IF(AD1918="MID",H1918*'Scoring System'!$B$7,IF(AD1918="ATT",H1918*'Scoring System'!$B$8,0))))+ IF(AND(OR(AD1918="GK",AD1918="DEF"),J1918&gt;=3),1*'Scoring System'!$B$9,0)+ (I1918*'Scoring System'!$B$10)+ (K1918*'Scoring System'!$B$11)+ (M1918*'Scoring System'!$B$12)+ (L1918*'Scoring System'!$B$13)+ (O1918*'Scoring System'!$B$14)+ (Q1918*'Scoring System'!$B$15)+ (R1918*'Scoring System'!$B$16)</f>
        <v>8</v>
      </c>
      <c r="AB1918" s="3" t="b">
        <f>IFERROR(match(C1918,'Match Day Fees'!$B$2:$B$999,0),0)=0</f>
        <v>0</v>
      </c>
      <c r="AC1918" s="3">
        <f t="shared" si="2"/>
        <v>0</v>
      </c>
      <c r="AD1918" s="3" t="str">
        <f>VLOOKUP(D1918,'Position Lookup'!A:B,2,FALSE)</f>
        <v>GK</v>
      </c>
    </row>
    <row r="1919" ht="17.25" customHeight="1">
      <c r="A1919" s="10">
        <v>45367.0</v>
      </c>
      <c r="B1919" s="5" t="s">
        <v>309</v>
      </c>
      <c r="C1919" s="3" t="s">
        <v>42</v>
      </c>
      <c r="D1919" s="3" t="s">
        <v>16</v>
      </c>
      <c r="E1919" s="5">
        <v>3.0</v>
      </c>
      <c r="F1919" s="3" t="s">
        <v>2008</v>
      </c>
      <c r="G1919" s="3" t="s">
        <v>224</v>
      </c>
      <c r="J1919" s="5">
        <v>0.0</v>
      </c>
      <c r="N1919" s="3" t="b">
        <v>1</v>
      </c>
      <c r="R1919" s="3">
        <v>0.0</v>
      </c>
      <c r="T1919" s="3">
        <v>10.0</v>
      </c>
      <c r="U1919" s="3">
        <v>6.0</v>
      </c>
      <c r="V1919" s="3" t="s">
        <v>2011</v>
      </c>
      <c r="W1919" s="3" t="s">
        <v>344</v>
      </c>
      <c r="X1919" s="77" t="s">
        <v>2010</v>
      </c>
      <c r="Y1919" s="3">
        <v>2.0</v>
      </c>
      <c r="Z1919" s="3">
        <v>0.0</v>
      </c>
      <c r="AA1919" s="3">
        <f>2+ (P1919*'Scoring System'!$B$3)+ (IF(OR(AD1919="DEF",AD1919="GK"),N1919*'Scoring System'!$B$4,IF(AD1919="MID",N1919*'Scoring System'!$B$5,0)))+ (IF(OR(AD1919="DEF",AD1919="GK"),H1919*'Scoring System'!$B$6,IF(AD1919="MID",H1919*'Scoring System'!$B$7,IF(AD1919="ATT",H1919*'Scoring System'!$B$8,0))))+ IF(AND(OR(AD1919="GK",AD1919="DEF"),J1919&gt;=3),1*'Scoring System'!$B$9,0)+ (I1919*'Scoring System'!$B$10)+ (K1919*'Scoring System'!$B$11)+ (M1919*'Scoring System'!$B$12)+ (L1919*'Scoring System'!$B$13)+ (O1919*'Scoring System'!$B$14)+ (Q1919*'Scoring System'!$B$15)+ (R1919*'Scoring System'!$B$16)</f>
        <v>8</v>
      </c>
      <c r="AB1919" s="3" t="b">
        <f>IFERROR(match(C1919,'Match Day Fees'!$B$2:$B$999,0),0)=0</f>
        <v>0</v>
      </c>
      <c r="AC1919" s="3">
        <f t="shared" si="2"/>
        <v>0</v>
      </c>
      <c r="AD1919" s="3" t="str">
        <f>VLOOKUP(D1919,'Position Lookup'!A:B,2,FALSE)</f>
        <v>DEF</v>
      </c>
    </row>
    <row r="1920" ht="17.25" customHeight="1">
      <c r="A1920" s="10">
        <v>45367.0</v>
      </c>
      <c r="B1920" s="5" t="s">
        <v>309</v>
      </c>
      <c r="C1920" s="3" t="s">
        <v>40</v>
      </c>
      <c r="D1920" s="3" t="s">
        <v>14</v>
      </c>
      <c r="E1920" s="5">
        <v>3.0</v>
      </c>
      <c r="F1920" s="3" t="s">
        <v>2008</v>
      </c>
      <c r="G1920" s="3" t="s">
        <v>224</v>
      </c>
      <c r="J1920" s="5">
        <v>0.0</v>
      </c>
      <c r="N1920" s="3" t="b">
        <v>1</v>
      </c>
      <c r="R1920" s="3">
        <v>0.0</v>
      </c>
      <c r="T1920" s="3">
        <v>10.0</v>
      </c>
      <c r="U1920" s="3">
        <v>7.0</v>
      </c>
      <c r="V1920" s="3" t="s">
        <v>2011</v>
      </c>
      <c r="W1920" s="3" t="s">
        <v>344</v>
      </c>
      <c r="X1920" s="77" t="s">
        <v>2010</v>
      </c>
      <c r="Y1920" s="3">
        <v>2.0</v>
      </c>
      <c r="Z1920" s="3">
        <v>0.0</v>
      </c>
      <c r="AA1920" s="3">
        <f>2+ (P1920*'Scoring System'!$B$3)+ (IF(OR(AD1920="DEF",AD1920="GK"),N1920*'Scoring System'!$B$4,IF(AD1920="MID",N1920*'Scoring System'!$B$5,0)))+ (IF(OR(AD1920="DEF",AD1920="GK"),H1920*'Scoring System'!$B$6,IF(AD1920="MID",H1920*'Scoring System'!$B$7,IF(AD1920="ATT",H1920*'Scoring System'!$B$8,0))))+ IF(AND(OR(AD1920="GK",AD1920="DEF"),J1920&gt;=3),1*'Scoring System'!$B$9,0)+ (I1920*'Scoring System'!$B$10)+ (K1920*'Scoring System'!$B$11)+ (M1920*'Scoring System'!$B$12)+ (L1920*'Scoring System'!$B$13)+ (O1920*'Scoring System'!$B$14)+ (Q1920*'Scoring System'!$B$15)+ (R1920*'Scoring System'!$B$16)</f>
        <v>8</v>
      </c>
      <c r="AB1920" s="3" t="b">
        <f>IFERROR(match(C1920,'Match Day Fees'!$B$2:$B$999,0),0)=0</f>
        <v>0</v>
      </c>
      <c r="AC1920" s="3">
        <f t="shared" si="2"/>
        <v>0</v>
      </c>
      <c r="AD1920" s="3" t="str">
        <f>VLOOKUP(D1920,'Position Lookup'!A:B,2,FALSE)</f>
        <v>DEF</v>
      </c>
    </row>
    <row r="1921" ht="17.25" customHeight="1">
      <c r="A1921" s="10">
        <v>45367.0</v>
      </c>
      <c r="B1921" s="5" t="s">
        <v>309</v>
      </c>
      <c r="C1921" s="3" t="s">
        <v>39</v>
      </c>
      <c r="D1921" s="3" t="s">
        <v>14</v>
      </c>
      <c r="E1921" s="5">
        <v>3.0</v>
      </c>
      <c r="F1921" s="3" t="s">
        <v>2008</v>
      </c>
      <c r="G1921" s="3" t="s">
        <v>224</v>
      </c>
      <c r="J1921" s="5">
        <v>0.0</v>
      </c>
      <c r="N1921" s="3" t="b">
        <v>1</v>
      </c>
      <c r="R1921" s="3">
        <v>1.0</v>
      </c>
      <c r="T1921" s="3">
        <v>10.0</v>
      </c>
      <c r="U1921" s="3">
        <v>7.5</v>
      </c>
      <c r="V1921" s="3" t="s">
        <v>2012</v>
      </c>
      <c r="W1921" s="3" t="s">
        <v>344</v>
      </c>
      <c r="X1921" s="77" t="s">
        <v>2010</v>
      </c>
      <c r="Y1921" s="3">
        <v>2.0</v>
      </c>
      <c r="Z1921" s="3">
        <v>0.0</v>
      </c>
      <c r="AA1921" s="3">
        <f>2+ (P1921*'Scoring System'!$B$3)+ (IF(OR(AD1921="DEF",AD1921="GK"),N1921*'Scoring System'!$B$4,IF(AD1921="MID",N1921*'Scoring System'!$B$5,0)))+ (IF(OR(AD1921="DEF",AD1921="GK"),H1921*'Scoring System'!$B$6,IF(AD1921="MID",H1921*'Scoring System'!$B$7,IF(AD1921="ATT",H1921*'Scoring System'!$B$8,0))))+ IF(AND(OR(AD1921="GK",AD1921="DEF"),J1921&gt;=3),1*'Scoring System'!$B$9,0)+ (I1921*'Scoring System'!$B$10)+ (K1921*'Scoring System'!$B$11)+ (M1921*'Scoring System'!$B$12)+ (L1921*'Scoring System'!$B$13)+ (O1921*'Scoring System'!$B$14)+ (Q1921*'Scoring System'!$B$15)+ (R1921*'Scoring System'!$B$16)</f>
        <v>13</v>
      </c>
      <c r="AB1921" s="3" t="b">
        <f>IFERROR(match(C1921,'Match Day Fees'!$B$2:$B$999,0),0)=0</f>
        <v>0</v>
      </c>
      <c r="AC1921" s="3">
        <f t="shared" si="2"/>
        <v>0</v>
      </c>
      <c r="AD1921" s="3" t="str">
        <f>VLOOKUP(D1921,'Position Lookup'!A:B,2,FALSE)</f>
        <v>DEF</v>
      </c>
    </row>
    <row r="1922" ht="17.25" customHeight="1">
      <c r="A1922" s="10">
        <v>45367.0</v>
      </c>
      <c r="B1922" s="5" t="s">
        <v>309</v>
      </c>
      <c r="C1922" s="3" t="s">
        <v>43</v>
      </c>
      <c r="D1922" s="3" t="s">
        <v>12</v>
      </c>
      <c r="E1922" s="5">
        <v>3.0</v>
      </c>
      <c r="F1922" s="3" t="s">
        <v>2008</v>
      </c>
      <c r="G1922" s="3" t="s">
        <v>224</v>
      </c>
      <c r="J1922" s="5">
        <v>0.0</v>
      </c>
      <c r="N1922" s="3" t="b">
        <v>1</v>
      </c>
      <c r="R1922" s="3">
        <v>0.0</v>
      </c>
      <c r="T1922" s="3">
        <v>10.0</v>
      </c>
      <c r="U1922" s="3">
        <v>6.0</v>
      </c>
      <c r="V1922" s="3" t="s">
        <v>2013</v>
      </c>
      <c r="W1922" s="3" t="s">
        <v>344</v>
      </c>
      <c r="X1922" s="77" t="s">
        <v>2010</v>
      </c>
      <c r="Y1922" s="3">
        <v>2.0</v>
      </c>
      <c r="Z1922" s="3">
        <v>0.0</v>
      </c>
      <c r="AA1922" s="3">
        <f>2+ (P1922*'Scoring System'!$B$3)+ (IF(OR(AD1922="DEF",AD1922="GK"),N1922*'Scoring System'!$B$4,IF(AD1922="MID",N1922*'Scoring System'!$B$5,0)))+ (IF(OR(AD1922="DEF",AD1922="GK"),H1922*'Scoring System'!$B$6,IF(AD1922="MID",H1922*'Scoring System'!$B$7,IF(AD1922="ATT",H1922*'Scoring System'!$B$8,0))))+ IF(AND(OR(AD1922="GK",AD1922="DEF"),J1922&gt;=3),1*'Scoring System'!$B$9,0)+ (I1922*'Scoring System'!$B$10)+ (K1922*'Scoring System'!$B$11)+ (M1922*'Scoring System'!$B$12)+ (L1922*'Scoring System'!$B$13)+ (O1922*'Scoring System'!$B$14)+ (Q1922*'Scoring System'!$B$15)+ (R1922*'Scoring System'!$B$16)</f>
        <v>8</v>
      </c>
      <c r="AB1922" s="3" t="b">
        <f>IFERROR(match(C1922,'Match Day Fees'!$B$2:$B$999,0),0)=0</f>
        <v>0</v>
      </c>
      <c r="AC1922" s="3">
        <f t="shared" si="2"/>
        <v>0</v>
      </c>
      <c r="AD1922" s="3" t="str">
        <f>VLOOKUP(D1922,'Position Lookup'!A:B,2,FALSE)</f>
        <v>DEF</v>
      </c>
    </row>
    <row r="1923" ht="17.25" customHeight="1">
      <c r="A1923" s="10">
        <v>45367.0</v>
      </c>
      <c r="B1923" s="5" t="s">
        <v>309</v>
      </c>
      <c r="C1923" s="3" t="s">
        <v>130</v>
      </c>
      <c r="D1923" s="3" t="s">
        <v>20</v>
      </c>
      <c r="E1923" s="5">
        <v>3.0</v>
      </c>
      <c r="F1923" s="3" t="s">
        <v>2008</v>
      </c>
      <c r="G1923" s="3" t="s">
        <v>224</v>
      </c>
      <c r="J1923" s="5">
        <v>0.0</v>
      </c>
      <c r="N1923" s="3" t="b">
        <v>1</v>
      </c>
      <c r="R1923" s="3">
        <v>0.0</v>
      </c>
      <c r="T1923" s="3">
        <v>10.0</v>
      </c>
      <c r="U1923" s="3">
        <v>6.0</v>
      </c>
      <c r="V1923" s="3" t="s">
        <v>2014</v>
      </c>
      <c r="W1923" s="3" t="s">
        <v>344</v>
      </c>
      <c r="X1923" s="77" t="s">
        <v>2010</v>
      </c>
      <c r="Y1923" s="3">
        <v>2.0</v>
      </c>
      <c r="Z1923" s="3">
        <v>0.0</v>
      </c>
      <c r="AA1923" s="3">
        <f>2+ (P1923*'Scoring System'!$B$3)+ (IF(OR(AD1923="DEF",AD1923="GK"),N1923*'Scoring System'!$B$4,IF(AD1923="MID",N1923*'Scoring System'!$B$5,0)))+ (IF(OR(AD1923="DEF",AD1923="GK"),H1923*'Scoring System'!$B$6,IF(AD1923="MID",H1923*'Scoring System'!$B$7,IF(AD1923="ATT",H1923*'Scoring System'!$B$8,0))))+ IF(AND(OR(AD1923="GK",AD1923="DEF"),J1923&gt;=3),1*'Scoring System'!$B$9,0)+ (I1923*'Scoring System'!$B$10)+ (K1923*'Scoring System'!$B$11)+ (M1923*'Scoring System'!$B$12)+ (L1923*'Scoring System'!$B$13)+ (O1923*'Scoring System'!$B$14)+ (Q1923*'Scoring System'!$B$15)+ (R1923*'Scoring System'!$B$16)</f>
        <v>4</v>
      </c>
      <c r="AB1923" s="3" t="b">
        <f>IFERROR(match(C1923,'Match Day Fees'!$B$2:$B$999,0),0)=0</f>
        <v>0</v>
      </c>
      <c r="AC1923" s="3">
        <f t="shared" si="2"/>
        <v>0</v>
      </c>
      <c r="AD1923" s="3" t="str">
        <f>VLOOKUP(D1923,'Position Lookup'!A:B,2,FALSE)</f>
        <v>MID</v>
      </c>
    </row>
    <row r="1924" ht="17.25" customHeight="1">
      <c r="A1924" s="10">
        <v>45367.0</v>
      </c>
      <c r="B1924" s="5" t="s">
        <v>309</v>
      </c>
      <c r="C1924" s="3" t="s">
        <v>59</v>
      </c>
      <c r="D1924" s="3" t="s">
        <v>20</v>
      </c>
      <c r="E1924" s="5">
        <v>3.0</v>
      </c>
      <c r="F1924" s="3" t="s">
        <v>2008</v>
      </c>
      <c r="G1924" s="3" t="s">
        <v>224</v>
      </c>
      <c r="J1924" s="5">
        <v>0.0</v>
      </c>
      <c r="N1924" s="3" t="b">
        <v>1</v>
      </c>
      <c r="R1924" s="3">
        <v>0.0</v>
      </c>
      <c r="T1924" s="3">
        <v>10.0</v>
      </c>
      <c r="U1924" s="3">
        <v>6.0</v>
      </c>
      <c r="V1924" s="3" t="s">
        <v>2014</v>
      </c>
      <c r="W1924" s="3" t="s">
        <v>344</v>
      </c>
      <c r="X1924" s="77" t="s">
        <v>2010</v>
      </c>
      <c r="Y1924" s="3">
        <v>2.0</v>
      </c>
      <c r="Z1924" s="3">
        <v>0.0</v>
      </c>
      <c r="AA1924" s="3">
        <f>2+ (P1924*'Scoring System'!$B$3)+ (IF(OR(AD1924="DEF",AD1924="GK"),N1924*'Scoring System'!$B$4,IF(AD1924="MID",N1924*'Scoring System'!$B$5,0)))+ (IF(OR(AD1924="DEF",AD1924="GK"),H1924*'Scoring System'!$B$6,IF(AD1924="MID",H1924*'Scoring System'!$B$7,IF(AD1924="ATT",H1924*'Scoring System'!$B$8,0))))+ IF(AND(OR(AD1924="GK",AD1924="DEF"),J1924&gt;=3),1*'Scoring System'!$B$9,0)+ (I1924*'Scoring System'!$B$10)+ (K1924*'Scoring System'!$B$11)+ (M1924*'Scoring System'!$B$12)+ (L1924*'Scoring System'!$B$13)+ (O1924*'Scoring System'!$B$14)+ (Q1924*'Scoring System'!$B$15)+ (R1924*'Scoring System'!$B$16)</f>
        <v>4</v>
      </c>
      <c r="AB1924" s="3" t="b">
        <f>IFERROR(match(C1924,'Match Day Fees'!$B$2:$B$999,0),0)=0</f>
        <v>0</v>
      </c>
      <c r="AC1924" s="3">
        <f t="shared" si="2"/>
        <v>0</v>
      </c>
      <c r="AD1924" s="3" t="str">
        <f>VLOOKUP(D1924,'Position Lookup'!A:B,2,FALSE)</f>
        <v>MID</v>
      </c>
    </row>
    <row r="1925" ht="17.25" customHeight="1">
      <c r="A1925" s="10">
        <v>45367.0</v>
      </c>
      <c r="B1925" s="5" t="s">
        <v>309</v>
      </c>
      <c r="C1925" s="3" t="s">
        <v>151</v>
      </c>
      <c r="D1925" s="3" t="s">
        <v>20</v>
      </c>
      <c r="E1925" s="5">
        <v>3.0</v>
      </c>
      <c r="F1925" s="3" t="s">
        <v>2008</v>
      </c>
      <c r="G1925" s="3" t="s">
        <v>224</v>
      </c>
      <c r="J1925" s="5">
        <v>0.0</v>
      </c>
      <c r="N1925" s="3" t="b">
        <v>1</v>
      </c>
      <c r="R1925" s="3">
        <v>0.0</v>
      </c>
      <c r="T1925" s="3">
        <v>5.0</v>
      </c>
      <c r="U1925" s="3">
        <v>6.0</v>
      </c>
      <c r="V1925" s="3" t="s">
        <v>2014</v>
      </c>
      <c r="W1925" s="3" t="s">
        <v>344</v>
      </c>
      <c r="X1925" s="77" t="s">
        <v>2010</v>
      </c>
      <c r="Y1925" s="3">
        <v>2.0</v>
      </c>
      <c r="Z1925" s="3">
        <v>0.0</v>
      </c>
      <c r="AA1925" s="3">
        <f>2+ (P1925*'Scoring System'!$B$3)+ (IF(OR(AD1925="DEF",AD1925="GK"),N1925*'Scoring System'!$B$4,IF(AD1925="MID",N1925*'Scoring System'!$B$5,0)))+ (IF(OR(AD1925="DEF",AD1925="GK"),H1925*'Scoring System'!$B$6,IF(AD1925="MID",H1925*'Scoring System'!$B$7,IF(AD1925="ATT",H1925*'Scoring System'!$B$8,0))))+ IF(AND(OR(AD1925="GK",AD1925="DEF"),J1925&gt;=3),1*'Scoring System'!$B$9,0)+ (I1925*'Scoring System'!$B$10)+ (K1925*'Scoring System'!$B$11)+ (M1925*'Scoring System'!$B$12)+ (L1925*'Scoring System'!$B$13)+ (O1925*'Scoring System'!$B$14)+ (Q1925*'Scoring System'!$B$15)+ (R1925*'Scoring System'!$B$16)</f>
        <v>4</v>
      </c>
      <c r="AB1925" s="3" t="b">
        <f>IFERROR(match(C1925,'Match Day Fees'!$B$2:$B$999,0),0)=0</f>
        <v>0</v>
      </c>
      <c r="AC1925" s="3">
        <f t="shared" si="2"/>
        <v>0</v>
      </c>
      <c r="AD1925" s="3" t="str">
        <f>VLOOKUP(D1925,'Position Lookup'!A:B,2,FALSE)</f>
        <v>MID</v>
      </c>
    </row>
    <row r="1926" ht="17.25" customHeight="1">
      <c r="A1926" s="10">
        <v>45367.0</v>
      </c>
      <c r="B1926" s="5" t="s">
        <v>309</v>
      </c>
      <c r="C1926" s="3" t="s">
        <v>61</v>
      </c>
      <c r="D1926" s="3" t="s">
        <v>23</v>
      </c>
      <c r="E1926" s="5">
        <v>3.0</v>
      </c>
      <c r="F1926" s="3" t="s">
        <v>2008</v>
      </c>
      <c r="G1926" s="3" t="s">
        <v>224</v>
      </c>
      <c r="J1926" s="5">
        <v>0.0</v>
      </c>
      <c r="N1926" s="3" t="b">
        <v>1</v>
      </c>
      <c r="R1926" s="3">
        <v>0.0</v>
      </c>
      <c r="T1926" s="3">
        <v>10.0</v>
      </c>
      <c r="U1926" s="3">
        <v>7.0</v>
      </c>
      <c r="V1926" s="3" t="s">
        <v>2015</v>
      </c>
      <c r="W1926" s="3" t="s">
        <v>344</v>
      </c>
      <c r="X1926" s="77" t="s">
        <v>2010</v>
      </c>
      <c r="Y1926" s="3">
        <v>2.0</v>
      </c>
      <c r="Z1926" s="3">
        <v>0.0</v>
      </c>
      <c r="AA1926" s="3">
        <f>2+ (P1926*'Scoring System'!$B$3)+ (IF(OR(AD1926="DEF",AD1926="GK"),N1926*'Scoring System'!$B$4,IF(AD1926="MID",N1926*'Scoring System'!$B$5,0)))+ (IF(OR(AD1926="DEF",AD1926="GK"),H1926*'Scoring System'!$B$6,IF(AD1926="MID",H1926*'Scoring System'!$B$7,IF(AD1926="ATT",H1926*'Scoring System'!$B$8,0))))+ IF(AND(OR(AD1926="GK",AD1926="DEF"),J1926&gt;=3),1*'Scoring System'!$B$9,0)+ (I1926*'Scoring System'!$B$10)+ (K1926*'Scoring System'!$B$11)+ (M1926*'Scoring System'!$B$12)+ (L1926*'Scoring System'!$B$13)+ (O1926*'Scoring System'!$B$14)+ (Q1926*'Scoring System'!$B$15)+ (R1926*'Scoring System'!$B$16)</f>
        <v>2</v>
      </c>
      <c r="AB1926" s="3" t="b">
        <f>IFERROR(match(C1926,'Match Day Fees'!$B$2:$B$999,0),0)=0</f>
        <v>0</v>
      </c>
      <c r="AC1926" s="3">
        <f t="shared" si="2"/>
        <v>0</v>
      </c>
      <c r="AD1926" s="3" t="str">
        <f>VLOOKUP(D1926,'Position Lookup'!A:B,2,FALSE)</f>
        <v>ATT</v>
      </c>
    </row>
    <row r="1927" ht="17.25" customHeight="1">
      <c r="A1927" s="10">
        <v>45367.0</v>
      </c>
      <c r="B1927" s="5" t="s">
        <v>309</v>
      </c>
      <c r="C1927" s="3" t="s">
        <v>46</v>
      </c>
      <c r="D1927" s="3" t="s">
        <v>24</v>
      </c>
      <c r="E1927" s="5">
        <v>3.0</v>
      </c>
      <c r="F1927" s="3" t="s">
        <v>2008</v>
      </c>
      <c r="G1927" s="3" t="s">
        <v>224</v>
      </c>
      <c r="H1927" s="3">
        <v>2.0</v>
      </c>
      <c r="J1927" s="5">
        <v>0.0</v>
      </c>
      <c r="N1927" s="3" t="b">
        <v>1</v>
      </c>
      <c r="R1927" s="3">
        <v>0.0</v>
      </c>
      <c r="T1927" s="3">
        <v>10.0</v>
      </c>
      <c r="U1927" s="3">
        <v>7.0</v>
      </c>
      <c r="V1927" s="3" t="s">
        <v>2016</v>
      </c>
      <c r="W1927" s="3" t="s">
        <v>344</v>
      </c>
      <c r="X1927" s="77" t="s">
        <v>2010</v>
      </c>
      <c r="Y1927" s="3">
        <v>2.0</v>
      </c>
      <c r="Z1927" s="3">
        <v>0.0</v>
      </c>
      <c r="AA1927" s="3">
        <f>2+ (P1927*'Scoring System'!$B$3)+ (IF(OR(AD1927="DEF",AD1927="GK"),N1927*'Scoring System'!$B$4,IF(AD1927="MID",N1927*'Scoring System'!$B$5,0)))+ (IF(OR(AD1927="DEF",AD1927="GK"),H1927*'Scoring System'!$B$6,IF(AD1927="MID",H1927*'Scoring System'!$B$7,IF(AD1927="ATT",H1927*'Scoring System'!$B$8,0))))+ IF(AND(OR(AD1927="GK",AD1927="DEF"),J1927&gt;=3),1*'Scoring System'!$B$9,0)+ (I1927*'Scoring System'!$B$10)+ (K1927*'Scoring System'!$B$11)+ (M1927*'Scoring System'!$B$12)+ (L1927*'Scoring System'!$B$13)+ (O1927*'Scoring System'!$B$14)+ (Q1927*'Scoring System'!$B$15)+ (R1927*'Scoring System'!$B$16)</f>
        <v>10</v>
      </c>
      <c r="AB1927" s="3" t="b">
        <f>IFERROR(match(C1927,'Match Day Fees'!$B$2:$B$999,0),0)=0</f>
        <v>0</v>
      </c>
      <c r="AC1927" s="3">
        <f t="shared" si="2"/>
        <v>0</v>
      </c>
      <c r="AD1927" s="3" t="str">
        <f>VLOOKUP(D1927,'Position Lookup'!A:B,2,FALSE)</f>
        <v>ATT</v>
      </c>
    </row>
    <row r="1928" ht="17.25" customHeight="1">
      <c r="A1928" s="10">
        <v>45367.0</v>
      </c>
      <c r="B1928" s="5" t="s">
        <v>309</v>
      </c>
      <c r="C1928" s="3" t="s">
        <v>254</v>
      </c>
      <c r="D1928" s="3" t="s">
        <v>22</v>
      </c>
      <c r="E1928" s="5">
        <v>3.0</v>
      </c>
      <c r="F1928" s="3" t="s">
        <v>2008</v>
      </c>
      <c r="G1928" s="3" t="s">
        <v>224</v>
      </c>
      <c r="J1928" s="5">
        <v>0.0</v>
      </c>
      <c r="N1928" s="3" t="b">
        <v>1</v>
      </c>
      <c r="R1928" s="3">
        <v>0.0</v>
      </c>
      <c r="S1928" s="3" t="b">
        <v>1</v>
      </c>
      <c r="T1928" s="3">
        <v>0.0</v>
      </c>
      <c r="U1928" s="3">
        <v>4.0</v>
      </c>
      <c r="V1928" s="3" t="s">
        <v>2017</v>
      </c>
      <c r="W1928" s="3" t="s">
        <v>344</v>
      </c>
      <c r="X1928" s="77" t="s">
        <v>2010</v>
      </c>
      <c r="Y1928" s="3">
        <v>2.0</v>
      </c>
      <c r="Z1928" s="3">
        <v>0.0</v>
      </c>
      <c r="AA1928" s="3">
        <f>2+ (P1928*'Scoring System'!$B$3)+ (IF(OR(AD1928="DEF",AD1928="GK"),N1928*'Scoring System'!$B$4,IF(AD1928="MID",N1928*'Scoring System'!$B$5,0)))+ (IF(OR(AD1928="DEF",AD1928="GK"),H1928*'Scoring System'!$B$6,IF(AD1928="MID",H1928*'Scoring System'!$B$7,IF(AD1928="ATT",H1928*'Scoring System'!$B$8,0))))+ IF(AND(OR(AD1928="GK",AD1928="DEF"),J1928&gt;=3),1*'Scoring System'!$B$9,0)+ (I1928*'Scoring System'!$B$10)+ (K1928*'Scoring System'!$B$11)+ (M1928*'Scoring System'!$B$12)+ (L1928*'Scoring System'!$B$13)+ (O1928*'Scoring System'!$B$14)+ (Q1928*'Scoring System'!$B$15)+ (R1928*'Scoring System'!$B$16)</f>
        <v>2</v>
      </c>
      <c r="AB1928" s="3" t="b">
        <f>IFERROR(match(C1928,'Match Day Fees'!$B$2:$B$999,0),0)=0</f>
        <v>0</v>
      </c>
      <c r="AC1928" s="3">
        <f t="shared" si="2"/>
        <v>0</v>
      </c>
      <c r="AD1928" s="3" t="str">
        <f>VLOOKUP(D1928,'Position Lookup'!A:B,2,FALSE)</f>
        <v>ATT</v>
      </c>
    </row>
    <row r="1929" ht="17.25" customHeight="1">
      <c r="A1929" s="10">
        <v>45367.0</v>
      </c>
      <c r="B1929" s="5" t="s">
        <v>309</v>
      </c>
      <c r="C1929" s="3" t="s">
        <v>41</v>
      </c>
      <c r="D1929" s="3" t="s">
        <v>16</v>
      </c>
      <c r="E1929" s="5">
        <v>3.0</v>
      </c>
      <c r="F1929" s="3" t="s">
        <v>2008</v>
      </c>
      <c r="G1929" s="3" t="s">
        <v>224</v>
      </c>
      <c r="J1929" s="5">
        <v>0.0</v>
      </c>
      <c r="N1929" s="3" t="b">
        <v>1</v>
      </c>
      <c r="R1929" s="3">
        <v>0.0</v>
      </c>
      <c r="T1929" s="3">
        <v>10.0</v>
      </c>
      <c r="U1929" s="3">
        <v>7.0</v>
      </c>
      <c r="V1929" s="3" t="s">
        <v>2018</v>
      </c>
      <c r="W1929" s="3" t="s">
        <v>344</v>
      </c>
      <c r="X1929" s="77" t="s">
        <v>2010</v>
      </c>
      <c r="Y1929" s="3">
        <v>2.0</v>
      </c>
      <c r="Z1929" s="3">
        <v>0.0</v>
      </c>
      <c r="AA1929" s="3">
        <f>2+ (P1929*'Scoring System'!$B$3)+ (IF(OR(AD1929="DEF",AD1929="GK"),N1929*'Scoring System'!$B$4,IF(AD1929="MID",N1929*'Scoring System'!$B$5,0)))+ (IF(OR(AD1929="DEF",AD1929="GK"),H1929*'Scoring System'!$B$6,IF(AD1929="MID",H1929*'Scoring System'!$B$7,IF(AD1929="ATT",H1929*'Scoring System'!$B$8,0))))+ IF(AND(OR(AD1929="GK",AD1929="DEF"),J1929&gt;=3),1*'Scoring System'!$B$9,0)+ (I1929*'Scoring System'!$B$10)+ (K1929*'Scoring System'!$B$11)+ (M1929*'Scoring System'!$B$12)+ (L1929*'Scoring System'!$B$13)+ (O1929*'Scoring System'!$B$14)+ (Q1929*'Scoring System'!$B$15)+ (R1929*'Scoring System'!$B$16)</f>
        <v>8</v>
      </c>
      <c r="AB1929" s="3" t="b">
        <f>IFERROR(match(C1929,'Match Day Fees'!$B$2:$B$999,0),0)=0</f>
        <v>0</v>
      </c>
      <c r="AC1929" s="3">
        <f t="shared" si="2"/>
        <v>0</v>
      </c>
      <c r="AD1929" s="3" t="str">
        <f>VLOOKUP(D1929,'Position Lookup'!A:B,2,FALSE)</f>
        <v>DEF</v>
      </c>
    </row>
    <row r="1930" ht="17.25" customHeight="1">
      <c r="A1930" s="10">
        <v>45367.0</v>
      </c>
      <c r="B1930" s="5" t="s">
        <v>309</v>
      </c>
      <c r="C1930" s="3" t="s">
        <v>86</v>
      </c>
      <c r="D1930" s="3" t="s">
        <v>20</v>
      </c>
      <c r="E1930" s="5">
        <v>3.0</v>
      </c>
      <c r="F1930" s="3" t="s">
        <v>2008</v>
      </c>
      <c r="G1930" s="3" t="s">
        <v>224</v>
      </c>
      <c r="J1930" s="5">
        <v>0.0</v>
      </c>
      <c r="N1930" s="3" t="b">
        <v>1</v>
      </c>
      <c r="R1930" s="3">
        <v>0.0</v>
      </c>
      <c r="T1930" s="3">
        <v>10.0</v>
      </c>
      <c r="U1930" s="3">
        <v>7.0</v>
      </c>
      <c r="V1930" s="3" t="s">
        <v>2019</v>
      </c>
      <c r="W1930" s="3" t="s">
        <v>344</v>
      </c>
      <c r="X1930" s="77" t="s">
        <v>2010</v>
      </c>
      <c r="Y1930" s="3">
        <v>2.0</v>
      </c>
      <c r="Z1930" s="3">
        <v>0.0</v>
      </c>
      <c r="AA1930" s="3">
        <f>2+ (P1930*'Scoring System'!$B$3)+ (IF(OR(AD1930="DEF",AD1930="GK"),N1930*'Scoring System'!$B$4,IF(AD1930="MID",N1930*'Scoring System'!$B$5,0)))+ (IF(OR(AD1930="DEF",AD1930="GK"),H1930*'Scoring System'!$B$6,IF(AD1930="MID",H1930*'Scoring System'!$B$7,IF(AD1930="ATT",H1930*'Scoring System'!$B$8,0))))+ IF(AND(OR(AD1930="GK",AD1930="DEF"),J1930&gt;=3),1*'Scoring System'!$B$9,0)+ (I1930*'Scoring System'!$B$10)+ (K1930*'Scoring System'!$B$11)+ (M1930*'Scoring System'!$B$12)+ (L1930*'Scoring System'!$B$13)+ (O1930*'Scoring System'!$B$14)+ (Q1930*'Scoring System'!$B$15)+ (R1930*'Scoring System'!$B$16)</f>
        <v>4</v>
      </c>
      <c r="AB1930" s="3" t="b">
        <f>IFERROR(match(C1930,'Match Day Fees'!$B$2:$B$999,0),0)=0</f>
        <v>0</v>
      </c>
      <c r="AC1930" s="3">
        <f t="shared" si="2"/>
        <v>0</v>
      </c>
      <c r="AD1930" s="3" t="str">
        <f>VLOOKUP(D1930,'Position Lookup'!A:B,2,FALSE)</f>
        <v>MID</v>
      </c>
    </row>
    <row r="1931" ht="17.25" customHeight="1">
      <c r="A1931" s="10">
        <v>45367.0</v>
      </c>
      <c r="B1931" s="5" t="s">
        <v>309</v>
      </c>
      <c r="C1931" s="3" t="s">
        <v>74</v>
      </c>
      <c r="D1931" s="3" t="s">
        <v>24</v>
      </c>
      <c r="E1931" s="5">
        <v>3.0</v>
      </c>
      <c r="F1931" s="3" t="s">
        <v>2008</v>
      </c>
      <c r="G1931" s="3" t="s">
        <v>224</v>
      </c>
      <c r="I1931" s="3">
        <v>1.0</v>
      </c>
      <c r="J1931" s="5">
        <v>0.0</v>
      </c>
      <c r="N1931" s="3" t="b">
        <v>1</v>
      </c>
      <c r="R1931" s="3">
        <v>0.0</v>
      </c>
      <c r="T1931" s="3">
        <v>10.0</v>
      </c>
      <c r="U1931" s="3">
        <v>6.5</v>
      </c>
      <c r="V1931" s="3" t="s">
        <v>2020</v>
      </c>
      <c r="W1931" s="3" t="s">
        <v>344</v>
      </c>
      <c r="X1931" s="77" t="s">
        <v>2010</v>
      </c>
      <c r="Y1931" s="3">
        <v>2.0</v>
      </c>
      <c r="Z1931" s="3">
        <v>0.0</v>
      </c>
      <c r="AA1931" s="3">
        <f>2+ (P1931*'Scoring System'!$B$3)+ (IF(OR(AD1931="DEF",AD1931="GK"),N1931*'Scoring System'!$B$4,IF(AD1931="MID",N1931*'Scoring System'!$B$5,0)))+ (IF(OR(AD1931="DEF",AD1931="GK"),H1931*'Scoring System'!$B$6,IF(AD1931="MID",H1931*'Scoring System'!$B$7,IF(AD1931="ATT",H1931*'Scoring System'!$B$8,0))))+ IF(AND(OR(AD1931="GK",AD1931="DEF"),J1931&gt;=3),1*'Scoring System'!$B$9,0)+ (I1931*'Scoring System'!$B$10)+ (K1931*'Scoring System'!$B$11)+ (M1931*'Scoring System'!$B$12)+ (L1931*'Scoring System'!$B$13)+ (O1931*'Scoring System'!$B$14)+ (Q1931*'Scoring System'!$B$15)+ (R1931*'Scoring System'!$B$16)</f>
        <v>5</v>
      </c>
      <c r="AB1931" s="3" t="b">
        <f>IFERROR(match(C1931,'Match Day Fees'!$B$2:$B$999,0),0)=0</f>
        <v>0</v>
      </c>
      <c r="AC1931" s="3">
        <f t="shared" si="2"/>
        <v>0</v>
      </c>
      <c r="AD1931" s="3" t="str">
        <f>VLOOKUP(D1931,'Position Lookup'!A:B,2,FALSE)</f>
        <v>ATT</v>
      </c>
    </row>
    <row r="1932" ht="17.25" customHeight="1">
      <c r="A1932" s="10">
        <v>45367.0</v>
      </c>
      <c r="B1932" s="5" t="s">
        <v>309</v>
      </c>
      <c r="C1932" s="3" t="s">
        <v>108</v>
      </c>
      <c r="D1932" s="3" t="s">
        <v>8</v>
      </c>
      <c r="E1932" s="5">
        <v>4.0</v>
      </c>
      <c r="F1932" s="3" t="s">
        <v>2021</v>
      </c>
      <c r="G1932" s="3" t="s">
        <v>224</v>
      </c>
      <c r="I1932" s="3">
        <v>1.0</v>
      </c>
      <c r="J1932" s="5">
        <v>1.0</v>
      </c>
      <c r="N1932" s="3" t="b">
        <v>0</v>
      </c>
      <c r="R1932" s="3">
        <v>0.0</v>
      </c>
      <c r="T1932" s="3">
        <v>0.0</v>
      </c>
      <c r="U1932" s="3">
        <v>7.0</v>
      </c>
      <c r="V1932" s="3" t="s">
        <v>2022</v>
      </c>
      <c r="W1932" s="3" t="s">
        <v>730</v>
      </c>
      <c r="X1932" s="77" t="s">
        <v>2023</v>
      </c>
      <c r="Y1932" s="3">
        <v>4.0</v>
      </c>
      <c r="Z1932" s="3">
        <v>1.0</v>
      </c>
      <c r="AA1932" s="3">
        <f>2+ (P1932*'Scoring System'!$B$3)+ (IF(OR(AD1932="DEF",AD1932="GK"),N1932*'Scoring System'!$B$4,IF(AD1932="MID",N1932*'Scoring System'!$B$5,0)))+ (IF(OR(AD1932="DEF",AD1932="GK"),H1932*'Scoring System'!$B$6,IF(AD1932="MID",H1932*'Scoring System'!$B$7,IF(AD1932="ATT",H1932*'Scoring System'!$B$8,0))))+ IF(AND(OR(AD1932="GK",AD1932="DEF"),J1932&gt;=3),1*'Scoring System'!$B$9,0)+ (I1932*'Scoring System'!$B$10)+ (K1932*'Scoring System'!$B$11)+ (M1932*'Scoring System'!$B$12)+ (L1932*'Scoring System'!$B$13)+ (O1932*'Scoring System'!$B$14)+ (Q1932*'Scoring System'!$B$15)+ (R1932*'Scoring System'!$B$16)</f>
        <v>5</v>
      </c>
      <c r="AB1932" s="3" t="b">
        <f>IFERROR(match(C1932,'Match Day Fees'!$B$2:$B$999,0),0)=0</f>
        <v>0</v>
      </c>
      <c r="AC1932" s="3">
        <f t="shared" si="2"/>
        <v>0</v>
      </c>
      <c r="AD1932" s="3" t="str">
        <f>VLOOKUP(D1932,'Position Lookup'!A:B,2,FALSE)</f>
        <v>GK</v>
      </c>
    </row>
    <row r="1933" ht="17.25" customHeight="1">
      <c r="A1933" s="10">
        <v>45367.0</v>
      </c>
      <c r="B1933" s="5" t="s">
        <v>309</v>
      </c>
      <c r="C1933" s="3" t="s">
        <v>122</v>
      </c>
      <c r="D1933" s="3" t="s">
        <v>14</v>
      </c>
      <c r="E1933" s="5">
        <v>4.0</v>
      </c>
      <c r="F1933" s="3" t="s">
        <v>2021</v>
      </c>
      <c r="G1933" s="3" t="s">
        <v>224</v>
      </c>
      <c r="J1933" s="5">
        <v>1.0</v>
      </c>
      <c r="N1933" s="3" t="b">
        <v>0</v>
      </c>
      <c r="R1933" s="3">
        <v>0.0</v>
      </c>
      <c r="T1933" s="3">
        <v>5.0</v>
      </c>
      <c r="U1933" s="3">
        <v>7.5</v>
      </c>
      <c r="V1933" s="3" t="s">
        <v>2024</v>
      </c>
      <c r="W1933" s="3" t="s">
        <v>730</v>
      </c>
      <c r="X1933" s="77" t="s">
        <v>2023</v>
      </c>
      <c r="Y1933" s="3">
        <v>4.0</v>
      </c>
      <c r="Z1933" s="3">
        <v>1.0</v>
      </c>
      <c r="AA1933" s="3">
        <f>2+ (P1933*'Scoring System'!$B$3)+ (IF(OR(AD1933="DEF",AD1933="GK"),N1933*'Scoring System'!$B$4,IF(AD1933="MID",N1933*'Scoring System'!$B$5,0)))+ (IF(OR(AD1933="DEF",AD1933="GK"),H1933*'Scoring System'!$B$6,IF(AD1933="MID",H1933*'Scoring System'!$B$7,IF(AD1933="ATT",H1933*'Scoring System'!$B$8,0))))+ IF(AND(OR(AD1933="GK",AD1933="DEF"),J1933&gt;=3),1*'Scoring System'!$B$9,0)+ (I1933*'Scoring System'!$B$10)+ (K1933*'Scoring System'!$B$11)+ (M1933*'Scoring System'!$B$12)+ (L1933*'Scoring System'!$B$13)+ (O1933*'Scoring System'!$B$14)+ (Q1933*'Scoring System'!$B$15)+ (R1933*'Scoring System'!$B$16)</f>
        <v>2</v>
      </c>
      <c r="AB1933" s="3" t="b">
        <f>IFERROR(match(C1933,'Match Day Fees'!$B$2:$B$999,0),0)=0</f>
        <v>0</v>
      </c>
      <c r="AC1933" s="3">
        <f t="shared" si="2"/>
        <v>0</v>
      </c>
      <c r="AD1933" s="3" t="str">
        <f>VLOOKUP(D1933,'Position Lookup'!A:B,2,FALSE)</f>
        <v>DEF</v>
      </c>
    </row>
    <row r="1934" ht="17.25" customHeight="1">
      <c r="A1934" s="10">
        <v>45367.0</v>
      </c>
      <c r="B1934" s="5" t="s">
        <v>309</v>
      </c>
      <c r="C1934" s="3" t="s">
        <v>126</v>
      </c>
      <c r="D1934" s="3" t="s">
        <v>14</v>
      </c>
      <c r="E1934" s="5">
        <v>4.0</v>
      </c>
      <c r="F1934" s="3" t="s">
        <v>2021</v>
      </c>
      <c r="G1934" s="3" t="s">
        <v>224</v>
      </c>
      <c r="J1934" s="5">
        <v>1.0</v>
      </c>
      <c r="N1934" s="3" t="b">
        <v>0</v>
      </c>
      <c r="R1934" s="3">
        <v>0.0</v>
      </c>
      <c r="T1934" s="3">
        <v>5.0</v>
      </c>
      <c r="U1934" s="3">
        <v>7.0</v>
      </c>
      <c r="V1934" s="3" t="s">
        <v>2025</v>
      </c>
      <c r="W1934" s="3" t="s">
        <v>730</v>
      </c>
      <c r="X1934" s="77" t="s">
        <v>2023</v>
      </c>
      <c r="Y1934" s="3">
        <v>4.0</v>
      </c>
      <c r="Z1934" s="3">
        <v>1.0</v>
      </c>
      <c r="AA1934" s="3">
        <f>2+ (P1934*'Scoring System'!$B$3)+ (IF(OR(AD1934="DEF",AD1934="GK"),N1934*'Scoring System'!$B$4,IF(AD1934="MID",N1934*'Scoring System'!$B$5,0)))+ (IF(OR(AD1934="DEF",AD1934="GK"),H1934*'Scoring System'!$B$6,IF(AD1934="MID",H1934*'Scoring System'!$B$7,IF(AD1934="ATT",H1934*'Scoring System'!$B$8,0))))+ IF(AND(OR(AD1934="GK",AD1934="DEF"),J1934&gt;=3),1*'Scoring System'!$B$9,0)+ (I1934*'Scoring System'!$B$10)+ (K1934*'Scoring System'!$B$11)+ (M1934*'Scoring System'!$B$12)+ (L1934*'Scoring System'!$B$13)+ (O1934*'Scoring System'!$B$14)+ (Q1934*'Scoring System'!$B$15)+ (R1934*'Scoring System'!$B$16)</f>
        <v>2</v>
      </c>
      <c r="AB1934" s="3" t="b">
        <f>IFERROR(match(C1934,'Match Day Fees'!$B$2:$B$999,0),0)=0</f>
        <v>0</v>
      </c>
      <c r="AC1934" s="3">
        <f t="shared" si="2"/>
        <v>0</v>
      </c>
      <c r="AD1934" s="3" t="str">
        <f>VLOOKUP(D1934,'Position Lookup'!A:B,2,FALSE)</f>
        <v>DEF</v>
      </c>
    </row>
    <row r="1935" ht="17.25" customHeight="1">
      <c r="A1935" s="10">
        <v>45367.0</v>
      </c>
      <c r="B1935" s="5" t="s">
        <v>309</v>
      </c>
      <c r="C1935" s="3" t="s">
        <v>54</v>
      </c>
      <c r="D1935" s="3" t="s">
        <v>16</v>
      </c>
      <c r="E1935" s="5">
        <v>4.0</v>
      </c>
      <c r="F1935" s="3" t="s">
        <v>2021</v>
      </c>
      <c r="G1935" s="3" t="s">
        <v>224</v>
      </c>
      <c r="J1935" s="5">
        <v>1.0</v>
      </c>
      <c r="N1935" s="3" t="b">
        <v>0</v>
      </c>
      <c r="R1935" s="3">
        <v>0.0</v>
      </c>
      <c r="T1935" s="3">
        <v>10.0</v>
      </c>
      <c r="U1935" s="3">
        <v>7.0</v>
      </c>
      <c r="V1935" s="3" t="s">
        <v>2026</v>
      </c>
      <c r="W1935" s="3" t="s">
        <v>730</v>
      </c>
      <c r="X1935" s="77" t="s">
        <v>2023</v>
      </c>
      <c r="Y1935" s="3">
        <v>4.0</v>
      </c>
      <c r="Z1935" s="3">
        <v>1.0</v>
      </c>
      <c r="AA1935" s="3">
        <f>2+ (P1935*'Scoring System'!$B$3)+ (IF(OR(AD1935="DEF",AD1935="GK"),N1935*'Scoring System'!$B$4,IF(AD1935="MID",N1935*'Scoring System'!$B$5,0)))+ (IF(OR(AD1935="DEF",AD1935="GK"),H1935*'Scoring System'!$B$6,IF(AD1935="MID",H1935*'Scoring System'!$B$7,IF(AD1935="ATT",H1935*'Scoring System'!$B$8,0))))+ IF(AND(OR(AD1935="GK",AD1935="DEF"),J1935&gt;=3),1*'Scoring System'!$B$9,0)+ (I1935*'Scoring System'!$B$10)+ (K1935*'Scoring System'!$B$11)+ (M1935*'Scoring System'!$B$12)+ (L1935*'Scoring System'!$B$13)+ (O1935*'Scoring System'!$B$14)+ (Q1935*'Scoring System'!$B$15)+ (R1935*'Scoring System'!$B$16)</f>
        <v>2</v>
      </c>
      <c r="AB1935" s="3" t="b">
        <f>IFERROR(match(C1935,'Match Day Fees'!$B$2:$B$999,0),0)=0</f>
        <v>0</v>
      </c>
      <c r="AC1935" s="3">
        <f t="shared" si="2"/>
        <v>0</v>
      </c>
      <c r="AD1935" s="3" t="str">
        <f>VLOOKUP(D1935,'Position Lookup'!A:B,2,FALSE)</f>
        <v>DEF</v>
      </c>
    </row>
    <row r="1936" ht="17.25" customHeight="1">
      <c r="A1936" s="10">
        <v>45367.0</v>
      </c>
      <c r="B1936" s="5" t="s">
        <v>309</v>
      </c>
      <c r="C1936" s="3" t="s">
        <v>144</v>
      </c>
      <c r="D1936" s="3" t="s">
        <v>12</v>
      </c>
      <c r="E1936" s="5">
        <v>4.0</v>
      </c>
      <c r="F1936" s="3" t="s">
        <v>2021</v>
      </c>
      <c r="G1936" s="3" t="s">
        <v>224</v>
      </c>
      <c r="I1936" s="3">
        <v>1.0</v>
      </c>
      <c r="J1936" s="5">
        <v>1.0</v>
      </c>
      <c r="N1936" s="3" t="b">
        <v>0</v>
      </c>
      <c r="R1936" s="3">
        <v>0.0</v>
      </c>
      <c r="T1936" s="3">
        <v>10.0</v>
      </c>
      <c r="U1936" s="3">
        <v>7.0</v>
      </c>
      <c r="V1936" s="3" t="s">
        <v>2027</v>
      </c>
      <c r="W1936" s="3" t="s">
        <v>730</v>
      </c>
      <c r="X1936" s="77" t="s">
        <v>2023</v>
      </c>
      <c r="Y1936" s="3">
        <v>4.0</v>
      </c>
      <c r="Z1936" s="3">
        <v>1.0</v>
      </c>
      <c r="AA1936" s="3">
        <f>2+ (P1936*'Scoring System'!$B$3)+ (IF(OR(AD1936="DEF",AD1936="GK"),N1936*'Scoring System'!$B$4,IF(AD1936="MID",N1936*'Scoring System'!$B$5,0)))+ (IF(OR(AD1936="DEF",AD1936="GK"),H1936*'Scoring System'!$B$6,IF(AD1936="MID",H1936*'Scoring System'!$B$7,IF(AD1936="ATT",H1936*'Scoring System'!$B$8,0))))+ IF(AND(OR(AD1936="GK",AD1936="DEF"),J1936&gt;=3),1*'Scoring System'!$B$9,0)+ (I1936*'Scoring System'!$B$10)+ (K1936*'Scoring System'!$B$11)+ (M1936*'Scoring System'!$B$12)+ (L1936*'Scoring System'!$B$13)+ (O1936*'Scoring System'!$B$14)+ (Q1936*'Scoring System'!$B$15)+ (R1936*'Scoring System'!$B$16)</f>
        <v>5</v>
      </c>
      <c r="AB1936" s="3" t="b">
        <f>IFERROR(match(C1936,'Match Day Fees'!$B$2:$B$999,0),0)=0</f>
        <v>0</v>
      </c>
      <c r="AC1936" s="3">
        <f t="shared" si="2"/>
        <v>0</v>
      </c>
      <c r="AD1936" s="3" t="str">
        <f>VLOOKUP(D1936,'Position Lookup'!A:B,2,FALSE)</f>
        <v>DEF</v>
      </c>
    </row>
    <row r="1937" ht="17.25" customHeight="1">
      <c r="A1937" s="10">
        <v>45367.0</v>
      </c>
      <c r="B1937" s="5" t="s">
        <v>309</v>
      </c>
      <c r="C1937" s="3" t="s">
        <v>44</v>
      </c>
      <c r="D1937" s="3" t="s">
        <v>19</v>
      </c>
      <c r="E1937" s="5">
        <v>4.0</v>
      </c>
      <c r="F1937" s="3" t="s">
        <v>2021</v>
      </c>
      <c r="G1937" s="3" t="s">
        <v>224</v>
      </c>
      <c r="H1937" s="3">
        <v>1.0</v>
      </c>
      <c r="J1937" s="5">
        <v>1.0</v>
      </c>
      <c r="N1937" s="3" t="b">
        <v>0</v>
      </c>
      <c r="R1937" s="3">
        <v>0.0</v>
      </c>
      <c r="T1937" s="3">
        <v>5.0</v>
      </c>
      <c r="U1937" s="3">
        <v>8.0</v>
      </c>
      <c r="V1937" s="3" t="s">
        <v>2028</v>
      </c>
      <c r="W1937" s="3" t="s">
        <v>730</v>
      </c>
      <c r="X1937" s="77" t="s">
        <v>2023</v>
      </c>
      <c r="Y1937" s="3">
        <v>4.0</v>
      </c>
      <c r="Z1937" s="3">
        <v>1.0</v>
      </c>
      <c r="AA1937" s="3">
        <f>2+ (P1937*'Scoring System'!$B$3)+ (IF(OR(AD1937="DEF",AD1937="GK"),N1937*'Scoring System'!$B$4,IF(AD1937="MID",N1937*'Scoring System'!$B$5,0)))+ (IF(OR(AD1937="DEF",AD1937="GK"),H1937*'Scoring System'!$B$6,IF(AD1937="MID",H1937*'Scoring System'!$B$7,IF(AD1937="ATT",H1937*'Scoring System'!$B$8,0))))+ IF(AND(OR(AD1937="GK",AD1937="DEF"),J1937&gt;=3),1*'Scoring System'!$B$9,0)+ (I1937*'Scoring System'!$B$10)+ (K1937*'Scoring System'!$B$11)+ (M1937*'Scoring System'!$B$12)+ (L1937*'Scoring System'!$B$13)+ (O1937*'Scoring System'!$B$14)+ (Q1937*'Scoring System'!$B$15)+ (R1937*'Scoring System'!$B$16)</f>
        <v>7</v>
      </c>
      <c r="AB1937" s="3" t="b">
        <f>IFERROR(match(C1937,'Match Day Fees'!$B$2:$B$999,0),0)=0</f>
        <v>0</v>
      </c>
      <c r="AC1937" s="3">
        <f t="shared" si="2"/>
        <v>0</v>
      </c>
      <c r="AD1937" s="3" t="str">
        <f>VLOOKUP(D1937,'Position Lookup'!A:B,2,FALSE)</f>
        <v>MID</v>
      </c>
    </row>
    <row r="1938" ht="17.25" customHeight="1">
      <c r="A1938" s="10">
        <v>45367.0</v>
      </c>
      <c r="B1938" s="5" t="s">
        <v>309</v>
      </c>
      <c r="C1938" s="3" t="s">
        <v>1253</v>
      </c>
      <c r="D1938" s="3" t="s">
        <v>19</v>
      </c>
      <c r="E1938" s="5">
        <v>4.0</v>
      </c>
      <c r="F1938" s="3" t="s">
        <v>2021</v>
      </c>
      <c r="G1938" s="3" t="s">
        <v>224</v>
      </c>
      <c r="J1938" s="5">
        <v>1.0</v>
      </c>
      <c r="N1938" s="3" t="b">
        <v>0</v>
      </c>
      <c r="R1938" s="3">
        <v>0.0</v>
      </c>
      <c r="T1938" s="3">
        <v>5.0</v>
      </c>
      <c r="U1938" s="3">
        <v>7.0</v>
      </c>
      <c r="V1938" s="3" t="s">
        <v>2029</v>
      </c>
      <c r="W1938" s="3" t="s">
        <v>730</v>
      </c>
      <c r="X1938" s="77" t="s">
        <v>2023</v>
      </c>
      <c r="Y1938" s="3">
        <v>4.0</v>
      </c>
      <c r="Z1938" s="3">
        <v>1.0</v>
      </c>
      <c r="AA1938" s="3">
        <f>2+ (P1938*'Scoring System'!$B$3)+ (IF(OR(AD1938="DEF",AD1938="GK"),N1938*'Scoring System'!$B$4,IF(AD1938="MID",N1938*'Scoring System'!$B$5,0)))+ (IF(OR(AD1938="DEF",AD1938="GK"),H1938*'Scoring System'!$B$6,IF(AD1938="MID",H1938*'Scoring System'!$B$7,IF(AD1938="ATT",H1938*'Scoring System'!$B$8,0))))+ IF(AND(OR(AD1938="GK",AD1938="DEF"),J1938&gt;=3),1*'Scoring System'!$B$9,0)+ (I1938*'Scoring System'!$B$10)+ (K1938*'Scoring System'!$B$11)+ (M1938*'Scoring System'!$B$12)+ (L1938*'Scoring System'!$B$13)+ (O1938*'Scoring System'!$B$14)+ (Q1938*'Scoring System'!$B$15)+ (R1938*'Scoring System'!$B$16)</f>
        <v>2</v>
      </c>
      <c r="AB1938" s="3" t="b">
        <f>IFERROR(match(C1938,'Match Day Fees'!$B$2:$B$999,0),0)=0</f>
        <v>0</v>
      </c>
      <c r="AC1938" s="3">
        <f t="shared" si="2"/>
        <v>0</v>
      </c>
      <c r="AD1938" s="3" t="str">
        <f>VLOOKUP(D1938,'Position Lookup'!A:B,2,FALSE)</f>
        <v>MID</v>
      </c>
    </row>
    <row r="1939" ht="17.25" customHeight="1">
      <c r="A1939" s="10">
        <v>45367.0</v>
      </c>
      <c r="B1939" s="5" t="s">
        <v>309</v>
      </c>
      <c r="C1939" s="3" t="s">
        <v>136</v>
      </c>
      <c r="D1939" s="3" t="s">
        <v>20</v>
      </c>
      <c r="E1939" s="5">
        <v>4.0</v>
      </c>
      <c r="F1939" s="3" t="s">
        <v>2021</v>
      </c>
      <c r="G1939" s="3" t="s">
        <v>224</v>
      </c>
      <c r="J1939" s="5">
        <v>1.0</v>
      </c>
      <c r="N1939" s="3" t="b">
        <v>0</v>
      </c>
      <c r="R1939" s="3">
        <v>0.0</v>
      </c>
      <c r="S1939" s="3" t="b">
        <v>1</v>
      </c>
      <c r="T1939" s="3">
        <v>0.0</v>
      </c>
      <c r="U1939" s="3">
        <v>7.5</v>
      </c>
      <c r="V1939" s="3" t="s">
        <v>2030</v>
      </c>
      <c r="W1939" s="3" t="s">
        <v>730</v>
      </c>
      <c r="X1939" s="77" t="s">
        <v>2023</v>
      </c>
      <c r="Y1939" s="3">
        <v>4.0</v>
      </c>
      <c r="Z1939" s="3">
        <v>1.0</v>
      </c>
      <c r="AA1939" s="3">
        <f>2+ (P1939*'Scoring System'!$B$3)+ (IF(OR(AD1939="DEF",AD1939="GK"),N1939*'Scoring System'!$B$4,IF(AD1939="MID",N1939*'Scoring System'!$B$5,0)))+ (IF(OR(AD1939="DEF",AD1939="GK"),H1939*'Scoring System'!$B$6,IF(AD1939="MID",H1939*'Scoring System'!$B$7,IF(AD1939="ATT",H1939*'Scoring System'!$B$8,0))))+ IF(AND(OR(AD1939="GK",AD1939="DEF"),J1939&gt;=3),1*'Scoring System'!$B$9,0)+ (I1939*'Scoring System'!$B$10)+ (K1939*'Scoring System'!$B$11)+ (M1939*'Scoring System'!$B$12)+ (L1939*'Scoring System'!$B$13)+ (O1939*'Scoring System'!$B$14)+ (Q1939*'Scoring System'!$B$15)+ (R1939*'Scoring System'!$B$16)</f>
        <v>2</v>
      </c>
      <c r="AB1939" s="3" t="b">
        <f>IFERROR(match(C1939,'Match Day Fees'!$B$2:$B$999,0),0)=0</f>
        <v>0</v>
      </c>
      <c r="AC1939" s="3">
        <f t="shared" si="2"/>
        <v>0</v>
      </c>
      <c r="AD1939" s="3" t="str">
        <f>VLOOKUP(D1939,'Position Lookup'!A:B,2,FALSE)</f>
        <v>MID</v>
      </c>
    </row>
    <row r="1940" ht="17.25" customHeight="1">
      <c r="A1940" s="10">
        <v>45367.0</v>
      </c>
      <c r="B1940" s="5" t="s">
        <v>309</v>
      </c>
      <c r="C1940" s="3" t="s">
        <v>45</v>
      </c>
      <c r="D1940" s="3" t="s">
        <v>23</v>
      </c>
      <c r="E1940" s="5">
        <v>4.0</v>
      </c>
      <c r="F1940" s="3" t="s">
        <v>2021</v>
      </c>
      <c r="G1940" s="3" t="s">
        <v>224</v>
      </c>
      <c r="H1940" s="3">
        <v>1.0</v>
      </c>
      <c r="I1940" s="3">
        <v>1.0</v>
      </c>
      <c r="J1940" s="5">
        <v>1.0</v>
      </c>
      <c r="N1940" s="3" t="b">
        <v>0</v>
      </c>
      <c r="R1940" s="3">
        <v>1.0</v>
      </c>
      <c r="T1940" s="3">
        <v>10.0</v>
      </c>
      <c r="U1940" s="3">
        <v>8.0</v>
      </c>
      <c r="V1940" s="3" t="s">
        <v>2031</v>
      </c>
      <c r="W1940" s="3" t="s">
        <v>730</v>
      </c>
      <c r="X1940" s="77" t="s">
        <v>2023</v>
      </c>
      <c r="Y1940" s="3">
        <v>4.0</v>
      </c>
      <c r="Z1940" s="3">
        <v>1.0</v>
      </c>
      <c r="AA1940" s="3">
        <f>2+ (P1940*'Scoring System'!$B$3)+ (IF(OR(AD1940="DEF",AD1940="GK"),N1940*'Scoring System'!$B$4,IF(AD1940="MID",N1940*'Scoring System'!$B$5,0)))+ (IF(OR(AD1940="DEF",AD1940="GK"),H1940*'Scoring System'!$B$6,IF(AD1940="MID",H1940*'Scoring System'!$B$7,IF(AD1940="ATT",H1940*'Scoring System'!$B$8,0))))+ IF(AND(OR(AD1940="GK",AD1940="DEF"),J1940&gt;=3),1*'Scoring System'!$B$9,0)+ (I1940*'Scoring System'!$B$10)+ (K1940*'Scoring System'!$B$11)+ (M1940*'Scoring System'!$B$12)+ (L1940*'Scoring System'!$B$13)+ (O1940*'Scoring System'!$B$14)+ (Q1940*'Scoring System'!$B$15)+ (R1940*'Scoring System'!$B$16)</f>
        <v>14</v>
      </c>
      <c r="AB1940" s="3" t="b">
        <f>IFERROR(match(C1940,'Match Day Fees'!$B$2:$B$999,0),0)=0</f>
        <v>0</v>
      </c>
      <c r="AC1940" s="3">
        <f t="shared" si="2"/>
        <v>0</v>
      </c>
      <c r="AD1940" s="3" t="str">
        <f>VLOOKUP(D1940,'Position Lookup'!A:B,2,FALSE)</f>
        <v>ATT</v>
      </c>
    </row>
    <row r="1941" ht="17.25" customHeight="1">
      <c r="A1941" s="10">
        <v>45367.0</v>
      </c>
      <c r="B1941" s="5" t="s">
        <v>309</v>
      </c>
      <c r="C1941" s="3" t="s">
        <v>1910</v>
      </c>
      <c r="D1941" s="3" t="s">
        <v>22</v>
      </c>
      <c r="E1941" s="5">
        <v>4.0</v>
      </c>
      <c r="F1941" s="3" t="s">
        <v>2021</v>
      </c>
      <c r="G1941" s="3" t="s">
        <v>224</v>
      </c>
      <c r="J1941" s="5">
        <v>1.0</v>
      </c>
      <c r="N1941" s="3" t="b">
        <v>0</v>
      </c>
      <c r="R1941" s="3">
        <v>0.0</v>
      </c>
      <c r="T1941" s="3">
        <v>10.0</v>
      </c>
      <c r="U1941" s="3">
        <v>7.0</v>
      </c>
      <c r="V1941" s="3" t="s">
        <v>2032</v>
      </c>
      <c r="W1941" s="3" t="s">
        <v>730</v>
      </c>
      <c r="X1941" s="77" t="s">
        <v>2023</v>
      </c>
      <c r="Y1941" s="3">
        <v>4.0</v>
      </c>
      <c r="Z1941" s="3">
        <v>1.0</v>
      </c>
      <c r="AA1941" s="3">
        <f>2+ (P1941*'Scoring System'!$B$3)+ (IF(OR(AD1941="DEF",AD1941="GK"),N1941*'Scoring System'!$B$4,IF(AD1941="MID",N1941*'Scoring System'!$B$5,0)))+ (IF(OR(AD1941="DEF",AD1941="GK"),H1941*'Scoring System'!$B$6,IF(AD1941="MID",H1941*'Scoring System'!$B$7,IF(AD1941="ATT",H1941*'Scoring System'!$B$8,0))))+ IF(AND(OR(AD1941="GK",AD1941="DEF"),J1941&gt;=3),1*'Scoring System'!$B$9,0)+ (I1941*'Scoring System'!$B$10)+ (K1941*'Scoring System'!$B$11)+ (M1941*'Scoring System'!$B$12)+ (L1941*'Scoring System'!$B$13)+ (O1941*'Scoring System'!$B$14)+ (Q1941*'Scoring System'!$B$15)+ (R1941*'Scoring System'!$B$16)</f>
        <v>2</v>
      </c>
      <c r="AB1941" s="3" t="b">
        <f>IFERROR(match(C1941,'Match Day Fees'!$B$2:$B$999,0),0)=0</f>
        <v>0</v>
      </c>
      <c r="AC1941" s="3">
        <f t="shared" si="2"/>
        <v>0</v>
      </c>
      <c r="AD1941" s="3" t="str">
        <f>VLOOKUP(D1941,'Position Lookup'!A:B,2,FALSE)</f>
        <v>ATT</v>
      </c>
    </row>
    <row r="1942" ht="17.25" customHeight="1">
      <c r="A1942" s="10">
        <v>45367.0</v>
      </c>
      <c r="B1942" s="5" t="s">
        <v>309</v>
      </c>
      <c r="C1942" s="3" t="s">
        <v>109</v>
      </c>
      <c r="D1942" s="3" t="s">
        <v>24</v>
      </c>
      <c r="E1942" s="5">
        <v>4.0</v>
      </c>
      <c r="F1942" s="3" t="s">
        <v>2021</v>
      </c>
      <c r="G1942" s="3" t="s">
        <v>224</v>
      </c>
      <c r="J1942" s="5">
        <v>1.0</v>
      </c>
      <c r="N1942" s="3" t="b">
        <v>0</v>
      </c>
      <c r="R1942" s="3">
        <v>0.0</v>
      </c>
      <c r="T1942" s="3">
        <v>5.0</v>
      </c>
      <c r="U1942" s="3">
        <v>7.0</v>
      </c>
      <c r="V1942" s="3" t="s">
        <v>2033</v>
      </c>
      <c r="W1942" s="3" t="s">
        <v>730</v>
      </c>
      <c r="X1942" s="77" t="s">
        <v>2023</v>
      </c>
      <c r="Y1942" s="3">
        <v>4.0</v>
      </c>
      <c r="Z1942" s="3">
        <v>1.0</v>
      </c>
      <c r="AA1942" s="3">
        <f>2+ (P1942*'Scoring System'!$B$3)+ (IF(OR(AD1942="DEF",AD1942="GK"),N1942*'Scoring System'!$B$4,IF(AD1942="MID",N1942*'Scoring System'!$B$5,0)))+ (IF(OR(AD1942="DEF",AD1942="GK"),H1942*'Scoring System'!$B$6,IF(AD1942="MID",H1942*'Scoring System'!$B$7,IF(AD1942="ATT",H1942*'Scoring System'!$B$8,0))))+ IF(AND(OR(AD1942="GK",AD1942="DEF"),J1942&gt;=3),1*'Scoring System'!$B$9,0)+ (I1942*'Scoring System'!$B$10)+ (K1942*'Scoring System'!$B$11)+ (M1942*'Scoring System'!$B$12)+ (L1942*'Scoring System'!$B$13)+ (O1942*'Scoring System'!$B$14)+ (Q1942*'Scoring System'!$B$15)+ (R1942*'Scoring System'!$B$16)</f>
        <v>2</v>
      </c>
      <c r="AB1942" s="3" t="b">
        <f>IFERROR(match(C1942,'Match Day Fees'!$B$2:$B$999,0),0)=0</f>
        <v>0</v>
      </c>
      <c r="AC1942" s="3">
        <f t="shared" si="2"/>
        <v>0</v>
      </c>
      <c r="AD1942" s="3" t="str">
        <f>VLOOKUP(D1942,'Position Lookup'!A:B,2,FALSE)</f>
        <v>ATT</v>
      </c>
    </row>
    <row r="1943" ht="17.25" customHeight="1">
      <c r="A1943" s="10">
        <v>45367.0</v>
      </c>
      <c r="B1943" s="5" t="s">
        <v>309</v>
      </c>
      <c r="C1943" s="3" t="s">
        <v>48</v>
      </c>
      <c r="D1943" s="3" t="s">
        <v>22</v>
      </c>
      <c r="E1943" s="5">
        <v>4.0</v>
      </c>
      <c r="F1943" s="3" t="s">
        <v>2021</v>
      </c>
      <c r="G1943" s="3" t="s">
        <v>224</v>
      </c>
      <c r="H1943" s="3">
        <v>1.0</v>
      </c>
      <c r="J1943" s="5">
        <v>1.0</v>
      </c>
      <c r="N1943" s="3" t="b">
        <v>0</v>
      </c>
      <c r="R1943" s="3">
        <v>0.0</v>
      </c>
      <c r="T1943" s="3">
        <v>10.0</v>
      </c>
      <c r="U1943" s="3">
        <v>7.5</v>
      </c>
      <c r="V1943" s="3" t="s">
        <v>2034</v>
      </c>
      <c r="W1943" s="3" t="s">
        <v>730</v>
      </c>
      <c r="X1943" s="77" t="s">
        <v>2023</v>
      </c>
      <c r="Y1943" s="3">
        <v>4.0</v>
      </c>
      <c r="Z1943" s="3">
        <v>1.0</v>
      </c>
      <c r="AA1943" s="3">
        <f>2+ (P1943*'Scoring System'!$B$3)+ (IF(OR(AD1943="DEF",AD1943="GK"),N1943*'Scoring System'!$B$4,IF(AD1943="MID",N1943*'Scoring System'!$B$5,0)))+ (IF(OR(AD1943="DEF",AD1943="GK"),H1943*'Scoring System'!$B$6,IF(AD1943="MID",H1943*'Scoring System'!$B$7,IF(AD1943="ATT",H1943*'Scoring System'!$B$8,0))))+ IF(AND(OR(AD1943="GK",AD1943="DEF"),J1943&gt;=3),1*'Scoring System'!$B$9,0)+ (I1943*'Scoring System'!$B$10)+ (K1943*'Scoring System'!$B$11)+ (M1943*'Scoring System'!$B$12)+ (L1943*'Scoring System'!$B$13)+ (O1943*'Scoring System'!$B$14)+ (Q1943*'Scoring System'!$B$15)+ (R1943*'Scoring System'!$B$16)</f>
        <v>6</v>
      </c>
      <c r="AB1943" s="3" t="b">
        <f>IFERROR(match(C1943,'Match Day Fees'!$B$2:$B$999,0),0)=0</f>
        <v>0</v>
      </c>
      <c r="AC1943" s="3">
        <f t="shared" si="2"/>
        <v>0</v>
      </c>
      <c r="AD1943" s="3" t="str">
        <f>VLOOKUP(D1943,'Position Lookup'!A:B,2,FALSE)</f>
        <v>ATT</v>
      </c>
    </row>
    <row r="1944" ht="17.25" customHeight="1">
      <c r="A1944" s="10">
        <v>45367.0</v>
      </c>
      <c r="B1944" s="5" t="s">
        <v>309</v>
      </c>
      <c r="C1944" s="3" t="s">
        <v>139</v>
      </c>
      <c r="D1944" s="3" t="s">
        <v>24</v>
      </c>
      <c r="E1944" s="5">
        <v>4.0</v>
      </c>
      <c r="F1944" s="3" t="s">
        <v>2021</v>
      </c>
      <c r="G1944" s="3" t="s">
        <v>224</v>
      </c>
      <c r="H1944" s="3">
        <v>1.0</v>
      </c>
      <c r="J1944" s="5">
        <v>1.0</v>
      </c>
      <c r="N1944" s="3" t="b">
        <v>0</v>
      </c>
      <c r="R1944" s="3">
        <v>0.0</v>
      </c>
      <c r="T1944" s="3">
        <v>10.0</v>
      </c>
      <c r="U1944" s="3">
        <v>7.0</v>
      </c>
      <c r="V1944" s="3" t="s">
        <v>2035</v>
      </c>
      <c r="W1944" s="3" t="s">
        <v>730</v>
      </c>
      <c r="X1944" s="77" t="s">
        <v>2023</v>
      </c>
      <c r="Y1944" s="3">
        <v>4.0</v>
      </c>
      <c r="Z1944" s="3">
        <v>1.0</v>
      </c>
      <c r="AA1944" s="3">
        <f>2+ (P1944*'Scoring System'!$B$3)+ (IF(OR(AD1944="DEF",AD1944="GK"),N1944*'Scoring System'!$B$4,IF(AD1944="MID",N1944*'Scoring System'!$B$5,0)))+ (IF(OR(AD1944="DEF",AD1944="GK"),H1944*'Scoring System'!$B$6,IF(AD1944="MID",H1944*'Scoring System'!$B$7,IF(AD1944="ATT",H1944*'Scoring System'!$B$8,0))))+ IF(AND(OR(AD1944="GK",AD1944="DEF"),J1944&gt;=3),1*'Scoring System'!$B$9,0)+ (I1944*'Scoring System'!$B$10)+ (K1944*'Scoring System'!$B$11)+ (M1944*'Scoring System'!$B$12)+ (L1944*'Scoring System'!$B$13)+ (O1944*'Scoring System'!$B$14)+ (Q1944*'Scoring System'!$B$15)+ (R1944*'Scoring System'!$B$16)</f>
        <v>6</v>
      </c>
      <c r="AB1944" s="3" t="b">
        <f>IFERROR(match(C1944,'Match Day Fees'!$B$2:$B$999,0),0)=0</f>
        <v>0</v>
      </c>
      <c r="AC1944" s="3">
        <f t="shared" si="2"/>
        <v>0</v>
      </c>
      <c r="AD1944" s="3" t="str">
        <f>VLOOKUP(D1944,'Position Lookup'!A:B,2,FALSE)</f>
        <v>ATT</v>
      </c>
    </row>
    <row r="1945" ht="17.25" customHeight="1">
      <c r="A1945" s="10">
        <v>45367.0</v>
      </c>
      <c r="B1945" s="5" t="s">
        <v>309</v>
      </c>
      <c r="C1945" s="3" t="s">
        <v>259</v>
      </c>
      <c r="D1945" s="3" t="s">
        <v>8</v>
      </c>
      <c r="E1945" s="5">
        <v>6.0</v>
      </c>
      <c r="F1945" s="3" t="s">
        <v>2036</v>
      </c>
      <c r="G1945" s="3" t="s">
        <v>242</v>
      </c>
      <c r="J1945" s="5">
        <v>1.0</v>
      </c>
      <c r="N1945" s="3" t="b">
        <v>0</v>
      </c>
      <c r="R1945" s="3">
        <v>1.0</v>
      </c>
      <c r="S1945" s="3" t="b">
        <v>1</v>
      </c>
      <c r="T1945" s="3">
        <v>0.0</v>
      </c>
      <c r="U1945" s="5">
        <v>8.0</v>
      </c>
      <c r="V1945" s="5" t="s">
        <v>2037</v>
      </c>
      <c r="W1945" s="3" t="s">
        <v>1375</v>
      </c>
      <c r="X1945" s="78" t="s">
        <v>2038</v>
      </c>
      <c r="Y1945" s="3">
        <v>1.0</v>
      </c>
      <c r="Z1945" s="3">
        <v>1.0</v>
      </c>
      <c r="AA1945" s="3">
        <f>2+ (P1945*'Scoring System'!$B$3)+ (IF(OR(AD1945="DEF",AD1945="GK"),N1945*'Scoring System'!$B$4,IF(AD1945="MID",N1945*'Scoring System'!$B$5,0)))+ (IF(OR(AD1945="DEF",AD1945="GK"),H1945*'Scoring System'!$B$6,IF(AD1945="MID",H1945*'Scoring System'!$B$7,IF(AD1945="ATT",H1945*'Scoring System'!$B$8,0))))+ IF(AND(OR(AD1945="GK",AD1945="DEF"),J1945&gt;=3),1*'Scoring System'!$B$9,0)+ (I1945*'Scoring System'!$B$10)+ (K1945*'Scoring System'!$B$11)+ (M1945*'Scoring System'!$B$12)+ (L1945*'Scoring System'!$B$13)+ (O1945*'Scoring System'!$B$14)+ (Q1945*'Scoring System'!$B$15)+ (R1945*'Scoring System'!$B$16)</f>
        <v>7</v>
      </c>
      <c r="AB1945" s="3" t="b">
        <f>IFERROR(match(C1945,'Match Day Fees'!$B$2:$B$999,0),0)=0</f>
        <v>0</v>
      </c>
      <c r="AC1945" s="3">
        <f t="shared" si="2"/>
        <v>0</v>
      </c>
      <c r="AD1945" s="3" t="str">
        <f>VLOOKUP(D1945,'Position Lookup'!A:B,2,FALSE)</f>
        <v>GK</v>
      </c>
    </row>
    <row r="1946" ht="17.25" customHeight="1">
      <c r="A1946" s="10">
        <v>45367.0</v>
      </c>
      <c r="B1946" s="5" t="s">
        <v>309</v>
      </c>
      <c r="C1946" s="3" t="s">
        <v>73</v>
      </c>
      <c r="D1946" s="3" t="s">
        <v>23</v>
      </c>
      <c r="E1946" s="5">
        <v>6.0</v>
      </c>
      <c r="F1946" s="3" t="s">
        <v>2036</v>
      </c>
      <c r="G1946" s="3" t="s">
        <v>242</v>
      </c>
      <c r="J1946" s="5">
        <v>1.0</v>
      </c>
      <c r="N1946" s="3" t="b">
        <v>0</v>
      </c>
      <c r="R1946" s="3">
        <v>0.0</v>
      </c>
      <c r="T1946" s="3">
        <v>10.0</v>
      </c>
      <c r="U1946" s="5">
        <v>7.0</v>
      </c>
      <c r="V1946" s="5" t="s">
        <v>2039</v>
      </c>
      <c r="W1946" s="3" t="s">
        <v>1375</v>
      </c>
      <c r="X1946" s="78" t="s">
        <v>2038</v>
      </c>
      <c r="Y1946" s="3">
        <v>1.0</v>
      </c>
      <c r="Z1946" s="3">
        <v>1.0</v>
      </c>
      <c r="AA1946" s="3">
        <f>2+ (P1946*'Scoring System'!$B$3)+ (IF(OR(AD1946="DEF",AD1946="GK"),N1946*'Scoring System'!$B$4,IF(AD1946="MID",N1946*'Scoring System'!$B$5,0)))+ (IF(OR(AD1946="DEF",AD1946="GK"),H1946*'Scoring System'!$B$6,IF(AD1946="MID",H1946*'Scoring System'!$B$7,IF(AD1946="ATT",H1946*'Scoring System'!$B$8,0))))+ IF(AND(OR(AD1946="GK",AD1946="DEF"),J1946&gt;=3),1*'Scoring System'!$B$9,0)+ (I1946*'Scoring System'!$B$10)+ (K1946*'Scoring System'!$B$11)+ (M1946*'Scoring System'!$B$12)+ (L1946*'Scoring System'!$B$13)+ (O1946*'Scoring System'!$B$14)+ (Q1946*'Scoring System'!$B$15)+ (R1946*'Scoring System'!$B$16)</f>
        <v>2</v>
      </c>
      <c r="AB1946" s="3" t="b">
        <f>IFERROR(match(C1946,'Match Day Fees'!$B$2:$B$999,0),0)=0</f>
        <v>0</v>
      </c>
      <c r="AC1946" s="3">
        <f t="shared" si="2"/>
        <v>0</v>
      </c>
      <c r="AD1946" s="3" t="str">
        <f>VLOOKUP(D1946,'Position Lookup'!A:B,2,FALSE)</f>
        <v>ATT</v>
      </c>
    </row>
    <row r="1947" ht="17.25" customHeight="1">
      <c r="A1947" s="10">
        <v>45367.0</v>
      </c>
      <c r="B1947" s="5" t="s">
        <v>309</v>
      </c>
      <c r="C1947" s="3" t="s">
        <v>128</v>
      </c>
      <c r="D1947" s="3" t="s">
        <v>14</v>
      </c>
      <c r="E1947" s="5">
        <v>6.0</v>
      </c>
      <c r="F1947" s="3" t="s">
        <v>2036</v>
      </c>
      <c r="G1947" s="3" t="s">
        <v>242</v>
      </c>
      <c r="J1947" s="5">
        <v>1.0</v>
      </c>
      <c r="N1947" s="3" t="b">
        <v>0</v>
      </c>
      <c r="R1947" s="3">
        <v>0.0</v>
      </c>
      <c r="T1947" s="3">
        <v>10.0</v>
      </c>
      <c r="U1947" s="5">
        <v>7.0</v>
      </c>
      <c r="V1947" s="5" t="s">
        <v>2040</v>
      </c>
      <c r="W1947" s="3" t="s">
        <v>1375</v>
      </c>
      <c r="X1947" s="78" t="s">
        <v>2038</v>
      </c>
      <c r="Y1947" s="3">
        <v>1.0</v>
      </c>
      <c r="Z1947" s="3">
        <v>1.0</v>
      </c>
      <c r="AA1947" s="3">
        <f>2+ (P1947*'Scoring System'!$B$3)+ (IF(OR(AD1947="DEF",AD1947="GK"),N1947*'Scoring System'!$B$4,IF(AD1947="MID",N1947*'Scoring System'!$B$5,0)))+ (IF(OR(AD1947="DEF",AD1947="GK"),H1947*'Scoring System'!$B$6,IF(AD1947="MID",H1947*'Scoring System'!$B$7,IF(AD1947="ATT",H1947*'Scoring System'!$B$8,0))))+ IF(AND(OR(AD1947="GK",AD1947="DEF"),J1947&gt;=3),1*'Scoring System'!$B$9,0)+ (I1947*'Scoring System'!$B$10)+ (K1947*'Scoring System'!$B$11)+ (M1947*'Scoring System'!$B$12)+ (L1947*'Scoring System'!$B$13)+ (O1947*'Scoring System'!$B$14)+ (Q1947*'Scoring System'!$B$15)+ (R1947*'Scoring System'!$B$16)</f>
        <v>2</v>
      </c>
      <c r="AB1947" s="3" t="b">
        <f>IFERROR(match(C1947,'Match Day Fees'!$B$2:$B$999,0),0)=0</f>
        <v>0</v>
      </c>
      <c r="AC1947" s="3">
        <f t="shared" si="2"/>
        <v>0</v>
      </c>
      <c r="AD1947" s="3" t="str">
        <f>VLOOKUP(D1947,'Position Lookup'!A:B,2,FALSE)</f>
        <v>DEF</v>
      </c>
    </row>
    <row r="1948" ht="17.25" customHeight="1">
      <c r="A1948" s="10">
        <v>45367.0</v>
      </c>
      <c r="B1948" s="5" t="s">
        <v>309</v>
      </c>
      <c r="C1948" s="3" t="s">
        <v>103</v>
      </c>
      <c r="D1948" s="3" t="s">
        <v>19</v>
      </c>
      <c r="E1948" s="5">
        <v>6.0</v>
      </c>
      <c r="F1948" s="3" t="s">
        <v>2036</v>
      </c>
      <c r="G1948" s="3" t="s">
        <v>242</v>
      </c>
      <c r="J1948" s="5">
        <v>1.0</v>
      </c>
      <c r="N1948" s="3" t="b">
        <v>0</v>
      </c>
      <c r="R1948" s="3">
        <v>0.0</v>
      </c>
      <c r="T1948" s="5">
        <v>0.0</v>
      </c>
      <c r="U1948" s="5">
        <v>7.0</v>
      </c>
      <c r="V1948" s="5" t="s">
        <v>2041</v>
      </c>
      <c r="W1948" s="3" t="s">
        <v>1375</v>
      </c>
      <c r="X1948" s="78" t="s">
        <v>2038</v>
      </c>
      <c r="Y1948" s="3">
        <v>1.0</v>
      </c>
      <c r="Z1948" s="3">
        <v>1.0</v>
      </c>
      <c r="AA1948" s="3">
        <f>2+ (P1948*'Scoring System'!$B$3)+ (IF(OR(AD1948="DEF",AD1948="GK"),N1948*'Scoring System'!$B$4,IF(AD1948="MID",N1948*'Scoring System'!$B$5,0)))+ (IF(OR(AD1948="DEF",AD1948="GK"),H1948*'Scoring System'!$B$6,IF(AD1948="MID",H1948*'Scoring System'!$B$7,IF(AD1948="ATT",H1948*'Scoring System'!$B$8,0))))+ IF(AND(OR(AD1948="GK",AD1948="DEF"),J1948&gt;=3),1*'Scoring System'!$B$9,0)+ (I1948*'Scoring System'!$B$10)+ (K1948*'Scoring System'!$B$11)+ (M1948*'Scoring System'!$B$12)+ (L1948*'Scoring System'!$B$13)+ (O1948*'Scoring System'!$B$14)+ (Q1948*'Scoring System'!$B$15)+ (R1948*'Scoring System'!$B$16)</f>
        <v>2</v>
      </c>
      <c r="AB1948" s="3" t="b">
        <f>IFERROR(match(C1948,'Match Day Fees'!$B$2:$B$999,0),0)=0</f>
        <v>0</v>
      </c>
      <c r="AC1948" s="3">
        <f t="shared" si="2"/>
        <v>0</v>
      </c>
      <c r="AD1948" s="3" t="str">
        <f>VLOOKUP(D1948,'Position Lookup'!A:B,2,FALSE)</f>
        <v>MID</v>
      </c>
    </row>
    <row r="1949" ht="17.25" customHeight="1">
      <c r="A1949" s="10">
        <v>45367.0</v>
      </c>
      <c r="B1949" s="5" t="s">
        <v>309</v>
      </c>
      <c r="C1949" s="3" t="s">
        <v>140</v>
      </c>
      <c r="D1949" s="3" t="s">
        <v>20</v>
      </c>
      <c r="E1949" s="5">
        <v>6.0</v>
      </c>
      <c r="F1949" s="3" t="s">
        <v>2036</v>
      </c>
      <c r="G1949" s="3" t="s">
        <v>242</v>
      </c>
      <c r="J1949" s="5">
        <v>1.0</v>
      </c>
      <c r="N1949" s="3" t="b">
        <v>0</v>
      </c>
      <c r="R1949" s="3">
        <v>0.0</v>
      </c>
      <c r="T1949" s="3">
        <v>10.0</v>
      </c>
      <c r="U1949" s="5">
        <v>7.5</v>
      </c>
      <c r="V1949" s="5" t="s">
        <v>2042</v>
      </c>
      <c r="W1949" s="3" t="s">
        <v>1375</v>
      </c>
      <c r="X1949" s="78" t="s">
        <v>2038</v>
      </c>
      <c r="Y1949" s="3">
        <v>1.0</v>
      </c>
      <c r="Z1949" s="3">
        <v>1.0</v>
      </c>
      <c r="AA1949" s="3">
        <f>2+ (P1949*'Scoring System'!$B$3)+ (IF(OR(AD1949="DEF",AD1949="GK"),N1949*'Scoring System'!$B$4,IF(AD1949="MID",N1949*'Scoring System'!$B$5,0)))+ (IF(OR(AD1949="DEF",AD1949="GK"),H1949*'Scoring System'!$B$6,IF(AD1949="MID",H1949*'Scoring System'!$B$7,IF(AD1949="ATT",H1949*'Scoring System'!$B$8,0))))+ IF(AND(OR(AD1949="GK",AD1949="DEF"),J1949&gt;=3),1*'Scoring System'!$B$9,0)+ (I1949*'Scoring System'!$B$10)+ (K1949*'Scoring System'!$B$11)+ (M1949*'Scoring System'!$B$12)+ (L1949*'Scoring System'!$B$13)+ (O1949*'Scoring System'!$B$14)+ (Q1949*'Scoring System'!$B$15)+ (R1949*'Scoring System'!$B$16)</f>
        <v>2</v>
      </c>
      <c r="AB1949" s="3" t="b">
        <f>IFERROR(match(C1949,'Match Day Fees'!$B$2:$B$999,0),0)=0</f>
        <v>0</v>
      </c>
      <c r="AC1949" s="3">
        <f t="shared" si="2"/>
        <v>0</v>
      </c>
      <c r="AD1949" s="3" t="str">
        <f>VLOOKUP(D1949,'Position Lookup'!A:B,2,FALSE)</f>
        <v>MID</v>
      </c>
    </row>
    <row r="1950" ht="17.25" customHeight="1">
      <c r="A1950" s="10">
        <v>45367.0</v>
      </c>
      <c r="B1950" s="5" t="s">
        <v>309</v>
      </c>
      <c r="C1950" s="3" t="s">
        <v>58</v>
      </c>
      <c r="D1950" s="3" t="s">
        <v>20</v>
      </c>
      <c r="E1950" s="5">
        <v>6.0</v>
      </c>
      <c r="F1950" s="3" t="s">
        <v>2036</v>
      </c>
      <c r="G1950" s="3" t="s">
        <v>242</v>
      </c>
      <c r="J1950" s="5">
        <v>1.0</v>
      </c>
      <c r="N1950" s="3" t="b">
        <v>0</v>
      </c>
      <c r="R1950" s="3">
        <v>0.0</v>
      </c>
      <c r="T1950" s="3">
        <v>10.0</v>
      </c>
      <c r="U1950" s="5">
        <v>7.5</v>
      </c>
      <c r="V1950" s="5" t="s">
        <v>2043</v>
      </c>
      <c r="W1950" s="3" t="s">
        <v>1375</v>
      </c>
      <c r="X1950" s="78" t="s">
        <v>2038</v>
      </c>
      <c r="Y1950" s="3">
        <v>1.0</v>
      </c>
      <c r="Z1950" s="3">
        <v>1.0</v>
      </c>
      <c r="AA1950" s="3">
        <f>2+ (P1950*'Scoring System'!$B$3)+ (IF(OR(AD1950="DEF",AD1950="GK"),N1950*'Scoring System'!$B$4,IF(AD1950="MID",N1950*'Scoring System'!$B$5,0)))+ (IF(OR(AD1950="DEF",AD1950="GK"),H1950*'Scoring System'!$B$6,IF(AD1950="MID",H1950*'Scoring System'!$B$7,IF(AD1950="ATT",H1950*'Scoring System'!$B$8,0))))+ IF(AND(OR(AD1950="GK",AD1950="DEF"),J1950&gt;=3),1*'Scoring System'!$B$9,0)+ (I1950*'Scoring System'!$B$10)+ (K1950*'Scoring System'!$B$11)+ (M1950*'Scoring System'!$B$12)+ (L1950*'Scoring System'!$B$13)+ (O1950*'Scoring System'!$B$14)+ (Q1950*'Scoring System'!$B$15)+ (R1950*'Scoring System'!$B$16)</f>
        <v>2</v>
      </c>
      <c r="AB1950" s="3" t="b">
        <f>IFERROR(match(C1950,'Match Day Fees'!$B$2:$B$999,0),0)=0</f>
        <v>0</v>
      </c>
      <c r="AC1950" s="3">
        <f t="shared" si="2"/>
        <v>0</v>
      </c>
      <c r="AD1950" s="3" t="str">
        <f>VLOOKUP(D1950,'Position Lookup'!A:B,2,FALSE)</f>
        <v>MID</v>
      </c>
    </row>
    <row r="1951" ht="17.25" customHeight="1">
      <c r="A1951" s="10">
        <v>45367.0</v>
      </c>
      <c r="B1951" s="5" t="s">
        <v>309</v>
      </c>
      <c r="C1951" s="3" t="s">
        <v>143</v>
      </c>
      <c r="D1951" s="3" t="s">
        <v>24</v>
      </c>
      <c r="E1951" s="5">
        <v>6.0</v>
      </c>
      <c r="F1951" s="3" t="s">
        <v>2036</v>
      </c>
      <c r="G1951" s="3" t="s">
        <v>242</v>
      </c>
      <c r="J1951" s="5">
        <v>1.0</v>
      </c>
      <c r="N1951" s="3" t="b">
        <v>0</v>
      </c>
      <c r="R1951" s="3">
        <v>0.0</v>
      </c>
      <c r="T1951" s="3">
        <v>10.0</v>
      </c>
      <c r="U1951" s="5">
        <v>6.5</v>
      </c>
      <c r="V1951" s="5" t="s">
        <v>2044</v>
      </c>
      <c r="W1951" s="3" t="s">
        <v>1375</v>
      </c>
      <c r="X1951" s="78" t="s">
        <v>2038</v>
      </c>
      <c r="Y1951" s="3">
        <v>1.0</v>
      </c>
      <c r="Z1951" s="3">
        <v>1.0</v>
      </c>
      <c r="AA1951" s="3">
        <f>2+ (P1951*'Scoring System'!$B$3)+ (IF(OR(AD1951="DEF",AD1951="GK"),N1951*'Scoring System'!$B$4,IF(AD1951="MID",N1951*'Scoring System'!$B$5,0)))+ (IF(OR(AD1951="DEF",AD1951="GK"),H1951*'Scoring System'!$B$6,IF(AD1951="MID",H1951*'Scoring System'!$B$7,IF(AD1951="ATT",H1951*'Scoring System'!$B$8,0))))+ IF(AND(OR(AD1951="GK",AD1951="DEF"),J1951&gt;=3),1*'Scoring System'!$B$9,0)+ (I1951*'Scoring System'!$B$10)+ (K1951*'Scoring System'!$B$11)+ (M1951*'Scoring System'!$B$12)+ (L1951*'Scoring System'!$B$13)+ (O1951*'Scoring System'!$B$14)+ (Q1951*'Scoring System'!$B$15)+ (R1951*'Scoring System'!$B$16)</f>
        <v>2</v>
      </c>
      <c r="AB1951" s="3" t="b">
        <f>IFERROR(match(C1951,'Match Day Fees'!$B$2:$B$999,0),0)=0</f>
        <v>0</v>
      </c>
      <c r="AC1951" s="3">
        <f t="shared" si="2"/>
        <v>0</v>
      </c>
      <c r="AD1951" s="3" t="str">
        <f>VLOOKUP(D1951,'Position Lookup'!A:B,2,FALSE)</f>
        <v>ATT</v>
      </c>
    </row>
    <row r="1952" ht="17.25" customHeight="1">
      <c r="A1952" s="10">
        <v>45367.0</v>
      </c>
      <c r="B1952" s="5" t="s">
        <v>309</v>
      </c>
      <c r="C1952" s="3" t="s">
        <v>90</v>
      </c>
      <c r="D1952" s="3" t="s">
        <v>12</v>
      </c>
      <c r="E1952" s="5">
        <v>6.0</v>
      </c>
      <c r="F1952" s="3" t="s">
        <v>2036</v>
      </c>
      <c r="G1952" s="3" t="s">
        <v>242</v>
      </c>
      <c r="J1952" s="5">
        <v>1.0</v>
      </c>
      <c r="N1952" s="3" t="b">
        <v>0</v>
      </c>
      <c r="R1952" s="3">
        <v>0.0</v>
      </c>
      <c r="T1952" s="3">
        <v>5.0</v>
      </c>
      <c r="U1952" s="5">
        <v>7.0</v>
      </c>
      <c r="V1952" s="5" t="s">
        <v>2045</v>
      </c>
      <c r="W1952" s="3" t="s">
        <v>1375</v>
      </c>
      <c r="X1952" s="78" t="s">
        <v>2038</v>
      </c>
      <c r="Y1952" s="3">
        <v>1.0</v>
      </c>
      <c r="Z1952" s="3">
        <v>1.0</v>
      </c>
      <c r="AA1952" s="3">
        <f>2+ (P1952*'Scoring System'!$B$3)+ (IF(OR(AD1952="DEF",AD1952="GK"),N1952*'Scoring System'!$B$4,IF(AD1952="MID",N1952*'Scoring System'!$B$5,0)))+ (IF(OR(AD1952="DEF",AD1952="GK"),H1952*'Scoring System'!$B$6,IF(AD1952="MID",H1952*'Scoring System'!$B$7,IF(AD1952="ATT",H1952*'Scoring System'!$B$8,0))))+ IF(AND(OR(AD1952="GK",AD1952="DEF"),J1952&gt;=3),1*'Scoring System'!$B$9,0)+ (I1952*'Scoring System'!$B$10)+ (K1952*'Scoring System'!$B$11)+ (M1952*'Scoring System'!$B$12)+ (L1952*'Scoring System'!$B$13)+ (O1952*'Scoring System'!$B$14)+ (Q1952*'Scoring System'!$B$15)+ (R1952*'Scoring System'!$B$16)</f>
        <v>2</v>
      </c>
      <c r="AB1952" s="3" t="b">
        <f>IFERROR(match(C1952,'Match Day Fees'!$B$2:$B$999,0),0)=0</f>
        <v>0</v>
      </c>
      <c r="AC1952" s="3">
        <f t="shared" si="2"/>
        <v>0</v>
      </c>
      <c r="AD1952" s="3" t="str">
        <f>VLOOKUP(D1952,'Position Lookup'!A:B,2,FALSE)</f>
        <v>DEF</v>
      </c>
    </row>
    <row r="1953" ht="17.25" customHeight="1">
      <c r="A1953" s="10">
        <v>45367.0</v>
      </c>
      <c r="B1953" s="5" t="s">
        <v>309</v>
      </c>
      <c r="C1953" s="3" t="s">
        <v>231</v>
      </c>
      <c r="D1953" s="3" t="s">
        <v>19</v>
      </c>
      <c r="E1953" s="5">
        <v>6.0</v>
      </c>
      <c r="F1953" s="3" t="s">
        <v>2036</v>
      </c>
      <c r="G1953" s="3" t="s">
        <v>242</v>
      </c>
      <c r="I1953" s="3">
        <v>1.0</v>
      </c>
      <c r="J1953" s="5">
        <v>1.0</v>
      </c>
      <c r="N1953" s="3" t="b">
        <v>0</v>
      </c>
      <c r="R1953" s="3">
        <v>0.0</v>
      </c>
      <c r="T1953" s="3">
        <v>5.0</v>
      </c>
      <c r="U1953" s="5">
        <v>6.0</v>
      </c>
      <c r="V1953" s="5" t="s">
        <v>2046</v>
      </c>
      <c r="W1953" s="3" t="s">
        <v>1375</v>
      </c>
      <c r="X1953" s="78" t="s">
        <v>2038</v>
      </c>
      <c r="Y1953" s="3">
        <v>1.0</v>
      </c>
      <c r="Z1953" s="3">
        <v>1.0</v>
      </c>
      <c r="AA1953" s="3">
        <f>2+ (P1953*'Scoring System'!$B$3)+ (IF(OR(AD1953="DEF",AD1953="GK"),N1953*'Scoring System'!$B$4,IF(AD1953="MID",N1953*'Scoring System'!$B$5,0)))+ (IF(OR(AD1953="DEF",AD1953="GK"),H1953*'Scoring System'!$B$6,IF(AD1953="MID",H1953*'Scoring System'!$B$7,IF(AD1953="ATT",H1953*'Scoring System'!$B$8,0))))+ IF(AND(OR(AD1953="GK",AD1953="DEF"),J1953&gt;=3),1*'Scoring System'!$B$9,0)+ (I1953*'Scoring System'!$B$10)+ (K1953*'Scoring System'!$B$11)+ (M1953*'Scoring System'!$B$12)+ (L1953*'Scoring System'!$B$13)+ (O1953*'Scoring System'!$B$14)+ (Q1953*'Scoring System'!$B$15)+ (R1953*'Scoring System'!$B$16)</f>
        <v>5</v>
      </c>
      <c r="AB1953" s="3" t="b">
        <f>IFERROR(match(C1953,'Match Day Fees'!$B$2:$B$999,0),0)=0</f>
        <v>0</v>
      </c>
      <c r="AC1953" s="3">
        <f t="shared" si="2"/>
        <v>0</v>
      </c>
      <c r="AD1953" s="3" t="str">
        <f>VLOOKUP(D1953,'Position Lookup'!A:B,2,FALSE)</f>
        <v>MID</v>
      </c>
    </row>
    <row r="1954" ht="17.25" customHeight="1">
      <c r="A1954" s="10">
        <v>45367.0</v>
      </c>
      <c r="B1954" s="5" t="s">
        <v>309</v>
      </c>
      <c r="C1954" s="3" t="s">
        <v>147</v>
      </c>
      <c r="D1954" s="3" t="s">
        <v>12</v>
      </c>
      <c r="E1954" s="5">
        <v>6.0</v>
      </c>
      <c r="F1954" s="3" t="s">
        <v>2036</v>
      </c>
      <c r="G1954" s="3" t="s">
        <v>242</v>
      </c>
      <c r="J1954" s="5">
        <v>1.0</v>
      </c>
      <c r="N1954" s="3" t="b">
        <v>0</v>
      </c>
      <c r="R1954" s="3">
        <v>0.0</v>
      </c>
      <c r="T1954" s="3">
        <v>5.0</v>
      </c>
      <c r="U1954" s="5">
        <v>7.0</v>
      </c>
      <c r="V1954" s="5" t="s">
        <v>2047</v>
      </c>
      <c r="W1954" s="3" t="s">
        <v>1375</v>
      </c>
      <c r="X1954" s="78" t="s">
        <v>2038</v>
      </c>
      <c r="Y1954" s="3">
        <v>1.0</v>
      </c>
      <c r="Z1954" s="3">
        <v>1.0</v>
      </c>
      <c r="AA1954" s="3">
        <f>2+ (P1954*'Scoring System'!$B$3)+ (IF(OR(AD1954="DEF",AD1954="GK"),N1954*'Scoring System'!$B$4,IF(AD1954="MID",N1954*'Scoring System'!$B$5,0)))+ (IF(OR(AD1954="DEF",AD1954="GK"),H1954*'Scoring System'!$B$6,IF(AD1954="MID",H1954*'Scoring System'!$B$7,IF(AD1954="ATT",H1954*'Scoring System'!$B$8,0))))+ IF(AND(OR(AD1954="GK",AD1954="DEF"),J1954&gt;=3),1*'Scoring System'!$B$9,0)+ (I1954*'Scoring System'!$B$10)+ (K1954*'Scoring System'!$B$11)+ (M1954*'Scoring System'!$B$12)+ (L1954*'Scoring System'!$B$13)+ (O1954*'Scoring System'!$B$14)+ (Q1954*'Scoring System'!$B$15)+ (R1954*'Scoring System'!$B$16)</f>
        <v>2</v>
      </c>
      <c r="AB1954" s="3" t="b">
        <f>IFERROR(match(C1954,'Match Day Fees'!$B$2:$B$999,0),0)=0</f>
        <v>0</v>
      </c>
      <c r="AC1954" s="3">
        <f t="shared" si="2"/>
        <v>0</v>
      </c>
      <c r="AD1954" s="3" t="str">
        <f>VLOOKUP(D1954,'Position Lookup'!A:B,2,FALSE)</f>
        <v>DEF</v>
      </c>
    </row>
    <row r="1955" ht="17.25" customHeight="1">
      <c r="A1955" s="10">
        <v>45367.0</v>
      </c>
      <c r="B1955" s="5" t="s">
        <v>309</v>
      </c>
      <c r="C1955" s="3" t="s">
        <v>149</v>
      </c>
      <c r="D1955" s="3" t="s">
        <v>14</v>
      </c>
      <c r="E1955" s="5">
        <v>6.0</v>
      </c>
      <c r="F1955" s="3" t="s">
        <v>2036</v>
      </c>
      <c r="G1955" s="3" t="s">
        <v>242</v>
      </c>
      <c r="J1955" s="5">
        <v>1.0</v>
      </c>
      <c r="N1955" s="3" t="b">
        <v>0</v>
      </c>
      <c r="R1955" s="3">
        <v>0.0</v>
      </c>
      <c r="T1955" s="3">
        <v>10.0</v>
      </c>
      <c r="U1955" s="5">
        <v>7.5</v>
      </c>
      <c r="V1955" s="5" t="s">
        <v>2048</v>
      </c>
      <c r="W1955" s="3" t="s">
        <v>1375</v>
      </c>
      <c r="X1955" s="78" t="s">
        <v>2038</v>
      </c>
      <c r="Y1955" s="3">
        <v>1.0</v>
      </c>
      <c r="Z1955" s="3">
        <v>1.0</v>
      </c>
      <c r="AA1955" s="3">
        <f>2+ (P1955*'Scoring System'!$B$3)+ (IF(OR(AD1955="DEF",AD1955="GK"),N1955*'Scoring System'!$B$4,IF(AD1955="MID",N1955*'Scoring System'!$B$5,0)))+ (IF(OR(AD1955="DEF",AD1955="GK"),H1955*'Scoring System'!$B$6,IF(AD1955="MID",H1955*'Scoring System'!$B$7,IF(AD1955="ATT",H1955*'Scoring System'!$B$8,0))))+ IF(AND(OR(AD1955="GK",AD1955="DEF"),J1955&gt;=3),1*'Scoring System'!$B$9,0)+ (I1955*'Scoring System'!$B$10)+ (K1955*'Scoring System'!$B$11)+ (M1955*'Scoring System'!$B$12)+ (L1955*'Scoring System'!$B$13)+ (O1955*'Scoring System'!$B$14)+ (Q1955*'Scoring System'!$B$15)+ (R1955*'Scoring System'!$B$16)</f>
        <v>2</v>
      </c>
      <c r="AB1955" s="3" t="b">
        <f>IFERROR(match(C1955,'Match Day Fees'!$B$2:$B$999,0),0)=0</f>
        <v>0</v>
      </c>
      <c r="AC1955" s="3">
        <f t="shared" si="2"/>
        <v>0</v>
      </c>
      <c r="AD1955" s="3" t="str">
        <f>VLOOKUP(D1955,'Position Lookup'!A:B,2,FALSE)</f>
        <v>DEF</v>
      </c>
    </row>
    <row r="1956" ht="17.25" customHeight="1">
      <c r="A1956" s="10">
        <v>45367.0</v>
      </c>
      <c r="B1956" s="5" t="s">
        <v>309</v>
      </c>
      <c r="C1956" s="3" t="s">
        <v>142</v>
      </c>
      <c r="D1956" s="3" t="s">
        <v>16</v>
      </c>
      <c r="E1956" s="5">
        <v>6.0</v>
      </c>
      <c r="F1956" s="3" t="s">
        <v>2036</v>
      </c>
      <c r="G1956" s="3" t="s">
        <v>242</v>
      </c>
      <c r="J1956" s="5">
        <v>1.0</v>
      </c>
      <c r="N1956" s="3" t="b">
        <v>0</v>
      </c>
      <c r="R1956" s="3">
        <v>0.0</v>
      </c>
      <c r="T1956" s="3">
        <v>10.0</v>
      </c>
      <c r="U1956" s="5">
        <v>7.5</v>
      </c>
      <c r="V1956" s="5" t="s">
        <v>2049</v>
      </c>
      <c r="W1956" s="3" t="s">
        <v>1375</v>
      </c>
      <c r="X1956" s="78" t="s">
        <v>2038</v>
      </c>
      <c r="Y1956" s="3">
        <v>1.0</v>
      </c>
      <c r="Z1956" s="3">
        <v>1.0</v>
      </c>
      <c r="AA1956" s="3">
        <f>2+ (P1956*'Scoring System'!$B$3)+ (IF(OR(AD1956="DEF",AD1956="GK"),N1956*'Scoring System'!$B$4,IF(AD1956="MID",N1956*'Scoring System'!$B$5,0)))+ (IF(OR(AD1956="DEF",AD1956="GK"),H1956*'Scoring System'!$B$6,IF(AD1956="MID",H1956*'Scoring System'!$B$7,IF(AD1956="ATT",H1956*'Scoring System'!$B$8,0))))+ IF(AND(OR(AD1956="GK",AD1956="DEF"),J1956&gt;=3),1*'Scoring System'!$B$9,0)+ (I1956*'Scoring System'!$B$10)+ (K1956*'Scoring System'!$B$11)+ (M1956*'Scoring System'!$B$12)+ (L1956*'Scoring System'!$B$13)+ (O1956*'Scoring System'!$B$14)+ (Q1956*'Scoring System'!$B$15)+ (R1956*'Scoring System'!$B$16)</f>
        <v>2</v>
      </c>
      <c r="AB1956" s="3" t="b">
        <f>IFERROR(match(C1956,'Match Day Fees'!$B$2:$B$999,0),0)=0</f>
        <v>0</v>
      </c>
      <c r="AC1956" s="3">
        <f t="shared" si="2"/>
        <v>0</v>
      </c>
      <c r="AD1956" s="3" t="str">
        <f>VLOOKUP(D1956,'Position Lookup'!A:B,2,FALSE)</f>
        <v>DEF</v>
      </c>
    </row>
    <row r="1957" ht="17.25" customHeight="1">
      <c r="A1957" s="10">
        <v>45367.0</v>
      </c>
      <c r="B1957" s="5" t="s">
        <v>309</v>
      </c>
      <c r="C1957" s="3" t="s">
        <v>391</v>
      </c>
      <c r="D1957" s="3" t="s">
        <v>19</v>
      </c>
      <c r="E1957" s="5">
        <v>6.0</v>
      </c>
      <c r="F1957" s="3" t="s">
        <v>2036</v>
      </c>
      <c r="G1957" s="3" t="s">
        <v>242</v>
      </c>
      <c r="J1957" s="5">
        <v>1.0</v>
      </c>
      <c r="N1957" s="3" t="b">
        <v>0</v>
      </c>
      <c r="R1957" s="3">
        <v>0.0</v>
      </c>
      <c r="T1957" s="3">
        <v>10.0</v>
      </c>
      <c r="U1957" s="5">
        <v>7.0</v>
      </c>
      <c r="V1957" s="5" t="s">
        <v>2050</v>
      </c>
      <c r="W1957" s="3" t="s">
        <v>1375</v>
      </c>
      <c r="X1957" s="78" t="s">
        <v>2038</v>
      </c>
      <c r="Y1957" s="3">
        <v>1.0</v>
      </c>
      <c r="Z1957" s="3">
        <v>1.0</v>
      </c>
      <c r="AA1957" s="3">
        <f>2+ (P1957*'Scoring System'!$B$3)+ (IF(OR(AD1957="DEF",AD1957="GK"),N1957*'Scoring System'!$B$4,IF(AD1957="MID",N1957*'Scoring System'!$B$5,0)))+ (IF(OR(AD1957="DEF",AD1957="GK"),H1957*'Scoring System'!$B$6,IF(AD1957="MID",H1957*'Scoring System'!$B$7,IF(AD1957="ATT",H1957*'Scoring System'!$B$8,0))))+ IF(AND(OR(AD1957="GK",AD1957="DEF"),J1957&gt;=3),1*'Scoring System'!$B$9,0)+ (I1957*'Scoring System'!$B$10)+ (K1957*'Scoring System'!$B$11)+ (M1957*'Scoring System'!$B$12)+ (L1957*'Scoring System'!$B$13)+ (O1957*'Scoring System'!$B$14)+ (Q1957*'Scoring System'!$B$15)+ (R1957*'Scoring System'!$B$16)</f>
        <v>2</v>
      </c>
      <c r="AB1957" s="3" t="b">
        <f>IFERROR(match(C1957,'Match Day Fees'!$B$2:$B$999,0),0)=0</f>
        <v>0</v>
      </c>
      <c r="AC1957" s="3">
        <f t="shared" si="2"/>
        <v>0</v>
      </c>
      <c r="AD1957" s="3" t="str">
        <f>VLOOKUP(D1957,'Position Lookup'!A:B,2,FALSE)</f>
        <v>MID</v>
      </c>
    </row>
    <row r="1958" ht="17.25" customHeight="1">
      <c r="A1958" s="10">
        <v>45367.0</v>
      </c>
      <c r="B1958" s="5" t="s">
        <v>309</v>
      </c>
      <c r="C1958" s="3" t="s">
        <v>124</v>
      </c>
      <c r="D1958" s="3" t="s">
        <v>22</v>
      </c>
      <c r="E1958" s="5">
        <v>6.0</v>
      </c>
      <c r="F1958" s="3" t="s">
        <v>2036</v>
      </c>
      <c r="G1958" s="3" t="s">
        <v>242</v>
      </c>
      <c r="H1958" s="3">
        <v>1.0</v>
      </c>
      <c r="J1958" s="5">
        <v>1.0</v>
      </c>
      <c r="N1958" s="3" t="b">
        <v>0</v>
      </c>
      <c r="R1958" s="3">
        <v>0.0</v>
      </c>
      <c r="T1958" s="3">
        <v>10.0</v>
      </c>
      <c r="U1958" s="5">
        <v>7.5</v>
      </c>
      <c r="V1958" s="5" t="s">
        <v>2051</v>
      </c>
      <c r="W1958" s="3" t="s">
        <v>1375</v>
      </c>
      <c r="X1958" s="78" t="s">
        <v>2038</v>
      </c>
      <c r="Y1958" s="3">
        <v>1.0</v>
      </c>
      <c r="Z1958" s="3">
        <v>1.0</v>
      </c>
      <c r="AA1958" s="3">
        <f>2+ (P1958*'Scoring System'!$B$3)+ (IF(OR(AD1958="DEF",AD1958="GK"),N1958*'Scoring System'!$B$4,IF(AD1958="MID",N1958*'Scoring System'!$B$5,0)))+ (IF(OR(AD1958="DEF",AD1958="GK"),H1958*'Scoring System'!$B$6,IF(AD1958="MID",H1958*'Scoring System'!$B$7,IF(AD1958="ATT",H1958*'Scoring System'!$B$8,0))))+ IF(AND(OR(AD1958="GK",AD1958="DEF"),J1958&gt;=3),1*'Scoring System'!$B$9,0)+ (I1958*'Scoring System'!$B$10)+ (K1958*'Scoring System'!$B$11)+ (M1958*'Scoring System'!$B$12)+ (L1958*'Scoring System'!$B$13)+ (O1958*'Scoring System'!$B$14)+ (Q1958*'Scoring System'!$B$15)+ (R1958*'Scoring System'!$B$16)</f>
        <v>6</v>
      </c>
      <c r="AB1958" s="3" t="b">
        <f>IFERROR(match(C1958,'Match Day Fees'!$B$2:$B$999,0),0)=0</f>
        <v>0</v>
      </c>
      <c r="AC1958" s="3">
        <f t="shared" si="2"/>
        <v>0</v>
      </c>
      <c r="AD1958" s="3" t="str">
        <f>VLOOKUP(D1958,'Position Lookup'!A:B,2,FALSE)</f>
        <v>ATT</v>
      </c>
    </row>
    <row r="1959" ht="17.25" customHeight="1">
      <c r="A1959" s="32">
        <v>45374.0</v>
      </c>
      <c r="B1959" s="5" t="s">
        <v>309</v>
      </c>
      <c r="C1959" s="3" t="s">
        <v>254</v>
      </c>
      <c r="D1959" s="3" t="s">
        <v>8</v>
      </c>
      <c r="E1959" s="5">
        <v>3.0</v>
      </c>
      <c r="F1959" s="3" t="s">
        <v>2052</v>
      </c>
      <c r="G1959" s="3" t="s">
        <v>242</v>
      </c>
      <c r="J1959" s="5">
        <v>1.0</v>
      </c>
      <c r="N1959" s="3" t="b">
        <v>0</v>
      </c>
      <c r="R1959" s="3">
        <v>1.0</v>
      </c>
      <c r="S1959" s="3" t="b">
        <v>1</v>
      </c>
      <c r="T1959" s="3">
        <v>0.0</v>
      </c>
      <c r="U1959" s="3">
        <v>9.0</v>
      </c>
      <c r="V1959" s="3" t="s">
        <v>2053</v>
      </c>
      <c r="W1959" s="3" t="s">
        <v>344</v>
      </c>
      <c r="X1959" s="77" t="s">
        <v>2054</v>
      </c>
      <c r="Y1959" s="3">
        <v>1.0</v>
      </c>
      <c r="Z1959" s="3">
        <v>1.0</v>
      </c>
      <c r="AA1959" s="3">
        <f>2+ (P1959*'Scoring System'!$B$3)+ (IF(OR(AD1959="DEF",AD1959="GK"),N1959*'Scoring System'!$B$4,IF(AD1959="MID",N1959*'Scoring System'!$B$5,0)))+ (IF(OR(AD1959="DEF",AD1959="GK"),H1959*'Scoring System'!$B$6,IF(AD1959="MID",H1959*'Scoring System'!$B$7,IF(AD1959="ATT",H1959*'Scoring System'!$B$8,0))))+ IF(AND(OR(AD1959="GK",AD1959="DEF"),J1959&gt;=3),1*'Scoring System'!$B$9,0)+ (I1959*'Scoring System'!$B$10)+ (K1959*'Scoring System'!$B$11)+ (M1959*'Scoring System'!$B$12)+ (L1959*'Scoring System'!$B$13)+ (O1959*'Scoring System'!$B$14)+ (Q1959*'Scoring System'!$B$15)+ (R1959*'Scoring System'!$B$16)</f>
        <v>7</v>
      </c>
      <c r="AB1959" s="3" t="b">
        <f>IFERROR(match(C1959,'Match Day Fees'!$B$2:$B$999,0),0)=0</f>
        <v>0</v>
      </c>
      <c r="AC1959" s="3">
        <f t="shared" si="2"/>
        <v>0</v>
      </c>
      <c r="AD1959" s="3" t="str">
        <f>VLOOKUP(D1959,'Position Lookup'!A:B,2,FALSE)</f>
        <v>GK</v>
      </c>
    </row>
    <row r="1960" ht="17.25" customHeight="1">
      <c r="A1960" s="32">
        <v>45374.0</v>
      </c>
      <c r="B1960" s="5" t="s">
        <v>309</v>
      </c>
      <c r="C1960" s="3" t="s">
        <v>56</v>
      </c>
      <c r="D1960" s="3" t="s">
        <v>16</v>
      </c>
      <c r="E1960" s="5">
        <v>3.0</v>
      </c>
      <c r="F1960" s="3" t="s">
        <v>2052</v>
      </c>
      <c r="G1960" s="3" t="s">
        <v>242</v>
      </c>
      <c r="J1960" s="5">
        <v>1.0</v>
      </c>
      <c r="N1960" s="3" t="b">
        <v>0</v>
      </c>
      <c r="R1960" s="3">
        <v>0.0</v>
      </c>
      <c r="T1960" s="3">
        <v>10.0</v>
      </c>
      <c r="U1960" s="3">
        <v>7.0</v>
      </c>
      <c r="V1960" s="3" t="s">
        <v>2055</v>
      </c>
      <c r="W1960" s="3" t="s">
        <v>344</v>
      </c>
      <c r="X1960" s="77" t="s">
        <v>2054</v>
      </c>
      <c r="Y1960" s="3">
        <v>1.0</v>
      </c>
      <c r="Z1960" s="3">
        <v>1.0</v>
      </c>
      <c r="AA1960" s="3">
        <f>2+ (P1960*'Scoring System'!$B$3)+ (IF(OR(AD1960="DEF",AD1960="GK"),N1960*'Scoring System'!$B$4,IF(AD1960="MID",N1960*'Scoring System'!$B$5,0)))+ (IF(OR(AD1960="DEF",AD1960="GK"),H1960*'Scoring System'!$B$6,IF(AD1960="MID",H1960*'Scoring System'!$B$7,IF(AD1960="ATT",H1960*'Scoring System'!$B$8,0))))+ IF(AND(OR(AD1960="GK",AD1960="DEF"),J1960&gt;=3),1*'Scoring System'!$B$9,0)+ (I1960*'Scoring System'!$B$10)+ (K1960*'Scoring System'!$B$11)+ (M1960*'Scoring System'!$B$12)+ (L1960*'Scoring System'!$B$13)+ (O1960*'Scoring System'!$B$14)+ (Q1960*'Scoring System'!$B$15)+ (R1960*'Scoring System'!$B$16)</f>
        <v>2</v>
      </c>
      <c r="AB1960" s="3" t="b">
        <f>IFERROR(match(C1960,'Match Day Fees'!$B$2:$B$999,0),0)=0</f>
        <v>0</v>
      </c>
      <c r="AC1960" s="3">
        <f t="shared" si="2"/>
        <v>0</v>
      </c>
      <c r="AD1960" s="3" t="str">
        <f>VLOOKUP(D1960,'Position Lookup'!A:B,2,FALSE)</f>
        <v>DEF</v>
      </c>
    </row>
    <row r="1961" ht="17.25" customHeight="1">
      <c r="A1961" s="32">
        <v>45374.0</v>
      </c>
      <c r="B1961" s="5" t="s">
        <v>309</v>
      </c>
      <c r="C1961" s="3" t="s">
        <v>39</v>
      </c>
      <c r="D1961" s="3" t="s">
        <v>14</v>
      </c>
      <c r="E1961" s="5">
        <v>3.0</v>
      </c>
      <c r="F1961" s="3" t="s">
        <v>2052</v>
      </c>
      <c r="G1961" s="3" t="s">
        <v>242</v>
      </c>
      <c r="J1961" s="5">
        <v>1.0</v>
      </c>
      <c r="N1961" s="3" t="b">
        <v>0</v>
      </c>
      <c r="R1961" s="3">
        <v>0.0</v>
      </c>
      <c r="T1961" s="3">
        <v>10.0</v>
      </c>
      <c r="U1961" s="3">
        <v>8.5</v>
      </c>
      <c r="V1961" s="3" t="s">
        <v>2056</v>
      </c>
      <c r="W1961" s="3" t="s">
        <v>344</v>
      </c>
      <c r="X1961" s="77" t="s">
        <v>2054</v>
      </c>
      <c r="Y1961" s="3">
        <v>1.0</v>
      </c>
      <c r="Z1961" s="3">
        <v>1.0</v>
      </c>
      <c r="AA1961" s="3">
        <f>2+ (P1961*'Scoring System'!$B$3)+ (IF(OR(AD1961="DEF",AD1961="GK"),N1961*'Scoring System'!$B$4,IF(AD1961="MID",N1961*'Scoring System'!$B$5,0)))+ (IF(OR(AD1961="DEF",AD1961="GK"),H1961*'Scoring System'!$B$6,IF(AD1961="MID",H1961*'Scoring System'!$B$7,IF(AD1961="ATT",H1961*'Scoring System'!$B$8,0))))+ IF(AND(OR(AD1961="GK",AD1961="DEF"),J1961&gt;=3),1*'Scoring System'!$B$9,0)+ (I1961*'Scoring System'!$B$10)+ (K1961*'Scoring System'!$B$11)+ (M1961*'Scoring System'!$B$12)+ (L1961*'Scoring System'!$B$13)+ (O1961*'Scoring System'!$B$14)+ (Q1961*'Scoring System'!$B$15)+ (R1961*'Scoring System'!$B$16)</f>
        <v>2</v>
      </c>
      <c r="AB1961" s="3" t="b">
        <f>IFERROR(match(C1961,'Match Day Fees'!$B$2:$B$999,0),0)=0</f>
        <v>0</v>
      </c>
      <c r="AC1961" s="3">
        <f t="shared" si="2"/>
        <v>0</v>
      </c>
      <c r="AD1961" s="3" t="str">
        <f>VLOOKUP(D1961,'Position Lookup'!A:B,2,FALSE)</f>
        <v>DEF</v>
      </c>
    </row>
    <row r="1962" ht="17.25" customHeight="1">
      <c r="A1962" s="32">
        <v>45374.0</v>
      </c>
      <c r="B1962" s="5" t="s">
        <v>309</v>
      </c>
      <c r="C1962" s="3" t="s">
        <v>40</v>
      </c>
      <c r="D1962" s="3" t="s">
        <v>14</v>
      </c>
      <c r="E1962" s="5">
        <v>3.0</v>
      </c>
      <c r="F1962" s="3" t="s">
        <v>2052</v>
      </c>
      <c r="G1962" s="3" t="s">
        <v>242</v>
      </c>
      <c r="J1962" s="5">
        <v>1.0</v>
      </c>
      <c r="N1962" s="3" t="b">
        <v>0</v>
      </c>
      <c r="R1962" s="3">
        <v>0.0</v>
      </c>
      <c r="T1962" s="3">
        <v>10.0</v>
      </c>
      <c r="U1962" s="3">
        <v>7.5</v>
      </c>
      <c r="V1962" s="3" t="s">
        <v>2057</v>
      </c>
      <c r="W1962" s="3" t="s">
        <v>344</v>
      </c>
      <c r="X1962" s="77" t="s">
        <v>2054</v>
      </c>
      <c r="Y1962" s="3">
        <v>1.0</v>
      </c>
      <c r="Z1962" s="3">
        <v>1.0</v>
      </c>
      <c r="AA1962" s="3">
        <f>2+ (P1962*'Scoring System'!$B$3)+ (IF(OR(AD1962="DEF",AD1962="GK"),N1962*'Scoring System'!$B$4,IF(AD1962="MID",N1962*'Scoring System'!$B$5,0)))+ (IF(OR(AD1962="DEF",AD1962="GK"),H1962*'Scoring System'!$B$6,IF(AD1962="MID",H1962*'Scoring System'!$B$7,IF(AD1962="ATT",H1962*'Scoring System'!$B$8,0))))+ IF(AND(OR(AD1962="GK",AD1962="DEF"),J1962&gt;=3),1*'Scoring System'!$B$9,0)+ (I1962*'Scoring System'!$B$10)+ (K1962*'Scoring System'!$B$11)+ (M1962*'Scoring System'!$B$12)+ (L1962*'Scoring System'!$B$13)+ (O1962*'Scoring System'!$B$14)+ (Q1962*'Scoring System'!$B$15)+ (R1962*'Scoring System'!$B$16)</f>
        <v>2</v>
      </c>
      <c r="AB1962" s="3" t="b">
        <f>IFERROR(match(C1962,'Match Day Fees'!$B$2:$B$999,0),0)=0</f>
        <v>0</v>
      </c>
      <c r="AC1962" s="3">
        <f t="shared" si="2"/>
        <v>0</v>
      </c>
      <c r="AD1962" s="3" t="str">
        <f>VLOOKUP(D1962,'Position Lookup'!A:B,2,FALSE)</f>
        <v>DEF</v>
      </c>
    </row>
    <row r="1963" ht="17.25" customHeight="1">
      <c r="A1963" s="32">
        <v>45374.0</v>
      </c>
      <c r="B1963" s="5" t="s">
        <v>309</v>
      </c>
      <c r="C1963" s="3" t="s">
        <v>43</v>
      </c>
      <c r="D1963" s="3" t="s">
        <v>12</v>
      </c>
      <c r="E1963" s="5">
        <v>3.0</v>
      </c>
      <c r="F1963" s="3" t="s">
        <v>2052</v>
      </c>
      <c r="G1963" s="3" t="s">
        <v>242</v>
      </c>
      <c r="J1963" s="5">
        <v>1.0</v>
      </c>
      <c r="N1963" s="3" t="b">
        <v>0</v>
      </c>
      <c r="R1963" s="3">
        <v>0.0</v>
      </c>
      <c r="T1963" s="3">
        <v>10.0</v>
      </c>
      <c r="U1963" s="3">
        <v>8.0</v>
      </c>
      <c r="V1963" s="3" t="s">
        <v>2058</v>
      </c>
      <c r="W1963" s="3" t="s">
        <v>344</v>
      </c>
      <c r="X1963" s="77" t="s">
        <v>2054</v>
      </c>
      <c r="Y1963" s="3">
        <v>1.0</v>
      </c>
      <c r="Z1963" s="3">
        <v>1.0</v>
      </c>
      <c r="AA1963" s="3">
        <f>2+ (P1963*'Scoring System'!$B$3)+ (IF(OR(AD1963="DEF",AD1963="GK"),N1963*'Scoring System'!$B$4,IF(AD1963="MID",N1963*'Scoring System'!$B$5,0)))+ (IF(OR(AD1963="DEF",AD1963="GK"),H1963*'Scoring System'!$B$6,IF(AD1963="MID",H1963*'Scoring System'!$B$7,IF(AD1963="ATT",H1963*'Scoring System'!$B$8,0))))+ IF(AND(OR(AD1963="GK",AD1963="DEF"),J1963&gt;=3),1*'Scoring System'!$B$9,0)+ (I1963*'Scoring System'!$B$10)+ (K1963*'Scoring System'!$B$11)+ (M1963*'Scoring System'!$B$12)+ (L1963*'Scoring System'!$B$13)+ (O1963*'Scoring System'!$B$14)+ (Q1963*'Scoring System'!$B$15)+ (R1963*'Scoring System'!$B$16)</f>
        <v>2</v>
      </c>
      <c r="AB1963" s="3" t="b">
        <f>IFERROR(match(C1963,'Match Day Fees'!$B$2:$B$999,0),0)=0</f>
        <v>0</v>
      </c>
      <c r="AC1963" s="3">
        <f t="shared" si="2"/>
        <v>0</v>
      </c>
      <c r="AD1963" s="3" t="str">
        <f>VLOOKUP(D1963,'Position Lookup'!A:B,2,FALSE)</f>
        <v>DEF</v>
      </c>
    </row>
    <row r="1964" ht="17.25" customHeight="1">
      <c r="A1964" s="32">
        <v>45374.0</v>
      </c>
      <c r="B1964" s="5" t="s">
        <v>309</v>
      </c>
      <c r="C1964" s="3" t="s">
        <v>130</v>
      </c>
      <c r="D1964" s="3" t="s">
        <v>20</v>
      </c>
      <c r="E1964" s="5">
        <v>3.0</v>
      </c>
      <c r="F1964" s="3" t="s">
        <v>2052</v>
      </c>
      <c r="G1964" s="3" t="s">
        <v>242</v>
      </c>
      <c r="J1964" s="5">
        <v>1.0</v>
      </c>
      <c r="N1964" s="3" t="b">
        <v>0</v>
      </c>
      <c r="R1964" s="3">
        <v>0.0</v>
      </c>
      <c r="T1964" s="3">
        <v>10.0</v>
      </c>
      <c r="U1964" s="3">
        <v>7.5</v>
      </c>
      <c r="V1964" s="3" t="s">
        <v>2059</v>
      </c>
      <c r="W1964" s="3" t="s">
        <v>344</v>
      </c>
      <c r="X1964" s="77" t="s">
        <v>2054</v>
      </c>
      <c r="Y1964" s="3">
        <v>1.0</v>
      </c>
      <c r="Z1964" s="3">
        <v>1.0</v>
      </c>
      <c r="AA1964" s="3">
        <f>2+ (P1964*'Scoring System'!$B$3)+ (IF(OR(AD1964="DEF",AD1964="GK"),N1964*'Scoring System'!$B$4,IF(AD1964="MID",N1964*'Scoring System'!$B$5,0)))+ (IF(OR(AD1964="DEF",AD1964="GK"),H1964*'Scoring System'!$B$6,IF(AD1964="MID",H1964*'Scoring System'!$B$7,IF(AD1964="ATT",H1964*'Scoring System'!$B$8,0))))+ IF(AND(OR(AD1964="GK",AD1964="DEF"),J1964&gt;=3),1*'Scoring System'!$B$9,0)+ (I1964*'Scoring System'!$B$10)+ (K1964*'Scoring System'!$B$11)+ (M1964*'Scoring System'!$B$12)+ (L1964*'Scoring System'!$B$13)+ (O1964*'Scoring System'!$B$14)+ (Q1964*'Scoring System'!$B$15)+ (R1964*'Scoring System'!$B$16)</f>
        <v>2</v>
      </c>
      <c r="AB1964" s="3" t="b">
        <f>IFERROR(match(C1964,'Match Day Fees'!$B$2:$B$999,0),0)=0</f>
        <v>0</v>
      </c>
      <c r="AC1964" s="3">
        <f t="shared" si="2"/>
        <v>0</v>
      </c>
      <c r="AD1964" s="3" t="str">
        <f>VLOOKUP(D1964,'Position Lookup'!A:B,2,FALSE)</f>
        <v>MID</v>
      </c>
    </row>
    <row r="1965" ht="17.25" customHeight="1">
      <c r="A1965" s="32">
        <v>45374.0</v>
      </c>
      <c r="B1965" s="5" t="s">
        <v>309</v>
      </c>
      <c r="C1965" s="3" t="s">
        <v>59</v>
      </c>
      <c r="D1965" s="3" t="s">
        <v>20</v>
      </c>
      <c r="E1965" s="5">
        <v>3.0</v>
      </c>
      <c r="F1965" s="3" t="s">
        <v>2052</v>
      </c>
      <c r="G1965" s="3" t="s">
        <v>242</v>
      </c>
      <c r="J1965" s="5">
        <v>1.0</v>
      </c>
      <c r="N1965" s="3" t="b">
        <v>0</v>
      </c>
      <c r="R1965" s="3">
        <v>0.0</v>
      </c>
      <c r="T1965" s="3">
        <v>5.0</v>
      </c>
      <c r="U1965" s="3">
        <v>6.5</v>
      </c>
      <c r="V1965" s="3" t="s">
        <v>2060</v>
      </c>
      <c r="W1965" s="3" t="s">
        <v>344</v>
      </c>
      <c r="X1965" s="77" t="s">
        <v>2054</v>
      </c>
      <c r="Y1965" s="3">
        <v>1.0</v>
      </c>
      <c r="Z1965" s="3">
        <v>1.0</v>
      </c>
      <c r="AA1965" s="3">
        <f>2+ (P1965*'Scoring System'!$B$3)+ (IF(OR(AD1965="DEF",AD1965="GK"),N1965*'Scoring System'!$B$4,IF(AD1965="MID",N1965*'Scoring System'!$B$5,0)))+ (IF(OR(AD1965="DEF",AD1965="GK"),H1965*'Scoring System'!$B$6,IF(AD1965="MID",H1965*'Scoring System'!$B$7,IF(AD1965="ATT",H1965*'Scoring System'!$B$8,0))))+ IF(AND(OR(AD1965="GK",AD1965="DEF"),J1965&gt;=3),1*'Scoring System'!$B$9,0)+ (I1965*'Scoring System'!$B$10)+ (K1965*'Scoring System'!$B$11)+ (M1965*'Scoring System'!$B$12)+ (L1965*'Scoring System'!$B$13)+ (O1965*'Scoring System'!$B$14)+ (Q1965*'Scoring System'!$B$15)+ (R1965*'Scoring System'!$B$16)</f>
        <v>2</v>
      </c>
      <c r="AB1965" s="3" t="b">
        <f>IFERROR(match(C1965,'Match Day Fees'!$B$2:$B$999,0),0)=0</f>
        <v>0</v>
      </c>
      <c r="AC1965" s="3">
        <f t="shared" si="2"/>
        <v>0</v>
      </c>
      <c r="AD1965" s="3" t="str">
        <f>VLOOKUP(D1965,'Position Lookup'!A:B,2,FALSE)</f>
        <v>MID</v>
      </c>
    </row>
    <row r="1966" ht="17.25" customHeight="1">
      <c r="A1966" s="32">
        <v>45374.0</v>
      </c>
      <c r="B1966" s="5" t="s">
        <v>309</v>
      </c>
      <c r="C1966" s="3" t="s">
        <v>151</v>
      </c>
      <c r="D1966" s="3" t="s">
        <v>21</v>
      </c>
      <c r="E1966" s="5">
        <v>3.0</v>
      </c>
      <c r="F1966" s="3" t="s">
        <v>2052</v>
      </c>
      <c r="G1966" s="3" t="s">
        <v>242</v>
      </c>
      <c r="J1966" s="5">
        <v>1.0</v>
      </c>
      <c r="N1966" s="3" t="b">
        <v>0</v>
      </c>
      <c r="R1966" s="3">
        <v>0.0</v>
      </c>
      <c r="T1966" s="3">
        <v>5.0</v>
      </c>
      <c r="U1966" s="3">
        <v>7.0</v>
      </c>
      <c r="V1966" s="3" t="s">
        <v>2061</v>
      </c>
      <c r="W1966" s="3" t="s">
        <v>344</v>
      </c>
      <c r="X1966" s="77" t="s">
        <v>2054</v>
      </c>
      <c r="Y1966" s="3">
        <v>1.0</v>
      </c>
      <c r="Z1966" s="3">
        <v>1.0</v>
      </c>
      <c r="AA1966" s="3">
        <f>2+ (P1966*'Scoring System'!$B$3)+ (IF(OR(AD1966="DEF",AD1966="GK"),N1966*'Scoring System'!$B$4,IF(AD1966="MID",N1966*'Scoring System'!$B$5,0)))+ (IF(OR(AD1966="DEF",AD1966="GK"),H1966*'Scoring System'!$B$6,IF(AD1966="MID",H1966*'Scoring System'!$B$7,IF(AD1966="ATT",H1966*'Scoring System'!$B$8,0))))+ IF(AND(OR(AD1966="GK",AD1966="DEF"),J1966&gt;=3),1*'Scoring System'!$B$9,0)+ (I1966*'Scoring System'!$B$10)+ (K1966*'Scoring System'!$B$11)+ (M1966*'Scoring System'!$B$12)+ (L1966*'Scoring System'!$B$13)+ (O1966*'Scoring System'!$B$14)+ (Q1966*'Scoring System'!$B$15)+ (R1966*'Scoring System'!$B$16)</f>
        <v>2</v>
      </c>
      <c r="AB1966" s="3" t="b">
        <f>IFERROR(match(C1966,'Match Day Fees'!$B$2:$B$999,0),0)=0</f>
        <v>0</v>
      </c>
      <c r="AC1966" s="3">
        <f t="shared" si="2"/>
        <v>0</v>
      </c>
      <c r="AD1966" s="3" t="str">
        <f>VLOOKUP(D1966,'Position Lookup'!A:B,2,FALSE)</f>
        <v>MID</v>
      </c>
    </row>
    <row r="1967" ht="17.25" customHeight="1">
      <c r="A1967" s="32">
        <v>45374.0</v>
      </c>
      <c r="B1967" s="5" t="s">
        <v>309</v>
      </c>
      <c r="C1967" s="3" t="s">
        <v>55</v>
      </c>
      <c r="D1967" s="3" t="s">
        <v>20</v>
      </c>
      <c r="E1967" s="5">
        <v>3.0</v>
      </c>
      <c r="F1967" s="3" t="s">
        <v>2052</v>
      </c>
      <c r="G1967" s="3" t="s">
        <v>242</v>
      </c>
      <c r="J1967" s="5">
        <v>1.0</v>
      </c>
      <c r="N1967" s="3" t="b">
        <v>0</v>
      </c>
      <c r="R1967" s="3">
        <v>0.0</v>
      </c>
      <c r="T1967" s="3">
        <v>10.0</v>
      </c>
      <c r="U1967" s="3">
        <v>6.0</v>
      </c>
      <c r="V1967" s="3" t="s">
        <v>2062</v>
      </c>
      <c r="W1967" s="3" t="s">
        <v>344</v>
      </c>
      <c r="X1967" s="77" t="s">
        <v>2054</v>
      </c>
      <c r="Y1967" s="3">
        <v>1.0</v>
      </c>
      <c r="Z1967" s="3">
        <v>1.0</v>
      </c>
      <c r="AA1967" s="3">
        <f>2+ (P1967*'Scoring System'!$B$3)+ (IF(OR(AD1967="DEF",AD1967="GK"),N1967*'Scoring System'!$B$4,IF(AD1967="MID",N1967*'Scoring System'!$B$5,0)))+ (IF(OR(AD1967="DEF",AD1967="GK"),H1967*'Scoring System'!$B$6,IF(AD1967="MID",H1967*'Scoring System'!$B$7,IF(AD1967="ATT",H1967*'Scoring System'!$B$8,0))))+ IF(AND(OR(AD1967="GK",AD1967="DEF"),J1967&gt;=3),1*'Scoring System'!$B$9,0)+ (I1967*'Scoring System'!$B$10)+ (K1967*'Scoring System'!$B$11)+ (M1967*'Scoring System'!$B$12)+ (L1967*'Scoring System'!$B$13)+ (O1967*'Scoring System'!$B$14)+ (Q1967*'Scoring System'!$B$15)+ (R1967*'Scoring System'!$B$16)</f>
        <v>2</v>
      </c>
      <c r="AB1967" s="3" t="b">
        <f>IFERROR(match(C1967,'Match Day Fees'!$B$2:$B$999,0),0)=0</f>
        <v>0</v>
      </c>
      <c r="AC1967" s="3">
        <f t="shared" si="2"/>
        <v>0</v>
      </c>
      <c r="AD1967" s="3" t="str">
        <f>VLOOKUP(D1967,'Position Lookup'!A:B,2,FALSE)</f>
        <v>MID</v>
      </c>
    </row>
    <row r="1968" ht="17.25" customHeight="1">
      <c r="A1968" s="32">
        <v>45374.0</v>
      </c>
      <c r="B1968" s="5" t="s">
        <v>309</v>
      </c>
      <c r="C1968" s="3" t="s">
        <v>46</v>
      </c>
      <c r="D1968" s="3" t="s">
        <v>24</v>
      </c>
      <c r="E1968" s="5">
        <v>3.0</v>
      </c>
      <c r="F1968" s="3" t="s">
        <v>2052</v>
      </c>
      <c r="G1968" s="3" t="s">
        <v>242</v>
      </c>
      <c r="J1968" s="5">
        <v>1.0</v>
      </c>
      <c r="N1968" s="3" t="b">
        <v>0</v>
      </c>
      <c r="R1968" s="3">
        <v>0.0</v>
      </c>
      <c r="T1968" s="3">
        <v>10.0</v>
      </c>
      <c r="U1968" s="3">
        <v>6.0</v>
      </c>
      <c r="V1968" s="3" t="s">
        <v>2063</v>
      </c>
      <c r="W1968" s="3" t="s">
        <v>344</v>
      </c>
      <c r="X1968" s="77" t="s">
        <v>2054</v>
      </c>
      <c r="Y1968" s="3">
        <v>1.0</v>
      </c>
      <c r="Z1968" s="3">
        <v>1.0</v>
      </c>
      <c r="AA1968" s="3">
        <f>2+ (P1968*'Scoring System'!$B$3)+ (IF(OR(AD1968="DEF",AD1968="GK"),N1968*'Scoring System'!$B$4,IF(AD1968="MID",N1968*'Scoring System'!$B$5,0)))+ (IF(OR(AD1968="DEF",AD1968="GK"),H1968*'Scoring System'!$B$6,IF(AD1968="MID",H1968*'Scoring System'!$B$7,IF(AD1968="ATT",H1968*'Scoring System'!$B$8,0))))+ IF(AND(OR(AD1968="GK",AD1968="DEF"),J1968&gt;=3),1*'Scoring System'!$B$9,0)+ (I1968*'Scoring System'!$B$10)+ (K1968*'Scoring System'!$B$11)+ (M1968*'Scoring System'!$B$12)+ (L1968*'Scoring System'!$B$13)+ (O1968*'Scoring System'!$B$14)+ (Q1968*'Scoring System'!$B$15)+ (R1968*'Scoring System'!$B$16)</f>
        <v>2</v>
      </c>
      <c r="AB1968" s="3" t="b">
        <f>IFERROR(match(C1968,'Match Day Fees'!$B$2:$B$999,0),0)=0</f>
        <v>0</v>
      </c>
      <c r="AC1968" s="3">
        <f t="shared" si="2"/>
        <v>0</v>
      </c>
      <c r="AD1968" s="3" t="str">
        <f>VLOOKUP(D1968,'Position Lookup'!A:B,2,FALSE)</f>
        <v>ATT</v>
      </c>
    </row>
    <row r="1969" ht="17.25" customHeight="1">
      <c r="A1969" s="32">
        <v>45374.0</v>
      </c>
      <c r="B1969" s="5" t="s">
        <v>309</v>
      </c>
      <c r="C1969" s="3" t="s">
        <v>1910</v>
      </c>
      <c r="D1969" s="3" t="s">
        <v>22</v>
      </c>
      <c r="E1969" s="5">
        <v>3.0</v>
      </c>
      <c r="F1969" s="3" t="s">
        <v>2052</v>
      </c>
      <c r="G1969" s="3" t="s">
        <v>242</v>
      </c>
      <c r="J1969" s="5">
        <v>1.0</v>
      </c>
      <c r="N1969" s="3" t="b">
        <v>0</v>
      </c>
      <c r="R1969" s="3">
        <v>0.0</v>
      </c>
      <c r="T1969" s="3">
        <v>10.0</v>
      </c>
      <c r="U1969" s="3">
        <v>8.0</v>
      </c>
      <c r="V1969" s="3" t="s">
        <v>2064</v>
      </c>
      <c r="W1969" s="3" t="s">
        <v>344</v>
      </c>
      <c r="X1969" s="77" t="s">
        <v>2054</v>
      </c>
      <c r="Y1969" s="3">
        <v>1.0</v>
      </c>
      <c r="Z1969" s="3">
        <v>1.0</v>
      </c>
      <c r="AA1969" s="3">
        <f>2+ (P1969*'Scoring System'!$B$3)+ (IF(OR(AD1969="DEF",AD1969="GK"),N1969*'Scoring System'!$B$4,IF(AD1969="MID",N1969*'Scoring System'!$B$5,0)))+ (IF(OR(AD1969="DEF",AD1969="GK"),H1969*'Scoring System'!$B$6,IF(AD1969="MID",H1969*'Scoring System'!$B$7,IF(AD1969="ATT",H1969*'Scoring System'!$B$8,0))))+ IF(AND(OR(AD1969="GK",AD1969="DEF"),J1969&gt;=3),1*'Scoring System'!$B$9,0)+ (I1969*'Scoring System'!$B$10)+ (K1969*'Scoring System'!$B$11)+ (M1969*'Scoring System'!$B$12)+ (L1969*'Scoring System'!$B$13)+ (O1969*'Scoring System'!$B$14)+ (Q1969*'Scoring System'!$B$15)+ (R1969*'Scoring System'!$B$16)</f>
        <v>2</v>
      </c>
      <c r="AB1969" s="3" t="b">
        <f>IFERROR(match(C1969,'Match Day Fees'!$B$2:$B$999,0),0)=0</f>
        <v>0</v>
      </c>
      <c r="AC1969" s="3">
        <f t="shared" si="2"/>
        <v>0</v>
      </c>
      <c r="AD1969" s="3" t="str">
        <f>VLOOKUP(D1969,'Position Lookup'!A:B,2,FALSE)</f>
        <v>ATT</v>
      </c>
    </row>
    <row r="1970" ht="17.25" customHeight="1">
      <c r="A1970" s="32">
        <v>45374.0</v>
      </c>
      <c r="B1970" s="5" t="s">
        <v>309</v>
      </c>
      <c r="C1970" s="3" t="s">
        <v>155</v>
      </c>
      <c r="D1970" s="3" t="s">
        <v>20</v>
      </c>
      <c r="E1970" s="5">
        <v>3.0</v>
      </c>
      <c r="F1970" s="3" t="s">
        <v>2052</v>
      </c>
      <c r="G1970" s="3" t="s">
        <v>242</v>
      </c>
      <c r="H1970" s="3">
        <v>1.0</v>
      </c>
      <c r="J1970" s="5">
        <v>1.0</v>
      </c>
      <c r="N1970" s="3" t="b">
        <v>0</v>
      </c>
      <c r="Q1970" s="3">
        <v>1.0</v>
      </c>
      <c r="R1970" s="3">
        <v>0.0</v>
      </c>
      <c r="T1970" s="3">
        <v>10.0</v>
      </c>
      <c r="U1970" s="3">
        <v>7.0</v>
      </c>
      <c r="V1970" s="3" t="s">
        <v>2065</v>
      </c>
      <c r="W1970" s="3" t="s">
        <v>344</v>
      </c>
      <c r="X1970" s="77" t="s">
        <v>2054</v>
      </c>
      <c r="Y1970" s="3">
        <v>1.0</v>
      </c>
      <c r="Z1970" s="3">
        <v>1.0</v>
      </c>
      <c r="AA1970" s="3">
        <f>2+ (P1970*'Scoring System'!$B$3)+ (IF(OR(AD1970="DEF",AD1970="GK"),N1970*'Scoring System'!$B$4,IF(AD1970="MID",N1970*'Scoring System'!$B$5,0)))+ (IF(OR(AD1970="DEF",AD1970="GK"),H1970*'Scoring System'!$B$6,IF(AD1970="MID",H1970*'Scoring System'!$B$7,IF(AD1970="ATT",H1970*'Scoring System'!$B$8,0))))+ IF(AND(OR(AD1970="GK",AD1970="DEF"),J1970&gt;=3),1*'Scoring System'!$B$9,0)+ (I1970*'Scoring System'!$B$10)+ (K1970*'Scoring System'!$B$11)+ (M1970*'Scoring System'!$B$12)+ (L1970*'Scoring System'!$B$13)+ (O1970*'Scoring System'!$B$14)+ (Q1970*'Scoring System'!$B$15)+ (R1970*'Scoring System'!$B$16)</f>
        <v>5</v>
      </c>
      <c r="AB1970" s="3" t="b">
        <f>IFERROR(match(C1970,'Match Day Fees'!$B$2:$B$999,0),0)=0</f>
        <v>0</v>
      </c>
      <c r="AC1970" s="3">
        <f t="shared" si="2"/>
        <v>0</v>
      </c>
      <c r="AD1970" s="3" t="str">
        <f>VLOOKUP(D1970,'Position Lookup'!A:B,2,FALSE)</f>
        <v>MID</v>
      </c>
    </row>
    <row r="1971" ht="17.25" customHeight="1">
      <c r="A1971" s="32">
        <v>45374.0</v>
      </c>
      <c r="B1971" s="5" t="s">
        <v>309</v>
      </c>
      <c r="C1971" s="3" t="s">
        <v>79</v>
      </c>
      <c r="D1971" s="3" t="s">
        <v>24</v>
      </c>
      <c r="E1971" s="5">
        <v>3.0</v>
      </c>
      <c r="F1971" s="3" t="s">
        <v>2052</v>
      </c>
      <c r="G1971" s="3" t="s">
        <v>242</v>
      </c>
      <c r="J1971" s="5">
        <v>1.0</v>
      </c>
      <c r="N1971" s="3" t="b">
        <v>0</v>
      </c>
      <c r="R1971" s="3">
        <v>0.0</v>
      </c>
      <c r="T1971" s="3">
        <v>10.0</v>
      </c>
      <c r="U1971" s="3">
        <v>6.5</v>
      </c>
      <c r="V1971" s="3" t="s">
        <v>2066</v>
      </c>
      <c r="W1971" s="3" t="s">
        <v>344</v>
      </c>
      <c r="X1971" s="77" t="s">
        <v>2054</v>
      </c>
      <c r="Y1971" s="3">
        <v>1.0</v>
      </c>
      <c r="Z1971" s="3">
        <v>1.0</v>
      </c>
      <c r="AA1971" s="3">
        <f>2+ (P1971*'Scoring System'!$B$3)+ (IF(OR(AD1971="DEF",AD1971="GK"),N1971*'Scoring System'!$B$4,IF(AD1971="MID",N1971*'Scoring System'!$B$5,0)))+ (IF(OR(AD1971="DEF",AD1971="GK"),H1971*'Scoring System'!$B$6,IF(AD1971="MID",H1971*'Scoring System'!$B$7,IF(AD1971="ATT",H1971*'Scoring System'!$B$8,0))))+ IF(AND(OR(AD1971="GK",AD1971="DEF"),J1971&gt;=3),1*'Scoring System'!$B$9,0)+ (I1971*'Scoring System'!$B$10)+ (K1971*'Scoring System'!$B$11)+ (M1971*'Scoring System'!$B$12)+ (L1971*'Scoring System'!$B$13)+ (O1971*'Scoring System'!$B$14)+ (Q1971*'Scoring System'!$B$15)+ (R1971*'Scoring System'!$B$16)</f>
        <v>2</v>
      </c>
      <c r="AB1971" s="3" t="b">
        <f>IFERROR(match(C1971,'Match Day Fees'!$B$2:$B$999,0),0)=0</f>
        <v>0</v>
      </c>
      <c r="AC1971" s="3">
        <f t="shared" si="2"/>
        <v>0</v>
      </c>
      <c r="AD1971" s="3" t="str">
        <f>VLOOKUP(D1971,'Position Lookup'!A:B,2,FALSE)</f>
        <v>ATT</v>
      </c>
    </row>
    <row r="1972" ht="17.25" customHeight="1">
      <c r="A1972" s="32">
        <v>45374.0</v>
      </c>
      <c r="B1972" s="5" t="s">
        <v>309</v>
      </c>
      <c r="C1972" s="3" t="s">
        <v>294</v>
      </c>
      <c r="D1972" s="3" t="s">
        <v>23</v>
      </c>
      <c r="E1972" s="5">
        <v>3.0</v>
      </c>
      <c r="F1972" s="3" t="s">
        <v>2052</v>
      </c>
      <c r="G1972" s="3" t="s">
        <v>242</v>
      </c>
      <c r="I1972" s="3">
        <v>1.0</v>
      </c>
      <c r="J1972" s="5">
        <v>1.0</v>
      </c>
      <c r="N1972" s="3" t="b">
        <v>0</v>
      </c>
      <c r="R1972" s="3">
        <v>0.0</v>
      </c>
      <c r="T1972" s="3">
        <v>10.0</v>
      </c>
      <c r="U1972" s="3">
        <v>7.0</v>
      </c>
      <c r="V1972" s="3" t="s">
        <v>2067</v>
      </c>
      <c r="W1972" s="3" t="s">
        <v>344</v>
      </c>
      <c r="X1972" s="77" t="s">
        <v>2054</v>
      </c>
      <c r="Y1972" s="3">
        <v>1.0</v>
      </c>
      <c r="Z1972" s="3">
        <v>1.0</v>
      </c>
      <c r="AA1972" s="3">
        <f>2+ (P1972*'Scoring System'!$B$3)+ (IF(OR(AD1972="DEF",AD1972="GK"),N1972*'Scoring System'!$B$4,IF(AD1972="MID",N1972*'Scoring System'!$B$5,0)))+ (IF(OR(AD1972="DEF",AD1972="GK"),H1972*'Scoring System'!$B$6,IF(AD1972="MID",H1972*'Scoring System'!$B$7,IF(AD1972="ATT",H1972*'Scoring System'!$B$8,0))))+ IF(AND(OR(AD1972="GK",AD1972="DEF"),J1972&gt;=3),1*'Scoring System'!$B$9,0)+ (I1972*'Scoring System'!$B$10)+ (K1972*'Scoring System'!$B$11)+ (M1972*'Scoring System'!$B$12)+ (L1972*'Scoring System'!$B$13)+ (O1972*'Scoring System'!$B$14)+ (Q1972*'Scoring System'!$B$15)+ (R1972*'Scoring System'!$B$16)</f>
        <v>5</v>
      </c>
      <c r="AB1972" s="3" t="b">
        <f>IFERROR(match(C1972,'Match Day Fees'!$B$2:$B$999,0),0)=0</f>
        <v>0</v>
      </c>
      <c r="AC1972" s="3">
        <f t="shared" si="2"/>
        <v>0</v>
      </c>
      <c r="AD1972" s="3" t="str">
        <f>VLOOKUP(D1972,'Position Lookup'!A:B,2,FALSE)</f>
        <v>ATT</v>
      </c>
    </row>
    <row r="1973" ht="17.25" customHeight="1">
      <c r="A1973" s="32">
        <v>45374.0</v>
      </c>
      <c r="B1973" s="5" t="s">
        <v>309</v>
      </c>
      <c r="C1973" s="3" t="s">
        <v>259</v>
      </c>
      <c r="D1973" s="3" t="s">
        <v>8</v>
      </c>
      <c r="E1973" s="5">
        <v>6.0</v>
      </c>
      <c r="F1973" s="3" t="s">
        <v>2068</v>
      </c>
      <c r="G1973" s="3" t="s">
        <v>230</v>
      </c>
      <c r="J1973" s="5">
        <v>2.0</v>
      </c>
      <c r="N1973" s="3" t="b">
        <v>0</v>
      </c>
      <c r="R1973" s="3">
        <v>0.0</v>
      </c>
      <c r="S1973" s="3" t="b">
        <v>1</v>
      </c>
      <c r="T1973" s="3">
        <v>0.0</v>
      </c>
      <c r="U1973" s="3">
        <v>5.0</v>
      </c>
      <c r="V1973" s="3" t="s">
        <v>2069</v>
      </c>
      <c r="W1973" s="3" t="s">
        <v>311</v>
      </c>
      <c r="X1973" s="77" t="s">
        <v>2070</v>
      </c>
      <c r="Y1973" s="3">
        <v>1.0</v>
      </c>
      <c r="Z1973" s="3">
        <v>2.0</v>
      </c>
      <c r="AA1973" s="3">
        <f>2+ (P1973*'Scoring System'!$B$3)+ (IF(OR(AD1973="DEF",AD1973="GK"),N1973*'Scoring System'!$B$4,IF(AD1973="MID",N1973*'Scoring System'!$B$5,0)))+ (IF(OR(AD1973="DEF",AD1973="GK"),H1973*'Scoring System'!$B$6,IF(AD1973="MID",H1973*'Scoring System'!$B$7,IF(AD1973="ATT",H1973*'Scoring System'!$B$8,0))))+ IF(AND(OR(AD1973="GK",AD1973="DEF"),J1973&gt;=3),1*'Scoring System'!$B$9,0)+ (I1973*'Scoring System'!$B$10)+ (K1973*'Scoring System'!$B$11)+ (M1973*'Scoring System'!$B$12)+ (L1973*'Scoring System'!$B$13)+ (O1973*'Scoring System'!$B$14)+ (Q1973*'Scoring System'!$B$15)+ (R1973*'Scoring System'!$B$16)</f>
        <v>2</v>
      </c>
      <c r="AB1973" s="3" t="b">
        <f>IFERROR(match(C1973,'Match Day Fees'!$B$2:$B$999,0),0)=0</f>
        <v>0</v>
      </c>
      <c r="AC1973" s="3">
        <f t="shared" si="2"/>
        <v>0</v>
      </c>
      <c r="AD1973" s="3" t="str">
        <f>VLOOKUP(D1973,'Position Lookup'!A:B,2,FALSE)</f>
        <v>GK</v>
      </c>
    </row>
    <row r="1974" ht="17.25" customHeight="1">
      <c r="A1974" s="32">
        <v>45374.0</v>
      </c>
      <c r="B1974" s="5" t="s">
        <v>309</v>
      </c>
      <c r="C1974" s="3" t="s">
        <v>116</v>
      </c>
      <c r="D1974" s="3" t="s">
        <v>14</v>
      </c>
      <c r="E1974" s="5">
        <v>6.0</v>
      </c>
      <c r="F1974" s="3" t="s">
        <v>2068</v>
      </c>
      <c r="G1974" s="3" t="s">
        <v>230</v>
      </c>
      <c r="J1974" s="5">
        <v>2.0</v>
      </c>
      <c r="N1974" s="3" t="b">
        <v>0</v>
      </c>
      <c r="R1974" s="3">
        <v>0.0</v>
      </c>
      <c r="T1974" s="3">
        <v>10.0</v>
      </c>
      <c r="U1974" s="3">
        <v>7.5</v>
      </c>
      <c r="V1974" s="3" t="s">
        <v>2071</v>
      </c>
      <c r="W1974" s="3" t="s">
        <v>311</v>
      </c>
      <c r="X1974" s="77" t="s">
        <v>2070</v>
      </c>
      <c r="Y1974" s="3">
        <v>1.0</v>
      </c>
      <c r="Z1974" s="3">
        <v>2.0</v>
      </c>
      <c r="AA1974" s="3">
        <f>2+ (P1974*'Scoring System'!$B$3)+ (IF(OR(AD1974="DEF",AD1974="GK"),N1974*'Scoring System'!$B$4,IF(AD1974="MID",N1974*'Scoring System'!$B$5,0)))+ (IF(OR(AD1974="DEF",AD1974="GK"),H1974*'Scoring System'!$B$6,IF(AD1974="MID",H1974*'Scoring System'!$B$7,IF(AD1974="ATT",H1974*'Scoring System'!$B$8,0))))+ IF(AND(OR(AD1974="GK",AD1974="DEF"),J1974&gt;=3),1*'Scoring System'!$B$9,0)+ (I1974*'Scoring System'!$B$10)+ (K1974*'Scoring System'!$B$11)+ (M1974*'Scoring System'!$B$12)+ (L1974*'Scoring System'!$B$13)+ (O1974*'Scoring System'!$B$14)+ (Q1974*'Scoring System'!$B$15)+ (R1974*'Scoring System'!$B$16)</f>
        <v>2</v>
      </c>
      <c r="AB1974" s="3" t="b">
        <f>IFERROR(match(C1974,'Match Day Fees'!$B$2:$B$999,0),0)=0</f>
        <v>0</v>
      </c>
      <c r="AC1974" s="3">
        <f t="shared" si="2"/>
        <v>0</v>
      </c>
      <c r="AD1974" s="3" t="str">
        <f>VLOOKUP(D1974,'Position Lookup'!A:B,2,FALSE)</f>
        <v>DEF</v>
      </c>
    </row>
    <row r="1975" ht="17.25" customHeight="1">
      <c r="A1975" s="32">
        <v>45374.0</v>
      </c>
      <c r="B1975" s="5" t="s">
        <v>309</v>
      </c>
      <c r="C1975" s="3" t="s">
        <v>128</v>
      </c>
      <c r="D1975" s="3" t="s">
        <v>14</v>
      </c>
      <c r="E1975" s="5">
        <v>6.0</v>
      </c>
      <c r="F1975" s="3" t="s">
        <v>2068</v>
      </c>
      <c r="G1975" s="3" t="s">
        <v>230</v>
      </c>
      <c r="J1975" s="5">
        <v>2.0</v>
      </c>
      <c r="N1975" s="3" t="b">
        <v>0</v>
      </c>
      <c r="R1975" s="3">
        <v>0.0</v>
      </c>
      <c r="T1975" s="3">
        <v>10.0</v>
      </c>
      <c r="U1975" s="3">
        <v>6.0</v>
      </c>
      <c r="V1975" s="3" t="s">
        <v>2072</v>
      </c>
      <c r="W1975" s="3" t="s">
        <v>311</v>
      </c>
      <c r="X1975" s="77" t="s">
        <v>2070</v>
      </c>
      <c r="Y1975" s="3">
        <v>1.0</v>
      </c>
      <c r="Z1975" s="3">
        <v>2.0</v>
      </c>
      <c r="AA1975" s="3">
        <f>2+ (P1975*'Scoring System'!$B$3)+ (IF(OR(AD1975="DEF",AD1975="GK"),N1975*'Scoring System'!$B$4,IF(AD1975="MID",N1975*'Scoring System'!$B$5,0)))+ (IF(OR(AD1975="DEF",AD1975="GK"),H1975*'Scoring System'!$B$6,IF(AD1975="MID",H1975*'Scoring System'!$B$7,IF(AD1975="ATT",H1975*'Scoring System'!$B$8,0))))+ IF(AND(OR(AD1975="GK",AD1975="DEF"),J1975&gt;=3),1*'Scoring System'!$B$9,0)+ (I1975*'Scoring System'!$B$10)+ (K1975*'Scoring System'!$B$11)+ (M1975*'Scoring System'!$B$12)+ (L1975*'Scoring System'!$B$13)+ (O1975*'Scoring System'!$B$14)+ (Q1975*'Scoring System'!$B$15)+ (R1975*'Scoring System'!$B$16)</f>
        <v>2</v>
      </c>
      <c r="AB1975" s="3" t="b">
        <f>IFERROR(match(C1975,'Match Day Fees'!$B$2:$B$999,0),0)=0</f>
        <v>0</v>
      </c>
      <c r="AC1975" s="3">
        <f t="shared" si="2"/>
        <v>0</v>
      </c>
      <c r="AD1975" s="3" t="str">
        <f>VLOOKUP(D1975,'Position Lookup'!A:B,2,FALSE)</f>
        <v>DEF</v>
      </c>
    </row>
    <row r="1976" ht="17.25" customHeight="1">
      <c r="A1976" s="32">
        <v>45374.0</v>
      </c>
      <c r="B1976" s="5" t="s">
        <v>309</v>
      </c>
      <c r="C1976" s="3" t="s">
        <v>142</v>
      </c>
      <c r="D1976" s="3" t="s">
        <v>16</v>
      </c>
      <c r="E1976" s="5">
        <v>6.0</v>
      </c>
      <c r="F1976" s="3" t="s">
        <v>2068</v>
      </c>
      <c r="G1976" s="3" t="s">
        <v>230</v>
      </c>
      <c r="J1976" s="5">
        <v>2.0</v>
      </c>
      <c r="N1976" s="3" t="b">
        <v>0</v>
      </c>
      <c r="R1976" s="3">
        <v>1.0</v>
      </c>
      <c r="T1976" s="3">
        <v>10.0</v>
      </c>
      <c r="U1976" s="3">
        <v>7.5</v>
      </c>
      <c r="V1976" s="3" t="s">
        <v>2073</v>
      </c>
      <c r="W1976" s="3" t="s">
        <v>311</v>
      </c>
      <c r="X1976" s="77" t="s">
        <v>2070</v>
      </c>
      <c r="Y1976" s="3">
        <v>1.0</v>
      </c>
      <c r="Z1976" s="3">
        <v>2.0</v>
      </c>
      <c r="AA1976" s="3">
        <f>2+ (P1976*'Scoring System'!$B$3)+ (IF(OR(AD1976="DEF",AD1976="GK"),N1976*'Scoring System'!$B$4,IF(AD1976="MID",N1976*'Scoring System'!$B$5,0)))+ (IF(OR(AD1976="DEF",AD1976="GK"),H1976*'Scoring System'!$B$6,IF(AD1976="MID",H1976*'Scoring System'!$B$7,IF(AD1976="ATT",H1976*'Scoring System'!$B$8,0))))+ IF(AND(OR(AD1976="GK",AD1976="DEF"),J1976&gt;=3),1*'Scoring System'!$B$9,0)+ (I1976*'Scoring System'!$B$10)+ (K1976*'Scoring System'!$B$11)+ (M1976*'Scoring System'!$B$12)+ (L1976*'Scoring System'!$B$13)+ (O1976*'Scoring System'!$B$14)+ (Q1976*'Scoring System'!$B$15)+ (R1976*'Scoring System'!$B$16)</f>
        <v>7</v>
      </c>
      <c r="AB1976" s="3" t="b">
        <f>IFERROR(match(C1976,'Match Day Fees'!$B$2:$B$999,0),0)=0</f>
        <v>0</v>
      </c>
      <c r="AC1976" s="3">
        <f t="shared" si="2"/>
        <v>0</v>
      </c>
      <c r="AD1976" s="3" t="str">
        <f>VLOOKUP(D1976,'Position Lookup'!A:B,2,FALSE)</f>
        <v>DEF</v>
      </c>
    </row>
    <row r="1977" ht="17.25" customHeight="1">
      <c r="A1977" s="32">
        <v>45374.0</v>
      </c>
      <c r="B1977" s="5" t="s">
        <v>309</v>
      </c>
      <c r="C1977" s="3" t="s">
        <v>149</v>
      </c>
      <c r="D1977" s="3" t="s">
        <v>14</v>
      </c>
      <c r="E1977" s="5">
        <v>6.0</v>
      </c>
      <c r="F1977" s="3" t="s">
        <v>2068</v>
      </c>
      <c r="G1977" s="3" t="s">
        <v>230</v>
      </c>
      <c r="J1977" s="5">
        <v>2.0</v>
      </c>
      <c r="N1977" s="3" t="b">
        <v>0</v>
      </c>
      <c r="R1977" s="3">
        <v>0.0</v>
      </c>
      <c r="T1977" s="3">
        <v>10.0</v>
      </c>
      <c r="U1977" s="3">
        <v>4.0</v>
      </c>
      <c r="V1977" s="3" t="s">
        <v>2074</v>
      </c>
      <c r="W1977" s="3" t="s">
        <v>311</v>
      </c>
      <c r="X1977" s="77" t="s">
        <v>2070</v>
      </c>
      <c r="Y1977" s="3">
        <v>1.0</v>
      </c>
      <c r="Z1977" s="3">
        <v>2.0</v>
      </c>
      <c r="AA1977" s="3">
        <f>2+ (P1977*'Scoring System'!$B$3)+ (IF(OR(AD1977="DEF",AD1977="GK"),N1977*'Scoring System'!$B$4,IF(AD1977="MID",N1977*'Scoring System'!$B$5,0)))+ (IF(OR(AD1977="DEF",AD1977="GK"),H1977*'Scoring System'!$B$6,IF(AD1977="MID",H1977*'Scoring System'!$B$7,IF(AD1977="ATT",H1977*'Scoring System'!$B$8,0))))+ IF(AND(OR(AD1977="GK",AD1977="DEF"),J1977&gt;=3),1*'Scoring System'!$B$9,0)+ (I1977*'Scoring System'!$B$10)+ (K1977*'Scoring System'!$B$11)+ (M1977*'Scoring System'!$B$12)+ (L1977*'Scoring System'!$B$13)+ (O1977*'Scoring System'!$B$14)+ (Q1977*'Scoring System'!$B$15)+ (R1977*'Scoring System'!$B$16)</f>
        <v>2</v>
      </c>
      <c r="AB1977" s="3" t="b">
        <f>IFERROR(match(C1977,'Match Day Fees'!$B$2:$B$999,0),0)=0</f>
        <v>0</v>
      </c>
      <c r="AC1977" s="3">
        <f t="shared" si="2"/>
        <v>0</v>
      </c>
      <c r="AD1977" s="3" t="str">
        <f>VLOOKUP(D1977,'Position Lookup'!A:B,2,FALSE)</f>
        <v>DEF</v>
      </c>
    </row>
    <row r="1978" ht="17.25" customHeight="1">
      <c r="A1978" s="32">
        <v>45374.0</v>
      </c>
      <c r="B1978" s="5" t="s">
        <v>309</v>
      </c>
      <c r="C1978" s="3" t="s">
        <v>147</v>
      </c>
      <c r="D1978" s="3" t="s">
        <v>19</v>
      </c>
      <c r="E1978" s="5">
        <v>6.0</v>
      </c>
      <c r="F1978" s="3" t="s">
        <v>2068</v>
      </c>
      <c r="G1978" s="3" t="s">
        <v>230</v>
      </c>
      <c r="I1978" s="3">
        <v>1.0</v>
      </c>
      <c r="J1978" s="5">
        <v>2.0</v>
      </c>
      <c r="N1978" s="3" t="b">
        <v>0</v>
      </c>
      <c r="R1978" s="3">
        <v>0.0</v>
      </c>
      <c r="T1978" s="3">
        <v>5.0</v>
      </c>
      <c r="U1978" s="3">
        <v>7.5</v>
      </c>
      <c r="V1978" s="3" t="s">
        <v>2075</v>
      </c>
      <c r="W1978" s="3" t="s">
        <v>311</v>
      </c>
      <c r="X1978" s="77" t="s">
        <v>2070</v>
      </c>
      <c r="Y1978" s="3">
        <v>1.0</v>
      </c>
      <c r="Z1978" s="3">
        <v>2.0</v>
      </c>
      <c r="AA1978" s="3">
        <f>2+ (P1978*'Scoring System'!$B$3)+ (IF(OR(AD1978="DEF",AD1978="GK"),N1978*'Scoring System'!$B$4,IF(AD1978="MID",N1978*'Scoring System'!$B$5,0)))+ (IF(OR(AD1978="DEF",AD1978="GK"),H1978*'Scoring System'!$B$6,IF(AD1978="MID",H1978*'Scoring System'!$B$7,IF(AD1978="ATT",H1978*'Scoring System'!$B$8,0))))+ IF(AND(OR(AD1978="GK",AD1978="DEF"),J1978&gt;=3),1*'Scoring System'!$B$9,0)+ (I1978*'Scoring System'!$B$10)+ (K1978*'Scoring System'!$B$11)+ (M1978*'Scoring System'!$B$12)+ (L1978*'Scoring System'!$B$13)+ (O1978*'Scoring System'!$B$14)+ (Q1978*'Scoring System'!$B$15)+ (R1978*'Scoring System'!$B$16)</f>
        <v>5</v>
      </c>
      <c r="AB1978" s="3" t="b">
        <f>IFERROR(match(C1978,'Match Day Fees'!$B$2:$B$999,0),0)=0</f>
        <v>0</v>
      </c>
      <c r="AC1978" s="3">
        <f t="shared" si="2"/>
        <v>0</v>
      </c>
      <c r="AD1978" s="3" t="str">
        <f>VLOOKUP(D1978,'Position Lookup'!A:B,2,FALSE)</f>
        <v>MID</v>
      </c>
    </row>
    <row r="1979" ht="17.25" customHeight="1">
      <c r="A1979" s="32">
        <v>45374.0</v>
      </c>
      <c r="B1979" s="5" t="s">
        <v>309</v>
      </c>
      <c r="C1979" s="3" t="s">
        <v>97</v>
      </c>
      <c r="D1979" s="3" t="s">
        <v>12</v>
      </c>
      <c r="E1979" s="5">
        <v>6.0</v>
      </c>
      <c r="F1979" s="3" t="s">
        <v>2068</v>
      </c>
      <c r="G1979" s="3" t="s">
        <v>230</v>
      </c>
      <c r="J1979" s="5">
        <v>2.0</v>
      </c>
      <c r="N1979" s="3" t="b">
        <v>0</v>
      </c>
      <c r="R1979" s="3">
        <v>0.0</v>
      </c>
      <c r="T1979" s="3">
        <v>2.5</v>
      </c>
      <c r="U1979" s="3">
        <v>6.5</v>
      </c>
      <c r="V1979" s="3" t="s">
        <v>2076</v>
      </c>
      <c r="W1979" s="3" t="s">
        <v>311</v>
      </c>
      <c r="X1979" s="77" t="s">
        <v>2070</v>
      </c>
      <c r="Y1979" s="3">
        <v>1.0</v>
      </c>
      <c r="Z1979" s="3">
        <v>2.0</v>
      </c>
      <c r="AA1979" s="3">
        <f>2+ (P1979*'Scoring System'!$B$3)+ (IF(OR(AD1979="DEF",AD1979="GK"),N1979*'Scoring System'!$B$4,IF(AD1979="MID",N1979*'Scoring System'!$B$5,0)))+ (IF(OR(AD1979="DEF",AD1979="GK"),H1979*'Scoring System'!$B$6,IF(AD1979="MID",H1979*'Scoring System'!$B$7,IF(AD1979="ATT",H1979*'Scoring System'!$B$8,0))))+ IF(AND(OR(AD1979="GK",AD1979="DEF"),J1979&gt;=3),1*'Scoring System'!$B$9,0)+ (I1979*'Scoring System'!$B$10)+ (K1979*'Scoring System'!$B$11)+ (M1979*'Scoring System'!$B$12)+ (L1979*'Scoring System'!$B$13)+ (O1979*'Scoring System'!$B$14)+ (Q1979*'Scoring System'!$B$15)+ (R1979*'Scoring System'!$B$16)</f>
        <v>2</v>
      </c>
      <c r="AB1979" s="3" t="b">
        <f>IFERROR(match(C1979,'Match Day Fees'!$B$2:$B$999,0),0)=0</f>
        <v>0</v>
      </c>
      <c r="AC1979" s="3">
        <f t="shared" si="2"/>
        <v>0</v>
      </c>
      <c r="AD1979" s="3" t="str">
        <f>VLOOKUP(D1979,'Position Lookup'!A:B,2,FALSE)</f>
        <v>DEF</v>
      </c>
    </row>
    <row r="1980" ht="17.25" customHeight="1">
      <c r="A1980" s="32">
        <v>45374.0</v>
      </c>
      <c r="B1980" s="5" t="s">
        <v>309</v>
      </c>
      <c r="C1980" s="3" t="s">
        <v>150</v>
      </c>
      <c r="D1980" s="3" t="s">
        <v>20</v>
      </c>
      <c r="E1980" s="5">
        <v>6.0</v>
      </c>
      <c r="F1980" s="3" t="s">
        <v>2068</v>
      </c>
      <c r="G1980" s="3" t="s">
        <v>230</v>
      </c>
      <c r="J1980" s="5">
        <v>2.0</v>
      </c>
      <c r="N1980" s="3" t="b">
        <v>0</v>
      </c>
      <c r="R1980" s="3">
        <v>0.0</v>
      </c>
      <c r="T1980" s="3">
        <v>10.0</v>
      </c>
      <c r="U1980" s="3">
        <v>6.5</v>
      </c>
      <c r="V1980" s="3" t="s">
        <v>2077</v>
      </c>
      <c r="W1980" s="3" t="s">
        <v>311</v>
      </c>
      <c r="X1980" s="77" t="s">
        <v>2070</v>
      </c>
      <c r="Y1980" s="3">
        <v>1.0</v>
      </c>
      <c r="Z1980" s="3">
        <v>2.0</v>
      </c>
      <c r="AA1980" s="3">
        <f>2+ (P1980*'Scoring System'!$B$3)+ (IF(OR(AD1980="DEF",AD1980="GK"),N1980*'Scoring System'!$B$4,IF(AD1980="MID",N1980*'Scoring System'!$B$5,0)))+ (IF(OR(AD1980="DEF",AD1980="GK"),H1980*'Scoring System'!$B$6,IF(AD1980="MID",H1980*'Scoring System'!$B$7,IF(AD1980="ATT",H1980*'Scoring System'!$B$8,0))))+ IF(AND(OR(AD1980="GK",AD1980="DEF"),J1980&gt;=3),1*'Scoring System'!$B$9,0)+ (I1980*'Scoring System'!$B$10)+ (K1980*'Scoring System'!$B$11)+ (M1980*'Scoring System'!$B$12)+ (L1980*'Scoring System'!$B$13)+ (O1980*'Scoring System'!$B$14)+ (Q1980*'Scoring System'!$B$15)+ (R1980*'Scoring System'!$B$16)</f>
        <v>2</v>
      </c>
      <c r="AB1980" s="3" t="b">
        <f>IFERROR(match(C1980,'Match Day Fees'!$B$2:$B$999,0),0)=0</f>
        <v>0</v>
      </c>
      <c r="AC1980" s="3">
        <f t="shared" si="2"/>
        <v>0</v>
      </c>
      <c r="AD1980" s="3" t="str">
        <f>VLOOKUP(D1980,'Position Lookup'!A:B,2,FALSE)</f>
        <v>MID</v>
      </c>
    </row>
    <row r="1981" ht="17.25" customHeight="1">
      <c r="A1981" s="32">
        <v>45374.0</v>
      </c>
      <c r="B1981" s="5" t="s">
        <v>309</v>
      </c>
      <c r="C1981" s="3" t="s">
        <v>89</v>
      </c>
      <c r="D1981" s="3" t="s">
        <v>24</v>
      </c>
      <c r="E1981" s="5">
        <v>6.0</v>
      </c>
      <c r="F1981" s="3" t="s">
        <v>2068</v>
      </c>
      <c r="G1981" s="3" t="s">
        <v>230</v>
      </c>
      <c r="J1981" s="5">
        <v>2.0</v>
      </c>
      <c r="N1981" s="3" t="b">
        <v>0</v>
      </c>
      <c r="R1981" s="3">
        <v>0.0</v>
      </c>
      <c r="T1981" s="3">
        <v>10.0</v>
      </c>
      <c r="U1981" s="3">
        <v>6.5</v>
      </c>
      <c r="V1981" s="3" t="s">
        <v>2078</v>
      </c>
      <c r="W1981" s="3" t="s">
        <v>311</v>
      </c>
      <c r="X1981" s="77" t="s">
        <v>2070</v>
      </c>
      <c r="Y1981" s="3">
        <v>1.0</v>
      </c>
      <c r="Z1981" s="3">
        <v>2.0</v>
      </c>
      <c r="AA1981" s="3">
        <f>2+ (P1981*'Scoring System'!$B$3)+ (IF(OR(AD1981="DEF",AD1981="GK"),N1981*'Scoring System'!$B$4,IF(AD1981="MID",N1981*'Scoring System'!$B$5,0)))+ (IF(OR(AD1981="DEF",AD1981="GK"),H1981*'Scoring System'!$B$6,IF(AD1981="MID",H1981*'Scoring System'!$B$7,IF(AD1981="ATT",H1981*'Scoring System'!$B$8,0))))+ IF(AND(OR(AD1981="GK",AD1981="DEF"),J1981&gt;=3),1*'Scoring System'!$B$9,0)+ (I1981*'Scoring System'!$B$10)+ (K1981*'Scoring System'!$B$11)+ (M1981*'Scoring System'!$B$12)+ (L1981*'Scoring System'!$B$13)+ (O1981*'Scoring System'!$B$14)+ (Q1981*'Scoring System'!$B$15)+ (R1981*'Scoring System'!$B$16)</f>
        <v>2</v>
      </c>
      <c r="AB1981" s="3" t="b">
        <f>IFERROR(match(C1981,'Match Day Fees'!$B$2:$B$999,0),0)=0</f>
        <v>0</v>
      </c>
      <c r="AC1981" s="3">
        <f t="shared" si="2"/>
        <v>0</v>
      </c>
      <c r="AD1981" s="3" t="str">
        <f>VLOOKUP(D1981,'Position Lookup'!A:B,2,FALSE)</f>
        <v>ATT</v>
      </c>
    </row>
    <row r="1982" ht="17.25" customHeight="1">
      <c r="A1982" s="32">
        <v>45374.0</v>
      </c>
      <c r="B1982" s="5" t="s">
        <v>309</v>
      </c>
      <c r="C1982" s="3" t="s">
        <v>143</v>
      </c>
      <c r="D1982" s="3" t="s">
        <v>24</v>
      </c>
      <c r="E1982" s="5">
        <v>6.0</v>
      </c>
      <c r="F1982" s="3" t="s">
        <v>2068</v>
      </c>
      <c r="G1982" s="3" t="s">
        <v>230</v>
      </c>
      <c r="J1982" s="5">
        <v>2.0</v>
      </c>
      <c r="K1982" s="3">
        <v>1.0</v>
      </c>
      <c r="N1982" s="3" t="b">
        <v>0</v>
      </c>
      <c r="R1982" s="3">
        <v>0.0</v>
      </c>
      <c r="T1982" s="3">
        <v>10.0</v>
      </c>
      <c r="U1982" s="3">
        <v>6.5</v>
      </c>
      <c r="V1982" s="3" t="s">
        <v>2079</v>
      </c>
      <c r="W1982" s="3" t="s">
        <v>311</v>
      </c>
      <c r="X1982" s="77" t="s">
        <v>2070</v>
      </c>
      <c r="Y1982" s="3">
        <v>1.0</v>
      </c>
      <c r="Z1982" s="3">
        <v>2.0</v>
      </c>
      <c r="AA1982" s="3">
        <f>2+ (P1982*'Scoring System'!$B$3)+ (IF(OR(AD1982="DEF",AD1982="GK"),N1982*'Scoring System'!$B$4,IF(AD1982="MID",N1982*'Scoring System'!$B$5,0)))+ (IF(OR(AD1982="DEF",AD1982="GK"),H1982*'Scoring System'!$B$6,IF(AD1982="MID",H1982*'Scoring System'!$B$7,IF(AD1982="ATT",H1982*'Scoring System'!$B$8,0))))+ IF(AND(OR(AD1982="GK",AD1982="DEF"),J1982&gt;=3),1*'Scoring System'!$B$9,0)+ (I1982*'Scoring System'!$B$10)+ (K1982*'Scoring System'!$B$11)+ (M1982*'Scoring System'!$B$12)+ (L1982*'Scoring System'!$B$13)+ (O1982*'Scoring System'!$B$14)+ (Q1982*'Scoring System'!$B$15)+ (R1982*'Scoring System'!$B$16)</f>
        <v>1</v>
      </c>
      <c r="AB1982" s="3" t="b">
        <f>IFERROR(match(C1982,'Match Day Fees'!$B$2:$B$999,0),0)=0</f>
        <v>0</v>
      </c>
      <c r="AC1982" s="3">
        <f t="shared" si="2"/>
        <v>0</v>
      </c>
      <c r="AD1982" s="3" t="str">
        <f>VLOOKUP(D1982,'Position Lookup'!A:B,2,FALSE)</f>
        <v>ATT</v>
      </c>
    </row>
    <row r="1983" ht="17.25" customHeight="1">
      <c r="A1983" s="32">
        <v>45374.0</v>
      </c>
      <c r="B1983" s="5" t="s">
        <v>309</v>
      </c>
      <c r="C1983" s="3" t="s">
        <v>106</v>
      </c>
      <c r="D1983" s="3" t="s">
        <v>23</v>
      </c>
      <c r="E1983" s="5">
        <v>6.0</v>
      </c>
      <c r="F1983" s="3" t="s">
        <v>2068</v>
      </c>
      <c r="G1983" s="3" t="s">
        <v>230</v>
      </c>
      <c r="J1983" s="5">
        <v>2.0</v>
      </c>
      <c r="N1983" s="3" t="b">
        <v>0</v>
      </c>
      <c r="R1983" s="3">
        <v>0.0</v>
      </c>
      <c r="T1983" s="3">
        <v>5.0</v>
      </c>
      <c r="U1983" s="3">
        <v>7.0</v>
      </c>
      <c r="V1983" s="3" t="s">
        <v>2080</v>
      </c>
      <c r="W1983" s="3" t="s">
        <v>311</v>
      </c>
      <c r="X1983" s="77" t="s">
        <v>2070</v>
      </c>
      <c r="Y1983" s="3">
        <v>1.0</v>
      </c>
      <c r="Z1983" s="3">
        <v>2.0</v>
      </c>
      <c r="AA1983" s="3">
        <f>2+ (P1983*'Scoring System'!$B$3)+ (IF(OR(AD1983="DEF",AD1983="GK"),N1983*'Scoring System'!$B$4,IF(AD1983="MID",N1983*'Scoring System'!$B$5,0)))+ (IF(OR(AD1983="DEF",AD1983="GK"),H1983*'Scoring System'!$B$6,IF(AD1983="MID",H1983*'Scoring System'!$B$7,IF(AD1983="ATT",H1983*'Scoring System'!$B$8,0))))+ IF(AND(OR(AD1983="GK",AD1983="DEF"),J1983&gt;=3),1*'Scoring System'!$B$9,0)+ (I1983*'Scoring System'!$B$10)+ (K1983*'Scoring System'!$B$11)+ (M1983*'Scoring System'!$B$12)+ (L1983*'Scoring System'!$B$13)+ (O1983*'Scoring System'!$B$14)+ (Q1983*'Scoring System'!$B$15)+ (R1983*'Scoring System'!$B$16)</f>
        <v>2</v>
      </c>
      <c r="AB1983" s="3" t="b">
        <f>IFERROR(match(C1983,'Match Day Fees'!$B$2:$B$999,0),0)=0</f>
        <v>0</v>
      </c>
      <c r="AC1983" s="3">
        <f t="shared" si="2"/>
        <v>0</v>
      </c>
      <c r="AD1983" s="3" t="str">
        <f>VLOOKUP(D1983,'Position Lookup'!A:B,2,FALSE)</f>
        <v>ATT</v>
      </c>
    </row>
    <row r="1984" ht="17.25" customHeight="1">
      <c r="A1984" s="32">
        <v>45374.0</v>
      </c>
      <c r="B1984" s="5" t="s">
        <v>309</v>
      </c>
      <c r="C1984" s="3" t="s">
        <v>284</v>
      </c>
      <c r="D1984" s="3" t="s">
        <v>22</v>
      </c>
      <c r="E1984" s="5">
        <v>6.0</v>
      </c>
      <c r="F1984" s="3" t="s">
        <v>2068</v>
      </c>
      <c r="G1984" s="3" t="s">
        <v>230</v>
      </c>
      <c r="J1984" s="5">
        <v>2.0</v>
      </c>
      <c r="N1984" s="3" t="b">
        <v>0</v>
      </c>
      <c r="R1984" s="3">
        <v>0.0</v>
      </c>
      <c r="T1984" s="3">
        <v>5.0</v>
      </c>
      <c r="U1984" s="3">
        <v>6.0</v>
      </c>
      <c r="V1984" s="3" t="s">
        <v>2081</v>
      </c>
      <c r="W1984" s="3" t="s">
        <v>311</v>
      </c>
      <c r="X1984" s="77" t="s">
        <v>2070</v>
      </c>
      <c r="Y1984" s="3">
        <v>1.0</v>
      </c>
      <c r="Z1984" s="3">
        <v>2.0</v>
      </c>
      <c r="AA1984" s="3">
        <f>2+ (P1984*'Scoring System'!$B$3)+ (IF(OR(AD1984="DEF",AD1984="GK"),N1984*'Scoring System'!$B$4,IF(AD1984="MID",N1984*'Scoring System'!$B$5,0)))+ (IF(OR(AD1984="DEF",AD1984="GK"),H1984*'Scoring System'!$B$6,IF(AD1984="MID",H1984*'Scoring System'!$B$7,IF(AD1984="ATT",H1984*'Scoring System'!$B$8,0))))+ IF(AND(OR(AD1984="GK",AD1984="DEF"),J1984&gt;=3),1*'Scoring System'!$B$9,0)+ (I1984*'Scoring System'!$B$10)+ (K1984*'Scoring System'!$B$11)+ (M1984*'Scoring System'!$B$12)+ (L1984*'Scoring System'!$B$13)+ (O1984*'Scoring System'!$B$14)+ (Q1984*'Scoring System'!$B$15)+ (R1984*'Scoring System'!$B$16)</f>
        <v>2</v>
      </c>
      <c r="AB1984" s="3" t="b">
        <f>IFERROR(match(C1984,'Match Day Fees'!$B$2:$B$999,0),0)=0</f>
        <v>0</v>
      </c>
      <c r="AC1984" s="3">
        <f t="shared" si="2"/>
        <v>0</v>
      </c>
      <c r="AD1984" s="3" t="str">
        <f>VLOOKUP(D1984,'Position Lookup'!A:B,2,FALSE)</f>
        <v>ATT</v>
      </c>
    </row>
    <row r="1985" ht="17.25" customHeight="1">
      <c r="A1985" s="32">
        <v>45374.0</v>
      </c>
      <c r="B1985" s="5" t="s">
        <v>309</v>
      </c>
      <c r="C1985" s="3" t="s">
        <v>140</v>
      </c>
      <c r="D1985" s="3" t="s">
        <v>20</v>
      </c>
      <c r="E1985" s="5">
        <v>6.0</v>
      </c>
      <c r="F1985" s="3" t="s">
        <v>2068</v>
      </c>
      <c r="G1985" s="3" t="s">
        <v>230</v>
      </c>
      <c r="J1985" s="5">
        <v>2.0</v>
      </c>
      <c r="N1985" s="3" t="b">
        <v>0</v>
      </c>
      <c r="R1985" s="3">
        <v>0.0</v>
      </c>
      <c r="T1985" s="3">
        <v>10.0</v>
      </c>
      <c r="U1985" s="3">
        <v>6.5</v>
      </c>
      <c r="V1985" s="3" t="s">
        <v>2082</v>
      </c>
      <c r="W1985" s="3" t="s">
        <v>311</v>
      </c>
      <c r="X1985" s="77" t="s">
        <v>2070</v>
      </c>
      <c r="Y1985" s="3">
        <v>1.0</v>
      </c>
      <c r="Z1985" s="3">
        <v>2.0</v>
      </c>
      <c r="AA1985" s="3">
        <f>2+ (P1985*'Scoring System'!$B$3)+ (IF(OR(AD1985="DEF",AD1985="GK"),N1985*'Scoring System'!$B$4,IF(AD1985="MID",N1985*'Scoring System'!$B$5,0)))+ (IF(OR(AD1985="DEF",AD1985="GK"),H1985*'Scoring System'!$B$6,IF(AD1985="MID",H1985*'Scoring System'!$B$7,IF(AD1985="ATT",H1985*'Scoring System'!$B$8,0))))+ IF(AND(OR(AD1985="GK",AD1985="DEF"),J1985&gt;=3),1*'Scoring System'!$B$9,0)+ (I1985*'Scoring System'!$B$10)+ (K1985*'Scoring System'!$B$11)+ (M1985*'Scoring System'!$B$12)+ (L1985*'Scoring System'!$B$13)+ (O1985*'Scoring System'!$B$14)+ (Q1985*'Scoring System'!$B$15)+ (R1985*'Scoring System'!$B$16)</f>
        <v>2</v>
      </c>
      <c r="AB1985" s="3" t="b">
        <f>IFERROR(match(C1985,'Match Day Fees'!$B$2:$B$999,0),0)=0</f>
        <v>0</v>
      </c>
      <c r="AC1985" s="3">
        <f t="shared" si="2"/>
        <v>0</v>
      </c>
      <c r="AD1985" s="3" t="str">
        <f>VLOOKUP(D1985,'Position Lookup'!A:B,2,FALSE)</f>
        <v>MID</v>
      </c>
    </row>
    <row r="1986" ht="17.25" customHeight="1">
      <c r="A1986" s="32">
        <v>45374.0</v>
      </c>
      <c r="B1986" s="5" t="s">
        <v>309</v>
      </c>
      <c r="C1986" s="3" t="s">
        <v>58</v>
      </c>
      <c r="D1986" s="3" t="s">
        <v>20</v>
      </c>
      <c r="E1986" s="5">
        <v>6.0</v>
      </c>
      <c r="F1986" s="3" t="s">
        <v>2068</v>
      </c>
      <c r="G1986" s="3" t="s">
        <v>230</v>
      </c>
      <c r="H1986" s="3">
        <v>1.0</v>
      </c>
      <c r="J1986" s="5">
        <v>2.0</v>
      </c>
      <c r="N1986" s="3" t="b">
        <v>0</v>
      </c>
      <c r="R1986" s="3">
        <v>0.0</v>
      </c>
      <c r="T1986" s="3">
        <v>10.0</v>
      </c>
      <c r="U1986" s="3">
        <v>7.0</v>
      </c>
      <c r="V1986" s="3" t="s">
        <v>2083</v>
      </c>
      <c r="W1986" s="3" t="s">
        <v>311</v>
      </c>
      <c r="X1986" s="77" t="s">
        <v>2070</v>
      </c>
      <c r="Y1986" s="3">
        <v>1.0</v>
      </c>
      <c r="Z1986" s="3">
        <v>2.0</v>
      </c>
      <c r="AA1986" s="3">
        <f>2+ (P1986*'Scoring System'!$B$3)+ (IF(OR(AD1986="DEF",AD1986="GK"),N1986*'Scoring System'!$B$4,IF(AD1986="MID",N1986*'Scoring System'!$B$5,0)))+ (IF(OR(AD1986="DEF",AD1986="GK"),H1986*'Scoring System'!$B$6,IF(AD1986="MID",H1986*'Scoring System'!$B$7,IF(AD1986="ATT",H1986*'Scoring System'!$B$8,0))))+ IF(AND(OR(AD1986="GK",AD1986="DEF"),J1986&gt;=3),1*'Scoring System'!$B$9,0)+ (I1986*'Scoring System'!$B$10)+ (K1986*'Scoring System'!$B$11)+ (M1986*'Scoring System'!$B$12)+ (L1986*'Scoring System'!$B$13)+ (O1986*'Scoring System'!$B$14)+ (Q1986*'Scoring System'!$B$15)+ (R1986*'Scoring System'!$B$16)</f>
        <v>7</v>
      </c>
      <c r="AB1986" s="3" t="b">
        <f>IFERROR(match(C1986,'Match Day Fees'!$B$2:$B$999,0),0)=0</f>
        <v>0</v>
      </c>
      <c r="AC1986" s="3">
        <f t="shared" si="2"/>
        <v>0</v>
      </c>
      <c r="AD1986" s="3" t="str">
        <f>VLOOKUP(D1986,'Position Lookup'!A:B,2,FALSE)</f>
        <v>MID</v>
      </c>
    </row>
    <row r="1987" ht="17.25" customHeight="1">
      <c r="A1987" s="32">
        <v>45374.0</v>
      </c>
      <c r="B1987" s="5" t="s">
        <v>712</v>
      </c>
      <c r="C1987" s="5" t="s">
        <v>53</v>
      </c>
      <c r="D1987" s="3" t="s">
        <v>8</v>
      </c>
      <c r="E1987" s="5">
        <v>1.0</v>
      </c>
      <c r="F1987" s="84" t="s">
        <v>2084</v>
      </c>
      <c r="G1987" s="3" t="s">
        <v>230</v>
      </c>
      <c r="J1987" s="5">
        <v>2.0</v>
      </c>
      <c r="N1987" s="3" t="b">
        <v>0</v>
      </c>
      <c r="R1987" s="5">
        <v>0.0</v>
      </c>
      <c r="T1987" s="3">
        <v>0.0</v>
      </c>
      <c r="U1987" s="3">
        <v>4.0</v>
      </c>
      <c r="V1987" s="3" t="s">
        <v>2085</v>
      </c>
      <c r="W1987" s="3" t="s">
        <v>311</v>
      </c>
      <c r="X1987" s="77" t="s">
        <v>2086</v>
      </c>
      <c r="Y1987" s="3">
        <v>1.0</v>
      </c>
      <c r="Z1987" s="3">
        <v>2.0</v>
      </c>
      <c r="AA1987" s="3">
        <f>2+ (P1987*'Scoring System'!$B$3)+ (IF(OR(AD1987="DEF",AD1987="GK"),N1987*'Scoring System'!$B$4,IF(AD1987="MID",N1987*'Scoring System'!$B$5,0)))+ (IF(OR(AD1987="DEF",AD1987="GK"),H1987*'Scoring System'!$B$6,IF(AD1987="MID",H1987*'Scoring System'!$B$7,IF(AD1987="ATT",H1987*'Scoring System'!$B$8,0))))+ IF(AND(OR(AD1987="GK",AD1987="DEF"),J1987&gt;=3),1*'Scoring System'!$B$9,0)+ (I1987*'Scoring System'!$B$10)+ (K1987*'Scoring System'!$B$11)+ (M1987*'Scoring System'!$B$12)+ (L1987*'Scoring System'!$B$13)+ (O1987*'Scoring System'!$B$14)+ (Q1987*'Scoring System'!$B$15)+ (R1987*'Scoring System'!$B$16)</f>
        <v>2</v>
      </c>
      <c r="AB1987" s="3" t="b">
        <f>IFERROR(match(C1987,'Match Day Fees'!$B$2:$B$999,0),0)=0</f>
        <v>0</v>
      </c>
      <c r="AC1987" s="3">
        <f t="shared" si="2"/>
        <v>0</v>
      </c>
      <c r="AD1987" s="3" t="str">
        <f>VLOOKUP(D1987,'Position Lookup'!A:B,2,FALSE)</f>
        <v>GK</v>
      </c>
    </row>
    <row r="1988" ht="17.25" customHeight="1">
      <c r="A1988" s="32">
        <v>45374.0</v>
      </c>
      <c r="B1988" s="5" t="s">
        <v>712</v>
      </c>
      <c r="C1988" s="5" t="s">
        <v>69</v>
      </c>
      <c r="D1988" s="3" t="s">
        <v>14</v>
      </c>
      <c r="E1988" s="5">
        <v>1.0</v>
      </c>
      <c r="F1988" s="84" t="s">
        <v>2084</v>
      </c>
      <c r="G1988" s="3" t="s">
        <v>230</v>
      </c>
      <c r="J1988" s="5">
        <v>2.0</v>
      </c>
      <c r="K1988" s="5">
        <v>1.0</v>
      </c>
      <c r="N1988" s="3" t="b">
        <v>0</v>
      </c>
      <c r="R1988" s="5">
        <v>0.0</v>
      </c>
      <c r="T1988" s="3">
        <v>0.0</v>
      </c>
      <c r="U1988" s="3">
        <v>8.0</v>
      </c>
      <c r="V1988" s="3" t="s">
        <v>2087</v>
      </c>
      <c r="W1988" s="3" t="s">
        <v>311</v>
      </c>
      <c r="X1988" s="77" t="s">
        <v>2086</v>
      </c>
      <c r="Y1988" s="3">
        <v>1.0</v>
      </c>
      <c r="Z1988" s="3">
        <v>2.0</v>
      </c>
      <c r="AA1988" s="3">
        <f>2+ (P1988*'Scoring System'!$B$3)+ (IF(OR(AD1988="DEF",AD1988="GK"),N1988*'Scoring System'!$B$4,IF(AD1988="MID",N1988*'Scoring System'!$B$5,0)))+ (IF(OR(AD1988="DEF",AD1988="GK"),H1988*'Scoring System'!$B$6,IF(AD1988="MID",H1988*'Scoring System'!$B$7,IF(AD1988="ATT",H1988*'Scoring System'!$B$8,0))))+ IF(AND(OR(AD1988="GK",AD1988="DEF"),J1988&gt;=3),1*'Scoring System'!$B$9,0)+ (I1988*'Scoring System'!$B$10)+ (K1988*'Scoring System'!$B$11)+ (M1988*'Scoring System'!$B$12)+ (L1988*'Scoring System'!$B$13)+ (O1988*'Scoring System'!$B$14)+ (Q1988*'Scoring System'!$B$15)+ (R1988*'Scoring System'!$B$16)</f>
        <v>1</v>
      </c>
      <c r="AB1988" s="3" t="b">
        <f>IFERROR(match(C1988,'Match Day Fees'!$B$2:$B$999,0),0)=0</f>
        <v>0</v>
      </c>
      <c r="AC1988" s="3">
        <f t="shared" si="2"/>
        <v>0</v>
      </c>
      <c r="AD1988" s="3" t="str">
        <f>VLOOKUP(D1988,'Position Lookup'!A:B,2,FALSE)</f>
        <v>DEF</v>
      </c>
    </row>
    <row r="1989" ht="17.25" customHeight="1">
      <c r="A1989" s="32">
        <v>45374.0</v>
      </c>
      <c r="B1989" s="5" t="s">
        <v>712</v>
      </c>
      <c r="C1989" s="5" t="s">
        <v>76</v>
      </c>
      <c r="D1989" s="3" t="s">
        <v>13</v>
      </c>
      <c r="E1989" s="5">
        <v>1.0</v>
      </c>
      <c r="F1989" s="84" t="s">
        <v>2084</v>
      </c>
      <c r="G1989" s="3" t="s">
        <v>230</v>
      </c>
      <c r="J1989" s="5">
        <v>2.0</v>
      </c>
      <c r="N1989" s="3" t="b">
        <v>0</v>
      </c>
      <c r="R1989" s="5">
        <v>0.0</v>
      </c>
      <c r="T1989" s="3">
        <v>0.0</v>
      </c>
      <c r="U1989" s="3">
        <v>8.0</v>
      </c>
      <c r="V1989" s="3" t="s">
        <v>2088</v>
      </c>
      <c r="W1989" s="3" t="s">
        <v>311</v>
      </c>
      <c r="X1989" s="77" t="s">
        <v>2086</v>
      </c>
      <c r="Y1989" s="3">
        <v>1.0</v>
      </c>
      <c r="Z1989" s="3">
        <v>2.0</v>
      </c>
      <c r="AA1989" s="3">
        <f>2+ (P1989*'Scoring System'!$B$3)+ (IF(OR(AD1989="DEF",AD1989="GK"),N1989*'Scoring System'!$B$4,IF(AD1989="MID",N1989*'Scoring System'!$B$5,0)))+ (IF(OR(AD1989="DEF",AD1989="GK"),H1989*'Scoring System'!$B$6,IF(AD1989="MID",H1989*'Scoring System'!$B$7,IF(AD1989="ATT",H1989*'Scoring System'!$B$8,0))))+ IF(AND(OR(AD1989="GK",AD1989="DEF"),J1989&gt;=3),1*'Scoring System'!$B$9,0)+ (I1989*'Scoring System'!$B$10)+ (K1989*'Scoring System'!$B$11)+ (M1989*'Scoring System'!$B$12)+ (L1989*'Scoring System'!$B$13)+ (O1989*'Scoring System'!$B$14)+ (Q1989*'Scoring System'!$B$15)+ (R1989*'Scoring System'!$B$16)</f>
        <v>2</v>
      </c>
      <c r="AB1989" s="3" t="b">
        <f>IFERROR(match(C1989,'Match Day Fees'!$B$2:$B$999,0),0)=0</f>
        <v>0</v>
      </c>
      <c r="AC1989" s="3">
        <f t="shared" si="2"/>
        <v>0</v>
      </c>
      <c r="AD1989" s="3" t="str">
        <f>VLOOKUP(D1989,'Position Lookup'!A:B,2,FALSE)</f>
        <v>DEF</v>
      </c>
    </row>
    <row r="1990" ht="17.25" customHeight="1">
      <c r="A1990" s="32">
        <v>45374.0</v>
      </c>
      <c r="B1990" s="5" t="s">
        <v>712</v>
      </c>
      <c r="C1990" s="5" t="s">
        <v>68</v>
      </c>
      <c r="D1990" s="3" t="s">
        <v>15</v>
      </c>
      <c r="E1990" s="5">
        <v>1.0</v>
      </c>
      <c r="F1990" s="84" t="s">
        <v>2084</v>
      </c>
      <c r="G1990" s="3" t="s">
        <v>230</v>
      </c>
      <c r="J1990" s="5">
        <v>2.0</v>
      </c>
      <c r="N1990" s="3" t="b">
        <v>0</v>
      </c>
      <c r="R1990" s="5">
        <v>0.0</v>
      </c>
      <c r="T1990" s="3">
        <v>0.0</v>
      </c>
      <c r="U1990" s="3">
        <v>8.0</v>
      </c>
      <c r="V1990" s="3" t="s">
        <v>2089</v>
      </c>
      <c r="W1990" s="3" t="s">
        <v>311</v>
      </c>
      <c r="X1990" s="77" t="s">
        <v>2086</v>
      </c>
      <c r="Y1990" s="3">
        <v>1.0</v>
      </c>
      <c r="Z1990" s="3">
        <v>2.0</v>
      </c>
      <c r="AA1990" s="3">
        <f>2+ (P1990*'Scoring System'!$B$3)+ (IF(OR(AD1990="DEF",AD1990="GK"),N1990*'Scoring System'!$B$4,IF(AD1990="MID",N1990*'Scoring System'!$B$5,0)))+ (IF(OR(AD1990="DEF",AD1990="GK"),H1990*'Scoring System'!$B$6,IF(AD1990="MID",H1990*'Scoring System'!$B$7,IF(AD1990="ATT",H1990*'Scoring System'!$B$8,0))))+ IF(AND(OR(AD1990="GK",AD1990="DEF"),J1990&gt;=3),1*'Scoring System'!$B$9,0)+ (I1990*'Scoring System'!$B$10)+ (K1990*'Scoring System'!$B$11)+ (M1990*'Scoring System'!$B$12)+ (L1990*'Scoring System'!$B$13)+ (O1990*'Scoring System'!$B$14)+ (Q1990*'Scoring System'!$B$15)+ (R1990*'Scoring System'!$B$16)</f>
        <v>2</v>
      </c>
      <c r="AB1990" s="3" t="b">
        <f>IFERROR(match(C1990,'Match Day Fees'!$B$2:$B$999,0),0)=0</f>
        <v>0</v>
      </c>
      <c r="AC1990" s="3">
        <f t="shared" si="2"/>
        <v>0</v>
      </c>
      <c r="AD1990" s="3" t="str">
        <f>VLOOKUP(D1990,'Position Lookup'!A:B,2,FALSE)</f>
        <v>DEF</v>
      </c>
    </row>
    <row r="1991" ht="17.25" customHeight="1">
      <c r="A1991" s="32">
        <v>45374.0</v>
      </c>
      <c r="B1991" s="5" t="s">
        <v>712</v>
      </c>
      <c r="C1991" s="5" t="s">
        <v>77</v>
      </c>
      <c r="D1991" s="3" t="s">
        <v>18</v>
      </c>
      <c r="E1991" s="5">
        <v>1.0</v>
      </c>
      <c r="F1991" s="84" t="s">
        <v>2084</v>
      </c>
      <c r="G1991" s="3" t="s">
        <v>230</v>
      </c>
      <c r="I1991" s="3">
        <v>1.0</v>
      </c>
      <c r="J1991" s="5">
        <v>2.0</v>
      </c>
      <c r="N1991" s="3" t="b">
        <v>0</v>
      </c>
      <c r="R1991" s="5">
        <v>0.0</v>
      </c>
      <c r="T1991" s="3">
        <v>0.0</v>
      </c>
      <c r="U1991" s="3">
        <v>8.0</v>
      </c>
      <c r="V1991" s="3" t="s">
        <v>2090</v>
      </c>
      <c r="W1991" s="3" t="s">
        <v>311</v>
      </c>
      <c r="X1991" s="77" t="s">
        <v>2086</v>
      </c>
      <c r="Y1991" s="3">
        <v>1.0</v>
      </c>
      <c r="Z1991" s="3">
        <v>2.0</v>
      </c>
      <c r="AA1991" s="3">
        <f>2+ (P1991*'Scoring System'!$B$3)+ (IF(OR(AD1991="DEF",AD1991="GK"),N1991*'Scoring System'!$B$4,IF(AD1991="MID",N1991*'Scoring System'!$B$5,0)))+ (IF(OR(AD1991="DEF",AD1991="GK"),H1991*'Scoring System'!$B$6,IF(AD1991="MID",H1991*'Scoring System'!$B$7,IF(AD1991="ATT",H1991*'Scoring System'!$B$8,0))))+ IF(AND(OR(AD1991="GK",AD1991="DEF"),J1991&gt;=3),1*'Scoring System'!$B$9,0)+ (I1991*'Scoring System'!$B$10)+ (K1991*'Scoring System'!$B$11)+ (M1991*'Scoring System'!$B$12)+ (L1991*'Scoring System'!$B$13)+ (O1991*'Scoring System'!$B$14)+ (Q1991*'Scoring System'!$B$15)+ (R1991*'Scoring System'!$B$16)</f>
        <v>5</v>
      </c>
      <c r="AB1991" s="3" t="b">
        <f>IFERROR(match(C1991,'Match Day Fees'!$B$2:$B$999,0),0)=0</f>
        <v>0</v>
      </c>
      <c r="AC1991" s="3">
        <f t="shared" si="2"/>
        <v>0</v>
      </c>
      <c r="AD1991" s="3" t="str">
        <f>VLOOKUP(D1991,'Position Lookup'!A:B,2,FALSE)</f>
        <v>DEF</v>
      </c>
    </row>
    <row r="1992" ht="17.25" customHeight="1">
      <c r="A1992" s="32">
        <v>45374.0</v>
      </c>
      <c r="B1992" s="5" t="s">
        <v>712</v>
      </c>
      <c r="C1992" s="5" t="s">
        <v>107</v>
      </c>
      <c r="D1992" s="3" t="s">
        <v>17</v>
      </c>
      <c r="E1992" s="5">
        <v>1.0</v>
      </c>
      <c r="F1992" s="84" t="s">
        <v>2084</v>
      </c>
      <c r="G1992" s="3" t="s">
        <v>230</v>
      </c>
      <c r="J1992" s="5">
        <v>2.0</v>
      </c>
      <c r="N1992" s="3" t="b">
        <v>0</v>
      </c>
      <c r="R1992" s="5">
        <v>0.0</v>
      </c>
      <c r="T1992" s="3">
        <v>0.0</v>
      </c>
      <c r="U1992" s="3">
        <v>7.5</v>
      </c>
      <c r="V1992" s="3" t="s">
        <v>2091</v>
      </c>
      <c r="W1992" s="3" t="s">
        <v>311</v>
      </c>
      <c r="X1992" s="77" t="s">
        <v>2086</v>
      </c>
      <c r="Y1992" s="3">
        <v>1.0</v>
      </c>
      <c r="Z1992" s="3">
        <v>2.0</v>
      </c>
      <c r="AA1992" s="3">
        <f>2+ (P1992*'Scoring System'!$B$3)+ (IF(OR(AD1992="DEF",AD1992="GK"),N1992*'Scoring System'!$B$4,IF(AD1992="MID",N1992*'Scoring System'!$B$5,0)))+ (IF(OR(AD1992="DEF",AD1992="GK"),H1992*'Scoring System'!$B$6,IF(AD1992="MID",H1992*'Scoring System'!$B$7,IF(AD1992="ATT",H1992*'Scoring System'!$B$8,0))))+ IF(AND(OR(AD1992="GK",AD1992="DEF"),J1992&gt;=3),1*'Scoring System'!$B$9,0)+ (I1992*'Scoring System'!$B$10)+ (K1992*'Scoring System'!$B$11)+ (M1992*'Scoring System'!$B$12)+ (L1992*'Scoring System'!$B$13)+ (O1992*'Scoring System'!$B$14)+ (Q1992*'Scoring System'!$B$15)+ (R1992*'Scoring System'!$B$16)</f>
        <v>2</v>
      </c>
      <c r="AB1992" s="3" t="b">
        <f>IFERROR(match(C1992,'Match Day Fees'!$B$2:$B$999,0),0)=0</f>
        <v>0</v>
      </c>
      <c r="AC1992" s="3">
        <f t="shared" si="2"/>
        <v>0</v>
      </c>
      <c r="AD1992" s="3" t="str">
        <f>VLOOKUP(D1992,'Position Lookup'!A:B,2,FALSE)</f>
        <v>DEF</v>
      </c>
    </row>
    <row r="1993" ht="17.25" customHeight="1">
      <c r="A1993" s="32">
        <v>45374.0</v>
      </c>
      <c r="B1993" s="5" t="s">
        <v>712</v>
      </c>
      <c r="C1993" s="5" t="s">
        <v>85</v>
      </c>
      <c r="D1993" s="3" t="s">
        <v>20</v>
      </c>
      <c r="E1993" s="5">
        <v>1.0</v>
      </c>
      <c r="F1993" s="84" t="s">
        <v>2084</v>
      </c>
      <c r="G1993" s="3" t="s">
        <v>230</v>
      </c>
      <c r="J1993" s="5">
        <v>2.0</v>
      </c>
      <c r="N1993" s="3" t="b">
        <v>0</v>
      </c>
      <c r="R1993" s="5">
        <v>0.0</v>
      </c>
      <c r="T1993" s="3">
        <v>0.0</v>
      </c>
      <c r="U1993" s="3">
        <v>7.5</v>
      </c>
      <c r="V1993" s="3" t="s">
        <v>2092</v>
      </c>
      <c r="W1993" s="3" t="s">
        <v>311</v>
      </c>
      <c r="X1993" s="77" t="s">
        <v>2086</v>
      </c>
      <c r="Y1993" s="3">
        <v>1.0</v>
      </c>
      <c r="Z1993" s="3">
        <v>2.0</v>
      </c>
      <c r="AA1993" s="3">
        <f>2+ (P1993*'Scoring System'!$B$3)+ (IF(OR(AD1993="DEF",AD1993="GK"),N1993*'Scoring System'!$B$4,IF(AD1993="MID",N1993*'Scoring System'!$B$5,0)))+ (IF(OR(AD1993="DEF",AD1993="GK"),H1993*'Scoring System'!$B$6,IF(AD1993="MID",H1993*'Scoring System'!$B$7,IF(AD1993="ATT",H1993*'Scoring System'!$B$8,0))))+ IF(AND(OR(AD1993="GK",AD1993="DEF"),J1993&gt;=3),1*'Scoring System'!$B$9,0)+ (I1993*'Scoring System'!$B$10)+ (K1993*'Scoring System'!$B$11)+ (M1993*'Scoring System'!$B$12)+ (L1993*'Scoring System'!$B$13)+ (O1993*'Scoring System'!$B$14)+ (Q1993*'Scoring System'!$B$15)+ (R1993*'Scoring System'!$B$16)</f>
        <v>2</v>
      </c>
      <c r="AB1993" s="3" t="b">
        <f>IFERROR(match(C1993,'Match Day Fees'!$B$2:$B$999,0),0)=0</f>
        <v>0</v>
      </c>
      <c r="AC1993" s="3">
        <f t="shared" si="2"/>
        <v>0</v>
      </c>
      <c r="AD1993" s="3" t="str">
        <f>VLOOKUP(D1993,'Position Lookup'!A:B,2,FALSE)</f>
        <v>MID</v>
      </c>
    </row>
    <row r="1994" ht="17.25" customHeight="1">
      <c r="A1994" s="32">
        <v>45374.0</v>
      </c>
      <c r="B1994" s="5" t="s">
        <v>712</v>
      </c>
      <c r="C1994" s="5" t="s">
        <v>67</v>
      </c>
      <c r="D1994" s="3" t="s">
        <v>20</v>
      </c>
      <c r="E1994" s="5">
        <v>1.0</v>
      </c>
      <c r="F1994" s="84" t="s">
        <v>2084</v>
      </c>
      <c r="G1994" s="3" t="s">
        <v>230</v>
      </c>
      <c r="J1994" s="5">
        <v>2.0</v>
      </c>
      <c r="N1994" s="3" t="b">
        <v>0</v>
      </c>
      <c r="R1994" s="5">
        <v>0.0</v>
      </c>
      <c r="T1994" s="3">
        <v>0.0</v>
      </c>
      <c r="U1994" s="3">
        <v>6.0</v>
      </c>
      <c r="V1994" s="3" t="s">
        <v>2093</v>
      </c>
      <c r="W1994" s="3" t="s">
        <v>311</v>
      </c>
      <c r="X1994" s="77" t="s">
        <v>2086</v>
      </c>
      <c r="Y1994" s="3">
        <v>1.0</v>
      </c>
      <c r="Z1994" s="3">
        <v>2.0</v>
      </c>
      <c r="AA1994" s="3">
        <f>2+ (P1994*'Scoring System'!$B$3)+ (IF(OR(AD1994="DEF",AD1994="GK"),N1994*'Scoring System'!$B$4,IF(AD1994="MID",N1994*'Scoring System'!$B$5,0)))+ (IF(OR(AD1994="DEF",AD1994="GK"),H1994*'Scoring System'!$B$6,IF(AD1994="MID",H1994*'Scoring System'!$B$7,IF(AD1994="ATT",H1994*'Scoring System'!$B$8,0))))+ IF(AND(OR(AD1994="GK",AD1994="DEF"),J1994&gt;=3),1*'Scoring System'!$B$9,0)+ (I1994*'Scoring System'!$B$10)+ (K1994*'Scoring System'!$B$11)+ (M1994*'Scoring System'!$B$12)+ (L1994*'Scoring System'!$B$13)+ (O1994*'Scoring System'!$B$14)+ (Q1994*'Scoring System'!$B$15)+ (R1994*'Scoring System'!$B$16)</f>
        <v>2</v>
      </c>
      <c r="AB1994" s="3" t="b">
        <f>IFERROR(match(C1994,'Match Day Fees'!$B$2:$B$999,0),0)=0</f>
        <v>0</v>
      </c>
      <c r="AC1994" s="3">
        <f t="shared" si="2"/>
        <v>0</v>
      </c>
      <c r="AD1994" s="3" t="str">
        <f>VLOOKUP(D1994,'Position Lookup'!A:B,2,FALSE)</f>
        <v>MID</v>
      </c>
    </row>
    <row r="1995" ht="17.25" customHeight="1">
      <c r="A1995" s="32">
        <v>45374.0</v>
      </c>
      <c r="B1995" s="5" t="s">
        <v>712</v>
      </c>
      <c r="C1995" s="5" t="s">
        <v>60</v>
      </c>
      <c r="D1995" s="3" t="s">
        <v>21</v>
      </c>
      <c r="E1995" s="5">
        <v>1.0</v>
      </c>
      <c r="F1995" s="84" t="s">
        <v>2084</v>
      </c>
      <c r="G1995" s="3" t="s">
        <v>230</v>
      </c>
      <c r="H1995" s="3">
        <v>1.0</v>
      </c>
      <c r="J1995" s="5">
        <v>2.0</v>
      </c>
      <c r="N1995" s="3" t="b">
        <v>0</v>
      </c>
      <c r="R1995" s="3">
        <v>1.0</v>
      </c>
      <c r="T1995" s="3">
        <v>0.0</v>
      </c>
      <c r="U1995" s="3">
        <v>8.5</v>
      </c>
      <c r="V1995" s="3" t="s">
        <v>2094</v>
      </c>
      <c r="W1995" s="3" t="s">
        <v>311</v>
      </c>
      <c r="X1995" s="77" t="s">
        <v>2086</v>
      </c>
      <c r="Y1995" s="3">
        <v>1.0</v>
      </c>
      <c r="Z1995" s="3">
        <v>2.0</v>
      </c>
      <c r="AA1995" s="3">
        <f>2+ (P1995*'Scoring System'!$B$3)+ (IF(OR(AD1995="DEF",AD1995="GK"),N1995*'Scoring System'!$B$4,IF(AD1995="MID",N1995*'Scoring System'!$B$5,0)))+ (IF(OR(AD1995="DEF",AD1995="GK"),H1995*'Scoring System'!$B$6,IF(AD1995="MID",H1995*'Scoring System'!$B$7,IF(AD1995="ATT",H1995*'Scoring System'!$B$8,0))))+ IF(AND(OR(AD1995="GK",AD1995="DEF"),J1995&gt;=3),1*'Scoring System'!$B$9,0)+ (I1995*'Scoring System'!$B$10)+ (K1995*'Scoring System'!$B$11)+ (M1995*'Scoring System'!$B$12)+ (L1995*'Scoring System'!$B$13)+ (O1995*'Scoring System'!$B$14)+ (Q1995*'Scoring System'!$B$15)+ (R1995*'Scoring System'!$B$16)</f>
        <v>12</v>
      </c>
      <c r="AB1995" s="3" t="b">
        <f>IFERROR(match(C1995,'Match Day Fees'!$B$2:$B$999,0),0)=0</f>
        <v>0</v>
      </c>
      <c r="AC1995" s="3">
        <f t="shared" si="2"/>
        <v>0</v>
      </c>
      <c r="AD1995" s="3" t="str">
        <f>VLOOKUP(D1995,'Position Lookup'!A:B,2,FALSE)</f>
        <v>MID</v>
      </c>
    </row>
    <row r="1996" ht="17.25" customHeight="1">
      <c r="A1996" s="32">
        <v>45374.0</v>
      </c>
      <c r="B1996" s="5" t="s">
        <v>712</v>
      </c>
      <c r="C1996" s="5" t="s">
        <v>47</v>
      </c>
      <c r="D1996" s="3" t="s">
        <v>24</v>
      </c>
      <c r="E1996" s="5">
        <v>1.0</v>
      </c>
      <c r="F1996" s="84" t="s">
        <v>2084</v>
      </c>
      <c r="G1996" s="3" t="s">
        <v>230</v>
      </c>
      <c r="J1996" s="5">
        <v>2.0</v>
      </c>
      <c r="N1996" s="3" t="b">
        <v>0</v>
      </c>
      <c r="R1996" s="5">
        <v>0.0</v>
      </c>
      <c r="T1996" s="3">
        <v>0.0</v>
      </c>
      <c r="U1996" s="3">
        <v>7.5</v>
      </c>
      <c r="V1996" s="3" t="s">
        <v>2095</v>
      </c>
      <c r="W1996" s="3" t="s">
        <v>311</v>
      </c>
      <c r="X1996" s="77" t="s">
        <v>2086</v>
      </c>
      <c r="Y1996" s="3">
        <v>1.0</v>
      </c>
      <c r="Z1996" s="3">
        <v>2.0</v>
      </c>
      <c r="AA1996" s="3">
        <f>2+ (P1996*'Scoring System'!$B$3)+ (IF(OR(AD1996="DEF",AD1996="GK"),N1996*'Scoring System'!$B$4,IF(AD1996="MID",N1996*'Scoring System'!$B$5,0)))+ (IF(OR(AD1996="DEF",AD1996="GK"),H1996*'Scoring System'!$B$6,IF(AD1996="MID",H1996*'Scoring System'!$B$7,IF(AD1996="ATT",H1996*'Scoring System'!$B$8,0))))+ IF(AND(OR(AD1996="GK",AD1996="DEF"),J1996&gt;=3),1*'Scoring System'!$B$9,0)+ (I1996*'Scoring System'!$B$10)+ (K1996*'Scoring System'!$B$11)+ (M1996*'Scoring System'!$B$12)+ (L1996*'Scoring System'!$B$13)+ (O1996*'Scoring System'!$B$14)+ (Q1996*'Scoring System'!$B$15)+ (R1996*'Scoring System'!$B$16)</f>
        <v>2</v>
      </c>
      <c r="AB1996" s="3" t="b">
        <f>IFERROR(match(C1996,'Match Day Fees'!$B$2:$B$999,0),0)=0</f>
        <v>0</v>
      </c>
      <c r="AC1996" s="3">
        <f t="shared" si="2"/>
        <v>0</v>
      </c>
      <c r="AD1996" s="3" t="str">
        <f>VLOOKUP(D1996,'Position Lookup'!A:B,2,FALSE)</f>
        <v>ATT</v>
      </c>
    </row>
    <row r="1997" ht="17.25" customHeight="1">
      <c r="A1997" s="32">
        <v>45374.0</v>
      </c>
      <c r="B1997" s="5" t="s">
        <v>712</v>
      </c>
      <c r="C1997" s="5" t="s">
        <v>62</v>
      </c>
      <c r="D1997" s="3" t="s">
        <v>24</v>
      </c>
      <c r="E1997" s="5">
        <v>1.0</v>
      </c>
      <c r="F1997" s="84" t="s">
        <v>2084</v>
      </c>
      <c r="G1997" s="3" t="s">
        <v>230</v>
      </c>
      <c r="J1997" s="5">
        <v>2.0</v>
      </c>
      <c r="N1997" s="3" t="b">
        <v>0</v>
      </c>
      <c r="R1997" s="5">
        <v>0.0</v>
      </c>
      <c r="T1997" s="3">
        <v>0.0</v>
      </c>
      <c r="U1997" s="3">
        <v>7.5</v>
      </c>
      <c r="V1997" s="3" t="s">
        <v>2096</v>
      </c>
      <c r="W1997" s="3" t="s">
        <v>311</v>
      </c>
      <c r="X1997" s="77" t="s">
        <v>2086</v>
      </c>
      <c r="Y1997" s="3">
        <v>1.0</v>
      </c>
      <c r="Z1997" s="3">
        <v>2.0</v>
      </c>
      <c r="AA1997" s="3">
        <f>2+ (P1997*'Scoring System'!$B$3)+ (IF(OR(AD1997="DEF",AD1997="GK"),N1997*'Scoring System'!$B$4,IF(AD1997="MID",N1997*'Scoring System'!$B$5,0)))+ (IF(OR(AD1997="DEF",AD1997="GK"),H1997*'Scoring System'!$B$6,IF(AD1997="MID",H1997*'Scoring System'!$B$7,IF(AD1997="ATT",H1997*'Scoring System'!$B$8,0))))+ IF(AND(OR(AD1997="GK",AD1997="DEF"),J1997&gt;=3),1*'Scoring System'!$B$9,0)+ (I1997*'Scoring System'!$B$10)+ (K1997*'Scoring System'!$B$11)+ (M1997*'Scoring System'!$B$12)+ (L1997*'Scoring System'!$B$13)+ (O1997*'Scoring System'!$B$14)+ (Q1997*'Scoring System'!$B$15)+ (R1997*'Scoring System'!$B$16)</f>
        <v>2</v>
      </c>
      <c r="AB1997" s="3" t="b">
        <f>IFERROR(match(C1997,'Match Day Fees'!$B$2:$B$999,0),0)=0</f>
        <v>0</v>
      </c>
      <c r="AC1997" s="3">
        <f t="shared" si="2"/>
        <v>0</v>
      </c>
      <c r="AD1997" s="3" t="str">
        <f>VLOOKUP(D1997,'Position Lookup'!A:B,2,FALSE)</f>
        <v>ATT</v>
      </c>
    </row>
    <row r="1998" ht="17.25" customHeight="1">
      <c r="A1998" s="32">
        <v>45374.0</v>
      </c>
      <c r="B1998" s="5" t="s">
        <v>712</v>
      </c>
      <c r="C1998" s="5" t="s">
        <v>272</v>
      </c>
      <c r="D1998" s="3" t="s">
        <v>20</v>
      </c>
      <c r="E1998" s="5">
        <v>1.0</v>
      </c>
      <c r="F1998" s="84" t="s">
        <v>2084</v>
      </c>
      <c r="G1998" s="3" t="s">
        <v>230</v>
      </c>
      <c r="J1998" s="5">
        <v>2.0</v>
      </c>
      <c r="N1998" s="3" t="b">
        <v>0</v>
      </c>
      <c r="R1998" s="5">
        <v>0.0</v>
      </c>
      <c r="T1998" s="3">
        <v>0.0</v>
      </c>
      <c r="U1998" s="3">
        <v>6.0</v>
      </c>
      <c r="V1998" s="3" t="s">
        <v>2097</v>
      </c>
      <c r="W1998" s="3" t="s">
        <v>311</v>
      </c>
      <c r="X1998" s="77" t="s">
        <v>2086</v>
      </c>
      <c r="Y1998" s="3">
        <v>1.0</v>
      </c>
      <c r="Z1998" s="3">
        <v>2.0</v>
      </c>
      <c r="AA1998" s="3">
        <f>2+ (P1998*'Scoring System'!$B$3)+ (IF(OR(AD1998="DEF",AD1998="GK"),N1998*'Scoring System'!$B$4,IF(AD1998="MID",N1998*'Scoring System'!$B$5,0)))+ (IF(OR(AD1998="DEF",AD1998="GK"),H1998*'Scoring System'!$B$6,IF(AD1998="MID",H1998*'Scoring System'!$B$7,IF(AD1998="ATT",H1998*'Scoring System'!$B$8,0))))+ IF(AND(OR(AD1998="GK",AD1998="DEF"),J1998&gt;=3),1*'Scoring System'!$B$9,0)+ (I1998*'Scoring System'!$B$10)+ (K1998*'Scoring System'!$B$11)+ (M1998*'Scoring System'!$B$12)+ (L1998*'Scoring System'!$B$13)+ (O1998*'Scoring System'!$B$14)+ (Q1998*'Scoring System'!$B$15)+ (R1998*'Scoring System'!$B$16)</f>
        <v>2</v>
      </c>
      <c r="AB1998" s="3" t="b">
        <f>IFERROR(match(C1998,'Match Day Fees'!$B$2:$B$999,0),0)=0</f>
        <v>0</v>
      </c>
      <c r="AC1998" s="3">
        <f t="shared" si="2"/>
        <v>0</v>
      </c>
      <c r="AD1998" s="3" t="str">
        <f>VLOOKUP(D1998,'Position Lookup'!A:B,2,FALSE)</f>
        <v>MID</v>
      </c>
    </row>
    <row r="1999" ht="17.25" customHeight="1">
      <c r="A1999" s="32">
        <v>45374.0</v>
      </c>
      <c r="B1999" s="5" t="s">
        <v>712</v>
      </c>
      <c r="C1999" s="5" t="s">
        <v>110</v>
      </c>
      <c r="D1999" s="3" t="s">
        <v>22</v>
      </c>
      <c r="E1999" s="5">
        <v>1.0</v>
      </c>
      <c r="F1999" s="84" t="s">
        <v>2084</v>
      </c>
      <c r="G1999" s="3" t="s">
        <v>230</v>
      </c>
      <c r="J1999" s="5">
        <v>2.0</v>
      </c>
      <c r="N1999" s="3" t="b">
        <v>0</v>
      </c>
      <c r="R1999" s="5">
        <v>0.0</v>
      </c>
      <c r="T1999" s="3">
        <v>0.0</v>
      </c>
      <c r="U1999" s="3">
        <v>5.0</v>
      </c>
      <c r="V1999" s="3" t="s">
        <v>2098</v>
      </c>
      <c r="W1999" s="3" t="s">
        <v>311</v>
      </c>
      <c r="X1999" s="77" t="s">
        <v>2086</v>
      </c>
      <c r="Y1999" s="3">
        <v>1.0</v>
      </c>
      <c r="Z1999" s="3">
        <v>2.0</v>
      </c>
      <c r="AA1999" s="3">
        <f>2+ (P1999*'Scoring System'!$B$3)+ (IF(OR(AD1999="DEF",AD1999="GK"),N1999*'Scoring System'!$B$4,IF(AD1999="MID",N1999*'Scoring System'!$B$5,0)))+ (IF(OR(AD1999="DEF",AD1999="GK"),H1999*'Scoring System'!$B$6,IF(AD1999="MID",H1999*'Scoring System'!$B$7,IF(AD1999="ATT",H1999*'Scoring System'!$B$8,0))))+ IF(AND(OR(AD1999="GK",AD1999="DEF"),J1999&gt;=3),1*'Scoring System'!$B$9,0)+ (I1999*'Scoring System'!$B$10)+ (K1999*'Scoring System'!$B$11)+ (M1999*'Scoring System'!$B$12)+ (L1999*'Scoring System'!$B$13)+ (O1999*'Scoring System'!$B$14)+ (Q1999*'Scoring System'!$B$15)+ (R1999*'Scoring System'!$B$16)</f>
        <v>2</v>
      </c>
      <c r="AB1999" s="3" t="b">
        <f>IFERROR(match(C1999,'Match Day Fees'!$B$2:$B$999,0),0)=0</f>
        <v>0</v>
      </c>
      <c r="AC1999" s="3">
        <f t="shared" si="2"/>
        <v>0</v>
      </c>
      <c r="AD1999" s="3" t="str">
        <f>VLOOKUP(D1999,'Position Lookup'!A:B,2,FALSE)</f>
        <v>ATT</v>
      </c>
    </row>
    <row r="2000" ht="17.25" customHeight="1">
      <c r="A2000" s="32">
        <v>45374.0</v>
      </c>
      <c r="B2000" s="5" t="s">
        <v>712</v>
      </c>
      <c r="C2000" s="5" t="s">
        <v>57</v>
      </c>
      <c r="D2000" s="3" t="s">
        <v>17</v>
      </c>
      <c r="E2000" s="5">
        <v>1.0</v>
      </c>
      <c r="F2000" s="84" t="s">
        <v>2084</v>
      </c>
      <c r="G2000" s="3" t="s">
        <v>230</v>
      </c>
      <c r="J2000" s="5">
        <v>2.0</v>
      </c>
      <c r="K2000" s="5">
        <v>1.0</v>
      </c>
      <c r="N2000" s="3" t="b">
        <v>0</v>
      </c>
      <c r="R2000" s="5">
        <v>0.0</v>
      </c>
      <c r="T2000" s="3">
        <v>0.0</v>
      </c>
      <c r="U2000" s="3">
        <v>8.0</v>
      </c>
      <c r="V2000" s="3" t="s">
        <v>2099</v>
      </c>
      <c r="W2000" s="3" t="s">
        <v>311</v>
      </c>
      <c r="X2000" s="77" t="s">
        <v>2086</v>
      </c>
      <c r="Y2000" s="3">
        <v>1.0</v>
      </c>
      <c r="Z2000" s="3">
        <v>2.0</v>
      </c>
      <c r="AA2000" s="3">
        <f>2+ (P2000*'Scoring System'!$B$3)+ (IF(OR(AD2000="DEF",AD2000="GK"),N2000*'Scoring System'!$B$4,IF(AD2000="MID",N2000*'Scoring System'!$B$5,0)))+ (IF(OR(AD2000="DEF",AD2000="GK"),H2000*'Scoring System'!$B$6,IF(AD2000="MID",H2000*'Scoring System'!$B$7,IF(AD2000="ATT",H2000*'Scoring System'!$B$8,0))))+ IF(AND(OR(AD2000="GK",AD2000="DEF"),J2000&gt;=3),1*'Scoring System'!$B$9,0)+ (I2000*'Scoring System'!$B$10)+ (K2000*'Scoring System'!$B$11)+ (M2000*'Scoring System'!$B$12)+ (L2000*'Scoring System'!$B$13)+ (O2000*'Scoring System'!$B$14)+ (Q2000*'Scoring System'!$B$15)+ (R2000*'Scoring System'!$B$16)</f>
        <v>1</v>
      </c>
      <c r="AB2000" s="3" t="b">
        <f>IFERROR(match(C2000,'Match Day Fees'!$B$2:$B$999,0),0)=0</f>
        <v>0</v>
      </c>
      <c r="AC2000" s="3">
        <f t="shared" si="2"/>
        <v>0</v>
      </c>
      <c r="AD2000" s="3" t="str">
        <f>VLOOKUP(D2000,'Position Lookup'!A:B,2,FALSE)</f>
        <v>DEF</v>
      </c>
    </row>
    <row r="2001" ht="17.25" customHeight="1">
      <c r="A2001" s="32">
        <v>45374.0</v>
      </c>
      <c r="B2001" s="5" t="s">
        <v>309</v>
      </c>
      <c r="C2001" s="3" t="s">
        <v>108</v>
      </c>
      <c r="D2001" s="3" t="s">
        <v>8</v>
      </c>
      <c r="E2001" s="5">
        <v>4.0</v>
      </c>
      <c r="F2001" s="3" t="s">
        <v>544</v>
      </c>
      <c r="G2001" s="3" t="s">
        <v>224</v>
      </c>
      <c r="J2001" s="5">
        <v>4.0</v>
      </c>
      <c r="N2001" s="3" t="b">
        <v>0</v>
      </c>
      <c r="R2001" s="3">
        <v>0.0</v>
      </c>
      <c r="T2001" s="3">
        <v>0.0</v>
      </c>
      <c r="U2001" s="3">
        <v>7.0</v>
      </c>
      <c r="V2001" s="3" t="s">
        <v>2100</v>
      </c>
      <c r="W2001" s="3" t="s">
        <v>730</v>
      </c>
      <c r="X2001" s="77" t="s">
        <v>2101</v>
      </c>
      <c r="Y2001" s="3">
        <v>5.0</v>
      </c>
      <c r="Z2001" s="3">
        <v>4.0</v>
      </c>
      <c r="AA2001" s="3">
        <f>2+ (P2001*'Scoring System'!$B$3)+ (IF(OR(AD2001="DEF",AD2001="GK"),N2001*'Scoring System'!$B$4,IF(AD2001="MID",N2001*'Scoring System'!$B$5,0)))+ (IF(OR(AD2001="DEF",AD2001="GK"),H2001*'Scoring System'!$B$6,IF(AD2001="MID",H2001*'Scoring System'!$B$7,IF(AD2001="ATT",H2001*'Scoring System'!$B$8,0))))+ IF(AND(OR(AD2001="GK",AD2001="DEF"),J2001&gt;=3),1*'Scoring System'!$B$9,0)+ (I2001*'Scoring System'!$B$10)+ (K2001*'Scoring System'!$B$11)+ (M2001*'Scoring System'!$B$12)+ (L2001*'Scoring System'!$B$13)+ (O2001*'Scoring System'!$B$14)+ (Q2001*'Scoring System'!$B$15)+ (R2001*'Scoring System'!$B$16)</f>
        <v>1</v>
      </c>
      <c r="AB2001" s="3" t="b">
        <f>IFERROR(match(C2001,'Match Day Fees'!$B$2:$B$999,0),0)=0</f>
        <v>0</v>
      </c>
      <c r="AC2001" s="3">
        <f t="shared" si="2"/>
        <v>0</v>
      </c>
      <c r="AD2001" s="3" t="str">
        <f>VLOOKUP(D2001,'Position Lookup'!A:B,2,FALSE)</f>
        <v>GK</v>
      </c>
    </row>
    <row r="2002" ht="17.25" customHeight="1">
      <c r="A2002" s="32">
        <v>45374.0</v>
      </c>
      <c r="B2002" s="5" t="s">
        <v>309</v>
      </c>
      <c r="C2002" s="3" t="s">
        <v>307</v>
      </c>
      <c r="D2002" s="3" t="s">
        <v>14</v>
      </c>
      <c r="E2002" s="5">
        <v>4.0</v>
      </c>
      <c r="F2002" s="3" t="s">
        <v>544</v>
      </c>
      <c r="G2002" s="3" t="s">
        <v>224</v>
      </c>
      <c r="J2002" s="5">
        <v>4.0</v>
      </c>
      <c r="K2002" s="5">
        <v>1.0</v>
      </c>
      <c r="N2002" s="3" t="b">
        <v>0</v>
      </c>
      <c r="R2002" s="3">
        <v>0.0</v>
      </c>
      <c r="T2002" s="3">
        <v>10.0</v>
      </c>
      <c r="U2002" s="3">
        <v>7.0</v>
      </c>
      <c r="V2002" s="3" t="s">
        <v>2102</v>
      </c>
      <c r="W2002" s="3" t="s">
        <v>730</v>
      </c>
      <c r="X2002" s="77" t="s">
        <v>2101</v>
      </c>
      <c r="Y2002" s="3">
        <v>5.0</v>
      </c>
      <c r="Z2002" s="3">
        <v>4.0</v>
      </c>
      <c r="AA2002" s="3">
        <f>2+ (P2002*'Scoring System'!$B$3)+ (IF(OR(AD2002="DEF",AD2002="GK"),N2002*'Scoring System'!$B$4,IF(AD2002="MID",N2002*'Scoring System'!$B$5,0)))+ (IF(OR(AD2002="DEF",AD2002="GK"),H2002*'Scoring System'!$B$6,IF(AD2002="MID",H2002*'Scoring System'!$B$7,IF(AD2002="ATT",H2002*'Scoring System'!$B$8,0))))+ IF(AND(OR(AD2002="GK",AD2002="DEF"),J2002&gt;=3),1*'Scoring System'!$B$9,0)+ (I2002*'Scoring System'!$B$10)+ (K2002*'Scoring System'!$B$11)+ (M2002*'Scoring System'!$B$12)+ (L2002*'Scoring System'!$B$13)+ (O2002*'Scoring System'!$B$14)+ (Q2002*'Scoring System'!$B$15)+ (R2002*'Scoring System'!$B$16)</f>
        <v>0</v>
      </c>
      <c r="AB2002" s="3" t="b">
        <f>IFERROR(match(C2002,'Match Day Fees'!$B$2:$B$999,0),0)=0</f>
        <v>0</v>
      </c>
      <c r="AC2002" s="3">
        <f t="shared" si="2"/>
        <v>0</v>
      </c>
      <c r="AD2002" s="3" t="str">
        <f>VLOOKUP(D2002,'Position Lookup'!A:B,2,FALSE)</f>
        <v>DEF</v>
      </c>
    </row>
    <row r="2003" ht="17.25" customHeight="1">
      <c r="A2003" s="32">
        <v>45374.0</v>
      </c>
      <c r="B2003" s="5" t="s">
        <v>309</v>
      </c>
      <c r="C2003" s="3" t="s">
        <v>125</v>
      </c>
      <c r="D2003" s="3" t="s">
        <v>14</v>
      </c>
      <c r="E2003" s="5">
        <v>4.0</v>
      </c>
      <c r="F2003" s="3" t="s">
        <v>544</v>
      </c>
      <c r="G2003" s="3" t="s">
        <v>224</v>
      </c>
      <c r="I2003" s="3">
        <v>1.0</v>
      </c>
      <c r="J2003" s="5">
        <v>4.0</v>
      </c>
      <c r="N2003" s="3" t="b">
        <v>0</v>
      </c>
      <c r="R2003" s="3">
        <v>0.0</v>
      </c>
      <c r="T2003" s="3">
        <v>10.0</v>
      </c>
      <c r="U2003" s="3">
        <v>7.0</v>
      </c>
      <c r="V2003" s="3" t="s">
        <v>2103</v>
      </c>
      <c r="W2003" s="3" t="s">
        <v>730</v>
      </c>
      <c r="X2003" s="77" t="s">
        <v>2101</v>
      </c>
      <c r="Y2003" s="3">
        <v>5.0</v>
      </c>
      <c r="Z2003" s="3">
        <v>4.0</v>
      </c>
      <c r="AA2003" s="3">
        <f>2+ (P2003*'Scoring System'!$B$3)+ (IF(OR(AD2003="DEF",AD2003="GK"),N2003*'Scoring System'!$B$4,IF(AD2003="MID",N2003*'Scoring System'!$B$5,0)))+ (IF(OR(AD2003="DEF",AD2003="GK"),H2003*'Scoring System'!$B$6,IF(AD2003="MID",H2003*'Scoring System'!$B$7,IF(AD2003="ATT",H2003*'Scoring System'!$B$8,0))))+ IF(AND(OR(AD2003="GK",AD2003="DEF"),J2003&gt;=3),1*'Scoring System'!$B$9,0)+ (I2003*'Scoring System'!$B$10)+ (K2003*'Scoring System'!$B$11)+ (M2003*'Scoring System'!$B$12)+ (L2003*'Scoring System'!$B$13)+ (O2003*'Scoring System'!$B$14)+ (Q2003*'Scoring System'!$B$15)+ (R2003*'Scoring System'!$B$16)</f>
        <v>4</v>
      </c>
      <c r="AB2003" s="3" t="b">
        <f>IFERROR(match(C2003,'Match Day Fees'!$B$2:$B$999,0),0)=0</f>
        <v>0</v>
      </c>
      <c r="AC2003" s="3">
        <f t="shared" si="2"/>
        <v>0</v>
      </c>
      <c r="AD2003" s="3" t="str">
        <f>VLOOKUP(D2003,'Position Lookup'!A:B,2,FALSE)</f>
        <v>DEF</v>
      </c>
    </row>
    <row r="2004" ht="17.25" customHeight="1">
      <c r="A2004" s="32">
        <v>45374.0</v>
      </c>
      <c r="B2004" s="5" t="s">
        <v>309</v>
      </c>
      <c r="C2004" s="3" t="s">
        <v>54</v>
      </c>
      <c r="D2004" s="3" t="s">
        <v>16</v>
      </c>
      <c r="E2004" s="5">
        <v>4.0</v>
      </c>
      <c r="F2004" s="3" t="s">
        <v>544</v>
      </c>
      <c r="G2004" s="3" t="s">
        <v>224</v>
      </c>
      <c r="J2004" s="5">
        <v>4.0</v>
      </c>
      <c r="N2004" s="3" t="b">
        <v>0</v>
      </c>
      <c r="R2004" s="3">
        <v>0.0</v>
      </c>
      <c r="T2004" s="3">
        <v>10.0</v>
      </c>
      <c r="U2004" s="3">
        <v>7.0</v>
      </c>
      <c r="V2004" s="3" t="s">
        <v>2104</v>
      </c>
      <c r="W2004" s="3" t="s">
        <v>730</v>
      </c>
      <c r="X2004" s="77" t="s">
        <v>2101</v>
      </c>
      <c r="Y2004" s="3">
        <v>5.0</v>
      </c>
      <c r="Z2004" s="3">
        <v>4.0</v>
      </c>
      <c r="AA2004" s="3">
        <f>2+ (P2004*'Scoring System'!$B$3)+ (IF(OR(AD2004="DEF",AD2004="GK"),N2004*'Scoring System'!$B$4,IF(AD2004="MID",N2004*'Scoring System'!$B$5,0)))+ (IF(OR(AD2004="DEF",AD2004="GK"),H2004*'Scoring System'!$B$6,IF(AD2004="MID",H2004*'Scoring System'!$B$7,IF(AD2004="ATT",H2004*'Scoring System'!$B$8,0))))+ IF(AND(OR(AD2004="GK",AD2004="DEF"),J2004&gt;=3),1*'Scoring System'!$B$9,0)+ (I2004*'Scoring System'!$B$10)+ (K2004*'Scoring System'!$B$11)+ (M2004*'Scoring System'!$B$12)+ (L2004*'Scoring System'!$B$13)+ (O2004*'Scoring System'!$B$14)+ (Q2004*'Scoring System'!$B$15)+ (R2004*'Scoring System'!$B$16)</f>
        <v>1</v>
      </c>
      <c r="AB2004" s="3" t="b">
        <f>IFERROR(match(C2004,'Match Day Fees'!$B$2:$B$999,0),0)=0</f>
        <v>0</v>
      </c>
      <c r="AC2004" s="3">
        <f t="shared" si="2"/>
        <v>0</v>
      </c>
      <c r="AD2004" s="3" t="str">
        <f>VLOOKUP(D2004,'Position Lookup'!A:B,2,FALSE)</f>
        <v>DEF</v>
      </c>
    </row>
    <row r="2005" ht="17.25" customHeight="1">
      <c r="A2005" s="32">
        <v>45374.0</v>
      </c>
      <c r="B2005" s="5" t="s">
        <v>309</v>
      </c>
      <c r="C2005" s="3" t="s">
        <v>144</v>
      </c>
      <c r="D2005" s="3" t="s">
        <v>12</v>
      </c>
      <c r="E2005" s="5">
        <v>4.0</v>
      </c>
      <c r="F2005" s="3" t="s">
        <v>544</v>
      </c>
      <c r="G2005" s="3" t="s">
        <v>224</v>
      </c>
      <c r="I2005" s="3">
        <v>1.0</v>
      </c>
      <c r="J2005" s="5">
        <v>4.0</v>
      </c>
      <c r="N2005" s="3" t="b">
        <v>0</v>
      </c>
      <c r="R2005" s="3">
        <v>0.0</v>
      </c>
      <c r="T2005" s="3">
        <v>10.0</v>
      </c>
      <c r="U2005" s="3">
        <v>7.0</v>
      </c>
      <c r="V2005" s="3" t="s">
        <v>2105</v>
      </c>
      <c r="W2005" s="3" t="s">
        <v>730</v>
      </c>
      <c r="X2005" s="77" t="s">
        <v>2101</v>
      </c>
      <c r="Y2005" s="3">
        <v>5.0</v>
      </c>
      <c r="Z2005" s="3">
        <v>4.0</v>
      </c>
      <c r="AA2005" s="3">
        <f>2+ (P2005*'Scoring System'!$B$3)+ (IF(OR(AD2005="DEF",AD2005="GK"),N2005*'Scoring System'!$B$4,IF(AD2005="MID",N2005*'Scoring System'!$B$5,0)))+ (IF(OR(AD2005="DEF",AD2005="GK"),H2005*'Scoring System'!$B$6,IF(AD2005="MID",H2005*'Scoring System'!$B$7,IF(AD2005="ATT",H2005*'Scoring System'!$B$8,0))))+ IF(AND(OR(AD2005="GK",AD2005="DEF"),J2005&gt;=3),1*'Scoring System'!$B$9,0)+ (I2005*'Scoring System'!$B$10)+ (K2005*'Scoring System'!$B$11)+ (M2005*'Scoring System'!$B$12)+ (L2005*'Scoring System'!$B$13)+ (O2005*'Scoring System'!$B$14)+ (Q2005*'Scoring System'!$B$15)+ (R2005*'Scoring System'!$B$16)</f>
        <v>4</v>
      </c>
      <c r="AB2005" s="3" t="b">
        <f>IFERROR(match(C2005,'Match Day Fees'!$B$2:$B$999,0),0)=0</f>
        <v>0</v>
      </c>
      <c r="AC2005" s="3">
        <f t="shared" si="2"/>
        <v>0</v>
      </c>
      <c r="AD2005" s="3" t="str">
        <f>VLOOKUP(D2005,'Position Lookup'!A:B,2,FALSE)</f>
        <v>DEF</v>
      </c>
    </row>
    <row r="2006" ht="17.25" customHeight="1">
      <c r="A2006" s="32">
        <v>45374.0</v>
      </c>
      <c r="B2006" s="5" t="s">
        <v>309</v>
      </c>
      <c r="C2006" s="3" t="s">
        <v>44</v>
      </c>
      <c r="D2006" s="3" t="s">
        <v>19</v>
      </c>
      <c r="E2006" s="5">
        <v>4.0</v>
      </c>
      <c r="F2006" s="3" t="s">
        <v>544</v>
      </c>
      <c r="G2006" s="3" t="s">
        <v>224</v>
      </c>
      <c r="H2006" s="3">
        <v>1.0</v>
      </c>
      <c r="J2006" s="5">
        <v>4.0</v>
      </c>
      <c r="N2006" s="3" t="b">
        <v>0</v>
      </c>
      <c r="R2006" s="3">
        <v>0.0</v>
      </c>
      <c r="T2006" s="3">
        <v>5.0</v>
      </c>
      <c r="U2006" s="3">
        <v>7.5</v>
      </c>
      <c r="V2006" s="3" t="s">
        <v>2106</v>
      </c>
      <c r="W2006" s="3" t="s">
        <v>730</v>
      </c>
      <c r="X2006" s="77" t="s">
        <v>2101</v>
      </c>
      <c r="Y2006" s="3">
        <v>5.0</v>
      </c>
      <c r="Z2006" s="3">
        <v>4.0</v>
      </c>
      <c r="AA2006" s="3">
        <f>2+ (P2006*'Scoring System'!$B$3)+ (IF(OR(AD2006="DEF",AD2006="GK"),N2006*'Scoring System'!$B$4,IF(AD2006="MID",N2006*'Scoring System'!$B$5,0)))+ (IF(OR(AD2006="DEF",AD2006="GK"),H2006*'Scoring System'!$B$6,IF(AD2006="MID",H2006*'Scoring System'!$B$7,IF(AD2006="ATT",H2006*'Scoring System'!$B$8,0))))+ IF(AND(OR(AD2006="GK",AD2006="DEF"),J2006&gt;=3),1*'Scoring System'!$B$9,0)+ (I2006*'Scoring System'!$B$10)+ (K2006*'Scoring System'!$B$11)+ (M2006*'Scoring System'!$B$12)+ (L2006*'Scoring System'!$B$13)+ (O2006*'Scoring System'!$B$14)+ (Q2006*'Scoring System'!$B$15)+ (R2006*'Scoring System'!$B$16)</f>
        <v>7</v>
      </c>
      <c r="AB2006" s="3" t="b">
        <f>IFERROR(match(C2006,'Match Day Fees'!$B$2:$B$999,0),0)=0</f>
        <v>0</v>
      </c>
      <c r="AC2006" s="3">
        <f t="shared" si="2"/>
        <v>0</v>
      </c>
      <c r="AD2006" s="3" t="str">
        <f>VLOOKUP(D2006,'Position Lookup'!A:B,2,FALSE)</f>
        <v>MID</v>
      </c>
    </row>
    <row r="2007" ht="17.25" customHeight="1">
      <c r="A2007" s="32">
        <v>45374.0</v>
      </c>
      <c r="B2007" s="5" t="s">
        <v>309</v>
      </c>
      <c r="C2007" s="3" t="s">
        <v>1253</v>
      </c>
      <c r="D2007" s="3" t="s">
        <v>19</v>
      </c>
      <c r="E2007" s="5">
        <v>4.0</v>
      </c>
      <c r="F2007" s="3" t="s">
        <v>544</v>
      </c>
      <c r="G2007" s="3" t="s">
        <v>224</v>
      </c>
      <c r="I2007" s="3">
        <v>1.0</v>
      </c>
      <c r="J2007" s="5">
        <v>4.0</v>
      </c>
      <c r="N2007" s="3" t="b">
        <v>0</v>
      </c>
      <c r="R2007" s="3">
        <v>0.0</v>
      </c>
      <c r="T2007" s="3">
        <v>5.0</v>
      </c>
      <c r="U2007" s="3">
        <v>7.0</v>
      </c>
      <c r="V2007" s="3" t="s">
        <v>2107</v>
      </c>
      <c r="W2007" s="3" t="s">
        <v>730</v>
      </c>
      <c r="X2007" s="77" t="s">
        <v>2101</v>
      </c>
      <c r="Y2007" s="3">
        <v>5.0</v>
      </c>
      <c r="Z2007" s="3">
        <v>4.0</v>
      </c>
      <c r="AA2007" s="3">
        <f>2+ (P2007*'Scoring System'!$B$3)+ (IF(OR(AD2007="DEF",AD2007="GK"),N2007*'Scoring System'!$B$4,IF(AD2007="MID",N2007*'Scoring System'!$B$5,0)))+ (IF(OR(AD2007="DEF",AD2007="GK"),H2007*'Scoring System'!$B$6,IF(AD2007="MID",H2007*'Scoring System'!$B$7,IF(AD2007="ATT",H2007*'Scoring System'!$B$8,0))))+ IF(AND(OR(AD2007="GK",AD2007="DEF"),J2007&gt;=3),1*'Scoring System'!$B$9,0)+ (I2007*'Scoring System'!$B$10)+ (K2007*'Scoring System'!$B$11)+ (M2007*'Scoring System'!$B$12)+ (L2007*'Scoring System'!$B$13)+ (O2007*'Scoring System'!$B$14)+ (Q2007*'Scoring System'!$B$15)+ (R2007*'Scoring System'!$B$16)</f>
        <v>5</v>
      </c>
      <c r="AB2007" s="3" t="b">
        <f>IFERROR(match(C2007,'Match Day Fees'!$B$2:$B$999,0),0)=0</f>
        <v>0</v>
      </c>
      <c r="AC2007" s="3">
        <f t="shared" si="2"/>
        <v>0</v>
      </c>
      <c r="AD2007" s="3" t="str">
        <f>VLOOKUP(D2007,'Position Lookup'!A:B,2,FALSE)</f>
        <v>MID</v>
      </c>
    </row>
    <row r="2008" ht="17.25" customHeight="1">
      <c r="A2008" s="32">
        <v>45374.0</v>
      </c>
      <c r="B2008" s="5" t="s">
        <v>309</v>
      </c>
      <c r="C2008" s="3" t="s">
        <v>136</v>
      </c>
      <c r="D2008" s="3" t="s">
        <v>20</v>
      </c>
      <c r="E2008" s="5">
        <v>4.0</v>
      </c>
      <c r="F2008" s="3" t="s">
        <v>544</v>
      </c>
      <c r="G2008" s="3" t="s">
        <v>224</v>
      </c>
      <c r="J2008" s="5">
        <v>4.0</v>
      </c>
      <c r="N2008" s="3" t="b">
        <v>0</v>
      </c>
      <c r="R2008" s="3">
        <v>0.0</v>
      </c>
      <c r="S2008" s="3" t="b">
        <v>1</v>
      </c>
      <c r="T2008" s="3">
        <v>0.0</v>
      </c>
      <c r="U2008" s="3">
        <v>7.0</v>
      </c>
      <c r="V2008" s="3" t="s">
        <v>2108</v>
      </c>
      <c r="W2008" s="3" t="s">
        <v>730</v>
      </c>
      <c r="X2008" s="77" t="s">
        <v>2101</v>
      </c>
      <c r="Y2008" s="3">
        <v>5.0</v>
      </c>
      <c r="Z2008" s="3">
        <v>4.0</v>
      </c>
      <c r="AA2008" s="3">
        <f>2+ (P2008*'Scoring System'!$B$3)+ (IF(OR(AD2008="DEF",AD2008="GK"),N2008*'Scoring System'!$B$4,IF(AD2008="MID",N2008*'Scoring System'!$B$5,0)))+ (IF(OR(AD2008="DEF",AD2008="GK"),H2008*'Scoring System'!$B$6,IF(AD2008="MID",H2008*'Scoring System'!$B$7,IF(AD2008="ATT",H2008*'Scoring System'!$B$8,0))))+ IF(AND(OR(AD2008="GK",AD2008="DEF"),J2008&gt;=3),1*'Scoring System'!$B$9,0)+ (I2008*'Scoring System'!$B$10)+ (K2008*'Scoring System'!$B$11)+ (M2008*'Scoring System'!$B$12)+ (L2008*'Scoring System'!$B$13)+ (O2008*'Scoring System'!$B$14)+ (Q2008*'Scoring System'!$B$15)+ (R2008*'Scoring System'!$B$16)</f>
        <v>2</v>
      </c>
      <c r="AB2008" s="3" t="b">
        <f>IFERROR(match(C2008,'Match Day Fees'!$B$2:$B$999,0),0)=0</f>
        <v>0</v>
      </c>
      <c r="AC2008" s="3">
        <f t="shared" si="2"/>
        <v>0</v>
      </c>
      <c r="AD2008" s="3" t="str">
        <f>VLOOKUP(D2008,'Position Lookup'!A:B,2,FALSE)</f>
        <v>MID</v>
      </c>
    </row>
    <row r="2009" ht="17.25" customHeight="1">
      <c r="A2009" s="32">
        <v>45374.0</v>
      </c>
      <c r="B2009" s="5" t="s">
        <v>309</v>
      </c>
      <c r="C2009" s="3" t="s">
        <v>45</v>
      </c>
      <c r="D2009" s="3" t="s">
        <v>22</v>
      </c>
      <c r="E2009" s="5">
        <v>4.0</v>
      </c>
      <c r="F2009" s="3" t="s">
        <v>544</v>
      </c>
      <c r="G2009" s="3" t="s">
        <v>224</v>
      </c>
      <c r="J2009" s="5">
        <v>4.0</v>
      </c>
      <c r="N2009" s="3" t="b">
        <v>0</v>
      </c>
      <c r="R2009" s="3">
        <v>0.0</v>
      </c>
      <c r="T2009" s="3">
        <v>10.0</v>
      </c>
      <c r="U2009" s="3">
        <v>7.0</v>
      </c>
      <c r="V2009" s="3" t="s">
        <v>2109</v>
      </c>
      <c r="W2009" s="3" t="s">
        <v>730</v>
      </c>
      <c r="X2009" s="77" t="s">
        <v>2101</v>
      </c>
      <c r="Y2009" s="3">
        <v>5.0</v>
      </c>
      <c r="Z2009" s="3">
        <v>4.0</v>
      </c>
      <c r="AA2009" s="3">
        <f>2+ (P2009*'Scoring System'!$B$3)+ (IF(OR(AD2009="DEF",AD2009="GK"),N2009*'Scoring System'!$B$4,IF(AD2009="MID",N2009*'Scoring System'!$B$5,0)))+ (IF(OR(AD2009="DEF",AD2009="GK"),H2009*'Scoring System'!$B$6,IF(AD2009="MID",H2009*'Scoring System'!$B$7,IF(AD2009="ATT",H2009*'Scoring System'!$B$8,0))))+ IF(AND(OR(AD2009="GK",AD2009="DEF"),J2009&gt;=3),1*'Scoring System'!$B$9,0)+ (I2009*'Scoring System'!$B$10)+ (K2009*'Scoring System'!$B$11)+ (M2009*'Scoring System'!$B$12)+ (L2009*'Scoring System'!$B$13)+ (O2009*'Scoring System'!$B$14)+ (Q2009*'Scoring System'!$B$15)+ (R2009*'Scoring System'!$B$16)</f>
        <v>2</v>
      </c>
      <c r="AB2009" s="3" t="b">
        <f>IFERROR(match(C2009,'Match Day Fees'!$B$2:$B$999,0),0)=0</f>
        <v>0</v>
      </c>
      <c r="AC2009" s="3">
        <f t="shared" si="2"/>
        <v>0</v>
      </c>
      <c r="AD2009" s="3" t="str">
        <f>VLOOKUP(D2009,'Position Lookup'!A:B,2,FALSE)</f>
        <v>ATT</v>
      </c>
    </row>
    <row r="2010" ht="17.25" customHeight="1">
      <c r="A2010" s="32">
        <v>45374.0</v>
      </c>
      <c r="B2010" s="5" t="s">
        <v>309</v>
      </c>
      <c r="C2010" s="3" t="s">
        <v>109</v>
      </c>
      <c r="D2010" s="3" t="s">
        <v>24</v>
      </c>
      <c r="E2010" s="5">
        <v>4.0</v>
      </c>
      <c r="F2010" s="3" t="s">
        <v>544</v>
      </c>
      <c r="G2010" s="3" t="s">
        <v>224</v>
      </c>
      <c r="H2010" s="3">
        <v>3.0</v>
      </c>
      <c r="J2010" s="5">
        <v>4.0</v>
      </c>
      <c r="N2010" s="3" t="b">
        <v>0</v>
      </c>
      <c r="R2010" s="3">
        <v>1.0</v>
      </c>
      <c r="T2010" s="3">
        <v>5.0</v>
      </c>
      <c r="U2010" s="3">
        <v>8.5</v>
      </c>
      <c r="V2010" s="3" t="s">
        <v>2110</v>
      </c>
      <c r="W2010" s="3" t="s">
        <v>730</v>
      </c>
      <c r="X2010" s="77" t="s">
        <v>2101</v>
      </c>
      <c r="Y2010" s="3">
        <v>5.0</v>
      </c>
      <c r="Z2010" s="3">
        <v>4.0</v>
      </c>
      <c r="AA2010" s="3">
        <f>2+ (P2010*'Scoring System'!$B$3)+ (IF(OR(AD2010="DEF",AD2010="GK"),N2010*'Scoring System'!$B$4,IF(AD2010="MID",N2010*'Scoring System'!$B$5,0)))+ (IF(OR(AD2010="DEF",AD2010="GK"),H2010*'Scoring System'!$B$6,IF(AD2010="MID",H2010*'Scoring System'!$B$7,IF(AD2010="ATT",H2010*'Scoring System'!$B$8,0))))+ IF(AND(OR(AD2010="GK",AD2010="DEF"),J2010&gt;=3),1*'Scoring System'!$B$9,0)+ (I2010*'Scoring System'!$B$10)+ (K2010*'Scoring System'!$B$11)+ (M2010*'Scoring System'!$B$12)+ (L2010*'Scoring System'!$B$13)+ (O2010*'Scoring System'!$B$14)+ (Q2010*'Scoring System'!$B$15)+ (R2010*'Scoring System'!$B$16)</f>
        <v>19</v>
      </c>
      <c r="AB2010" s="3" t="b">
        <f>IFERROR(match(C2010,'Match Day Fees'!$B$2:$B$999,0),0)=0</f>
        <v>0</v>
      </c>
      <c r="AC2010" s="3">
        <f t="shared" si="2"/>
        <v>0</v>
      </c>
      <c r="AD2010" s="3" t="str">
        <f>VLOOKUP(D2010,'Position Lookup'!A:B,2,FALSE)</f>
        <v>ATT</v>
      </c>
    </row>
    <row r="2011" ht="17.25" customHeight="1">
      <c r="A2011" s="32">
        <v>45374.0</v>
      </c>
      <c r="B2011" s="5" t="s">
        <v>309</v>
      </c>
      <c r="C2011" s="3" t="s">
        <v>132</v>
      </c>
      <c r="D2011" s="3" t="s">
        <v>23</v>
      </c>
      <c r="E2011" s="5">
        <v>4.0</v>
      </c>
      <c r="F2011" s="3" t="s">
        <v>544</v>
      </c>
      <c r="G2011" s="3" t="s">
        <v>224</v>
      </c>
      <c r="H2011" s="3">
        <v>1.0</v>
      </c>
      <c r="J2011" s="5">
        <v>4.0</v>
      </c>
      <c r="N2011" s="3" t="b">
        <v>0</v>
      </c>
      <c r="R2011" s="3">
        <v>0.0</v>
      </c>
      <c r="T2011" s="3">
        <v>10.0</v>
      </c>
      <c r="U2011" s="3">
        <v>7.5</v>
      </c>
      <c r="V2011" s="3" t="s">
        <v>2111</v>
      </c>
      <c r="W2011" s="3" t="s">
        <v>730</v>
      </c>
      <c r="X2011" s="77" t="s">
        <v>2101</v>
      </c>
      <c r="Y2011" s="3">
        <v>5.0</v>
      </c>
      <c r="Z2011" s="3">
        <v>4.0</v>
      </c>
      <c r="AA2011" s="3">
        <f>2+ (P2011*'Scoring System'!$B$3)+ (IF(OR(AD2011="DEF",AD2011="GK"),N2011*'Scoring System'!$B$4,IF(AD2011="MID",N2011*'Scoring System'!$B$5,0)))+ (IF(OR(AD2011="DEF",AD2011="GK"),H2011*'Scoring System'!$B$6,IF(AD2011="MID",H2011*'Scoring System'!$B$7,IF(AD2011="ATT",H2011*'Scoring System'!$B$8,0))))+ IF(AND(OR(AD2011="GK",AD2011="DEF"),J2011&gt;=3),1*'Scoring System'!$B$9,0)+ (I2011*'Scoring System'!$B$10)+ (K2011*'Scoring System'!$B$11)+ (M2011*'Scoring System'!$B$12)+ (L2011*'Scoring System'!$B$13)+ (O2011*'Scoring System'!$B$14)+ (Q2011*'Scoring System'!$B$15)+ (R2011*'Scoring System'!$B$16)</f>
        <v>6</v>
      </c>
      <c r="AB2011" s="3" t="b">
        <f>IFERROR(match(C2011,'Match Day Fees'!$B$2:$B$999,0),0)=0</f>
        <v>0</v>
      </c>
      <c r="AC2011" s="3">
        <f t="shared" si="2"/>
        <v>0</v>
      </c>
      <c r="AD2011" s="3" t="str">
        <f>VLOOKUP(D2011,'Position Lookup'!A:B,2,FALSE)</f>
        <v>ATT</v>
      </c>
    </row>
    <row r="2012" ht="17.25" customHeight="1">
      <c r="A2012" s="32">
        <v>45374.0</v>
      </c>
      <c r="B2012" s="5" t="s">
        <v>309</v>
      </c>
      <c r="C2012" s="3" t="s">
        <v>1952</v>
      </c>
      <c r="D2012" s="3" t="s">
        <v>20</v>
      </c>
      <c r="E2012" s="5">
        <v>4.0</v>
      </c>
      <c r="F2012" s="3" t="s">
        <v>544</v>
      </c>
      <c r="G2012" s="3" t="s">
        <v>224</v>
      </c>
      <c r="J2012" s="5">
        <v>4.0</v>
      </c>
      <c r="N2012" s="3" t="b">
        <v>0</v>
      </c>
      <c r="R2012" s="3">
        <v>0.0</v>
      </c>
      <c r="T2012" s="3">
        <v>5.0</v>
      </c>
      <c r="U2012" s="3">
        <v>6.5</v>
      </c>
      <c r="V2012" s="3" t="s">
        <v>2112</v>
      </c>
      <c r="W2012" s="3" t="s">
        <v>730</v>
      </c>
      <c r="X2012" s="77" t="s">
        <v>2101</v>
      </c>
      <c r="Y2012" s="3">
        <v>5.0</v>
      </c>
      <c r="Z2012" s="3">
        <v>4.0</v>
      </c>
      <c r="AA2012" s="3">
        <f>2+ (P2012*'Scoring System'!$B$3)+ (IF(OR(AD2012="DEF",AD2012="GK"),N2012*'Scoring System'!$B$4,IF(AD2012="MID",N2012*'Scoring System'!$B$5,0)))+ (IF(OR(AD2012="DEF",AD2012="GK"),H2012*'Scoring System'!$B$6,IF(AD2012="MID",H2012*'Scoring System'!$B$7,IF(AD2012="ATT",H2012*'Scoring System'!$B$8,0))))+ IF(AND(OR(AD2012="GK",AD2012="DEF"),J2012&gt;=3),1*'Scoring System'!$B$9,0)+ (I2012*'Scoring System'!$B$10)+ (K2012*'Scoring System'!$B$11)+ (M2012*'Scoring System'!$B$12)+ (L2012*'Scoring System'!$B$13)+ (O2012*'Scoring System'!$B$14)+ (Q2012*'Scoring System'!$B$15)+ (R2012*'Scoring System'!$B$16)</f>
        <v>2</v>
      </c>
      <c r="AB2012" s="3" t="b">
        <f>IFERROR(match(C2012,'Match Day Fees'!$B$2:$B$999,0),0)=0</f>
        <v>0</v>
      </c>
      <c r="AC2012" s="3">
        <f t="shared" si="2"/>
        <v>0</v>
      </c>
      <c r="AD2012" s="3" t="str">
        <f>VLOOKUP(D2012,'Position Lookup'!A:B,2,FALSE)</f>
        <v>MID</v>
      </c>
    </row>
    <row r="2013" ht="17.25" customHeight="1">
      <c r="A2013" s="32">
        <v>45374.0</v>
      </c>
      <c r="B2013" s="5" t="s">
        <v>309</v>
      </c>
      <c r="C2013" s="3" t="s">
        <v>126</v>
      </c>
      <c r="D2013" s="3" t="s">
        <v>12</v>
      </c>
      <c r="E2013" s="5">
        <v>4.0</v>
      </c>
      <c r="F2013" s="3" t="s">
        <v>544</v>
      </c>
      <c r="G2013" s="3" t="s">
        <v>224</v>
      </c>
      <c r="J2013" s="5">
        <v>4.0</v>
      </c>
      <c r="N2013" s="3" t="b">
        <v>0</v>
      </c>
      <c r="R2013" s="3">
        <v>0.0</v>
      </c>
      <c r="T2013" s="3">
        <v>5.0</v>
      </c>
      <c r="U2013" s="3">
        <v>7.0</v>
      </c>
      <c r="V2013" s="3" t="s">
        <v>2113</v>
      </c>
      <c r="W2013" s="3" t="s">
        <v>730</v>
      </c>
      <c r="X2013" s="77" t="s">
        <v>2101</v>
      </c>
      <c r="Y2013" s="3">
        <v>5.0</v>
      </c>
      <c r="Z2013" s="3">
        <v>4.0</v>
      </c>
      <c r="AA2013" s="3">
        <f>2+ (P2013*'Scoring System'!$B$3)+ (IF(OR(AD2013="DEF",AD2013="GK"),N2013*'Scoring System'!$B$4,IF(AD2013="MID",N2013*'Scoring System'!$B$5,0)))+ (IF(OR(AD2013="DEF",AD2013="GK"),H2013*'Scoring System'!$B$6,IF(AD2013="MID",H2013*'Scoring System'!$B$7,IF(AD2013="ATT",H2013*'Scoring System'!$B$8,0))))+ IF(AND(OR(AD2013="GK",AD2013="DEF"),J2013&gt;=3),1*'Scoring System'!$B$9,0)+ (I2013*'Scoring System'!$B$10)+ (K2013*'Scoring System'!$B$11)+ (M2013*'Scoring System'!$B$12)+ (L2013*'Scoring System'!$B$13)+ (O2013*'Scoring System'!$B$14)+ (Q2013*'Scoring System'!$B$15)+ (R2013*'Scoring System'!$B$16)</f>
        <v>1</v>
      </c>
      <c r="AB2013" s="3" t="b">
        <f>IFERROR(match(C2013,'Match Day Fees'!$B$2:$B$999,0),0)=0</f>
        <v>0</v>
      </c>
      <c r="AC2013" s="3">
        <f t="shared" si="2"/>
        <v>0</v>
      </c>
      <c r="AD2013" s="3" t="str">
        <f>VLOOKUP(D2013,'Position Lookup'!A:B,2,FALSE)</f>
        <v>DEF</v>
      </c>
    </row>
    <row r="2014" ht="17.25" customHeight="1">
      <c r="A2014" s="32">
        <v>45388.0</v>
      </c>
      <c r="B2014" s="5" t="s">
        <v>309</v>
      </c>
      <c r="C2014" s="3" t="s">
        <v>53</v>
      </c>
      <c r="D2014" s="3" t="s">
        <v>8</v>
      </c>
      <c r="E2014" s="5">
        <v>1.0</v>
      </c>
      <c r="F2014" s="84" t="s">
        <v>2114</v>
      </c>
      <c r="G2014" s="3" t="s">
        <v>224</v>
      </c>
      <c r="J2014" s="5">
        <v>1.0</v>
      </c>
      <c r="N2014" s="3" t="b">
        <v>0</v>
      </c>
      <c r="R2014" s="3">
        <v>0.0</v>
      </c>
      <c r="T2014" s="3">
        <v>10.0</v>
      </c>
      <c r="U2014" s="3">
        <v>7.0</v>
      </c>
      <c r="V2014" s="3" t="s">
        <v>2115</v>
      </c>
      <c r="W2014" s="3" t="s">
        <v>311</v>
      </c>
      <c r="X2014" s="77" t="s">
        <v>2116</v>
      </c>
      <c r="Y2014" s="3">
        <v>5.0</v>
      </c>
      <c r="Z2014" s="3">
        <v>1.0</v>
      </c>
      <c r="AA2014" s="3">
        <f>2+ (P2014*'Scoring System'!$B$3)+ (IF(OR(AD2014="DEF",AD2014="GK"),N2014*'Scoring System'!$B$4,IF(AD2014="MID",N2014*'Scoring System'!$B$5,0)))+ (IF(OR(AD2014="DEF",AD2014="GK"),H2014*'Scoring System'!$B$6,IF(AD2014="MID",H2014*'Scoring System'!$B$7,IF(AD2014="ATT",H2014*'Scoring System'!$B$8,0))))+ IF(AND(OR(AD2014="GK",AD2014="DEF"),J2014&gt;=3),1*'Scoring System'!$B$9,0)+ (I2014*'Scoring System'!$B$10)+ (K2014*'Scoring System'!$B$11)+ (M2014*'Scoring System'!$B$12)+ (L2014*'Scoring System'!$B$13)+ (O2014*'Scoring System'!$B$14)+ (Q2014*'Scoring System'!$B$15)+ (R2014*'Scoring System'!$B$16)</f>
        <v>2</v>
      </c>
      <c r="AB2014" s="3" t="b">
        <f>IFERROR(match(C2014,'Match Day Fees'!$B$2:$B$999,0),0)=0</f>
        <v>0</v>
      </c>
      <c r="AC2014" s="3">
        <f t="shared" si="2"/>
        <v>1</v>
      </c>
      <c r="AD2014" s="3" t="str">
        <f>VLOOKUP(D2014,'Position Lookup'!A:B,2,FALSE)</f>
        <v>GK</v>
      </c>
    </row>
    <row r="2015" ht="17.25" customHeight="1">
      <c r="A2015" s="32">
        <v>45388.0</v>
      </c>
      <c r="B2015" s="5" t="s">
        <v>309</v>
      </c>
      <c r="C2015" s="3" t="s">
        <v>69</v>
      </c>
      <c r="D2015" s="3" t="s">
        <v>14</v>
      </c>
      <c r="E2015" s="5">
        <v>1.0</v>
      </c>
      <c r="F2015" s="84" t="s">
        <v>2114</v>
      </c>
      <c r="G2015" s="3" t="s">
        <v>224</v>
      </c>
      <c r="J2015" s="5">
        <v>1.0</v>
      </c>
      <c r="N2015" s="3" t="b">
        <v>0</v>
      </c>
      <c r="R2015" s="3">
        <v>0.0</v>
      </c>
      <c r="T2015" s="3">
        <v>10.0</v>
      </c>
      <c r="U2015" s="3">
        <v>8.0</v>
      </c>
      <c r="V2015" s="3" t="s">
        <v>2117</v>
      </c>
      <c r="W2015" s="3" t="s">
        <v>311</v>
      </c>
      <c r="X2015" s="77" t="s">
        <v>2116</v>
      </c>
      <c r="Y2015" s="3">
        <v>5.0</v>
      </c>
      <c r="Z2015" s="3">
        <v>1.0</v>
      </c>
      <c r="AA2015" s="3">
        <f>2+ (P2015*'Scoring System'!$B$3)+ (IF(OR(AD2015="DEF",AD2015="GK"),N2015*'Scoring System'!$B$4,IF(AD2015="MID",N2015*'Scoring System'!$B$5,0)))+ (IF(OR(AD2015="DEF",AD2015="GK"),H2015*'Scoring System'!$B$6,IF(AD2015="MID",H2015*'Scoring System'!$B$7,IF(AD2015="ATT",H2015*'Scoring System'!$B$8,0))))+ IF(AND(OR(AD2015="GK",AD2015="DEF"),J2015&gt;=3),1*'Scoring System'!$B$9,0)+ (I2015*'Scoring System'!$B$10)+ (K2015*'Scoring System'!$B$11)+ (M2015*'Scoring System'!$B$12)+ (L2015*'Scoring System'!$B$13)+ (O2015*'Scoring System'!$B$14)+ (Q2015*'Scoring System'!$B$15)+ (R2015*'Scoring System'!$B$16)</f>
        <v>2</v>
      </c>
      <c r="AB2015" s="3" t="b">
        <f>IFERROR(match(C2015,'Match Day Fees'!$B$2:$B$999,0),0)=0</f>
        <v>0</v>
      </c>
      <c r="AC2015" s="3">
        <f t="shared" si="2"/>
        <v>1</v>
      </c>
      <c r="AD2015" s="3" t="str">
        <f>VLOOKUP(D2015,'Position Lookup'!A:B,2,FALSE)</f>
        <v>DEF</v>
      </c>
    </row>
    <row r="2016" ht="17.25" customHeight="1">
      <c r="A2016" s="32">
        <v>45388.0</v>
      </c>
      <c r="B2016" s="5" t="s">
        <v>309</v>
      </c>
      <c r="C2016" s="3" t="s">
        <v>76</v>
      </c>
      <c r="D2016" s="3" t="s">
        <v>13</v>
      </c>
      <c r="E2016" s="5">
        <v>1.0</v>
      </c>
      <c r="F2016" s="84" t="s">
        <v>2114</v>
      </c>
      <c r="G2016" s="3" t="s">
        <v>224</v>
      </c>
      <c r="J2016" s="5">
        <v>1.0</v>
      </c>
      <c r="K2016" s="3">
        <v>1.0</v>
      </c>
      <c r="N2016" s="3" t="b">
        <v>0</v>
      </c>
      <c r="R2016" s="3">
        <v>0.0</v>
      </c>
      <c r="T2016" s="3">
        <v>5.0</v>
      </c>
      <c r="U2016" s="3">
        <v>6.5</v>
      </c>
      <c r="V2016" s="3" t="s">
        <v>2118</v>
      </c>
      <c r="W2016" s="3" t="s">
        <v>311</v>
      </c>
      <c r="X2016" s="77" t="s">
        <v>2116</v>
      </c>
      <c r="Y2016" s="3">
        <v>5.0</v>
      </c>
      <c r="Z2016" s="3">
        <v>1.0</v>
      </c>
      <c r="AA2016" s="3">
        <f>2+ (P2016*'Scoring System'!$B$3)+ (IF(OR(AD2016="DEF",AD2016="GK"),N2016*'Scoring System'!$B$4,IF(AD2016="MID",N2016*'Scoring System'!$B$5,0)))+ (IF(OR(AD2016="DEF",AD2016="GK"),H2016*'Scoring System'!$B$6,IF(AD2016="MID",H2016*'Scoring System'!$B$7,IF(AD2016="ATT",H2016*'Scoring System'!$B$8,0))))+ IF(AND(OR(AD2016="GK",AD2016="DEF"),J2016&gt;=3),1*'Scoring System'!$B$9,0)+ (I2016*'Scoring System'!$B$10)+ (K2016*'Scoring System'!$B$11)+ (M2016*'Scoring System'!$B$12)+ (L2016*'Scoring System'!$B$13)+ (O2016*'Scoring System'!$B$14)+ (Q2016*'Scoring System'!$B$15)+ (R2016*'Scoring System'!$B$16)</f>
        <v>1</v>
      </c>
      <c r="AB2016" s="3" t="b">
        <f>IFERROR(match(C2016,'Match Day Fees'!$B$2:$B$999,0),0)=0</f>
        <v>0</v>
      </c>
      <c r="AC2016" s="3">
        <f t="shared" si="2"/>
        <v>1</v>
      </c>
      <c r="AD2016" s="3" t="str">
        <f>VLOOKUP(D2016,'Position Lookup'!A:B,2,FALSE)</f>
        <v>DEF</v>
      </c>
    </row>
    <row r="2017" ht="17.25" customHeight="1">
      <c r="A2017" s="32">
        <v>45388.0</v>
      </c>
      <c r="B2017" s="5" t="s">
        <v>309</v>
      </c>
      <c r="C2017" s="3" t="s">
        <v>68</v>
      </c>
      <c r="D2017" s="3" t="s">
        <v>15</v>
      </c>
      <c r="E2017" s="5">
        <v>1.0</v>
      </c>
      <c r="F2017" s="84" t="s">
        <v>2114</v>
      </c>
      <c r="G2017" s="3" t="s">
        <v>224</v>
      </c>
      <c r="J2017" s="5">
        <v>1.0</v>
      </c>
      <c r="N2017" s="3" t="b">
        <v>0</v>
      </c>
      <c r="R2017" s="3">
        <v>0.0</v>
      </c>
      <c r="T2017" s="3">
        <v>10.0</v>
      </c>
      <c r="U2017" s="3">
        <v>7.5</v>
      </c>
      <c r="V2017" s="3" t="s">
        <v>2119</v>
      </c>
      <c r="W2017" s="3" t="s">
        <v>311</v>
      </c>
      <c r="X2017" s="77" t="s">
        <v>2116</v>
      </c>
      <c r="Y2017" s="3">
        <v>5.0</v>
      </c>
      <c r="Z2017" s="3">
        <v>1.0</v>
      </c>
      <c r="AA2017" s="3">
        <f>2+ (P2017*'Scoring System'!$B$3)+ (IF(OR(AD2017="DEF",AD2017="GK"),N2017*'Scoring System'!$B$4,IF(AD2017="MID",N2017*'Scoring System'!$B$5,0)))+ (IF(OR(AD2017="DEF",AD2017="GK"),H2017*'Scoring System'!$B$6,IF(AD2017="MID",H2017*'Scoring System'!$B$7,IF(AD2017="ATT",H2017*'Scoring System'!$B$8,0))))+ IF(AND(OR(AD2017="GK",AD2017="DEF"),J2017&gt;=3),1*'Scoring System'!$B$9,0)+ (I2017*'Scoring System'!$B$10)+ (K2017*'Scoring System'!$B$11)+ (M2017*'Scoring System'!$B$12)+ (L2017*'Scoring System'!$B$13)+ (O2017*'Scoring System'!$B$14)+ (Q2017*'Scoring System'!$B$15)+ (R2017*'Scoring System'!$B$16)</f>
        <v>2</v>
      </c>
      <c r="AB2017" s="3" t="b">
        <f>IFERROR(match(C2017,'Match Day Fees'!$B$2:$B$999,0),0)=0</f>
        <v>0</v>
      </c>
      <c r="AC2017" s="3">
        <f t="shared" si="2"/>
        <v>1</v>
      </c>
      <c r="AD2017" s="3" t="str">
        <f>VLOOKUP(D2017,'Position Lookup'!A:B,2,FALSE)</f>
        <v>DEF</v>
      </c>
    </row>
    <row r="2018" ht="17.25" customHeight="1">
      <c r="A2018" s="32">
        <v>45388.0</v>
      </c>
      <c r="B2018" s="5" t="s">
        <v>309</v>
      </c>
      <c r="C2018" s="3" t="s">
        <v>77</v>
      </c>
      <c r="D2018" s="3" t="s">
        <v>18</v>
      </c>
      <c r="E2018" s="5">
        <v>1.0</v>
      </c>
      <c r="F2018" s="84" t="s">
        <v>2114</v>
      </c>
      <c r="G2018" s="3" t="s">
        <v>224</v>
      </c>
      <c r="J2018" s="5">
        <v>1.0</v>
      </c>
      <c r="N2018" s="3" t="b">
        <v>0</v>
      </c>
      <c r="R2018" s="3">
        <v>0.0</v>
      </c>
      <c r="T2018" s="3">
        <v>10.0</v>
      </c>
      <c r="U2018" s="3">
        <v>7.5</v>
      </c>
      <c r="V2018" s="3" t="s">
        <v>2120</v>
      </c>
      <c r="W2018" s="3" t="s">
        <v>311</v>
      </c>
      <c r="X2018" s="77" t="s">
        <v>2116</v>
      </c>
      <c r="Y2018" s="3">
        <v>5.0</v>
      </c>
      <c r="Z2018" s="3">
        <v>1.0</v>
      </c>
      <c r="AA2018" s="3">
        <f>2+ (P2018*'Scoring System'!$B$3)+ (IF(OR(AD2018="DEF",AD2018="GK"),N2018*'Scoring System'!$B$4,IF(AD2018="MID",N2018*'Scoring System'!$B$5,0)))+ (IF(OR(AD2018="DEF",AD2018="GK"),H2018*'Scoring System'!$B$6,IF(AD2018="MID",H2018*'Scoring System'!$B$7,IF(AD2018="ATT",H2018*'Scoring System'!$B$8,0))))+ IF(AND(OR(AD2018="GK",AD2018="DEF"),J2018&gt;=3),1*'Scoring System'!$B$9,0)+ (I2018*'Scoring System'!$B$10)+ (K2018*'Scoring System'!$B$11)+ (M2018*'Scoring System'!$B$12)+ (L2018*'Scoring System'!$B$13)+ (O2018*'Scoring System'!$B$14)+ (Q2018*'Scoring System'!$B$15)+ (R2018*'Scoring System'!$B$16)</f>
        <v>2</v>
      </c>
      <c r="AB2018" s="3" t="b">
        <f>IFERROR(match(C2018,'Match Day Fees'!$B$2:$B$999,0),0)=0</f>
        <v>0</v>
      </c>
      <c r="AC2018" s="3">
        <f t="shared" si="2"/>
        <v>1</v>
      </c>
      <c r="AD2018" s="3" t="str">
        <f>VLOOKUP(D2018,'Position Lookup'!A:B,2,FALSE)</f>
        <v>DEF</v>
      </c>
    </row>
    <row r="2019" ht="17.25" customHeight="1">
      <c r="A2019" s="32">
        <v>45388.0</v>
      </c>
      <c r="B2019" s="5" t="s">
        <v>309</v>
      </c>
      <c r="C2019" s="3" t="s">
        <v>57</v>
      </c>
      <c r="D2019" s="3" t="s">
        <v>17</v>
      </c>
      <c r="E2019" s="5">
        <v>1.0</v>
      </c>
      <c r="F2019" s="84" t="s">
        <v>2114</v>
      </c>
      <c r="G2019" s="3" t="s">
        <v>224</v>
      </c>
      <c r="I2019" s="3">
        <v>3.0</v>
      </c>
      <c r="J2019" s="5">
        <v>1.0</v>
      </c>
      <c r="N2019" s="3" t="b">
        <v>0</v>
      </c>
      <c r="R2019" s="3">
        <v>0.0</v>
      </c>
      <c r="S2019" s="3" t="b">
        <v>0</v>
      </c>
      <c r="T2019" s="3">
        <v>5.0</v>
      </c>
      <c r="U2019" s="3">
        <v>9.0</v>
      </c>
      <c r="V2019" s="3" t="s">
        <v>2121</v>
      </c>
      <c r="W2019" s="3" t="s">
        <v>311</v>
      </c>
      <c r="X2019" s="77" t="s">
        <v>2116</v>
      </c>
      <c r="Y2019" s="3">
        <v>5.0</v>
      </c>
      <c r="Z2019" s="3">
        <v>1.0</v>
      </c>
      <c r="AA2019" s="3">
        <f>2+ (P2019*'Scoring System'!$B$3)+ (IF(OR(AD2019="DEF",AD2019="GK"),N2019*'Scoring System'!$B$4,IF(AD2019="MID",N2019*'Scoring System'!$B$5,0)))+ (IF(OR(AD2019="DEF",AD2019="GK"),H2019*'Scoring System'!$B$6,IF(AD2019="MID",H2019*'Scoring System'!$B$7,IF(AD2019="ATT",H2019*'Scoring System'!$B$8,0))))+ IF(AND(OR(AD2019="GK",AD2019="DEF"),J2019&gt;=3),1*'Scoring System'!$B$9,0)+ (I2019*'Scoring System'!$B$10)+ (K2019*'Scoring System'!$B$11)+ (M2019*'Scoring System'!$B$12)+ (L2019*'Scoring System'!$B$13)+ (O2019*'Scoring System'!$B$14)+ (Q2019*'Scoring System'!$B$15)+ (R2019*'Scoring System'!$B$16)</f>
        <v>11</v>
      </c>
      <c r="AB2019" s="3" t="b">
        <f>IFERROR(match(C2019,'Match Day Fees'!$B$2:$B$999,0),0)=0</f>
        <v>0</v>
      </c>
      <c r="AC2019" s="3">
        <f t="shared" si="2"/>
        <v>1</v>
      </c>
      <c r="AD2019" s="3" t="str">
        <f>VLOOKUP(D2019,'Position Lookup'!A:B,2,FALSE)</f>
        <v>DEF</v>
      </c>
    </row>
    <row r="2020" ht="17.25" customHeight="1">
      <c r="A2020" s="32">
        <v>45388.0</v>
      </c>
      <c r="B2020" s="5" t="s">
        <v>309</v>
      </c>
      <c r="C2020" s="3" t="s">
        <v>85</v>
      </c>
      <c r="D2020" s="3" t="s">
        <v>20</v>
      </c>
      <c r="E2020" s="5">
        <v>1.0</v>
      </c>
      <c r="F2020" s="84" t="s">
        <v>2114</v>
      </c>
      <c r="G2020" s="3" t="s">
        <v>224</v>
      </c>
      <c r="J2020" s="5">
        <v>1.0</v>
      </c>
      <c r="N2020" s="3" t="b">
        <v>0</v>
      </c>
      <c r="R2020" s="3">
        <v>0.0</v>
      </c>
      <c r="T2020" s="3">
        <v>10.0</v>
      </c>
      <c r="U2020" s="3">
        <v>7.5</v>
      </c>
      <c r="V2020" s="3" t="s">
        <v>2122</v>
      </c>
      <c r="W2020" s="3" t="s">
        <v>311</v>
      </c>
      <c r="X2020" s="77" t="s">
        <v>2116</v>
      </c>
      <c r="Y2020" s="3">
        <v>5.0</v>
      </c>
      <c r="Z2020" s="3">
        <v>1.0</v>
      </c>
      <c r="AA2020" s="3">
        <f>2+ (P2020*'Scoring System'!$B$3)+ (IF(OR(AD2020="DEF",AD2020="GK"),N2020*'Scoring System'!$B$4,IF(AD2020="MID",N2020*'Scoring System'!$B$5,0)))+ (IF(OR(AD2020="DEF",AD2020="GK"),H2020*'Scoring System'!$B$6,IF(AD2020="MID",H2020*'Scoring System'!$B$7,IF(AD2020="ATT",H2020*'Scoring System'!$B$8,0))))+ IF(AND(OR(AD2020="GK",AD2020="DEF"),J2020&gt;=3),1*'Scoring System'!$B$9,0)+ (I2020*'Scoring System'!$B$10)+ (K2020*'Scoring System'!$B$11)+ (M2020*'Scoring System'!$B$12)+ (L2020*'Scoring System'!$B$13)+ (O2020*'Scoring System'!$B$14)+ (Q2020*'Scoring System'!$B$15)+ (R2020*'Scoring System'!$B$16)</f>
        <v>2</v>
      </c>
      <c r="AB2020" s="3" t="b">
        <f>IFERROR(match(C2020,'Match Day Fees'!$B$2:$B$999,0),0)=0</f>
        <v>0</v>
      </c>
      <c r="AC2020" s="3">
        <f t="shared" si="2"/>
        <v>1</v>
      </c>
      <c r="AD2020" s="3" t="str">
        <f>VLOOKUP(D2020,'Position Lookup'!A:B,2,FALSE)</f>
        <v>MID</v>
      </c>
    </row>
    <row r="2021" ht="17.25" customHeight="1">
      <c r="A2021" s="32">
        <v>45388.0</v>
      </c>
      <c r="B2021" s="5" t="s">
        <v>309</v>
      </c>
      <c r="C2021" s="3" t="s">
        <v>67</v>
      </c>
      <c r="D2021" s="3" t="s">
        <v>20</v>
      </c>
      <c r="E2021" s="5">
        <v>1.0</v>
      </c>
      <c r="F2021" s="84" t="s">
        <v>2114</v>
      </c>
      <c r="G2021" s="3" t="s">
        <v>224</v>
      </c>
      <c r="H2021" s="3">
        <v>1.0</v>
      </c>
      <c r="I2021" s="3">
        <v>1.0</v>
      </c>
      <c r="J2021" s="5">
        <v>1.0</v>
      </c>
      <c r="N2021" s="3" t="b">
        <v>0</v>
      </c>
      <c r="R2021" s="3">
        <v>0.0</v>
      </c>
      <c r="T2021" s="3">
        <v>10.0</v>
      </c>
      <c r="U2021" s="3">
        <v>8.0</v>
      </c>
      <c r="V2021" s="3" t="s">
        <v>2123</v>
      </c>
      <c r="W2021" s="3" t="s">
        <v>311</v>
      </c>
      <c r="X2021" s="77" t="s">
        <v>2116</v>
      </c>
      <c r="Y2021" s="3">
        <v>5.0</v>
      </c>
      <c r="Z2021" s="3">
        <v>1.0</v>
      </c>
      <c r="AA2021" s="3">
        <f>2+ (P2021*'Scoring System'!$B$3)+ (IF(OR(AD2021="DEF",AD2021="GK"),N2021*'Scoring System'!$B$4,IF(AD2021="MID",N2021*'Scoring System'!$B$5,0)))+ (IF(OR(AD2021="DEF",AD2021="GK"),H2021*'Scoring System'!$B$6,IF(AD2021="MID",H2021*'Scoring System'!$B$7,IF(AD2021="ATT",H2021*'Scoring System'!$B$8,0))))+ IF(AND(OR(AD2021="GK",AD2021="DEF"),J2021&gt;=3),1*'Scoring System'!$B$9,0)+ (I2021*'Scoring System'!$B$10)+ (K2021*'Scoring System'!$B$11)+ (M2021*'Scoring System'!$B$12)+ (L2021*'Scoring System'!$B$13)+ (O2021*'Scoring System'!$B$14)+ (Q2021*'Scoring System'!$B$15)+ (R2021*'Scoring System'!$B$16)</f>
        <v>10</v>
      </c>
      <c r="AB2021" s="3" t="b">
        <f>IFERROR(match(C2021,'Match Day Fees'!$B$2:$B$999,0),0)=0</f>
        <v>0</v>
      </c>
      <c r="AC2021" s="3">
        <f t="shared" si="2"/>
        <v>1</v>
      </c>
      <c r="AD2021" s="3" t="str">
        <f>VLOOKUP(D2021,'Position Lookup'!A:B,2,FALSE)</f>
        <v>MID</v>
      </c>
    </row>
    <row r="2022" ht="17.25" customHeight="1">
      <c r="A2022" s="32">
        <v>45388.0</v>
      </c>
      <c r="B2022" s="5" t="s">
        <v>309</v>
      </c>
      <c r="C2022" s="3" t="s">
        <v>60</v>
      </c>
      <c r="D2022" s="3" t="s">
        <v>21</v>
      </c>
      <c r="E2022" s="5">
        <v>1.0</v>
      </c>
      <c r="F2022" s="84" t="s">
        <v>2114</v>
      </c>
      <c r="G2022" s="3" t="s">
        <v>224</v>
      </c>
      <c r="J2022" s="5">
        <v>1.0</v>
      </c>
      <c r="N2022" s="3" t="b">
        <v>0</v>
      </c>
      <c r="R2022" s="3">
        <v>0.0</v>
      </c>
      <c r="T2022" s="3">
        <v>10.0</v>
      </c>
      <c r="U2022" s="3">
        <v>7.5</v>
      </c>
      <c r="V2022" s="3" t="s">
        <v>2124</v>
      </c>
      <c r="W2022" s="3" t="s">
        <v>311</v>
      </c>
      <c r="X2022" s="77" t="s">
        <v>2116</v>
      </c>
      <c r="Y2022" s="3">
        <v>5.0</v>
      </c>
      <c r="Z2022" s="3">
        <v>1.0</v>
      </c>
      <c r="AA2022" s="3">
        <f>2+ (P2022*'Scoring System'!$B$3)+ (IF(OR(AD2022="DEF",AD2022="GK"),N2022*'Scoring System'!$B$4,IF(AD2022="MID",N2022*'Scoring System'!$B$5,0)))+ (IF(OR(AD2022="DEF",AD2022="GK"),H2022*'Scoring System'!$B$6,IF(AD2022="MID",H2022*'Scoring System'!$B$7,IF(AD2022="ATT",H2022*'Scoring System'!$B$8,0))))+ IF(AND(OR(AD2022="GK",AD2022="DEF"),J2022&gt;=3),1*'Scoring System'!$B$9,0)+ (I2022*'Scoring System'!$B$10)+ (K2022*'Scoring System'!$B$11)+ (M2022*'Scoring System'!$B$12)+ (L2022*'Scoring System'!$B$13)+ (O2022*'Scoring System'!$B$14)+ (Q2022*'Scoring System'!$B$15)+ (R2022*'Scoring System'!$B$16)</f>
        <v>2</v>
      </c>
      <c r="AB2022" s="3" t="b">
        <f>IFERROR(match(C2022,'Match Day Fees'!$B$2:$B$999,0),0)=0</f>
        <v>0</v>
      </c>
      <c r="AC2022" s="3">
        <f t="shared" si="2"/>
        <v>1</v>
      </c>
      <c r="AD2022" s="3" t="str">
        <f>VLOOKUP(D2022,'Position Lookup'!A:B,2,FALSE)</f>
        <v>MID</v>
      </c>
    </row>
    <row r="2023" ht="17.25" customHeight="1">
      <c r="A2023" s="32">
        <v>45388.0</v>
      </c>
      <c r="B2023" s="5" t="s">
        <v>309</v>
      </c>
      <c r="C2023" s="3" t="s">
        <v>62</v>
      </c>
      <c r="D2023" s="3" t="s">
        <v>24</v>
      </c>
      <c r="E2023" s="5">
        <v>1.0</v>
      </c>
      <c r="F2023" s="84" t="s">
        <v>2114</v>
      </c>
      <c r="G2023" s="3" t="s">
        <v>224</v>
      </c>
      <c r="J2023" s="5">
        <v>1.0</v>
      </c>
      <c r="N2023" s="3" t="b">
        <v>0</v>
      </c>
      <c r="R2023" s="3">
        <v>0.0</v>
      </c>
      <c r="T2023" s="3">
        <v>8.0</v>
      </c>
      <c r="U2023" s="3">
        <v>7.5</v>
      </c>
      <c r="V2023" s="3" t="s">
        <v>2125</v>
      </c>
      <c r="W2023" s="3" t="s">
        <v>311</v>
      </c>
      <c r="X2023" s="77" t="s">
        <v>2116</v>
      </c>
      <c r="Y2023" s="3">
        <v>5.0</v>
      </c>
      <c r="Z2023" s="3">
        <v>1.0</v>
      </c>
      <c r="AA2023" s="3">
        <f>2+ (P2023*'Scoring System'!$B$3)+ (IF(OR(AD2023="DEF",AD2023="GK"),N2023*'Scoring System'!$B$4,IF(AD2023="MID",N2023*'Scoring System'!$B$5,0)))+ (IF(OR(AD2023="DEF",AD2023="GK"),H2023*'Scoring System'!$B$6,IF(AD2023="MID",H2023*'Scoring System'!$B$7,IF(AD2023="ATT",H2023*'Scoring System'!$B$8,0))))+ IF(AND(OR(AD2023="GK",AD2023="DEF"),J2023&gt;=3),1*'Scoring System'!$B$9,0)+ (I2023*'Scoring System'!$B$10)+ (K2023*'Scoring System'!$B$11)+ (M2023*'Scoring System'!$B$12)+ (L2023*'Scoring System'!$B$13)+ (O2023*'Scoring System'!$B$14)+ (Q2023*'Scoring System'!$B$15)+ (R2023*'Scoring System'!$B$16)</f>
        <v>2</v>
      </c>
      <c r="AB2023" s="3" t="b">
        <f>IFERROR(match(C2023,'Match Day Fees'!$B$2:$B$999,0),0)=0</f>
        <v>0</v>
      </c>
      <c r="AC2023" s="3">
        <f t="shared" si="2"/>
        <v>1</v>
      </c>
      <c r="AD2023" s="3" t="str">
        <f>VLOOKUP(D2023,'Position Lookup'!A:B,2,FALSE)</f>
        <v>ATT</v>
      </c>
    </row>
    <row r="2024" ht="17.25" customHeight="1">
      <c r="A2024" s="32">
        <v>45388.0</v>
      </c>
      <c r="B2024" s="5" t="s">
        <v>309</v>
      </c>
      <c r="C2024" s="3" t="s">
        <v>47</v>
      </c>
      <c r="D2024" s="3" t="s">
        <v>24</v>
      </c>
      <c r="E2024" s="5">
        <v>1.0</v>
      </c>
      <c r="F2024" s="84" t="s">
        <v>2114</v>
      </c>
      <c r="G2024" s="3" t="s">
        <v>224</v>
      </c>
      <c r="H2024" s="3">
        <v>4.0</v>
      </c>
      <c r="I2024" s="3">
        <v>1.0</v>
      </c>
      <c r="J2024" s="5">
        <v>1.0</v>
      </c>
      <c r="N2024" s="3" t="b">
        <v>0</v>
      </c>
      <c r="R2024" s="3">
        <v>1.0</v>
      </c>
      <c r="T2024" s="3">
        <v>10.0</v>
      </c>
      <c r="U2024" s="3">
        <v>9.5</v>
      </c>
      <c r="V2024" s="3" t="s">
        <v>2126</v>
      </c>
      <c r="W2024" s="3" t="s">
        <v>311</v>
      </c>
      <c r="X2024" s="77" t="s">
        <v>2116</v>
      </c>
      <c r="Y2024" s="3">
        <v>5.0</v>
      </c>
      <c r="Z2024" s="3">
        <v>1.0</v>
      </c>
      <c r="AA2024" s="3">
        <f>2+ (P2024*'Scoring System'!$B$3)+ (IF(OR(AD2024="DEF",AD2024="GK"),N2024*'Scoring System'!$B$4,IF(AD2024="MID",N2024*'Scoring System'!$B$5,0)))+ (IF(OR(AD2024="DEF",AD2024="GK"),H2024*'Scoring System'!$B$6,IF(AD2024="MID",H2024*'Scoring System'!$B$7,IF(AD2024="ATT",H2024*'Scoring System'!$B$8,0))))+ IF(AND(OR(AD2024="GK",AD2024="DEF"),J2024&gt;=3),1*'Scoring System'!$B$9,0)+ (I2024*'Scoring System'!$B$10)+ (K2024*'Scoring System'!$B$11)+ (M2024*'Scoring System'!$B$12)+ (L2024*'Scoring System'!$B$13)+ (O2024*'Scoring System'!$B$14)+ (Q2024*'Scoring System'!$B$15)+ (R2024*'Scoring System'!$B$16)</f>
        <v>26</v>
      </c>
      <c r="AB2024" s="3" t="b">
        <f>IFERROR(match(C2024,'Match Day Fees'!$B$2:$B$999,0),0)=0</f>
        <v>0</v>
      </c>
      <c r="AC2024" s="3">
        <f t="shared" si="2"/>
        <v>1</v>
      </c>
      <c r="AD2024" s="3" t="str">
        <f>VLOOKUP(D2024,'Position Lookup'!A:B,2,FALSE)</f>
        <v>ATT</v>
      </c>
    </row>
    <row r="2025" ht="17.25" customHeight="1">
      <c r="A2025" s="32">
        <v>45388.0</v>
      </c>
      <c r="B2025" s="5" t="s">
        <v>309</v>
      </c>
      <c r="C2025" s="3" t="s">
        <v>96</v>
      </c>
      <c r="D2025" s="3" t="s">
        <v>21</v>
      </c>
      <c r="E2025" s="5">
        <v>1.0</v>
      </c>
      <c r="F2025" s="84" t="s">
        <v>2114</v>
      </c>
      <c r="G2025" s="3" t="s">
        <v>224</v>
      </c>
      <c r="J2025" s="5">
        <v>1.0</v>
      </c>
      <c r="N2025" s="3" t="b">
        <v>0</v>
      </c>
      <c r="R2025" s="3">
        <v>0.0</v>
      </c>
      <c r="T2025" s="3">
        <v>4.0</v>
      </c>
      <c r="U2025" s="3">
        <v>8.0</v>
      </c>
      <c r="V2025" s="3" t="s">
        <v>2127</v>
      </c>
      <c r="W2025" s="3" t="s">
        <v>311</v>
      </c>
      <c r="X2025" s="77" t="s">
        <v>2116</v>
      </c>
      <c r="Y2025" s="3">
        <v>5.0</v>
      </c>
      <c r="Z2025" s="3">
        <v>1.0</v>
      </c>
      <c r="AA2025" s="3">
        <f>2+ (P2025*'Scoring System'!$B$3)+ (IF(OR(AD2025="DEF",AD2025="GK"),N2025*'Scoring System'!$B$4,IF(AD2025="MID",N2025*'Scoring System'!$B$5,0)))+ (IF(OR(AD2025="DEF",AD2025="GK"),H2025*'Scoring System'!$B$6,IF(AD2025="MID",H2025*'Scoring System'!$B$7,IF(AD2025="ATT",H2025*'Scoring System'!$B$8,0))))+ IF(AND(OR(AD2025="GK",AD2025="DEF"),J2025&gt;=3),1*'Scoring System'!$B$9,0)+ (I2025*'Scoring System'!$B$10)+ (K2025*'Scoring System'!$B$11)+ (M2025*'Scoring System'!$B$12)+ (L2025*'Scoring System'!$B$13)+ (O2025*'Scoring System'!$B$14)+ (Q2025*'Scoring System'!$B$15)+ (R2025*'Scoring System'!$B$16)</f>
        <v>2</v>
      </c>
      <c r="AB2025" s="3" t="b">
        <f>IFERROR(match(C2025,'Match Day Fees'!$B$2:$B$999,0),0)=0</f>
        <v>0</v>
      </c>
      <c r="AC2025" s="3">
        <f t="shared" si="2"/>
        <v>1</v>
      </c>
      <c r="AD2025" s="3" t="str">
        <f>VLOOKUP(D2025,'Position Lookup'!A:B,2,FALSE)</f>
        <v>MID</v>
      </c>
    </row>
    <row r="2026" ht="17.25" customHeight="1">
      <c r="A2026" s="32">
        <v>45388.0</v>
      </c>
      <c r="B2026" s="5" t="s">
        <v>309</v>
      </c>
      <c r="C2026" s="3" t="s">
        <v>110</v>
      </c>
      <c r="D2026" s="3" t="s">
        <v>24</v>
      </c>
      <c r="E2026" s="5">
        <v>1.0</v>
      </c>
      <c r="F2026" s="84" t="s">
        <v>2114</v>
      </c>
      <c r="G2026" s="3" t="s">
        <v>224</v>
      </c>
      <c r="J2026" s="5">
        <v>1.0</v>
      </c>
      <c r="N2026" s="3" t="b">
        <v>0</v>
      </c>
      <c r="R2026" s="3">
        <v>0.0</v>
      </c>
      <c r="T2026" s="3">
        <v>4.0</v>
      </c>
      <c r="U2026" s="3">
        <v>7.5</v>
      </c>
      <c r="V2026" s="3" t="s">
        <v>2128</v>
      </c>
      <c r="W2026" s="3" t="s">
        <v>311</v>
      </c>
      <c r="X2026" s="77" t="s">
        <v>2116</v>
      </c>
      <c r="Y2026" s="3">
        <v>5.0</v>
      </c>
      <c r="Z2026" s="3">
        <v>1.0</v>
      </c>
      <c r="AA2026" s="3">
        <f>2+ (P2026*'Scoring System'!$B$3)+ (IF(OR(AD2026="DEF",AD2026="GK"),N2026*'Scoring System'!$B$4,IF(AD2026="MID",N2026*'Scoring System'!$B$5,0)))+ (IF(OR(AD2026="DEF",AD2026="GK"),H2026*'Scoring System'!$B$6,IF(AD2026="MID",H2026*'Scoring System'!$B$7,IF(AD2026="ATT",H2026*'Scoring System'!$B$8,0))))+ IF(AND(OR(AD2026="GK",AD2026="DEF"),J2026&gt;=3),1*'Scoring System'!$B$9,0)+ (I2026*'Scoring System'!$B$10)+ (K2026*'Scoring System'!$B$11)+ (M2026*'Scoring System'!$B$12)+ (L2026*'Scoring System'!$B$13)+ (O2026*'Scoring System'!$B$14)+ (Q2026*'Scoring System'!$B$15)+ (R2026*'Scoring System'!$B$16)</f>
        <v>2</v>
      </c>
      <c r="AB2026" s="3" t="b">
        <f>IFERROR(match(C2026,'Match Day Fees'!$B$2:$B$999,0),0)=0</f>
        <v>0</v>
      </c>
      <c r="AC2026" s="3">
        <f t="shared" si="2"/>
        <v>1</v>
      </c>
      <c r="AD2026" s="3" t="str">
        <f>VLOOKUP(D2026,'Position Lookup'!A:B,2,FALSE)</f>
        <v>ATT</v>
      </c>
    </row>
    <row r="2027" ht="17.25" customHeight="1">
      <c r="A2027" s="32">
        <v>45388.0</v>
      </c>
      <c r="B2027" s="5" t="s">
        <v>309</v>
      </c>
      <c r="C2027" s="3" t="s">
        <v>107</v>
      </c>
      <c r="D2027" s="3" t="s">
        <v>13</v>
      </c>
      <c r="E2027" s="5">
        <v>1.0</v>
      </c>
      <c r="F2027" s="84" t="s">
        <v>2114</v>
      </c>
      <c r="G2027" s="3" t="s">
        <v>224</v>
      </c>
      <c r="J2027" s="5">
        <v>1.0</v>
      </c>
      <c r="N2027" s="3" t="b">
        <v>0</v>
      </c>
      <c r="R2027" s="3">
        <v>0.0</v>
      </c>
      <c r="T2027" s="3">
        <v>5.0</v>
      </c>
      <c r="U2027" s="3">
        <v>8.0</v>
      </c>
      <c r="V2027" s="3" t="s">
        <v>2129</v>
      </c>
      <c r="W2027" s="3" t="s">
        <v>311</v>
      </c>
      <c r="X2027" s="77" t="s">
        <v>2116</v>
      </c>
      <c r="Y2027" s="3">
        <v>5.0</v>
      </c>
      <c r="Z2027" s="3">
        <v>1.0</v>
      </c>
      <c r="AA2027" s="3">
        <f>2+ (P2027*'Scoring System'!$B$3)+ (IF(OR(AD2027="DEF",AD2027="GK"),N2027*'Scoring System'!$B$4,IF(AD2027="MID",N2027*'Scoring System'!$B$5,0)))+ (IF(OR(AD2027="DEF",AD2027="GK"),H2027*'Scoring System'!$B$6,IF(AD2027="MID",H2027*'Scoring System'!$B$7,IF(AD2027="ATT",H2027*'Scoring System'!$B$8,0))))+ IF(AND(OR(AD2027="GK",AD2027="DEF"),J2027&gt;=3),1*'Scoring System'!$B$9,0)+ (I2027*'Scoring System'!$B$10)+ (K2027*'Scoring System'!$B$11)+ (M2027*'Scoring System'!$B$12)+ (L2027*'Scoring System'!$B$13)+ (O2027*'Scoring System'!$B$14)+ (Q2027*'Scoring System'!$B$15)+ (R2027*'Scoring System'!$B$16)</f>
        <v>2</v>
      </c>
      <c r="AB2027" s="3" t="b">
        <f>IFERROR(match(C2027,'Match Day Fees'!$B$2:$B$999,0),0)=0</f>
        <v>0</v>
      </c>
      <c r="AC2027" s="3">
        <f t="shared" si="2"/>
        <v>1</v>
      </c>
      <c r="AD2027" s="3" t="str">
        <f>VLOOKUP(D2027,'Position Lookup'!A:B,2,FALSE)</f>
        <v>DEF</v>
      </c>
    </row>
    <row r="2028" ht="17.25" customHeight="1">
      <c r="A2028" s="32">
        <v>45388.0</v>
      </c>
      <c r="B2028" s="5" t="s">
        <v>309</v>
      </c>
      <c r="C2028" s="3" t="s">
        <v>254</v>
      </c>
      <c r="D2028" s="3" t="s">
        <v>8</v>
      </c>
      <c r="E2028" s="5">
        <v>3.0</v>
      </c>
      <c r="F2028" s="3" t="s">
        <v>2130</v>
      </c>
      <c r="G2028" s="3" t="s">
        <v>242</v>
      </c>
      <c r="J2028" s="5">
        <v>2.0</v>
      </c>
      <c r="N2028" s="3" t="b">
        <v>0</v>
      </c>
      <c r="R2028" s="3">
        <v>0.0</v>
      </c>
      <c r="S2028" s="3" t="b">
        <v>1</v>
      </c>
      <c r="T2028" s="3">
        <v>0.0</v>
      </c>
      <c r="U2028" s="3">
        <v>7.0</v>
      </c>
      <c r="V2028" s="3" t="s">
        <v>2131</v>
      </c>
      <c r="W2028" s="3" t="s">
        <v>344</v>
      </c>
      <c r="X2028" s="77" t="s">
        <v>2132</v>
      </c>
      <c r="Y2028" s="3">
        <v>2.0</v>
      </c>
      <c r="Z2028" s="3">
        <v>2.0</v>
      </c>
      <c r="AA2028" s="3">
        <f>2+ (P2028*'Scoring System'!$B$3)+ (IF(OR(AD2028="DEF",AD2028="GK"),N2028*'Scoring System'!$B$4,IF(AD2028="MID",N2028*'Scoring System'!$B$5,0)))+ (IF(OR(AD2028="DEF",AD2028="GK"),H2028*'Scoring System'!$B$6,IF(AD2028="MID",H2028*'Scoring System'!$B$7,IF(AD2028="ATT",H2028*'Scoring System'!$B$8,0))))+ IF(AND(OR(AD2028="GK",AD2028="DEF"),J2028&gt;=3),1*'Scoring System'!$B$9,0)+ (I2028*'Scoring System'!$B$10)+ (K2028*'Scoring System'!$B$11)+ (M2028*'Scoring System'!$B$12)+ (L2028*'Scoring System'!$B$13)+ (O2028*'Scoring System'!$B$14)+ (Q2028*'Scoring System'!$B$15)+ (R2028*'Scoring System'!$B$16)</f>
        <v>2</v>
      </c>
      <c r="AB2028" s="3" t="b">
        <f>IFERROR(match(C2028,'Match Day Fees'!$B$2:$B$999,0),0)=0</f>
        <v>0</v>
      </c>
      <c r="AC2028" s="3">
        <f t="shared" si="2"/>
        <v>1</v>
      </c>
      <c r="AD2028" s="3" t="str">
        <f>VLOOKUP(D2028,'Position Lookup'!A:B,2,FALSE)</f>
        <v>GK</v>
      </c>
    </row>
    <row r="2029" ht="17.25" customHeight="1">
      <c r="A2029" s="32">
        <v>45388.0</v>
      </c>
      <c r="B2029" s="5" t="s">
        <v>309</v>
      </c>
      <c r="C2029" s="3" t="s">
        <v>256</v>
      </c>
      <c r="D2029" s="3" t="s">
        <v>16</v>
      </c>
      <c r="E2029" s="5">
        <v>3.0</v>
      </c>
      <c r="F2029" s="3" t="s">
        <v>2130</v>
      </c>
      <c r="G2029" s="3" t="s">
        <v>242</v>
      </c>
      <c r="J2029" s="5">
        <v>2.0</v>
      </c>
      <c r="N2029" s="3" t="b">
        <v>0</v>
      </c>
      <c r="R2029" s="3">
        <v>0.0</v>
      </c>
      <c r="T2029" s="3">
        <v>5.0</v>
      </c>
      <c r="U2029" s="3">
        <v>6.5</v>
      </c>
      <c r="V2029" s="3" t="s">
        <v>2133</v>
      </c>
      <c r="W2029" s="3" t="s">
        <v>344</v>
      </c>
      <c r="X2029" s="77" t="s">
        <v>2132</v>
      </c>
      <c r="Y2029" s="3">
        <v>2.0</v>
      </c>
      <c r="Z2029" s="3">
        <v>2.0</v>
      </c>
      <c r="AA2029" s="3">
        <f>2+ (P2029*'Scoring System'!$B$3)+ (IF(OR(AD2029="DEF",AD2029="GK"),N2029*'Scoring System'!$B$4,IF(AD2029="MID",N2029*'Scoring System'!$B$5,0)))+ (IF(OR(AD2029="DEF",AD2029="GK"),H2029*'Scoring System'!$B$6,IF(AD2029="MID",H2029*'Scoring System'!$B$7,IF(AD2029="ATT",H2029*'Scoring System'!$B$8,0))))+ IF(AND(OR(AD2029="GK",AD2029="DEF"),J2029&gt;=3),1*'Scoring System'!$B$9,0)+ (I2029*'Scoring System'!$B$10)+ (K2029*'Scoring System'!$B$11)+ (M2029*'Scoring System'!$B$12)+ (L2029*'Scoring System'!$B$13)+ (O2029*'Scoring System'!$B$14)+ (Q2029*'Scoring System'!$B$15)+ (R2029*'Scoring System'!$B$16)</f>
        <v>2</v>
      </c>
      <c r="AB2029" s="3" t="b">
        <f>IFERROR(match(C2029,'Match Day Fees'!$B$2:$B$999,0),0)=0</f>
        <v>0</v>
      </c>
      <c r="AC2029" s="3">
        <f t="shared" si="2"/>
        <v>1</v>
      </c>
      <c r="AD2029" s="3" t="str">
        <f>VLOOKUP(D2029,'Position Lookup'!A:B,2,FALSE)</f>
        <v>DEF</v>
      </c>
    </row>
    <row r="2030" ht="17.25" customHeight="1">
      <c r="A2030" s="32">
        <v>45388.0</v>
      </c>
      <c r="B2030" s="5" t="s">
        <v>309</v>
      </c>
      <c r="C2030" s="3" t="s">
        <v>39</v>
      </c>
      <c r="D2030" s="3" t="s">
        <v>14</v>
      </c>
      <c r="E2030" s="5">
        <v>3.0</v>
      </c>
      <c r="F2030" s="3" t="s">
        <v>2130</v>
      </c>
      <c r="G2030" s="3" t="s">
        <v>242</v>
      </c>
      <c r="J2030" s="5">
        <v>2.0</v>
      </c>
      <c r="N2030" s="3" t="b">
        <v>0</v>
      </c>
      <c r="R2030" s="3">
        <v>0.0</v>
      </c>
      <c r="T2030" s="3">
        <v>10.0</v>
      </c>
      <c r="U2030" s="3">
        <v>8.0</v>
      </c>
      <c r="V2030" s="3" t="s">
        <v>2134</v>
      </c>
      <c r="W2030" s="3" t="s">
        <v>344</v>
      </c>
      <c r="X2030" s="77" t="s">
        <v>2132</v>
      </c>
      <c r="Y2030" s="3">
        <v>2.0</v>
      </c>
      <c r="Z2030" s="3">
        <v>2.0</v>
      </c>
      <c r="AA2030" s="3">
        <f>2+ (P2030*'Scoring System'!$B$3)+ (IF(OR(AD2030="DEF",AD2030="GK"),N2030*'Scoring System'!$B$4,IF(AD2030="MID",N2030*'Scoring System'!$B$5,0)))+ (IF(OR(AD2030="DEF",AD2030="GK"),H2030*'Scoring System'!$B$6,IF(AD2030="MID",H2030*'Scoring System'!$B$7,IF(AD2030="ATT",H2030*'Scoring System'!$B$8,0))))+ IF(AND(OR(AD2030="GK",AD2030="DEF"),J2030&gt;=3),1*'Scoring System'!$B$9,0)+ (I2030*'Scoring System'!$B$10)+ (K2030*'Scoring System'!$B$11)+ (M2030*'Scoring System'!$B$12)+ (L2030*'Scoring System'!$B$13)+ (O2030*'Scoring System'!$B$14)+ (Q2030*'Scoring System'!$B$15)+ (R2030*'Scoring System'!$B$16)</f>
        <v>2</v>
      </c>
      <c r="AB2030" s="3" t="b">
        <f>IFERROR(match(C2030,'Match Day Fees'!$B$2:$B$999,0),0)=0</f>
        <v>0</v>
      </c>
      <c r="AC2030" s="3">
        <f t="shared" si="2"/>
        <v>1</v>
      </c>
      <c r="AD2030" s="3" t="str">
        <f>VLOOKUP(D2030,'Position Lookup'!A:B,2,FALSE)</f>
        <v>DEF</v>
      </c>
    </row>
    <row r="2031" ht="17.25" customHeight="1">
      <c r="A2031" s="32">
        <v>45388.0</v>
      </c>
      <c r="B2031" s="5" t="s">
        <v>309</v>
      </c>
      <c r="C2031" s="3" t="s">
        <v>42</v>
      </c>
      <c r="D2031" s="3" t="s">
        <v>14</v>
      </c>
      <c r="E2031" s="5">
        <v>3.0</v>
      </c>
      <c r="F2031" s="3" t="s">
        <v>2130</v>
      </c>
      <c r="G2031" s="3" t="s">
        <v>242</v>
      </c>
      <c r="J2031" s="5">
        <v>2.0</v>
      </c>
      <c r="K2031" s="3">
        <v>1.0</v>
      </c>
      <c r="N2031" s="3" t="b">
        <v>0</v>
      </c>
      <c r="R2031" s="3">
        <v>0.0</v>
      </c>
      <c r="T2031" s="3">
        <v>10.0</v>
      </c>
      <c r="U2031" s="3">
        <v>7.5</v>
      </c>
      <c r="V2031" s="3" t="s">
        <v>2135</v>
      </c>
      <c r="W2031" s="3" t="s">
        <v>344</v>
      </c>
      <c r="X2031" s="77" t="s">
        <v>2132</v>
      </c>
      <c r="Y2031" s="3">
        <v>2.0</v>
      </c>
      <c r="Z2031" s="3">
        <v>2.0</v>
      </c>
      <c r="AA2031" s="3">
        <f>2+ (P2031*'Scoring System'!$B$3)+ (IF(OR(AD2031="DEF",AD2031="GK"),N2031*'Scoring System'!$B$4,IF(AD2031="MID",N2031*'Scoring System'!$B$5,0)))+ (IF(OR(AD2031="DEF",AD2031="GK"),H2031*'Scoring System'!$B$6,IF(AD2031="MID",H2031*'Scoring System'!$B$7,IF(AD2031="ATT",H2031*'Scoring System'!$B$8,0))))+ IF(AND(OR(AD2031="GK",AD2031="DEF"),J2031&gt;=3),1*'Scoring System'!$B$9,0)+ (I2031*'Scoring System'!$B$10)+ (K2031*'Scoring System'!$B$11)+ (M2031*'Scoring System'!$B$12)+ (L2031*'Scoring System'!$B$13)+ (O2031*'Scoring System'!$B$14)+ (Q2031*'Scoring System'!$B$15)+ (R2031*'Scoring System'!$B$16)</f>
        <v>1</v>
      </c>
      <c r="AB2031" s="3" t="b">
        <f>IFERROR(match(C2031,'Match Day Fees'!$B$2:$B$999,0),0)=0</f>
        <v>0</v>
      </c>
      <c r="AC2031" s="3">
        <f t="shared" si="2"/>
        <v>1</v>
      </c>
      <c r="AD2031" s="3" t="str">
        <f>VLOOKUP(D2031,'Position Lookup'!A:B,2,FALSE)</f>
        <v>DEF</v>
      </c>
    </row>
    <row r="2032" ht="17.25" customHeight="1">
      <c r="A2032" s="32">
        <v>45388.0</v>
      </c>
      <c r="B2032" s="5" t="s">
        <v>309</v>
      </c>
      <c r="C2032" s="3" t="s">
        <v>1253</v>
      </c>
      <c r="D2032" s="3" t="s">
        <v>12</v>
      </c>
      <c r="E2032" s="5">
        <v>3.0</v>
      </c>
      <c r="F2032" s="3" t="s">
        <v>2130</v>
      </c>
      <c r="G2032" s="3" t="s">
        <v>242</v>
      </c>
      <c r="J2032" s="5">
        <v>2.0</v>
      </c>
      <c r="N2032" s="3" t="b">
        <v>0</v>
      </c>
      <c r="R2032" s="3">
        <v>0.0</v>
      </c>
      <c r="T2032" s="3">
        <v>5.0</v>
      </c>
      <c r="U2032" s="3">
        <v>6.0</v>
      </c>
      <c r="V2032" s="3" t="s">
        <v>2136</v>
      </c>
      <c r="W2032" s="3" t="s">
        <v>344</v>
      </c>
      <c r="X2032" s="77" t="s">
        <v>2132</v>
      </c>
      <c r="Y2032" s="3">
        <v>2.0</v>
      </c>
      <c r="Z2032" s="3">
        <v>2.0</v>
      </c>
      <c r="AA2032" s="3">
        <f>2+ (P2032*'Scoring System'!$B$3)+ (IF(OR(AD2032="DEF",AD2032="GK"),N2032*'Scoring System'!$B$4,IF(AD2032="MID",N2032*'Scoring System'!$B$5,0)))+ (IF(OR(AD2032="DEF",AD2032="GK"),H2032*'Scoring System'!$B$6,IF(AD2032="MID",H2032*'Scoring System'!$B$7,IF(AD2032="ATT",H2032*'Scoring System'!$B$8,0))))+ IF(AND(OR(AD2032="GK",AD2032="DEF"),J2032&gt;=3),1*'Scoring System'!$B$9,0)+ (I2032*'Scoring System'!$B$10)+ (K2032*'Scoring System'!$B$11)+ (M2032*'Scoring System'!$B$12)+ (L2032*'Scoring System'!$B$13)+ (O2032*'Scoring System'!$B$14)+ (Q2032*'Scoring System'!$B$15)+ (R2032*'Scoring System'!$B$16)</f>
        <v>2</v>
      </c>
      <c r="AB2032" s="3" t="b">
        <f>IFERROR(match(C2032,'Match Day Fees'!$B$2:$B$999,0),0)=0</f>
        <v>0</v>
      </c>
      <c r="AC2032" s="3">
        <f t="shared" si="2"/>
        <v>1</v>
      </c>
      <c r="AD2032" s="3" t="str">
        <f>VLOOKUP(D2032,'Position Lookup'!A:B,2,FALSE)</f>
        <v>DEF</v>
      </c>
    </row>
    <row r="2033" ht="17.25" customHeight="1">
      <c r="A2033" s="32">
        <v>45388.0</v>
      </c>
      <c r="B2033" s="5" t="s">
        <v>309</v>
      </c>
      <c r="C2033" s="3" t="s">
        <v>151</v>
      </c>
      <c r="D2033" s="3" t="s">
        <v>20</v>
      </c>
      <c r="E2033" s="5">
        <v>3.0</v>
      </c>
      <c r="F2033" s="3" t="s">
        <v>2130</v>
      </c>
      <c r="G2033" s="3" t="s">
        <v>242</v>
      </c>
      <c r="I2033" s="3">
        <v>1.0</v>
      </c>
      <c r="J2033" s="5">
        <v>2.0</v>
      </c>
      <c r="K2033" s="3">
        <v>1.0</v>
      </c>
      <c r="N2033" s="3" t="b">
        <v>0</v>
      </c>
      <c r="R2033" s="3">
        <v>1.0</v>
      </c>
      <c r="T2033" s="3">
        <v>5.0</v>
      </c>
      <c r="U2033" s="3">
        <v>8.5</v>
      </c>
      <c r="V2033" s="3" t="s">
        <v>2137</v>
      </c>
      <c r="W2033" s="3" t="s">
        <v>344</v>
      </c>
      <c r="X2033" s="77" t="s">
        <v>2132</v>
      </c>
      <c r="Y2033" s="3">
        <v>2.0</v>
      </c>
      <c r="Z2033" s="3">
        <v>2.0</v>
      </c>
      <c r="AA2033" s="3">
        <f>2+ (P2033*'Scoring System'!$B$3)+ (IF(OR(AD2033="DEF",AD2033="GK"),N2033*'Scoring System'!$B$4,IF(AD2033="MID",N2033*'Scoring System'!$B$5,0)))+ (IF(OR(AD2033="DEF",AD2033="GK"),H2033*'Scoring System'!$B$6,IF(AD2033="MID",H2033*'Scoring System'!$B$7,IF(AD2033="ATT",H2033*'Scoring System'!$B$8,0))))+ IF(AND(OR(AD2033="GK",AD2033="DEF"),J2033&gt;=3),1*'Scoring System'!$B$9,0)+ (I2033*'Scoring System'!$B$10)+ (K2033*'Scoring System'!$B$11)+ (M2033*'Scoring System'!$B$12)+ (L2033*'Scoring System'!$B$13)+ (O2033*'Scoring System'!$B$14)+ (Q2033*'Scoring System'!$B$15)+ (R2033*'Scoring System'!$B$16)</f>
        <v>9</v>
      </c>
      <c r="AB2033" s="3" t="b">
        <f>IFERROR(match(C2033,'Match Day Fees'!$B$2:$B$999,0),0)=0</f>
        <v>0</v>
      </c>
      <c r="AC2033" s="3">
        <f t="shared" si="2"/>
        <v>1</v>
      </c>
      <c r="AD2033" s="3" t="str">
        <f>VLOOKUP(D2033,'Position Lookup'!A:B,2,FALSE)</f>
        <v>MID</v>
      </c>
    </row>
    <row r="2034" ht="17.25" customHeight="1">
      <c r="A2034" s="32">
        <v>45388.0</v>
      </c>
      <c r="B2034" s="5" t="s">
        <v>309</v>
      </c>
      <c r="C2034" s="3" t="s">
        <v>112</v>
      </c>
      <c r="D2034" s="3" t="s">
        <v>20</v>
      </c>
      <c r="E2034" s="5">
        <v>3.0</v>
      </c>
      <c r="F2034" s="3" t="s">
        <v>2130</v>
      </c>
      <c r="G2034" s="3" t="s">
        <v>242</v>
      </c>
      <c r="J2034" s="5">
        <v>2.0</v>
      </c>
      <c r="K2034" s="3">
        <v>1.0</v>
      </c>
      <c r="N2034" s="3" t="b">
        <v>0</v>
      </c>
      <c r="R2034" s="3">
        <v>0.0</v>
      </c>
      <c r="T2034" s="3">
        <v>10.0</v>
      </c>
      <c r="U2034" s="3">
        <v>7.0</v>
      </c>
      <c r="V2034" s="3" t="s">
        <v>2138</v>
      </c>
      <c r="W2034" s="3" t="s">
        <v>344</v>
      </c>
      <c r="X2034" s="77" t="s">
        <v>2132</v>
      </c>
      <c r="Y2034" s="3">
        <v>2.0</v>
      </c>
      <c r="Z2034" s="3">
        <v>2.0</v>
      </c>
      <c r="AA2034" s="3">
        <f>2+ (P2034*'Scoring System'!$B$3)+ (IF(OR(AD2034="DEF",AD2034="GK"),N2034*'Scoring System'!$B$4,IF(AD2034="MID",N2034*'Scoring System'!$B$5,0)))+ (IF(OR(AD2034="DEF",AD2034="GK"),H2034*'Scoring System'!$B$6,IF(AD2034="MID",H2034*'Scoring System'!$B$7,IF(AD2034="ATT",H2034*'Scoring System'!$B$8,0))))+ IF(AND(OR(AD2034="GK",AD2034="DEF"),J2034&gt;=3),1*'Scoring System'!$B$9,0)+ (I2034*'Scoring System'!$B$10)+ (K2034*'Scoring System'!$B$11)+ (M2034*'Scoring System'!$B$12)+ (L2034*'Scoring System'!$B$13)+ (O2034*'Scoring System'!$B$14)+ (Q2034*'Scoring System'!$B$15)+ (R2034*'Scoring System'!$B$16)</f>
        <v>1</v>
      </c>
      <c r="AB2034" s="3" t="b">
        <f>IFERROR(match(C2034,'Match Day Fees'!$B$2:$B$999,0),0)=0</f>
        <v>0</v>
      </c>
      <c r="AC2034" s="3">
        <f t="shared" si="2"/>
        <v>1</v>
      </c>
      <c r="AD2034" s="3" t="str">
        <f>VLOOKUP(D2034,'Position Lookup'!A:B,2,FALSE)</f>
        <v>MID</v>
      </c>
    </row>
    <row r="2035" ht="17.25" customHeight="1">
      <c r="A2035" s="32">
        <v>45388.0</v>
      </c>
      <c r="B2035" s="5" t="s">
        <v>309</v>
      </c>
      <c r="C2035" s="3" t="s">
        <v>130</v>
      </c>
      <c r="D2035" s="3" t="s">
        <v>20</v>
      </c>
      <c r="E2035" s="5">
        <v>3.0</v>
      </c>
      <c r="F2035" s="3" t="s">
        <v>2130</v>
      </c>
      <c r="G2035" s="3" t="s">
        <v>242</v>
      </c>
      <c r="J2035" s="5">
        <v>2.0</v>
      </c>
      <c r="N2035" s="3" t="b">
        <v>0</v>
      </c>
      <c r="R2035" s="3">
        <v>0.0</v>
      </c>
      <c r="T2035" s="3">
        <v>0.0</v>
      </c>
      <c r="U2035" s="3">
        <v>6.5</v>
      </c>
      <c r="V2035" s="3" t="s">
        <v>2139</v>
      </c>
      <c r="W2035" s="3" t="s">
        <v>344</v>
      </c>
      <c r="X2035" s="77" t="s">
        <v>2132</v>
      </c>
      <c r="Y2035" s="3">
        <v>2.0</v>
      </c>
      <c r="Z2035" s="3">
        <v>2.0</v>
      </c>
      <c r="AA2035" s="3">
        <f>2+ (P2035*'Scoring System'!$B$3)+ (IF(OR(AD2035="DEF",AD2035="GK"),N2035*'Scoring System'!$B$4,IF(AD2035="MID",N2035*'Scoring System'!$B$5,0)))+ (IF(OR(AD2035="DEF",AD2035="GK"),H2035*'Scoring System'!$B$6,IF(AD2035="MID",H2035*'Scoring System'!$B$7,IF(AD2035="ATT",H2035*'Scoring System'!$B$8,0))))+ IF(AND(OR(AD2035="GK",AD2035="DEF"),J2035&gt;=3),1*'Scoring System'!$B$9,0)+ (I2035*'Scoring System'!$B$10)+ (K2035*'Scoring System'!$B$11)+ (M2035*'Scoring System'!$B$12)+ (L2035*'Scoring System'!$B$13)+ (O2035*'Scoring System'!$B$14)+ (Q2035*'Scoring System'!$B$15)+ (R2035*'Scoring System'!$B$16)</f>
        <v>2</v>
      </c>
      <c r="AB2035" s="3" t="b">
        <f>IFERROR(match(C2035,'Match Day Fees'!$B$2:$B$999,0),0)=0</f>
        <v>0</v>
      </c>
      <c r="AC2035" s="3">
        <f t="shared" si="2"/>
        <v>1</v>
      </c>
      <c r="AD2035" s="3" t="str">
        <f>VLOOKUP(D2035,'Position Lookup'!A:B,2,FALSE)</f>
        <v>MID</v>
      </c>
    </row>
    <row r="2036" ht="17.25" customHeight="1">
      <c r="A2036" s="32">
        <v>45388.0</v>
      </c>
      <c r="B2036" s="5" t="s">
        <v>309</v>
      </c>
      <c r="C2036" s="3" t="s">
        <v>109</v>
      </c>
      <c r="D2036" s="3" t="s">
        <v>23</v>
      </c>
      <c r="E2036" s="5">
        <v>3.0</v>
      </c>
      <c r="F2036" s="3" t="s">
        <v>2130</v>
      </c>
      <c r="G2036" s="3" t="s">
        <v>242</v>
      </c>
      <c r="J2036" s="5">
        <v>2.0</v>
      </c>
      <c r="N2036" s="3" t="b">
        <v>0</v>
      </c>
      <c r="R2036" s="3">
        <v>0.0</v>
      </c>
      <c r="T2036" s="3">
        <v>5.0</v>
      </c>
      <c r="U2036" s="3">
        <v>7.5</v>
      </c>
      <c r="V2036" s="3" t="s">
        <v>2140</v>
      </c>
      <c r="W2036" s="3" t="s">
        <v>344</v>
      </c>
      <c r="X2036" s="77" t="s">
        <v>2132</v>
      </c>
      <c r="Y2036" s="3">
        <v>2.0</v>
      </c>
      <c r="Z2036" s="3">
        <v>2.0</v>
      </c>
      <c r="AA2036" s="3">
        <f>2+ (P2036*'Scoring System'!$B$3)+ (IF(OR(AD2036="DEF",AD2036="GK"),N2036*'Scoring System'!$B$4,IF(AD2036="MID",N2036*'Scoring System'!$B$5,0)))+ (IF(OR(AD2036="DEF",AD2036="GK"),H2036*'Scoring System'!$B$6,IF(AD2036="MID",H2036*'Scoring System'!$B$7,IF(AD2036="ATT",H2036*'Scoring System'!$B$8,0))))+ IF(AND(OR(AD2036="GK",AD2036="DEF"),J2036&gt;=3),1*'Scoring System'!$B$9,0)+ (I2036*'Scoring System'!$B$10)+ (K2036*'Scoring System'!$B$11)+ (M2036*'Scoring System'!$B$12)+ (L2036*'Scoring System'!$B$13)+ (O2036*'Scoring System'!$B$14)+ (Q2036*'Scoring System'!$B$15)+ (R2036*'Scoring System'!$B$16)</f>
        <v>2</v>
      </c>
      <c r="AB2036" s="3" t="b">
        <f>IFERROR(match(C2036,'Match Day Fees'!$B$2:$B$999,0),0)=0</f>
        <v>0</v>
      </c>
      <c r="AC2036" s="3">
        <f t="shared" si="2"/>
        <v>1</v>
      </c>
      <c r="AD2036" s="3" t="str">
        <f>VLOOKUP(D2036,'Position Lookup'!A:B,2,FALSE)</f>
        <v>ATT</v>
      </c>
    </row>
    <row r="2037" ht="17.25" customHeight="1">
      <c r="A2037" s="32">
        <v>45388.0</v>
      </c>
      <c r="B2037" s="5" t="s">
        <v>309</v>
      </c>
      <c r="C2037" s="3" t="s">
        <v>46</v>
      </c>
      <c r="D2037" s="3" t="s">
        <v>21</v>
      </c>
      <c r="E2037" s="5">
        <v>3.0</v>
      </c>
      <c r="F2037" s="3" t="s">
        <v>2130</v>
      </c>
      <c r="G2037" s="3" t="s">
        <v>242</v>
      </c>
      <c r="J2037" s="5">
        <v>2.0</v>
      </c>
      <c r="N2037" s="3" t="b">
        <v>0</v>
      </c>
      <c r="R2037" s="3">
        <v>0.0</v>
      </c>
      <c r="T2037" s="3">
        <v>10.0</v>
      </c>
      <c r="U2037" s="3">
        <v>8.0</v>
      </c>
      <c r="V2037" s="3" t="s">
        <v>2141</v>
      </c>
      <c r="W2037" s="3" t="s">
        <v>344</v>
      </c>
      <c r="X2037" s="77" t="s">
        <v>2132</v>
      </c>
      <c r="Y2037" s="3">
        <v>2.0</v>
      </c>
      <c r="Z2037" s="3">
        <v>2.0</v>
      </c>
      <c r="AA2037" s="3">
        <f>2+ (P2037*'Scoring System'!$B$3)+ (IF(OR(AD2037="DEF",AD2037="GK"),N2037*'Scoring System'!$B$4,IF(AD2037="MID",N2037*'Scoring System'!$B$5,0)))+ (IF(OR(AD2037="DEF",AD2037="GK"),H2037*'Scoring System'!$B$6,IF(AD2037="MID",H2037*'Scoring System'!$B$7,IF(AD2037="ATT",H2037*'Scoring System'!$B$8,0))))+ IF(AND(OR(AD2037="GK",AD2037="DEF"),J2037&gt;=3),1*'Scoring System'!$B$9,0)+ (I2037*'Scoring System'!$B$10)+ (K2037*'Scoring System'!$B$11)+ (M2037*'Scoring System'!$B$12)+ (L2037*'Scoring System'!$B$13)+ (O2037*'Scoring System'!$B$14)+ (Q2037*'Scoring System'!$B$15)+ (R2037*'Scoring System'!$B$16)</f>
        <v>2</v>
      </c>
      <c r="AB2037" s="3" t="b">
        <f>IFERROR(match(C2037,'Match Day Fees'!$B$2:$B$999,0),0)=0</f>
        <v>0</v>
      </c>
      <c r="AC2037" s="3">
        <f t="shared" si="2"/>
        <v>1</v>
      </c>
      <c r="AD2037" s="3" t="str">
        <f>VLOOKUP(D2037,'Position Lookup'!A:B,2,FALSE)</f>
        <v>MID</v>
      </c>
    </row>
    <row r="2038" ht="17.25" customHeight="1">
      <c r="A2038" s="32">
        <v>45388.0</v>
      </c>
      <c r="B2038" s="5" t="s">
        <v>309</v>
      </c>
      <c r="C2038" s="3" t="s">
        <v>48</v>
      </c>
      <c r="D2038" s="3" t="s">
        <v>22</v>
      </c>
      <c r="E2038" s="5">
        <v>3.0</v>
      </c>
      <c r="F2038" s="3" t="s">
        <v>2130</v>
      </c>
      <c r="G2038" s="3" t="s">
        <v>242</v>
      </c>
      <c r="H2038" s="3">
        <v>1.0</v>
      </c>
      <c r="J2038" s="5">
        <v>2.0</v>
      </c>
      <c r="N2038" s="3" t="b">
        <v>0</v>
      </c>
      <c r="R2038" s="3">
        <v>0.0</v>
      </c>
      <c r="T2038" s="3">
        <v>10.0</v>
      </c>
      <c r="U2038" s="3">
        <v>7.0</v>
      </c>
      <c r="V2038" s="3" t="s">
        <v>2142</v>
      </c>
      <c r="W2038" s="3" t="s">
        <v>344</v>
      </c>
      <c r="X2038" s="77" t="s">
        <v>2132</v>
      </c>
      <c r="Y2038" s="3">
        <v>2.0</v>
      </c>
      <c r="Z2038" s="3">
        <v>2.0</v>
      </c>
      <c r="AA2038" s="3">
        <f>2+ (P2038*'Scoring System'!$B$3)+ (IF(OR(AD2038="DEF",AD2038="GK"),N2038*'Scoring System'!$B$4,IF(AD2038="MID",N2038*'Scoring System'!$B$5,0)))+ (IF(OR(AD2038="DEF",AD2038="GK"),H2038*'Scoring System'!$B$6,IF(AD2038="MID",H2038*'Scoring System'!$B$7,IF(AD2038="ATT",H2038*'Scoring System'!$B$8,0))))+ IF(AND(OR(AD2038="GK",AD2038="DEF"),J2038&gt;=3),1*'Scoring System'!$B$9,0)+ (I2038*'Scoring System'!$B$10)+ (K2038*'Scoring System'!$B$11)+ (M2038*'Scoring System'!$B$12)+ (L2038*'Scoring System'!$B$13)+ (O2038*'Scoring System'!$B$14)+ (Q2038*'Scoring System'!$B$15)+ (R2038*'Scoring System'!$B$16)</f>
        <v>6</v>
      </c>
      <c r="AB2038" s="3" t="b">
        <f>IFERROR(match(C2038,'Match Day Fees'!$B$2:$B$999,0),0)=0</f>
        <v>0</v>
      </c>
      <c r="AC2038" s="3">
        <f t="shared" si="2"/>
        <v>1</v>
      </c>
      <c r="AD2038" s="3" t="str">
        <f>VLOOKUP(D2038,'Position Lookup'!A:B,2,FALSE)</f>
        <v>ATT</v>
      </c>
    </row>
    <row r="2039" ht="17.25" customHeight="1">
      <c r="A2039" s="32">
        <v>45388.0</v>
      </c>
      <c r="B2039" s="5" t="s">
        <v>309</v>
      </c>
      <c r="C2039" s="3" t="s">
        <v>79</v>
      </c>
      <c r="D2039" s="3" t="s">
        <v>24</v>
      </c>
      <c r="E2039" s="5">
        <v>3.0</v>
      </c>
      <c r="F2039" s="3" t="s">
        <v>2130</v>
      </c>
      <c r="G2039" s="3" t="s">
        <v>242</v>
      </c>
      <c r="H2039" s="3">
        <v>1.0</v>
      </c>
      <c r="I2039" s="3">
        <v>1.0</v>
      </c>
      <c r="J2039" s="5">
        <v>2.0</v>
      </c>
      <c r="N2039" s="3" t="b">
        <v>0</v>
      </c>
      <c r="R2039" s="3">
        <v>0.0</v>
      </c>
      <c r="T2039" s="3">
        <v>10.0</v>
      </c>
      <c r="U2039" s="3">
        <v>7.5</v>
      </c>
      <c r="V2039" s="3" t="s">
        <v>2143</v>
      </c>
      <c r="W2039" s="3" t="s">
        <v>344</v>
      </c>
      <c r="X2039" s="77" t="s">
        <v>2132</v>
      </c>
      <c r="Y2039" s="3">
        <v>2.0</v>
      </c>
      <c r="Z2039" s="3">
        <v>2.0</v>
      </c>
      <c r="AA2039" s="3">
        <f>2+ (P2039*'Scoring System'!$B$3)+ (IF(OR(AD2039="DEF",AD2039="GK"),N2039*'Scoring System'!$B$4,IF(AD2039="MID",N2039*'Scoring System'!$B$5,0)))+ (IF(OR(AD2039="DEF",AD2039="GK"),H2039*'Scoring System'!$B$6,IF(AD2039="MID",H2039*'Scoring System'!$B$7,IF(AD2039="ATT",H2039*'Scoring System'!$B$8,0))))+ IF(AND(OR(AD2039="GK",AD2039="DEF"),J2039&gt;=3),1*'Scoring System'!$B$9,0)+ (I2039*'Scoring System'!$B$10)+ (K2039*'Scoring System'!$B$11)+ (M2039*'Scoring System'!$B$12)+ (L2039*'Scoring System'!$B$13)+ (O2039*'Scoring System'!$B$14)+ (Q2039*'Scoring System'!$B$15)+ (R2039*'Scoring System'!$B$16)</f>
        <v>9</v>
      </c>
      <c r="AB2039" s="3" t="b">
        <f>IFERROR(match(C2039,'Match Day Fees'!$B$2:$B$999,0),0)=0</f>
        <v>0</v>
      </c>
      <c r="AC2039" s="3">
        <f t="shared" si="2"/>
        <v>1</v>
      </c>
      <c r="AD2039" s="3" t="str">
        <f>VLOOKUP(D2039,'Position Lookup'!A:B,2,FALSE)</f>
        <v>ATT</v>
      </c>
    </row>
    <row r="2040" ht="17.25" customHeight="1">
      <c r="A2040" s="32">
        <v>45388.0</v>
      </c>
      <c r="B2040" s="5" t="s">
        <v>309</v>
      </c>
      <c r="C2040" s="3" t="s">
        <v>125</v>
      </c>
      <c r="D2040" s="3" t="s">
        <v>20</v>
      </c>
      <c r="E2040" s="5">
        <v>3.0</v>
      </c>
      <c r="F2040" s="3" t="s">
        <v>2130</v>
      </c>
      <c r="G2040" s="3" t="s">
        <v>242</v>
      </c>
      <c r="J2040" s="5">
        <v>2.0</v>
      </c>
      <c r="N2040" s="3" t="b">
        <v>0</v>
      </c>
      <c r="R2040" s="3">
        <v>0.0</v>
      </c>
      <c r="T2040" s="3">
        <v>10.0</v>
      </c>
      <c r="U2040" s="3">
        <v>6.5</v>
      </c>
      <c r="V2040" s="3" t="s">
        <v>2144</v>
      </c>
      <c r="W2040" s="3" t="s">
        <v>344</v>
      </c>
      <c r="X2040" s="77" t="s">
        <v>2132</v>
      </c>
      <c r="Y2040" s="3">
        <v>2.0</v>
      </c>
      <c r="Z2040" s="3">
        <v>2.0</v>
      </c>
      <c r="AA2040" s="3">
        <f>2+ (P2040*'Scoring System'!$B$3)+ (IF(OR(AD2040="DEF",AD2040="GK"),N2040*'Scoring System'!$B$4,IF(AD2040="MID",N2040*'Scoring System'!$B$5,0)))+ (IF(OR(AD2040="DEF",AD2040="GK"),H2040*'Scoring System'!$B$6,IF(AD2040="MID",H2040*'Scoring System'!$B$7,IF(AD2040="ATT",H2040*'Scoring System'!$B$8,0))))+ IF(AND(OR(AD2040="GK",AD2040="DEF"),J2040&gt;=3),1*'Scoring System'!$B$9,0)+ (I2040*'Scoring System'!$B$10)+ (K2040*'Scoring System'!$B$11)+ (M2040*'Scoring System'!$B$12)+ (L2040*'Scoring System'!$B$13)+ (O2040*'Scoring System'!$B$14)+ (Q2040*'Scoring System'!$B$15)+ (R2040*'Scoring System'!$B$16)</f>
        <v>2</v>
      </c>
      <c r="AB2040" s="3" t="b">
        <f>IFERROR(match(C2040,'Match Day Fees'!$B$2:$B$999,0),0)=0</f>
        <v>0</v>
      </c>
      <c r="AC2040" s="3">
        <f t="shared" si="2"/>
        <v>1</v>
      </c>
      <c r="AD2040" s="3" t="str">
        <f>VLOOKUP(D2040,'Position Lookup'!A:B,2,FALSE)</f>
        <v>MID</v>
      </c>
    </row>
    <row r="2041" ht="17.25" customHeight="1">
      <c r="A2041" s="32">
        <v>45388.0</v>
      </c>
      <c r="B2041" s="5" t="s">
        <v>309</v>
      </c>
      <c r="C2041" s="3" t="s">
        <v>123</v>
      </c>
      <c r="D2041" s="3" t="s">
        <v>23</v>
      </c>
      <c r="E2041" s="5">
        <v>3.0</v>
      </c>
      <c r="F2041" s="3" t="s">
        <v>2130</v>
      </c>
      <c r="G2041" s="3" t="s">
        <v>242</v>
      </c>
      <c r="J2041" s="5">
        <v>2.0</v>
      </c>
      <c r="N2041" s="3" t="b">
        <v>0</v>
      </c>
      <c r="R2041" s="3">
        <v>0.0</v>
      </c>
      <c r="T2041" s="3">
        <v>10.0</v>
      </c>
      <c r="U2041" s="3">
        <v>6.0</v>
      </c>
      <c r="V2041" s="3" t="s">
        <v>2145</v>
      </c>
      <c r="W2041" s="3" t="s">
        <v>344</v>
      </c>
      <c r="X2041" s="77" t="s">
        <v>2132</v>
      </c>
      <c r="Y2041" s="3">
        <v>2.0</v>
      </c>
      <c r="Z2041" s="3">
        <v>2.0</v>
      </c>
      <c r="AA2041" s="3">
        <f>2+ (P2041*'Scoring System'!$B$3)+ (IF(OR(AD2041="DEF",AD2041="GK"),N2041*'Scoring System'!$B$4,IF(AD2041="MID",N2041*'Scoring System'!$B$5,0)))+ (IF(OR(AD2041="DEF",AD2041="GK"),H2041*'Scoring System'!$B$6,IF(AD2041="MID",H2041*'Scoring System'!$B$7,IF(AD2041="ATT",H2041*'Scoring System'!$B$8,0))))+ IF(AND(OR(AD2041="GK",AD2041="DEF"),J2041&gt;=3),1*'Scoring System'!$B$9,0)+ (I2041*'Scoring System'!$B$10)+ (K2041*'Scoring System'!$B$11)+ (M2041*'Scoring System'!$B$12)+ (L2041*'Scoring System'!$B$13)+ (O2041*'Scoring System'!$B$14)+ (Q2041*'Scoring System'!$B$15)+ (R2041*'Scoring System'!$B$16)</f>
        <v>2</v>
      </c>
      <c r="AB2041" s="3" t="b">
        <f>IFERROR(match(C2041,'Match Day Fees'!$B$2:$B$999,0),0)=0</f>
        <v>0</v>
      </c>
      <c r="AC2041" s="3">
        <f t="shared" si="2"/>
        <v>1</v>
      </c>
      <c r="AD2041" s="3" t="str">
        <f>VLOOKUP(D2041,'Position Lookup'!A:B,2,FALSE)</f>
        <v>ATT</v>
      </c>
    </row>
    <row r="2042" ht="17.25" customHeight="1">
      <c r="A2042" s="32">
        <v>45388.0</v>
      </c>
      <c r="B2042" s="5" t="s">
        <v>309</v>
      </c>
      <c r="C2042" s="3" t="s">
        <v>106</v>
      </c>
      <c r="D2042" s="3" t="s">
        <v>8</v>
      </c>
      <c r="E2042" s="5">
        <v>5.0</v>
      </c>
      <c r="F2042" s="85" t="s">
        <v>1907</v>
      </c>
      <c r="G2042" s="3" t="s">
        <v>224</v>
      </c>
      <c r="J2042" s="5">
        <v>2.0</v>
      </c>
      <c r="N2042" s="3" t="b">
        <v>0</v>
      </c>
      <c r="R2042" s="3">
        <v>0.0</v>
      </c>
      <c r="S2042" s="3" t="b">
        <v>1</v>
      </c>
      <c r="T2042" s="3">
        <v>0.0</v>
      </c>
      <c r="U2042" s="3">
        <v>7.0</v>
      </c>
      <c r="V2042" s="3" t="s">
        <v>2146</v>
      </c>
      <c r="X2042" s="77"/>
      <c r="Y2042" s="3">
        <v>3.0</v>
      </c>
      <c r="Z2042" s="3">
        <v>2.0</v>
      </c>
      <c r="AA2042" s="3">
        <f>2+ (P2042*'Scoring System'!$B$3)+ (IF(OR(AD2042="DEF",AD2042="GK"),N2042*'Scoring System'!$B$4,IF(AD2042="MID",N2042*'Scoring System'!$B$5,0)))+ (IF(OR(AD2042="DEF",AD2042="GK"),H2042*'Scoring System'!$B$6,IF(AD2042="MID",H2042*'Scoring System'!$B$7,IF(AD2042="ATT",H2042*'Scoring System'!$B$8,0))))+ IF(AND(OR(AD2042="GK",AD2042="DEF"),J2042&gt;=3),1*'Scoring System'!$B$9,0)+ (I2042*'Scoring System'!$B$10)+ (K2042*'Scoring System'!$B$11)+ (M2042*'Scoring System'!$B$12)+ (L2042*'Scoring System'!$B$13)+ (O2042*'Scoring System'!$B$14)+ (Q2042*'Scoring System'!$B$15)+ (R2042*'Scoring System'!$B$16)</f>
        <v>2</v>
      </c>
      <c r="AB2042" s="3" t="b">
        <f>IFERROR(match(C2042,'Match Day Fees'!$B$2:$B$999,0),0)=0</f>
        <v>0</v>
      </c>
      <c r="AC2042" s="3">
        <f t="shared" si="2"/>
        <v>1</v>
      </c>
      <c r="AD2042" s="3" t="str">
        <f>VLOOKUP(D2042,'Position Lookup'!A:B,2,FALSE)</f>
        <v>GK</v>
      </c>
    </row>
    <row r="2043" ht="17.25" customHeight="1">
      <c r="A2043" s="32">
        <v>45388.0</v>
      </c>
      <c r="B2043" s="5" t="s">
        <v>309</v>
      </c>
      <c r="C2043" s="3" t="s">
        <v>149</v>
      </c>
      <c r="D2043" s="3" t="s">
        <v>18</v>
      </c>
      <c r="E2043" s="5">
        <v>5.0</v>
      </c>
      <c r="F2043" s="85" t="s">
        <v>1907</v>
      </c>
      <c r="G2043" s="3" t="s">
        <v>224</v>
      </c>
      <c r="J2043" s="5">
        <v>2.0</v>
      </c>
      <c r="N2043" s="3" t="b">
        <v>0</v>
      </c>
      <c r="R2043" s="3">
        <v>0.0</v>
      </c>
      <c r="T2043" s="3">
        <v>10.0</v>
      </c>
      <c r="U2043" s="3">
        <v>7.0</v>
      </c>
      <c r="V2043" s="3" t="s">
        <v>2147</v>
      </c>
      <c r="X2043" s="77"/>
      <c r="Y2043" s="3">
        <v>3.0</v>
      </c>
      <c r="Z2043" s="3">
        <v>2.0</v>
      </c>
      <c r="AA2043" s="3">
        <f>2+ (P2043*'Scoring System'!$B$3)+ (IF(OR(AD2043="DEF",AD2043="GK"),N2043*'Scoring System'!$B$4,IF(AD2043="MID",N2043*'Scoring System'!$B$5,0)))+ (IF(OR(AD2043="DEF",AD2043="GK"),H2043*'Scoring System'!$B$6,IF(AD2043="MID",H2043*'Scoring System'!$B$7,IF(AD2043="ATT",H2043*'Scoring System'!$B$8,0))))+ IF(AND(OR(AD2043="GK",AD2043="DEF"),J2043&gt;=3),1*'Scoring System'!$B$9,0)+ (I2043*'Scoring System'!$B$10)+ (K2043*'Scoring System'!$B$11)+ (M2043*'Scoring System'!$B$12)+ (L2043*'Scoring System'!$B$13)+ (O2043*'Scoring System'!$B$14)+ (Q2043*'Scoring System'!$B$15)+ (R2043*'Scoring System'!$B$16)</f>
        <v>2</v>
      </c>
      <c r="AB2043" s="3" t="b">
        <f>IFERROR(match(C2043,'Match Day Fees'!$B$2:$B$999,0),0)=0</f>
        <v>0</v>
      </c>
      <c r="AC2043" s="3">
        <f t="shared" si="2"/>
        <v>1</v>
      </c>
      <c r="AD2043" s="3" t="str">
        <f>VLOOKUP(D2043,'Position Lookup'!A:B,2,FALSE)</f>
        <v>DEF</v>
      </c>
    </row>
    <row r="2044" ht="17.25" customHeight="1">
      <c r="A2044" s="32">
        <v>45388.0</v>
      </c>
      <c r="B2044" s="5" t="s">
        <v>309</v>
      </c>
      <c r="C2044" s="3" t="s">
        <v>154</v>
      </c>
      <c r="D2044" s="3" t="s">
        <v>14</v>
      </c>
      <c r="E2044" s="5">
        <v>5.0</v>
      </c>
      <c r="F2044" s="85" t="s">
        <v>1907</v>
      </c>
      <c r="G2044" s="3" t="s">
        <v>224</v>
      </c>
      <c r="J2044" s="5">
        <v>2.0</v>
      </c>
      <c r="N2044" s="3" t="b">
        <v>0</v>
      </c>
      <c r="R2044" s="3">
        <v>0.0</v>
      </c>
      <c r="T2044" s="3">
        <v>10.0</v>
      </c>
      <c r="U2044" s="3">
        <v>7.0</v>
      </c>
      <c r="V2044" s="3" t="s">
        <v>2148</v>
      </c>
      <c r="X2044" s="77"/>
      <c r="Y2044" s="3">
        <v>3.0</v>
      </c>
      <c r="Z2044" s="3">
        <v>2.0</v>
      </c>
      <c r="AA2044" s="3">
        <f>2+ (P2044*'Scoring System'!$B$3)+ (IF(OR(AD2044="DEF",AD2044="GK"),N2044*'Scoring System'!$B$4,IF(AD2044="MID",N2044*'Scoring System'!$B$5,0)))+ (IF(OR(AD2044="DEF",AD2044="GK"),H2044*'Scoring System'!$B$6,IF(AD2044="MID",H2044*'Scoring System'!$B$7,IF(AD2044="ATT",H2044*'Scoring System'!$B$8,0))))+ IF(AND(OR(AD2044="GK",AD2044="DEF"),J2044&gt;=3),1*'Scoring System'!$B$9,0)+ (I2044*'Scoring System'!$B$10)+ (K2044*'Scoring System'!$B$11)+ (M2044*'Scoring System'!$B$12)+ (L2044*'Scoring System'!$B$13)+ (O2044*'Scoring System'!$B$14)+ (Q2044*'Scoring System'!$B$15)+ (R2044*'Scoring System'!$B$16)</f>
        <v>2</v>
      </c>
      <c r="AB2044" s="3" t="b">
        <f>IFERROR(match(C2044,'Match Day Fees'!$B$2:$B$999,0),0)=0</f>
        <v>0</v>
      </c>
      <c r="AC2044" s="3">
        <f t="shared" si="2"/>
        <v>1</v>
      </c>
      <c r="AD2044" s="3" t="str">
        <f>VLOOKUP(D2044,'Position Lookup'!A:B,2,FALSE)</f>
        <v>DEF</v>
      </c>
    </row>
    <row r="2045" ht="17.25" customHeight="1">
      <c r="A2045" s="32">
        <v>45388.0</v>
      </c>
      <c r="B2045" s="5" t="s">
        <v>309</v>
      </c>
      <c r="C2045" s="3" t="s">
        <v>135</v>
      </c>
      <c r="D2045" s="3" t="s">
        <v>14</v>
      </c>
      <c r="E2045" s="5">
        <v>5.0</v>
      </c>
      <c r="F2045" s="85" t="s">
        <v>1907</v>
      </c>
      <c r="G2045" s="3" t="s">
        <v>224</v>
      </c>
      <c r="J2045" s="5">
        <v>2.0</v>
      </c>
      <c r="N2045" s="3" t="b">
        <v>0</v>
      </c>
      <c r="R2045" s="3">
        <v>0.0</v>
      </c>
      <c r="T2045" s="3">
        <v>10.0</v>
      </c>
      <c r="U2045" s="3">
        <v>7.5</v>
      </c>
      <c r="V2045" s="3" t="s">
        <v>2149</v>
      </c>
      <c r="X2045" s="77"/>
      <c r="Y2045" s="3">
        <v>3.0</v>
      </c>
      <c r="Z2045" s="3">
        <v>2.0</v>
      </c>
      <c r="AA2045" s="3">
        <f>2+ (P2045*'Scoring System'!$B$3)+ (IF(OR(AD2045="DEF",AD2045="GK"),N2045*'Scoring System'!$B$4,IF(AD2045="MID",N2045*'Scoring System'!$B$5,0)))+ (IF(OR(AD2045="DEF",AD2045="GK"),H2045*'Scoring System'!$B$6,IF(AD2045="MID",H2045*'Scoring System'!$B$7,IF(AD2045="ATT",H2045*'Scoring System'!$B$8,0))))+ IF(AND(OR(AD2045="GK",AD2045="DEF"),J2045&gt;=3),1*'Scoring System'!$B$9,0)+ (I2045*'Scoring System'!$B$10)+ (K2045*'Scoring System'!$B$11)+ (M2045*'Scoring System'!$B$12)+ (L2045*'Scoring System'!$B$13)+ (O2045*'Scoring System'!$B$14)+ (Q2045*'Scoring System'!$B$15)+ (R2045*'Scoring System'!$B$16)</f>
        <v>2</v>
      </c>
      <c r="AB2045" s="3" t="b">
        <f>IFERROR(match(C2045,'Match Day Fees'!$B$2:$B$999,0),0)=0</f>
        <v>0</v>
      </c>
      <c r="AC2045" s="3">
        <f t="shared" si="2"/>
        <v>1</v>
      </c>
      <c r="AD2045" s="3" t="str">
        <f>VLOOKUP(D2045,'Position Lookup'!A:B,2,FALSE)</f>
        <v>DEF</v>
      </c>
    </row>
    <row r="2046" ht="17.25" customHeight="1">
      <c r="A2046" s="32">
        <v>45388.0</v>
      </c>
      <c r="B2046" s="5" t="s">
        <v>309</v>
      </c>
      <c r="C2046" s="3" t="s">
        <v>138</v>
      </c>
      <c r="D2046" s="3" t="s">
        <v>14</v>
      </c>
      <c r="E2046" s="5">
        <v>5.0</v>
      </c>
      <c r="F2046" s="85" t="s">
        <v>1907</v>
      </c>
      <c r="G2046" s="3" t="s">
        <v>224</v>
      </c>
      <c r="J2046" s="5">
        <v>2.0</v>
      </c>
      <c r="N2046" s="3" t="b">
        <v>0</v>
      </c>
      <c r="R2046" s="3">
        <v>0.0</v>
      </c>
      <c r="T2046" s="3">
        <v>10.0</v>
      </c>
      <c r="U2046" s="3">
        <v>6.5</v>
      </c>
      <c r="V2046" s="3" t="s">
        <v>2150</v>
      </c>
      <c r="X2046" s="77"/>
      <c r="Y2046" s="3">
        <v>3.0</v>
      </c>
      <c r="Z2046" s="3">
        <v>2.0</v>
      </c>
      <c r="AA2046" s="3">
        <f>2+ (P2046*'Scoring System'!$B$3)+ (IF(OR(AD2046="DEF",AD2046="GK"),N2046*'Scoring System'!$B$4,IF(AD2046="MID",N2046*'Scoring System'!$B$5,0)))+ (IF(OR(AD2046="DEF",AD2046="GK"),H2046*'Scoring System'!$B$6,IF(AD2046="MID",H2046*'Scoring System'!$B$7,IF(AD2046="ATT",H2046*'Scoring System'!$B$8,0))))+ IF(AND(OR(AD2046="GK",AD2046="DEF"),J2046&gt;=3),1*'Scoring System'!$B$9,0)+ (I2046*'Scoring System'!$B$10)+ (K2046*'Scoring System'!$B$11)+ (M2046*'Scoring System'!$B$12)+ (L2046*'Scoring System'!$B$13)+ (O2046*'Scoring System'!$B$14)+ (Q2046*'Scoring System'!$B$15)+ (R2046*'Scoring System'!$B$16)</f>
        <v>2</v>
      </c>
      <c r="AB2046" s="3" t="b">
        <f>IFERROR(match(C2046,'Match Day Fees'!$B$2:$B$999,0),0)=0</f>
        <v>0</v>
      </c>
      <c r="AC2046" s="3">
        <f t="shared" si="2"/>
        <v>1</v>
      </c>
      <c r="AD2046" s="3" t="str">
        <f>VLOOKUP(D2046,'Position Lookup'!A:B,2,FALSE)</f>
        <v>DEF</v>
      </c>
    </row>
    <row r="2047" ht="17.25" customHeight="1">
      <c r="A2047" s="32">
        <v>45388.0</v>
      </c>
      <c r="B2047" s="5" t="s">
        <v>309</v>
      </c>
      <c r="C2047" s="3" t="s">
        <v>1647</v>
      </c>
      <c r="D2047" s="3" t="s">
        <v>14</v>
      </c>
      <c r="E2047" s="5">
        <v>5.0</v>
      </c>
      <c r="F2047" s="85" t="s">
        <v>1907</v>
      </c>
      <c r="G2047" s="3" t="s">
        <v>224</v>
      </c>
      <c r="J2047" s="5">
        <v>2.0</v>
      </c>
      <c r="K2047" s="3">
        <v>1.0</v>
      </c>
      <c r="N2047" s="3" t="b">
        <v>0</v>
      </c>
      <c r="R2047" s="3">
        <v>0.0</v>
      </c>
      <c r="T2047" s="3">
        <v>10.0</v>
      </c>
      <c r="U2047" s="3">
        <v>7.0</v>
      </c>
      <c r="V2047" s="3" t="s">
        <v>2151</v>
      </c>
      <c r="X2047" s="77"/>
      <c r="Y2047" s="3">
        <v>3.0</v>
      </c>
      <c r="Z2047" s="3">
        <v>2.0</v>
      </c>
      <c r="AA2047" s="3">
        <f>2+ (P2047*'Scoring System'!$B$3)+ (IF(OR(AD2047="DEF",AD2047="GK"),N2047*'Scoring System'!$B$4,IF(AD2047="MID",N2047*'Scoring System'!$B$5,0)))+ (IF(OR(AD2047="DEF",AD2047="GK"),H2047*'Scoring System'!$B$6,IF(AD2047="MID",H2047*'Scoring System'!$B$7,IF(AD2047="ATT",H2047*'Scoring System'!$B$8,0))))+ IF(AND(OR(AD2047="GK",AD2047="DEF"),J2047&gt;=3),1*'Scoring System'!$B$9,0)+ (I2047*'Scoring System'!$B$10)+ (K2047*'Scoring System'!$B$11)+ (M2047*'Scoring System'!$B$12)+ (L2047*'Scoring System'!$B$13)+ (O2047*'Scoring System'!$B$14)+ (Q2047*'Scoring System'!$B$15)+ (R2047*'Scoring System'!$B$16)</f>
        <v>1</v>
      </c>
      <c r="AB2047" s="3" t="b">
        <f>IFERROR(match(C2047,'Match Day Fees'!$B$2:$B$999,0),0)=0</f>
        <v>0</v>
      </c>
      <c r="AC2047" s="3">
        <f t="shared" si="2"/>
        <v>1</v>
      </c>
      <c r="AD2047" s="3" t="str">
        <f>VLOOKUP(D2047,'Position Lookup'!A:B,2,FALSE)</f>
        <v>DEF</v>
      </c>
    </row>
    <row r="2048" ht="17.25" customHeight="1">
      <c r="A2048" s="32">
        <v>45388.0</v>
      </c>
      <c r="B2048" s="5" t="s">
        <v>309</v>
      </c>
      <c r="C2048" s="3" t="s">
        <v>72</v>
      </c>
      <c r="D2048" s="3" t="s">
        <v>20</v>
      </c>
      <c r="E2048" s="5">
        <v>5.0</v>
      </c>
      <c r="F2048" s="85" t="s">
        <v>1907</v>
      </c>
      <c r="G2048" s="3" t="s">
        <v>224</v>
      </c>
      <c r="J2048" s="5">
        <v>2.0</v>
      </c>
      <c r="N2048" s="3" t="b">
        <v>0</v>
      </c>
      <c r="R2048" s="3">
        <v>0.0</v>
      </c>
      <c r="T2048" s="3">
        <v>10.0</v>
      </c>
      <c r="U2048" s="3">
        <v>7.0</v>
      </c>
      <c r="V2048" s="3" t="s">
        <v>2152</v>
      </c>
      <c r="X2048" s="77"/>
      <c r="Y2048" s="3">
        <v>3.0</v>
      </c>
      <c r="Z2048" s="3">
        <v>2.0</v>
      </c>
      <c r="AA2048" s="3">
        <f>2+ (P2048*'Scoring System'!$B$3)+ (IF(OR(AD2048="DEF",AD2048="GK"),N2048*'Scoring System'!$B$4,IF(AD2048="MID",N2048*'Scoring System'!$B$5,0)))+ (IF(OR(AD2048="DEF",AD2048="GK"),H2048*'Scoring System'!$B$6,IF(AD2048="MID",H2048*'Scoring System'!$B$7,IF(AD2048="ATT",H2048*'Scoring System'!$B$8,0))))+ IF(AND(OR(AD2048="GK",AD2048="DEF"),J2048&gt;=3),1*'Scoring System'!$B$9,0)+ (I2048*'Scoring System'!$B$10)+ (K2048*'Scoring System'!$B$11)+ (M2048*'Scoring System'!$B$12)+ (L2048*'Scoring System'!$B$13)+ (O2048*'Scoring System'!$B$14)+ (Q2048*'Scoring System'!$B$15)+ (R2048*'Scoring System'!$B$16)</f>
        <v>2</v>
      </c>
      <c r="AB2048" s="3" t="b">
        <f>IFERROR(match(C2048,'Match Day Fees'!$B$2:$B$999,0),0)=0</f>
        <v>0</v>
      </c>
      <c r="AC2048" s="3">
        <f t="shared" si="2"/>
        <v>1</v>
      </c>
      <c r="AD2048" s="3" t="str">
        <f>VLOOKUP(D2048,'Position Lookup'!A:B,2,FALSE)</f>
        <v>MID</v>
      </c>
    </row>
    <row r="2049" ht="17.25" customHeight="1">
      <c r="A2049" s="32">
        <v>45388.0</v>
      </c>
      <c r="B2049" s="5" t="s">
        <v>309</v>
      </c>
      <c r="C2049" s="3" t="s">
        <v>103</v>
      </c>
      <c r="D2049" s="3" t="s">
        <v>19</v>
      </c>
      <c r="E2049" s="5">
        <v>5.0</v>
      </c>
      <c r="F2049" s="85" t="s">
        <v>1907</v>
      </c>
      <c r="G2049" s="3" t="s">
        <v>224</v>
      </c>
      <c r="J2049" s="5">
        <v>2.0</v>
      </c>
      <c r="N2049" s="3" t="b">
        <v>0</v>
      </c>
      <c r="R2049" s="3">
        <v>0.0</v>
      </c>
      <c r="T2049" s="3">
        <v>10.0</v>
      </c>
      <c r="U2049" s="3">
        <v>7.0</v>
      </c>
      <c r="V2049" s="3" t="s">
        <v>2153</v>
      </c>
      <c r="X2049" s="77"/>
      <c r="Y2049" s="3">
        <v>3.0</v>
      </c>
      <c r="Z2049" s="3">
        <v>2.0</v>
      </c>
      <c r="AA2049" s="3">
        <f>2+ (P2049*'Scoring System'!$B$3)+ (IF(OR(AD2049="DEF",AD2049="GK"),N2049*'Scoring System'!$B$4,IF(AD2049="MID",N2049*'Scoring System'!$B$5,0)))+ (IF(OR(AD2049="DEF",AD2049="GK"),H2049*'Scoring System'!$B$6,IF(AD2049="MID",H2049*'Scoring System'!$B$7,IF(AD2049="ATT",H2049*'Scoring System'!$B$8,0))))+ IF(AND(OR(AD2049="GK",AD2049="DEF"),J2049&gt;=3),1*'Scoring System'!$B$9,0)+ (I2049*'Scoring System'!$B$10)+ (K2049*'Scoring System'!$B$11)+ (M2049*'Scoring System'!$B$12)+ (L2049*'Scoring System'!$B$13)+ (O2049*'Scoring System'!$B$14)+ (Q2049*'Scoring System'!$B$15)+ (R2049*'Scoring System'!$B$16)</f>
        <v>2</v>
      </c>
      <c r="AB2049" s="3" t="b">
        <f>IFERROR(match(C2049,'Match Day Fees'!$B$2:$B$999,0),0)=0</f>
        <v>0</v>
      </c>
      <c r="AC2049" s="3">
        <f t="shared" si="2"/>
        <v>1</v>
      </c>
      <c r="AD2049" s="3" t="str">
        <f>VLOOKUP(D2049,'Position Lookup'!A:B,2,FALSE)</f>
        <v>MID</v>
      </c>
    </row>
    <row r="2050" ht="17.25" customHeight="1">
      <c r="A2050" s="32">
        <v>45388.0</v>
      </c>
      <c r="B2050" s="5" t="s">
        <v>309</v>
      </c>
      <c r="C2050" s="3" t="s">
        <v>237</v>
      </c>
      <c r="D2050" s="3" t="s">
        <v>20</v>
      </c>
      <c r="E2050" s="5">
        <v>5.0</v>
      </c>
      <c r="F2050" s="85" t="s">
        <v>1907</v>
      </c>
      <c r="G2050" s="3" t="s">
        <v>224</v>
      </c>
      <c r="J2050" s="5">
        <v>2.0</v>
      </c>
      <c r="N2050" s="3" t="b">
        <v>0</v>
      </c>
      <c r="R2050" s="3">
        <v>0.0</v>
      </c>
      <c r="T2050" s="3">
        <v>10.0</v>
      </c>
      <c r="U2050" s="3">
        <v>7.0</v>
      </c>
      <c r="V2050" s="3" t="s">
        <v>2154</v>
      </c>
      <c r="X2050" s="77"/>
      <c r="Y2050" s="3">
        <v>3.0</v>
      </c>
      <c r="Z2050" s="3">
        <v>2.0</v>
      </c>
      <c r="AA2050" s="3">
        <f>2+ (P2050*'Scoring System'!$B$3)+ (IF(OR(AD2050="DEF",AD2050="GK"),N2050*'Scoring System'!$B$4,IF(AD2050="MID",N2050*'Scoring System'!$B$5,0)))+ (IF(OR(AD2050="DEF",AD2050="GK"),H2050*'Scoring System'!$B$6,IF(AD2050="MID",H2050*'Scoring System'!$B$7,IF(AD2050="ATT",H2050*'Scoring System'!$B$8,0))))+ IF(AND(OR(AD2050="GK",AD2050="DEF"),J2050&gt;=3),1*'Scoring System'!$B$9,0)+ (I2050*'Scoring System'!$B$10)+ (K2050*'Scoring System'!$B$11)+ (M2050*'Scoring System'!$B$12)+ (L2050*'Scoring System'!$B$13)+ (O2050*'Scoring System'!$B$14)+ (Q2050*'Scoring System'!$B$15)+ (R2050*'Scoring System'!$B$16)</f>
        <v>2</v>
      </c>
      <c r="AB2050" s="3" t="b">
        <f>IFERROR(match(C2050,'Match Day Fees'!$B$2:$B$999,0),0)=0</f>
        <v>0</v>
      </c>
      <c r="AC2050" s="3">
        <f t="shared" si="2"/>
        <v>1</v>
      </c>
      <c r="AD2050" s="3" t="str">
        <f>VLOOKUP(D2050,'Position Lookup'!A:B,2,FALSE)</f>
        <v>MID</v>
      </c>
    </row>
    <row r="2051" ht="17.25" customHeight="1">
      <c r="A2051" s="32">
        <v>45388.0</v>
      </c>
      <c r="B2051" s="5" t="s">
        <v>309</v>
      </c>
      <c r="C2051" s="3" t="s">
        <v>58</v>
      </c>
      <c r="D2051" s="3" t="s">
        <v>20</v>
      </c>
      <c r="E2051" s="5">
        <v>5.0</v>
      </c>
      <c r="F2051" s="85" t="s">
        <v>1907</v>
      </c>
      <c r="G2051" s="3" t="s">
        <v>224</v>
      </c>
      <c r="H2051" s="3">
        <v>1.0</v>
      </c>
      <c r="J2051" s="5">
        <v>2.0</v>
      </c>
      <c r="K2051" s="3">
        <v>1.0</v>
      </c>
      <c r="N2051" s="3" t="b">
        <v>0</v>
      </c>
      <c r="R2051" s="3">
        <v>0.0</v>
      </c>
      <c r="T2051" s="3">
        <v>10.0</v>
      </c>
      <c r="U2051" s="3">
        <v>7.5</v>
      </c>
      <c r="V2051" s="3" t="s">
        <v>2155</v>
      </c>
      <c r="X2051" s="77"/>
      <c r="Y2051" s="3">
        <v>3.0</v>
      </c>
      <c r="Z2051" s="3">
        <v>2.0</v>
      </c>
      <c r="AA2051" s="3">
        <f>2+ (P2051*'Scoring System'!$B$3)+ (IF(OR(AD2051="DEF",AD2051="GK"),N2051*'Scoring System'!$B$4,IF(AD2051="MID",N2051*'Scoring System'!$B$5,0)))+ (IF(OR(AD2051="DEF",AD2051="GK"),H2051*'Scoring System'!$B$6,IF(AD2051="MID",H2051*'Scoring System'!$B$7,IF(AD2051="ATT",H2051*'Scoring System'!$B$8,0))))+ IF(AND(OR(AD2051="GK",AD2051="DEF"),J2051&gt;=3),1*'Scoring System'!$B$9,0)+ (I2051*'Scoring System'!$B$10)+ (K2051*'Scoring System'!$B$11)+ (M2051*'Scoring System'!$B$12)+ (L2051*'Scoring System'!$B$13)+ (O2051*'Scoring System'!$B$14)+ (Q2051*'Scoring System'!$B$15)+ (R2051*'Scoring System'!$B$16)</f>
        <v>6</v>
      </c>
      <c r="AB2051" s="3" t="b">
        <f>IFERROR(match(C2051,'Match Day Fees'!$B$2:$B$999,0),0)=0</f>
        <v>0</v>
      </c>
      <c r="AC2051" s="3">
        <f t="shared" si="2"/>
        <v>1</v>
      </c>
      <c r="AD2051" s="3" t="str">
        <f>VLOOKUP(D2051,'Position Lookup'!A:B,2,FALSE)</f>
        <v>MID</v>
      </c>
    </row>
    <row r="2052" ht="17.25" customHeight="1">
      <c r="A2052" s="32">
        <v>45388.0</v>
      </c>
      <c r="B2052" s="5" t="s">
        <v>309</v>
      </c>
      <c r="C2052" s="3" t="s">
        <v>95</v>
      </c>
      <c r="D2052" s="3" t="s">
        <v>17</v>
      </c>
      <c r="E2052" s="5">
        <v>5.0</v>
      </c>
      <c r="F2052" s="85" t="s">
        <v>1907</v>
      </c>
      <c r="G2052" s="3" t="s">
        <v>224</v>
      </c>
      <c r="H2052" s="3">
        <v>1.0</v>
      </c>
      <c r="J2052" s="5">
        <v>2.0</v>
      </c>
      <c r="N2052" s="3" t="b">
        <v>0</v>
      </c>
      <c r="R2052" s="3">
        <v>1.0</v>
      </c>
      <c r="T2052" s="3">
        <v>10.0</v>
      </c>
      <c r="U2052" s="3">
        <v>8.0</v>
      </c>
      <c r="V2052" s="3" t="s">
        <v>2156</v>
      </c>
      <c r="X2052" s="77"/>
      <c r="Y2052" s="3">
        <v>3.0</v>
      </c>
      <c r="Z2052" s="3">
        <v>2.0</v>
      </c>
      <c r="AA2052" s="3">
        <f>2+ (P2052*'Scoring System'!$B$3)+ (IF(OR(AD2052="DEF",AD2052="GK"),N2052*'Scoring System'!$B$4,IF(AD2052="MID",N2052*'Scoring System'!$B$5,0)))+ (IF(OR(AD2052="DEF",AD2052="GK"),H2052*'Scoring System'!$B$6,IF(AD2052="MID",H2052*'Scoring System'!$B$7,IF(AD2052="ATT",H2052*'Scoring System'!$B$8,0))))+ IF(AND(OR(AD2052="GK",AD2052="DEF"),J2052&gt;=3),1*'Scoring System'!$B$9,0)+ (I2052*'Scoring System'!$B$10)+ (K2052*'Scoring System'!$B$11)+ (M2052*'Scoring System'!$B$12)+ (L2052*'Scoring System'!$B$13)+ (O2052*'Scoring System'!$B$14)+ (Q2052*'Scoring System'!$B$15)+ (R2052*'Scoring System'!$B$16)</f>
        <v>13</v>
      </c>
      <c r="AB2052" s="3" t="b">
        <f>IFERROR(match(C2052,'Match Day Fees'!$B$2:$B$999,0),0)=0</f>
        <v>0</v>
      </c>
      <c r="AC2052" s="3">
        <f t="shared" si="2"/>
        <v>1</v>
      </c>
      <c r="AD2052" s="3" t="str">
        <f>VLOOKUP(D2052,'Position Lookup'!A:B,2,FALSE)</f>
        <v>DEF</v>
      </c>
    </row>
    <row r="2053" ht="17.25" customHeight="1">
      <c r="A2053" s="32">
        <v>45388.0</v>
      </c>
      <c r="B2053" s="5" t="s">
        <v>309</v>
      </c>
      <c r="C2053" s="3" t="s">
        <v>89</v>
      </c>
      <c r="D2053" s="3" t="s">
        <v>24</v>
      </c>
      <c r="E2053" s="5">
        <v>5.0</v>
      </c>
      <c r="F2053" s="85" t="s">
        <v>1907</v>
      </c>
      <c r="G2053" s="3" t="s">
        <v>224</v>
      </c>
      <c r="J2053" s="5">
        <v>2.0</v>
      </c>
      <c r="N2053" s="3" t="b">
        <v>0</v>
      </c>
      <c r="R2053" s="3">
        <v>0.0</v>
      </c>
      <c r="T2053" s="3">
        <v>10.0</v>
      </c>
      <c r="U2053" s="3">
        <v>7.0</v>
      </c>
      <c r="V2053" s="3" t="s">
        <v>2157</v>
      </c>
      <c r="X2053" s="77"/>
      <c r="Y2053" s="3">
        <v>3.0</v>
      </c>
      <c r="Z2053" s="3">
        <v>2.0</v>
      </c>
      <c r="AA2053" s="3">
        <f>2+ (P2053*'Scoring System'!$B$3)+ (IF(OR(AD2053="DEF",AD2053="GK"),N2053*'Scoring System'!$B$4,IF(AD2053="MID",N2053*'Scoring System'!$B$5,0)))+ (IF(OR(AD2053="DEF",AD2053="GK"),H2053*'Scoring System'!$B$6,IF(AD2053="MID",H2053*'Scoring System'!$B$7,IF(AD2053="ATT",H2053*'Scoring System'!$B$8,0))))+ IF(AND(OR(AD2053="GK",AD2053="DEF"),J2053&gt;=3),1*'Scoring System'!$B$9,0)+ (I2053*'Scoring System'!$B$10)+ (K2053*'Scoring System'!$B$11)+ (M2053*'Scoring System'!$B$12)+ (L2053*'Scoring System'!$B$13)+ (O2053*'Scoring System'!$B$14)+ (Q2053*'Scoring System'!$B$15)+ (R2053*'Scoring System'!$B$16)</f>
        <v>2</v>
      </c>
      <c r="AB2053" s="3" t="b">
        <f>IFERROR(match(C2053,'Match Day Fees'!$B$2:$B$999,0),0)=0</f>
        <v>0</v>
      </c>
      <c r="AC2053" s="3">
        <f t="shared" si="2"/>
        <v>1</v>
      </c>
      <c r="AD2053" s="3" t="str">
        <f>VLOOKUP(D2053,'Position Lookup'!A:B,2,FALSE)</f>
        <v>ATT</v>
      </c>
    </row>
    <row r="2054" ht="17.25" customHeight="1">
      <c r="A2054" s="32">
        <v>45388.0</v>
      </c>
      <c r="B2054" s="5" t="s">
        <v>309</v>
      </c>
      <c r="C2054" s="3" t="s">
        <v>146</v>
      </c>
      <c r="D2054" s="3" t="s">
        <v>24</v>
      </c>
      <c r="E2054" s="5">
        <v>5.0</v>
      </c>
      <c r="F2054" s="85" t="s">
        <v>1907</v>
      </c>
      <c r="G2054" s="3" t="s">
        <v>224</v>
      </c>
      <c r="I2054" s="3">
        <v>1.0</v>
      </c>
      <c r="J2054" s="5">
        <v>2.0</v>
      </c>
      <c r="N2054" s="3" t="b">
        <v>0</v>
      </c>
      <c r="R2054" s="3">
        <v>0.0</v>
      </c>
      <c r="T2054" s="3">
        <v>10.0</v>
      </c>
      <c r="U2054" s="3">
        <v>6.0</v>
      </c>
      <c r="V2054" s="3" t="s">
        <v>2158</v>
      </c>
      <c r="X2054" s="77"/>
      <c r="Y2054" s="3">
        <v>3.0</v>
      </c>
      <c r="Z2054" s="3">
        <v>2.0</v>
      </c>
      <c r="AA2054" s="3">
        <f>2+ (P2054*'Scoring System'!$B$3)+ (IF(OR(AD2054="DEF",AD2054="GK"),N2054*'Scoring System'!$B$4,IF(AD2054="MID",N2054*'Scoring System'!$B$5,0)))+ (IF(OR(AD2054="DEF",AD2054="GK"),H2054*'Scoring System'!$B$6,IF(AD2054="MID",H2054*'Scoring System'!$B$7,IF(AD2054="ATT",H2054*'Scoring System'!$B$8,0))))+ IF(AND(OR(AD2054="GK",AD2054="DEF"),J2054&gt;=3),1*'Scoring System'!$B$9,0)+ (I2054*'Scoring System'!$B$10)+ (K2054*'Scoring System'!$B$11)+ (M2054*'Scoring System'!$B$12)+ (L2054*'Scoring System'!$B$13)+ (O2054*'Scoring System'!$B$14)+ (Q2054*'Scoring System'!$B$15)+ (R2054*'Scoring System'!$B$16)</f>
        <v>5</v>
      </c>
      <c r="AB2054" s="3" t="b">
        <f>IFERROR(match(C2054,'Match Day Fees'!$B$2:$B$999,0),0)=0</f>
        <v>0</v>
      </c>
      <c r="AC2054" s="3">
        <f t="shared" si="2"/>
        <v>1</v>
      </c>
      <c r="AD2054" s="3" t="str">
        <f>VLOOKUP(D2054,'Position Lookup'!A:B,2,FALSE)</f>
        <v>ATT</v>
      </c>
    </row>
    <row r="2055" ht="17.25" customHeight="1">
      <c r="A2055" s="32">
        <v>45388.0</v>
      </c>
      <c r="B2055" s="5" t="s">
        <v>309</v>
      </c>
      <c r="C2055" s="3" t="s">
        <v>1372</v>
      </c>
      <c r="D2055" s="3" t="s">
        <v>24</v>
      </c>
      <c r="E2055" s="5">
        <v>5.0</v>
      </c>
      <c r="F2055" s="85" t="s">
        <v>1907</v>
      </c>
      <c r="G2055" s="3" t="s">
        <v>224</v>
      </c>
      <c r="H2055" s="3">
        <v>1.0</v>
      </c>
      <c r="J2055" s="5">
        <v>2.0</v>
      </c>
      <c r="N2055" s="3" t="b">
        <v>0</v>
      </c>
      <c r="R2055" s="3">
        <v>0.0</v>
      </c>
      <c r="T2055" s="3">
        <v>10.0</v>
      </c>
      <c r="U2055" s="3">
        <v>7.0</v>
      </c>
      <c r="V2055" s="3" t="s">
        <v>2159</v>
      </c>
      <c r="X2055" s="77"/>
      <c r="Y2055" s="3">
        <v>3.0</v>
      </c>
      <c r="Z2055" s="3">
        <v>2.0</v>
      </c>
      <c r="AA2055" s="3">
        <f>2+ (P2055*'Scoring System'!$B$3)+ (IF(OR(AD2055="DEF",AD2055="GK"),N2055*'Scoring System'!$B$4,IF(AD2055="MID",N2055*'Scoring System'!$B$5,0)))+ (IF(OR(AD2055="DEF",AD2055="GK"),H2055*'Scoring System'!$B$6,IF(AD2055="MID",H2055*'Scoring System'!$B$7,IF(AD2055="ATT",H2055*'Scoring System'!$B$8,0))))+ IF(AND(OR(AD2055="GK",AD2055="DEF"),J2055&gt;=3),1*'Scoring System'!$B$9,0)+ (I2055*'Scoring System'!$B$10)+ (K2055*'Scoring System'!$B$11)+ (M2055*'Scoring System'!$B$12)+ (L2055*'Scoring System'!$B$13)+ (O2055*'Scoring System'!$B$14)+ (Q2055*'Scoring System'!$B$15)+ (R2055*'Scoring System'!$B$16)</f>
        <v>6</v>
      </c>
      <c r="AB2055" s="3" t="b">
        <f>IFERROR(match(C2055,'Match Day Fees'!$B$2:$B$999,0),0)=0</f>
        <v>0</v>
      </c>
      <c r="AC2055" s="3">
        <f t="shared" si="2"/>
        <v>1</v>
      </c>
      <c r="AD2055" s="3" t="str">
        <f>VLOOKUP(D2055,'Position Lookup'!A:B,2,FALSE)</f>
        <v>ATT</v>
      </c>
    </row>
    <row r="2056" ht="17.25" customHeight="1">
      <c r="A2056" s="32">
        <v>45388.0</v>
      </c>
      <c r="B2056" s="5" t="s">
        <v>309</v>
      </c>
      <c r="C2056" s="3" t="s">
        <v>259</v>
      </c>
      <c r="D2056" s="5" t="s">
        <v>8</v>
      </c>
      <c r="E2056" s="5">
        <v>6.0</v>
      </c>
      <c r="F2056" s="3" t="s">
        <v>2160</v>
      </c>
      <c r="G2056" s="3" t="s">
        <v>230</v>
      </c>
      <c r="J2056" s="5">
        <v>3.0</v>
      </c>
      <c r="N2056" s="3" t="b">
        <v>0</v>
      </c>
      <c r="R2056" s="3">
        <v>0.0</v>
      </c>
      <c r="T2056" s="3">
        <v>10.0</v>
      </c>
      <c r="U2056" s="3">
        <v>3.0</v>
      </c>
      <c r="V2056" s="3" t="s">
        <v>2161</v>
      </c>
      <c r="W2056" s="3" t="s">
        <v>344</v>
      </c>
      <c r="X2056" s="77" t="s">
        <v>2162</v>
      </c>
      <c r="Y2056" s="3">
        <v>1.0</v>
      </c>
      <c r="Z2056" s="3">
        <v>3.0</v>
      </c>
      <c r="AA2056" s="3">
        <f>2+ (P2056*'Scoring System'!$B$3)+ (IF(OR(AD2056="DEF",AD2056="GK"),N2056*'Scoring System'!$B$4,IF(AD2056="MID",N2056*'Scoring System'!$B$5,0)))+ (IF(OR(AD2056="DEF",AD2056="GK"),H2056*'Scoring System'!$B$6,IF(AD2056="MID",H2056*'Scoring System'!$B$7,IF(AD2056="ATT",H2056*'Scoring System'!$B$8,0))))+ IF(AND(OR(AD2056="GK",AD2056="DEF"),J2056&gt;=3),1*'Scoring System'!$B$9,0)+ (I2056*'Scoring System'!$B$10)+ (K2056*'Scoring System'!$B$11)+ (M2056*'Scoring System'!$B$12)+ (L2056*'Scoring System'!$B$13)+ (O2056*'Scoring System'!$B$14)+ (Q2056*'Scoring System'!$B$15)+ (R2056*'Scoring System'!$B$16)</f>
        <v>1</v>
      </c>
      <c r="AB2056" s="3" t="b">
        <f>IFERROR(match(C2056,'Match Day Fees'!$B$2:$B$999,0),0)=0</f>
        <v>0</v>
      </c>
      <c r="AC2056" s="3">
        <f t="shared" si="2"/>
        <v>1</v>
      </c>
      <c r="AD2056" s="3" t="str">
        <f>VLOOKUP(D2056,'Position Lookup'!A:B,2,FALSE)</f>
        <v>GK</v>
      </c>
    </row>
    <row r="2057" ht="17.25" customHeight="1">
      <c r="A2057" s="32">
        <v>45388.0</v>
      </c>
      <c r="B2057" s="5" t="s">
        <v>309</v>
      </c>
      <c r="C2057" s="3" t="s">
        <v>474</v>
      </c>
      <c r="D2057" s="3" t="s">
        <v>19</v>
      </c>
      <c r="E2057" s="5">
        <v>6.0</v>
      </c>
      <c r="F2057" s="3" t="s">
        <v>2160</v>
      </c>
      <c r="G2057" s="3" t="s">
        <v>230</v>
      </c>
      <c r="J2057" s="5">
        <v>3.0</v>
      </c>
      <c r="N2057" s="3" t="b">
        <v>0</v>
      </c>
      <c r="R2057" s="3">
        <v>0.0</v>
      </c>
      <c r="T2057" s="3">
        <v>10.0</v>
      </c>
      <c r="U2057" s="3">
        <v>5.0</v>
      </c>
      <c r="V2057" s="3" t="s">
        <v>2163</v>
      </c>
      <c r="W2057" s="3" t="s">
        <v>344</v>
      </c>
      <c r="X2057" s="77" t="s">
        <v>2162</v>
      </c>
      <c r="Y2057" s="3">
        <v>1.0</v>
      </c>
      <c r="Z2057" s="3">
        <v>3.0</v>
      </c>
      <c r="AA2057" s="3">
        <f>2+ (P2057*'Scoring System'!$B$3)+ (IF(OR(AD2057="DEF",AD2057="GK"),N2057*'Scoring System'!$B$4,IF(AD2057="MID",N2057*'Scoring System'!$B$5,0)))+ (IF(OR(AD2057="DEF",AD2057="GK"),H2057*'Scoring System'!$B$6,IF(AD2057="MID",H2057*'Scoring System'!$B$7,IF(AD2057="ATT",H2057*'Scoring System'!$B$8,0))))+ IF(AND(OR(AD2057="GK",AD2057="DEF"),J2057&gt;=3),1*'Scoring System'!$B$9,0)+ (I2057*'Scoring System'!$B$10)+ (K2057*'Scoring System'!$B$11)+ (M2057*'Scoring System'!$B$12)+ (L2057*'Scoring System'!$B$13)+ (O2057*'Scoring System'!$B$14)+ (Q2057*'Scoring System'!$B$15)+ (R2057*'Scoring System'!$B$16)</f>
        <v>2</v>
      </c>
      <c r="AB2057" s="3" t="b">
        <f>IFERROR(match(C2057,'Match Day Fees'!$B$2:$B$999,0),0)=0</f>
        <v>0</v>
      </c>
      <c r="AC2057" s="3">
        <f t="shared" si="2"/>
        <v>1</v>
      </c>
      <c r="AD2057" s="3" t="str">
        <f>VLOOKUP(D2057,'Position Lookup'!A:B,2,FALSE)</f>
        <v>MID</v>
      </c>
    </row>
    <row r="2058" ht="17.25" customHeight="1">
      <c r="A2058" s="32">
        <v>45388.0</v>
      </c>
      <c r="B2058" s="5" t="s">
        <v>309</v>
      </c>
      <c r="C2058" s="3" t="s">
        <v>70</v>
      </c>
      <c r="D2058" s="3" t="s">
        <v>24</v>
      </c>
      <c r="E2058" s="5">
        <v>6.0</v>
      </c>
      <c r="F2058" s="3" t="s">
        <v>2160</v>
      </c>
      <c r="G2058" s="3" t="s">
        <v>230</v>
      </c>
      <c r="I2058" s="3">
        <v>1.0</v>
      </c>
      <c r="J2058" s="5">
        <v>3.0</v>
      </c>
      <c r="K2058" s="3">
        <v>1.0</v>
      </c>
      <c r="N2058" s="3" t="b">
        <v>0</v>
      </c>
      <c r="R2058" s="3">
        <v>0.0</v>
      </c>
      <c r="T2058" s="3">
        <v>10.0</v>
      </c>
      <c r="U2058" s="3">
        <v>6.0</v>
      </c>
      <c r="V2058" s="3" t="s">
        <v>2164</v>
      </c>
      <c r="W2058" s="3" t="s">
        <v>344</v>
      </c>
      <c r="X2058" s="77" t="s">
        <v>2162</v>
      </c>
      <c r="Y2058" s="3">
        <v>1.0</v>
      </c>
      <c r="Z2058" s="3">
        <v>3.0</v>
      </c>
      <c r="AA2058" s="3">
        <f>2+ (P2058*'Scoring System'!$B$3)+ (IF(OR(AD2058="DEF",AD2058="GK"),N2058*'Scoring System'!$B$4,IF(AD2058="MID",N2058*'Scoring System'!$B$5,0)))+ (IF(OR(AD2058="DEF",AD2058="GK"),H2058*'Scoring System'!$B$6,IF(AD2058="MID",H2058*'Scoring System'!$B$7,IF(AD2058="ATT",H2058*'Scoring System'!$B$8,0))))+ IF(AND(OR(AD2058="GK",AD2058="DEF"),J2058&gt;=3),1*'Scoring System'!$B$9,0)+ (I2058*'Scoring System'!$B$10)+ (K2058*'Scoring System'!$B$11)+ (M2058*'Scoring System'!$B$12)+ (L2058*'Scoring System'!$B$13)+ (O2058*'Scoring System'!$B$14)+ (Q2058*'Scoring System'!$B$15)+ (R2058*'Scoring System'!$B$16)</f>
        <v>4</v>
      </c>
      <c r="AB2058" s="3" t="b">
        <f>IFERROR(match(C2058,'Match Day Fees'!$B$2:$B$999,0),0)=0</f>
        <v>0</v>
      </c>
      <c r="AC2058" s="3">
        <f t="shared" si="2"/>
        <v>1</v>
      </c>
      <c r="AD2058" s="3" t="str">
        <f>VLOOKUP(D2058,'Position Lookup'!A:B,2,FALSE)</f>
        <v>ATT</v>
      </c>
    </row>
    <row r="2059" ht="17.25" customHeight="1">
      <c r="A2059" s="32">
        <v>45388.0</v>
      </c>
      <c r="B2059" s="5" t="s">
        <v>309</v>
      </c>
      <c r="C2059" s="3" t="s">
        <v>97</v>
      </c>
      <c r="D2059" s="3" t="s">
        <v>12</v>
      </c>
      <c r="E2059" s="5">
        <v>6.0</v>
      </c>
      <c r="F2059" s="3" t="s">
        <v>2160</v>
      </c>
      <c r="G2059" s="3" t="s">
        <v>230</v>
      </c>
      <c r="J2059" s="5">
        <v>3.0</v>
      </c>
      <c r="N2059" s="3" t="b">
        <v>0</v>
      </c>
      <c r="R2059" s="3">
        <v>0.0</v>
      </c>
      <c r="T2059" s="3">
        <v>2.5</v>
      </c>
      <c r="U2059" s="3">
        <v>3.0</v>
      </c>
      <c r="V2059" s="3" t="s">
        <v>2165</v>
      </c>
      <c r="W2059" s="3" t="s">
        <v>344</v>
      </c>
      <c r="X2059" s="77" t="s">
        <v>2162</v>
      </c>
      <c r="Y2059" s="3">
        <v>1.0</v>
      </c>
      <c r="Z2059" s="3">
        <v>3.0</v>
      </c>
      <c r="AA2059" s="3">
        <f>2+ (P2059*'Scoring System'!$B$3)+ (IF(OR(AD2059="DEF",AD2059="GK"),N2059*'Scoring System'!$B$4,IF(AD2059="MID",N2059*'Scoring System'!$B$5,0)))+ (IF(OR(AD2059="DEF",AD2059="GK"),H2059*'Scoring System'!$B$6,IF(AD2059="MID",H2059*'Scoring System'!$B$7,IF(AD2059="ATT",H2059*'Scoring System'!$B$8,0))))+ IF(AND(OR(AD2059="GK",AD2059="DEF"),J2059&gt;=3),1*'Scoring System'!$B$9,0)+ (I2059*'Scoring System'!$B$10)+ (K2059*'Scoring System'!$B$11)+ (M2059*'Scoring System'!$B$12)+ (L2059*'Scoring System'!$B$13)+ (O2059*'Scoring System'!$B$14)+ (Q2059*'Scoring System'!$B$15)+ (R2059*'Scoring System'!$B$16)</f>
        <v>1</v>
      </c>
      <c r="AB2059" s="3" t="b">
        <f>IFERROR(match(C2059,'Match Day Fees'!$B$2:$B$999,0),0)=0</f>
        <v>0</v>
      </c>
      <c r="AC2059" s="3">
        <f t="shared" si="2"/>
        <v>1</v>
      </c>
      <c r="AD2059" s="3" t="str">
        <f>VLOOKUP(D2059,'Position Lookup'!A:B,2,FALSE)</f>
        <v>DEF</v>
      </c>
    </row>
    <row r="2060" ht="17.25" customHeight="1">
      <c r="A2060" s="32">
        <v>45388.0</v>
      </c>
      <c r="B2060" s="5" t="s">
        <v>309</v>
      </c>
      <c r="C2060" s="3" t="s">
        <v>90</v>
      </c>
      <c r="D2060" s="3" t="s">
        <v>22</v>
      </c>
      <c r="E2060" s="5">
        <v>6.0</v>
      </c>
      <c r="F2060" s="3" t="s">
        <v>2160</v>
      </c>
      <c r="G2060" s="3" t="s">
        <v>230</v>
      </c>
      <c r="J2060" s="5">
        <v>3.0</v>
      </c>
      <c r="N2060" s="3" t="b">
        <v>0</v>
      </c>
      <c r="R2060" s="3">
        <v>0.0</v>
      </c>
      <c r="T2060" s="3">
        <v>10.0</v>
      </c>
      <c r="U2060" s="3">
        <v>5.0</v>
      </c>
      <c r="V2060" s="3" t="s">
        <v>2166</v>
      </c>
      <c r="W2060" s="3" t="s">
        <v>344</v>
      </c>
      <c r="X2060" s="77" t="s">
        <v>2162</v>
      </c>
      <c r="Y2060" s="3">
        <v>1.0</v>
      </c>
      <c r="Z2060" s="3">
        <v>3.0</v>
      </c>
      <c r="AA2060" s="3">
        <f>2+ (P2060*'Scoring System'!$B$3)+ (IF(OR(AD2060="DEF",AD2060="GK"),N2060*'Scoring System'!$B$4,IF(AD2060="MID",N2060*'Scoring System'!$B$5,0)))+ (IF(OR(AD2060="DEF",AD2060="GK"),H2060*'Scoring System'!$B$6,IF(AD2060="MID",H2060*'Scoring System'!$B$7,IF(AD2060="ATT",H2060*'Scoring System'!$B$8,0))))+ IF(AND(OR(AD2060="GK",AD2060="DEF"),J2060&gt;=3),1*'Scoring System'!$B$9,0)+ (I2060*'Scoring System'!$B$10)+ (K2060*'Scoring System'!$B$11)+ (M2060*'Scoring System'!$B$12)+ (L2060*'Scoring System'!$B$13)+ (O2060*'Scoring System'!$B$14)+ (Q2060*'Scoring System'!$B$15)+ (R2060*'Scoring System'!$B$16)</f>
        <v>2</v>
      </c>
      <c r="AB2060" s="3" t="b">
        <f>IFERROR(match(C2060,'Match Day Fees'!$B$2:$B$999,0),0)=0</f>
        <v>0</v>
      </c>
      <c r="AC2060" s="3">
        <f t="shared" si="2"/>
        <v>1</v>
      </c>
      <c r="AD2060" s="3" t="str">
        <f>VLOOKUP(D2060,'Position Lookup'!A:B,2,FALSE)</f>
        <v>ATT</v>
      </c>
    </row>
    <row r="2061" ht="17.25" customHeight="1">
      <c r="A2061" s="32">
        <v>45388.0</v>
      </c>
      <c r="B2061" s="5" t="s">
        <v>309</v>
      </c>
      <c r="C2061" s="3" t="s">
        <v>231</v>
      </c>
      <c r="D2061" s="3" t="s">
        <v>14</v>
      </c>
      <c r="E2061" s="5">
        <v>6.0</v>
      </c>
      <c r="F2061" s="3" t="s">
        <v>2160</v>
      </c>
      <c r="G2061" s="3" t="s">
        <v>230</v>
      </c>
      <c r="J2061" s="5">
        <v>3.0</v>
      </c>
      <c r="N2061" s="3" t="b">
        <v>0</v>
      </c>
      <c r="R2061" s="3">
        <v>0.0</v>
      </c>
      <c r="S2061" s="3" t="b">
        <v>1</v>
      </c>
      <c r="T2061" s="3">
        <v>0.0</v>
      </c>
      <c r="U2061" s="3">
        <v>6.0</v>
      </c>
      <c r="V2061" s="3" t="s">
        <v>2167</v>
      </c>
      <c r="W2061" s="3" t="s">
        <v>344</v>
      </c>
      <c r="X2061" s="77" t="s">
        <v>2162</v>
      </c>
      <c r="Y2061" s="3">
        <v>1.0</v>
      </c>
      <c r="Z2061" s="3">
        <v>3.0</v>
      </c>
      <c r="AA2061" s="3">
        <f>2+ (P2061*'Scoring System'!$B$3)+ (IF(OR(AD2061="DEF",AD2061="GK"),N2061*'Scoring System'!$B$4,IF(AD2061="MID",N2061*'Scoring System'!$B$5,0)))+ (IF(OR(AD2061="DEF",AD2061="GK"),H2061*'Scoring System'!$B$6,IF(AD2061="MID",H2061*'Scoring System'!$B$7,IF(AD2061="ATT",H2061*'Scoring System'!$B$8,0))))+ IF(AND(OR(AD2061="GK",AD2061="DEF"),J2061&gt;=3),1*'Scoring System'!$B$9,0)+ (I2061*'Scoring System'!$B$10)+ (K2061*'Scoring System'!$B$11)+ (M2061*'Scoring System'!$B$12)+ (L2061*'Scoring System'!$B$13)+ (O2061*'Scoring System'!$B$14)+ (Q2061*'Scoring System'!$B$15)+ (R2061*'Scoring System'!$B$16)</f>
        <v>1</v>
      </c>
      <c r="AB2061" s="3" t="b">
        <f>IFERROR(match(C2061,'Match Day Fees'!$B$2:$B$999,0),0)=0</f>
        <v>0</v>
      </c>
      <c r="AC2061" s="3">
        <f t="shared" si="2"/>
        <v>1</v>
      </c>
      <c r="AD2061" s="3" t="str">
        <f>VLOOKUP(D2061,'Position Lookup'!A:B,2,FALSE)</f>
        <v>DEF</v>
      </c>
    </row>
    <row r="2062" ht="17.25" customHeight="1">
      <c r="A2062" s="32">
        <v>45388.0</v>
      </c>
      <c r="B2062" s="5" t="s">
        <v>309</v>
      </c>
      <c r="C2062" s="3" t="s">
        <v>147</v>
      </c>
      <c r="D2062" s="3" t="s">
        <v>20</v>
      </c>
      <c r="E2062" s="5">
        <v>6.0</v>
      </c>
      <c r="F2062" s="3" t="s">
        <v>2160</v>
      </c>
      <c r="G2062" s="3" t="s">
        <v>230</v>
      </c>
      <c r="J2062" s="5">
        <v>3.0</v>
      </c>
      <c r="N2062" s="3" t="b">
        <v>0</v>
      </c>
      <c r="R2062" s="3">
        <v>0.0</v>
      </c>
      <c r="T2062" s="3">
        <v>10.0</v>
      </c>
      <c r="U2062" s="3">
        <v>6.0</v>
      </c>
      <c r="V2062" s="3" t="s">
        <v>2168</v>
      </c>
      <c r="W2062" s="3" t="s">
        <v>344</v>
      </c>
      <c r="X2062" s="77" t="s">
        <v>2162</v>
      </c>
      <c r="Y2062" s="3">
        <v>1.0</v>
      </c>
      <c r="Z2062" s="3">
        <v>3.0</v>
      </c>
      <c r="AA2062" s="3">
        <f>2+ (P2062*'Scoring System'!$B$3)+ (IF(OR(AD2062="DEF",AD2062="GK"),N2062*'Scoring System'!$B$4,IF(AD2062="MID",N2062*'Scoring System'!$B$5,0)))+ (IF(OR(AD2062="DEF",AD2062="GK"),H2062*'Scoring System'!$B$6,IF(AD2062="MID",H2062*'Scoring System'!$B$7,IF(AD2062="ATT",H2062*'Scoring System'!$B$8,0))))+ IF(AND(OR(AD2062="GK",AD2062="DEF"),J2062&gt;=3),1*'Scoring System'!$B$9,0)+ (I2062*'Scoring System'!$B$10)+ (K2062*'Scoring System'!$B$11)+ (M2062*'Scoring System'!$B$12)+ (L2062*'Scoring System'!$B$13)+ (O2062*'Scoring System'!$B$14)+ (Q2062*'Scoring System'!$B$15)+ (R2062*'Scoring System'!$B$16)</f>
        <v>2</v>
      </c>
      <c r="AB2062" s="3" t="b">
        <f>IFERROR(match(C2062,'Match Day Fees'!$B$2:$B$999,0),0)=0</f>
        <v>0</v>
      </c>
      <c r="AC2062" s="3">
        <f t="shared" si="2"/>
        <v>1</v>
      </c>
      <c r="AD2062" s="3" t="str">
        <f>VLOOKUP(D2062,'Position Lookup'!A:B,2,FALSE)</f>
        <v>MID</v>
      </c>
    </row>
    <row r="2063" ht="17.25" customHeight="1">
      <c r="A2063" s="32">
        <v>45388.0</v>
      </c>
      <c r="B2063" s="5" t="s">
        <v>309</v>
      </c>
      <c r="C2063" s="3" t="s">
        <v>141</v>
      </c>
      <c r="D2063" s="3" t="s">
        <v>20</v>
      </c>
      <c r="E2063" s="5">
        <v>6.0</v>
      </c>
      <c r="F2063" s="3" t="s">
        <v>2160</v>
      </c>
      <c r="G2063" s="3" t="s">
        <v>230</v>
      </c>
      <c r="J2063" s="5">
        <v>3.0</v>
      </c>
      <c r="N2063" s="3" t="b">
        <v>0</v>
      </c>
      <c r="R2063" s="3">
        <v>0.0</v>
      </c>
      <c r="T2063" s="3">
        <v>5.0</v>
      </c>
      <c r="U2063" s="3">
        <v>5.0</v>
      </c>
      <c r="V2063" s="3" t="s">
        <v>2169</v>
      </c>
      <c r="W2063" s="3" t="s">
        <v>344</v>
      </c>
      <c r="X2063" s="77" t="s">
        <v>2162</v>
      </c>
      <c r="Y2063" s="3">
        <v>1.0</v>
      </c>
      <c r="Z2063" s="3">
        <v>3.0</v>
      </c>
      <c r="AA2063" s="3">
        <f>2+ (P2063*'Scoring System'!$B$3)+ (IF(OR(AD2063="DEF",AD2063="GK"),N2063*'Scoring System'!$B$4,IF(AD2063="MID",N2063*'Scoring System'!$B$5,0)))+ (IF(OR(AD2063="DEF",AD2063="GK"),H2063*'Scoring System'!$B$6,IF(AD2063="MID",H2063*'Scoring System'!$B$7,IF(AD2063="ATT",H2063*'Scoring System'!$B$8,0))))+ IF(AND(OR(AD2063="GK",AD2063="DEF"),J2063&gt;=3),1*'Scoring System'!$B$9,0)+ (I2063*'Scoring System'!$B$10)+ (K2063*'Scoring System'!$B$11)+ (M2063*'Scoring System'!$B$12)+ (L2063*'Scoring System'!$B$13)+ (O2063*'Scoring System'!$B$14)+ (Q2063*'Scoring System'!$B$15)+ (R2063*'Scoring System'!$B$16)</f>
        <v>2</v>
      </c>
      <c r="AB2063" s="3" t="b">
        <f>IFERROR(match(C2063,'Match Day Fees'!$B$2:$B$999,0),0)=0</f>
        <v>0</v>
      </c>
      <c r="AC2063" s="3">
        <f t="shared" si="2"/>
        <v>1</v>
      </c>
      <c r="AD2063" s="3" t="str">
        <f>VLOOKUP(D2063,'Position Lookup'!A:B,2,FALSE)</f>
        <v>MID</v>
      </c>
    </row>
    <row r="2064" ht="17.25" customHeight="1">
      <c r="A2064" s="32">
        <v>45388.0</v>
      </c>
      <c r="B2064" s="5" t="s">
        <v>309</v>
      </c>
      <c r="C2064" s="3" t="s">
        <v>142</v>
      </c>
      <c r="D2064" s="3" t="s">
        <v>16</v>
      </c>
      <c r="E2064" s="5">
        <v>6.0</v>
      </c>
      <c r="F2064" s="3" t="s">
        <v>2160</v>
      </c>
      <c r="G2064" s="3" t="s">
        <v>230</v>
      </c>
      <c r="J2064" s="5">
        <v>3.0</v>
      </c>
      <c r="N2064" s="3" t="b">
        <v>0</v>
      </c>
      <c r="R2064" s="3">
        <v>0.0</v>
      </c>
      <c r="T2064" s="3">
        <v>10.0</v>
      </c>
      <c r="U2064" s="3">
        <v>6.0</v>
      </c>
      <c r="V2064" s="3" t="s">
        <v>2170</v>
      </c>
      <c r="W2064" s="3" t="s">
        <v>344</v>
      </c>
      <c r="X2064" s="77" t="s">
        <v>2162</v>
      </c>
      <c r="Y2064" s="3">
        <v>1.0</v>
      </c>
      <c r="Z2064" s="3">
        <v>3.0</v>
      </c>
      <c r="AA2064" s="3">
        <f>2+ (P2064*'Scoring System'!$B$3)+ (IF(OR(AD2064="DEF",AD2064="GK"),N2064*'Scoring System'!$B$4,IF(AD2064="MID",N2064*'Scoring System'!$B$5,0)))+ (IF(OR(AD2064="DEF",AD2064="GK"),H2064*'Scoring System'!$B$6,IF(AD2064="MID",H2064*'Scoring System'!$B$7,IF(AD2064="ATT",H2064*'Scoring System'!$B$8,0))))+ IF(AND(OR(AD2064="GK",AD2064="DEF"),J2064&gt;=3),1*'Scoring System'!$B$9,0)+ (I2064*'Scoring System'!$B$10)+ (K2064*'Scoring System'!$B$11)+ (M2064*'Scoring System'!$B$12)+ (L2064*'Scoring System'!$B$13)+ (O2064*'Scoring System'!$B$14)+ (Q2064*'Scoring System'!$B$15)+ (R2064*'Scoring System'!$B$16)</f>
        <v>1</v>
      </c>
      <c r="AB2064" s="3" t="b">
        <f>IFERROR(match(C2064,'Match Day Fees'!$B$2:$B$999,0),0)=0</f>
        <v>0</v>
      </c>
      <c r="AC2064" s="3">
        <f t="shared" si="2"/>
        <v>1</v>
      </c>
      <c r="AD2064" s="3" t="str">
        <f>VLOOKUP(D2064,'Position Lookup'!A:B,2,FALSE)</f>
        <v>DEF</v>
      </c>
    </row>
    <row r="2065" ht="17.25" customHeight="1">
      <c r="A2065" s="32">
        <v>45388.0</v>
      </c>
      <c r="B2065" s="5" t="s">
        <v>309</v>
      </c>
      <c r="C2065" s="3" t="s">
        <v>128</v>
      </c>
      <c r="D2065" s="5" t="s">
        <v>14</v>
      </c>
      <c r="E2065" s="5">
        <v>6.0</v>
      </c>
      <c r="F2065" s="3" t="s">
        <v>2160</v>
      </c>
      <c r="G2065" s="3" t="s">
        <v>230</v>
      </c>
      <c r="J2065" s="5">
        <v>3.0</v>
      </c>
      <c r="N2065" s="3" t="b">
        <v>0</v>
      </c>
      <c r="R2065" s="3">
        <v>0.0</v>
      </c>
      <c r="T2065" s="3">
        <v>10.0</v>
      </c>
      <c r="U2065" s="3">
        <v>6.0</v>
      </c>
      <c r="V2065" s="3" t="s">
        <v>2171</v>
      </c>
      <c r="W2065" s="3" t="s">
        <v>344</v>
      </c>
      <c r="X2065" s="77" t="s">
        <v>2162</v>
      </c>
      <c r="Y2065" s="3">
        <v>1.0</v>
      </c>
      <c r="Z2065" s="3">
        <v>3.0</v>
      </c>
      <c r="AA2065" s="3">
        <f>2+ (P2065*'Scoring System'!$B$3)+ (IF(OR(AD2065="DEF",AD2065="GK"),N2065*'Scoring System'!$B$4,IF(AD2065="MID",N2065*'Scoring System'!$B$5,0)))+ (IF(OR(AD2065="DEF",AD2065="GK"),H2065*'Scoring System'!$B$6,IF(AD2065="MID",H2065*'Scoring System'!$B$7,IF(AD2065="ATT",H2065*'Scoring System'!$B$8,0))))+ IF(AND(OR(AD2065="GK",AD2065="DEF"),J2065&gt;=3),1*'Scoring System'!$B$9,0)+ (I2065*'Scoring System'!$B$10)+ (K2065*'Scoring System'!$B$11)+ (M2065*'Scoring System'!$B$12)+ (L2065*'Scoring System'!$B$13)+ (O2065*'Scoring System'!$B$14)+ (Q2065*'Scoring System'!$B$15)+ (R2065*'Scoring System'!$B$16)</f>
        <v>1</v>
      </c>
      <c r="AB2065" s="3" t="b">
        <f>IFERROR(match(C2065,'Match Day Fees'!$B$2:$B$999,0),0)=0</f>
        <v>0</v>
      </c>
      <c r="AC2065" s="3">
        <f t="shared" si="2"/>
        <v>1</v>
      </c>
      <c r="AD2065" s="3" t="str">
        <f>VLOOKUP(D2065,'Position Lookup'!A:B,2,FALSE)</f>
        <v>DEF</v>
      </c>
    </row>
    <row r="2066" ht="17.25" customHeight="1">
      <c r="A2066" s="32">
        <v>45388.0</v>
      </c>
      <c r="B2066" s="5" t="s">
        <v>309</v>
      </c>
      <c r="C2066" s="3" t="s">
        <v>270</v>
      </c>
      <c r="D2066" s="3" t="s">
        <v>20</v>
      </c>
      <c r="E2066" s="5">
        <v>6.0</v>
      </c>
      <c r="F2066" s="3" t="s">
        <v>2160</v>
      </c>
      <c r="G2066" s="3" t="s">
        <v>230</v>
      </c>
      <c r="J2066" s="5">
        <v>3.0</v>
      </c>
      <c r="N2066" s="3" t="b">
        <v>0</v>
      </c>
      <c r="R2066" s="3">
        <v>0.0</v>
      </c>
      <c r="T2066" s="3">
        <v>10.0</v>
      </c>
      <c r="U2066" s="3">
        <v>6.5</v>
      </c>
      <c r="V2066" s="3" t="s">
        <v>2172</v>
      </c>
      <c r="W2066" s="3" t="s">
        <v>344</v>
      </c>
      <c r="X2066" s="77" t="s">
        <v>2162</v>
      </c>
      <c r="Y2066" s="3">
        <v>1.0</v>
      </c>
      <c r="Z2066" s="3">
        <v>3.0</v>
      </c>
      <c r="AA2066" s="3">
        <f>2+ (P2066*'Scoring System'!$B$3)+ (IF(OR(AD2066="DEF",AD2066="GK"),N2066*'Scoring System'!$B$4,IF(AD2066="MID",N2066*'Scoring System'!$B$5,0)))+ (IF(OR(AD2066="DEF",AD2066="GK"),H2066*'Scoring System'!$B$6,IF(AD2066="MID",H2066*'Scoring System'!$B$7,IF(AD2066="ATT",H2066*'Scoring System'!$B$8,0))))+ IF(AND(OR(AD2066="GK",AD2066="DEF"),J2066&gt;=3),1*'Scoring System'!$B$9,0)+ (I2066*'Scoring System'!$B$10)+ (K2066*'Scoring System'!$B$11)+ (M2066*'Scoring System'!$B$12)+ (L2066*'Scoring System'!$B$13)+ (O2066*'Scoring System'!$B$14)+ (Q2066*'Scoring System'!$B$15)+ (R2066*'Scoring System'!$B$16)</f>
        <v>2</v>
      </c>
      <c r="AB2066" s="3" t="b">
        <f>IFERROR(match(C2066,'Match Day Fees'!$B$2:$B$999,0),0)=0</f>
        <v>0</v>
      </c>
      <c r="AC2066" s="3">
        <f t="shared" si="2"/>
        <v>1</v>
      </c>
      <c r="AD2066" s="3" t="str">
        <f>VLOOKUP(D2066,'Position Lookup'!A:B,2,FALSE)</f>
        <v>MID</v>
      </c>
    </row>
    <row r="2067" ht="17.25" customHeight="1">
      <c r="A2067" s="32">
        <v>45388.0</v>
      </c>
      <c r="B2067" s="5" t="s">
        <v>309</v>
      </c>
      <c r="C2067" s="3" t="s">
        <v>1986</v>
      </c>
      <c r="D2067" s="3" t="s">
        <v>23</v>
      </c>
      <c r="E2067" s="5">
        <v>6.0</v>
      </c>
      <c r="F2067" s="3" t="s">
        <v>2160</v>
      </c>
      <c r="G2067" s="3" t="s">
        <v>230</v>
      </c>
      <c r="H2067" s="3">
        <v>1.0</v>
      </c>
      <c r="J2067" s="5">
        <v>3.0</v>
      </c>
      <c r="N2067" s="3" t="b">
        <v>0</v>
      </c>
      <c r="R2067" s="3">
        <v>1.0</v>
      </c>
      <c r="T2067" s="3">
        <v>10.0</v>
      </c>
      <c r="U2067" s="3">
        <v>7.0</v>
      </c>
      <c r="V2067" s="3" t="s">
        <v>2173</v>
      </c>
      <c r="W2067" s="3" t="s">
        <v>344</v>
      </c>
      <c r="X2067" s="77" t="s">
        <v>2162</v>
      </c>
      <c r="Y2067" s="3">
        <v>1.0</v>
      </c>
      <c r="Z2067" s="3">
        <v>3.0</v>
      </c>
      <c r="AA2067" s="3">
        <f>2+ (P2067*'Scoring System'!$B$3)+ (IF(OR(AD2067="DEF",AD2067="GK"),N2067*'Scoring System'!$B$4,IF(AD2067="MID",N2067*'Scoring System'!$B$5,0)))+ (IF(OR(AD2067="DEF",AD2067="GK"),H2067*'Scoring System'!$B$6,IF(AD2067="MID",H2067*'Scoring System'!$B$7,IF(AD2067="ATT",H2067*'Scoring System'!$B$8,0))))+ IF(AND(OR(AD2067="GK",AD2067="DEF"),J2067&gt;=3),1*'Scoring System'!$B$9,0)+ (I2067*'Scoring System'!$B$10)+ (K2067*'Scoring System'!$B$11)+ (M2067*'Scoring System'!$B$12)+ (L2067*'Scoring System'!$B$13)+ (O2067*'Scoring System'!$B$14)+ (Q2067*'Scoring System'!$B$15)+ (R2067*'Scoring System'!$B$16)</f>
        <v>11</v>
      </c>
      <c r="AB2067" s="3" t="b">
        <f>IFERROR(match(C2067,'Match Day Fees'!$B$2:$B$999,0),0)=0</f>
        <v>0</v>
      </c>
      <c r="AC2067" s="3">
        <f t="shared" si="2"/>
        <v>1</v>
      </c>
      <c r="AD2067" s="3" t="str">
        <f>VLOOKUP(D2067,'Position Lookup'!A:B,2,FALSE)</f>
        <v>ATT</v>
      </c>
    </row>
    <row r="2068" ht="17.25" customHeight="1">
      <c r="A2068" s="32">
        <v>45388.0</v>
      </c>
      <c r="B2068" s="5" t="s">
        <v>309</v>
      </c>
      <c r="C2068" s="3" t="s">
        <v>108</v>
      </c>
      <c r="D2068" s="3" t="s">
        <v>8</v>
      </c>
      <c r="E2068" s="5">
        <v>4.0</v>
      </c>
      <c r="F2068" s="3" t="s">
        <v>1814</v>
      </c>
      <c r="G2068" s="3" t="s">
        <v>230</v>
      </c>
      <c r="J2068" s="5">
        <v>1.0</v>
      </c>
      <c r="N2068" s="3" t="b">
        <v>0</v>
      </c>
      <c r="R2068" s="3">
        <v>0.0</v>
      </c>
      <c r="T2068" s="3">
        <v>0.0</v>
      </c>
      <c r="U2068" s="3">
        <v>7.0</v>
      </c>
      <c r="V2068" s="3" t="s">
        <v>2174</v>
      </c>
      <c r="W2068" s="3" t="s">
        <v>730</v>
      </c>
      <c r="X2068" s="77" t="s">
        <v>2175</v>
      </c>
      <c r="Y2068" s="3">
        <v>0.0</v>
      </c>
      <c r="Z2068" s="3">
        <v>1.0</v>
      </c>
      <c r="AA2068" s="3">
        <f>2+ (P2068*'Scoring System'!$B$3)+ (IF(OR(AD2068="DEF",AD2068="GK"),N2068*'Scoring System'!$B$4,IF(AD2068="MID",N2068*'Scoring System'!$B$5,0)))+ (IF(OR(AD2068="DEF",AD2068="GK"),H2068*'Scoring System'!$B$6,IF(AD2068="MID",H2068*'Scoring System'!$B$7,IF(AD2068="ATT",H2068*'Scoring System'!$B$8,0))))+ IF(AND(OR(AD2068="GK",AD2068="DEF"),J2068&gt;=3),1*'Scoring System'!$B$9,0)+ (I2068*'Scoring System'!$B$10)+ (K2068*'Scoring System'!$B$11)+ (M2068*'Scoring System'!$B$12)+ (L2068*'Scoring System'!$B$13)+ (O2068*'Scoring System'!$B$14)+ (Q2068*'Scoring System'!$B$15)+ (R2068*'Scoring System'!$B$16)</f>
        <v>2</v>
      </c>
      <c r="AB2068" s="3" t="b">
        <f>IFERROR(match(C2068,'Match Day Fees'!$B$2:$B$999,0),0)=0</f>
        <v>0</v>
      </c>
      <c r="AC2068" s="3">
        <f t="shared" si="2"/>
        <v>1</v>
      </c>
      <c r="AD2068" s="3" t="str">
        <f>VLOOKUP(D2068,'Position Lookup'!A:B,2,FALSE)</f>
        <v>GK</v>
      </c>
    </row>
    <row r="2069" ht="17.25" customHeight="1">
      <c r="A2069" s="32">
        <v>45388.0</v>
      </c>
      <c r="B2069" s="5" t="s">
        <v>309</v>
      </c>
      <c r="C2069" s="3" t="s">
        <v>122</v>
      </c>
      <c r="D2069" s="3" t="s">
        <v>14</v>
      </c>
      <c r="E2069" s="5">
        <v>4.0</v>
      </c>
      <c r="F2069" s="3" t="s">
        <v>1814</v>
      </c>
      <c r="G2069" s="3" t="s">
        <v>230</v>
      </c>
      <c r="J2069" s="5">
        <v>1.0</v>
      </c>
      <c r="N2069" s="3" t="b">
        <v>0</v>
      </c>
      <c r="R2069" s="3">
        <v>1.0</v>
      </c>
      <c r="T2069" s="3">
        <v>5.0</v>
      </c>
      <c r="U2069" s="3">
        <v>8.0</v>
      </c>
      <c r="V2069" s="3" t="s">
        <v>2176</v>
      </c>
      <c r="W2069" s="3" t="s">
        <v>730</v>
      </c>
      <c r="X2069" s="77" t="s">
        <v>2175</v>
      </c>
      <c r="Y2069" s="3">
        <v>0.0</v>
      </c>
      <c r="Z2069" s="3">
        <v>1.0</v>
      </c>
      <c r="AA2069" s="3">
        <f>2+ (P2069*'Scoring System'!$B$3)+ (IF(OR(AD2069="DEF",AD2069="GK"),N2069*'Scoring System'!$B$4,IF(AD2069="MID",N2069*'Scoring System'!$B$5,0)))+ (IF(OR(AD2069="DEF",AD2069="GK"),H2069*'Scoring System'!$B$6,IF(AD2069="MID",H2069*'Scoring System'!$B$7,IF(AD2069="ATT",H2069*'Scoring System'!$B$8,0))))+ IF(AND(OR(AD2069="GK",AD2069="DEF"),J2069&gt;=3),1*'Scoring System'!$B$9,0)+ (I2069*'Scoring System'!$B$10)+ (K2069*'Scoring System'!$B$11)+ (M2069*'Scoring System'!$B$12)+ (L2069*'Scoring System'!$B$13)+ (O2069*'Scoring System'!$B$14)+ (Q2069*'Scoring System'!$B$15)+ (R2069*'Scoring System'!$B$16)</f>
        <v>7</v>
      </c>
      <c r="AB2069" s="3" t="b">
        <f>IFERROR(match(C2069,'Match Day Fees'!$B$2:$B$999,0),0)=0</f>
        <v>0</v>
      </c>
      <c r="AC2069" s="3">
        <f t="shared" si="2"/>
        <v>1</v>
      </c>
      <c r="AD2069" s="3" t="str">
        <f>VLOOKUP(D2069,'Position Lookup'!A:B,2,FALSE)</f>
        <v>DEF</v>
      </c>
    </row>
    <row r="2070" ht="17.25" customHeight="1">
      <c r="A2070" s="32">
        <v>45388.0</v>
      </c>
      <c r="B2070" s="5" t="s">
        <v>309</v>
      </c>
      <c r="C2070" s="3" t="s">
        <v>94</v>
      </c>
      <c r="D2070" s="3" t="s">
        <v>14</v>
      </c>
      <c r="E2070" s="5">
        <v>4.0</v>
      </c>
      <c r="F2070" s="3" t="s">
        <v>1814</v>
      </c>
      <c r="G2070" s="3" t="s">
        <v>230</v>
      </c>
      <c r="J2070" s="5">
        <v>1.0</v>
      </c>
      <c r="N2070" s="3" t="b">
        <v>0</v>
      </c>
      <c r="R2070" s="3">
        <v>0.0</v>
      </c>
      <c r="T2070" s="3">
        <v>5.0</v>
      </c>
      <c r="U2070" s="3">
        <v>7.0</v>
      </c>
      <c r="V2070" s="3" t="s">
        <v>2177</v>
      </c>
      <c r="W2070" s="3" t="s">
        <v>730</v>
      </c>
      <c r="X2070" s="77" t="s">
        <v>2175</v>
      </c>
      <c r="Y2070" s="3">
        <v>0.0</v>
      </c>
      <c r="Z2070" s="3">
        <v>1.0</v>
      </c>
      <c r="AA2070" s="3">
        <f>2+ (P2070*'Scoring System'!$B$3)+ (IF(OR(AD2070="DEF",AD2070="GK"),N2070*'Scoring System'!$B$4,IF(AD2070="MID",N2070*'Scoring System'!$B$5,0)))+ (IF(OR(AD2070="DEF",AD2070="GK"),H2070*'Scoring System'!$B$6,IF(AD2070="MID",H2070*'Scoring System'!$B$7,IF(AD2070="ATT",H2070*'Scoring System'!$B$8,0))))+ IF(AND(OR(AD2070="GK",AD2070="DEF"),J2070&gt;=3),1*'Scoring System'!$B$9,0)+ (I2070*'Scoring System'!$B$10)+ (K2070*'Scoring System'!$B$11)+ (M2070*'Scoring System'!$B$12)+ (L2070*'Scoring System'!$B$13)+ (O2070*'Scoring System'!$B$14)+ (Q2070*'Scoring System'!$B$15)+ (R2070*'Scoring System'!$B$16)</f>
        <v>2</v>
      </c>
      <c r="AB2070" s="3" t="b">
        <f>IFERROR(match(C2070,'Match Day Fees'!$B$2:$B$999,0),0)=0</f>
        <v>0</v>
      </c>
      <c r="AC2070" s="3">
        <f t="shared" si="2"/>
        <v>1</v>
      </c>
      <c r="AD2070" s="3" t="str">
        <f>VLOOKUP(D2070,'Position Lookup'!A:B,2,FALSE)</f>
        <v>DEF</v>
      </c>
    </row>
    <row r="2071" ht="17.25" customHeight="1">
      <c r="A2071" s="32">
        <v>45388.0</v>
      </c>
      <c r="B2071" s="5" t="s">
        <v>309</v>
      </c>
      <c r="C2071" s="3" t="s">
        <v>126</v>
      </c>
      <c r="D2071" s="3" t="s">
        <v>12</v>
      </c>
      <c r="E2071" s="5">
        <v>4.0</v>
      </c>
      <c r="F2071" s="3" t="s">
        <v>1814</v>
      </c>
      <c r="G2071" s="3" t="s">
        <v>230</v>
      </c>
      <c r="J2071" s="5">
        <v>1.0</v>
      </c>
      <c r="N2071" s="3" t="b">
        <v>0</v>
      </c>
      <c r="R2071" s="3">
        <v>0.0</v>
      </c>
      <c r="T2071" s="3">
        <v>5.0</v>
      </c>
      <c r="U2071" s="3">
        <v>7.0</v>
      </c>
      <c r="V2071" s="3" t="s">
        <v>2178</v>
      </c>
      <c r="W2071" s="3" t="s">
        <v>730</v>
      </c>
      <c r="X2071" s="77" t="s">
        <v>2175</v>
      </c>
      <c r="Y2071" s="3">
        <v>0.0</v>
      </c>
      <c r="Z2071" s="3">
        <v>1.0</v>
      </c>
      <c r="AA2071" s="3">
        <f>2+ (P2071*'Scoring System'!$B$3)+ (IF(OR(AD2071="DEF",AD2071="GK"),N2071*'Scoring System'!$B$4,IF(AD2071="MID",N2071*'Scoring System'!$B$5,0)))+ (IF(OR(AD2071="DEF",AD2071="GK"),H2071*'Scoring System'!$B$6,IF(AD2071="MID",H2071*'Scoring System'!$B$7,IF(AD2071="ATT",H2071*'Scoring System'!$B$8,0))))+ IF(AND(OR(AD2071="GK",AD2071="DEF"),J2071&gt;=3),1*'Scoring System'!$B$9,0)+ (I2071*'Scoring System'!$B$10)+ (K2071*'Scoring System'!$B$11)+ (M2071*'Scoring System'!$B$12)+ (L2071*'Scoring System'!$B$13)+ (O2071*'Scoring System'!$B$14)+ (Q2071*'Scoring System'!$B$15)+ (R2071*'Scoring System'!$B$16)</f>
        <v>2</v>
      </c>
      <c r="AB2071" s="3" t="b">
        <f>IFERROR(match(C2071,'Match Day Fees'!$B$2:$B$999,0),0)=0</f>
        <v>0</v>
      </c>
      <c r="AC2071" s="3">
        <f t="shared" si="2"/>
        <v>1</v>
      </c>
      <c r="AD2071" s="3" t="str">
        <f>VLOOKUP(D2071,'Position Lookup'!A:B,2,FALSE)</f>
        <v>DEF</v>
      </c>
    </row>
    <row r="2072" ht="17.25" customHeight="1">
      <c r="A2072" s="32">
        <v>45388.0</v>
      </c>
      <c r="B2072" s="5" t="s">
        <v>309</v>
      </c>
      <c r="C2072" s="3" t="s">
        <v>54</v>
      </c>
      <c r="D2072" s="3" t="s">
        <v>23</v>
      </c>
      <c r="E2072" s="5">
        <v>4.0</v>
      </c>
      <c r="F2072" s="3" t="s">
        <v>1814</v>
      </c>
      <c r="G2072" s="3" t="s">
        <v>230</v>
      </c>
      <c r="J2072" s="5">
        <v>1.0</v>
      </c>
      <c r="N2072" s="3" t="b">
        <v>0</v>
      </c>
      <c r="R2072" s="3">
        <v>0.0</v>
      </c>
      <c r="T2072" s="3">
        <v>10.0</v>
      </c>
      <c r="U2072" s="3">
        <v>7.0</v>
      </c>
      <c r="V2072" s="3" t="s">
        <v>2179</v>
      </c>
      <c r="W2072" s="3" t="s">
        <v>730</v>
      </c>
      <c r="X2072" s="77" t="s">
        <v>2175</v>
      </c>
      <c r="Y2072" s="3">
        <v>0.0</v>
      </c>
      <c r="Z2072" s="3">
        <v>1.0</v>
      </c>
      <c r="AA2072" s="3">
        <f>2+ (P2072*'Scoring System'!$B$3)+ (IF(OR(AD2072="DEF",AD2072="GK"),N2072*'Scoring System'!$B$4,IF(AD2072="MID",N2072*'Scoring System'!$B$5,0)))+ (IF(OR(AD2072="DEF",AD2072="GK"),H2072*'Scoring System'!$B$6,IF(AD2072="MID",H2072*'Scoring System'!$B$7,IF(AD2072="ATT",H2072*'Scoring System'!$B$8,0))))+ IF(AND(OR(AD2072="GK",AD2072="DEF"),J2072&gt;=3),1*'Scoring System'!$B$9,0)+ (I2072*'Scoring System'!$B$10)+ (K2072*'Scoring System'!$B$11)+ (M2072*'Scoring System'!$B$12)+ (L2072*'Scoring System'!$B$13)+ (O2072*'Scoring System'!$B$14)+ (Q2072*'Scoring System'!$B$15)+ (R2072*'Scoring System'!$B$16)</f>
        <v>2</v>
      </c>
      <c r="AB2072" s="3" t="b">
        <f>IFERROR(match(C2072,'Match Day Fees'!$B$2:$B$999,0),0)=0</f>
        <v>0</v>
      </c>
      <c r="AC2072" s="3">
        <f t="shared" si="2"/>
        <v>1</v>
      </c>
      <c r="AD2072" s="3" t="str">
        <f>VLOOKUP(D2072,'Position Lookup'!A:B,2,FALSE)</f>
        <v>ATT</v>
      </c>
    </row>
    <row r="2073" ht="17.25" customHeight="1">
      <c r="A2073" s="32">
        <v>45388.0</v>
      </c>
      <c r="B2073" s="5" t="s">
        <v>309</v>
      </c>
      <c r="C2073" s="3" t="s">
        <v>44</v>
      </c>
      <c r="D2073" s="3" t="s">
        <v>20</v>
      </c>
      <c r="E2073" s="5">
        <v>4.0</v>
      </c>
      <c r="F2073" s="3" t="s">
        <v>1814</v>
      </c>
      <c r="G2073" s="3" t="s">
        <v>230</v>
      </c>
      <c r="J2073" s="5">
        <v>1.0</v>
      </c>
      <c r="N2073" s="3" t="b">
        <v>0</v>
      </c>
      <c r="R2073" s="3">
        <v>0.0</v>
      </c>
      <c r="T2073" s="3">
        <v>5.0</v>
      </c>
      <c r="U2073" s="3">
        <v>7.0</v>
      </c>
      <c r="V2073" s="3" t="s">
        <v>2180</v>
      </c>
      <c r="W2073" s="3" t="s">
        <v>730</v>
      </c>
      <c r="X2073" s="77" t="s">
        <v>2175</v>
      </c>
      <c r="Y2073" s="3">
        <v>0.0</v>
      </c>
      <c r="Z2073" s="3">
        <v>1.0</v>
      </c>
      <c r="AA2073" s="3">
        <f>2+ (P2073*'Scoring System'!$B$3)+ (IF(OR(AD2073="DEF",AD2073="GK"),N2073*'Scoring System'!$B$4,IF(AD2073="MID",N2073*'Scoring System'!$B$5,0)))+ (IF(OR(AD2073="DEF",AD2073="GK"),H2073*'Scoring System'!$B$6,IF(AD2073="MID",H2073*'Scoring System'!$B$7,IF(AD2073="ATT",H2073*'Scoring System'!$B$8,0))))+ IF(AND(OR(AD2073="GK",AD2073="DEF"),J2073&gt;=3),1*'Scoring System'!$B$9,0)+ (I2073*'Scoring System'!$B$10)+ (K2073*'Scoring System'!$B$11)+ (M2073*'Scoring System'!$B$12)+ (L2073*'Scoring System'!$B$13)+ (O2073*'Scoring System'!$B$14)+ (Q2073*'Scoring System'!$B$15)+ (R2073*'Scoring System'!$B$16)</f>
        <v>2</v>
      </c>
      <c r="AB2073" s="3" t="b">
        <f>IFERROR(match(C2073,'Match Day Fees'!$B$2:$B$999,0),0)=0</f>
        <v>0</v>
      </c>
      <c r="AC2073" s="3">
        <f t="shared" si="2"/>
        <v>1</v>
      </c>
      <c r="AD2073" s="3" t="str">
        <f>VLOOKUP(D2073,'Position Lookup'!A:B,2,FALSE)</f>
        <v>MID</v>
      </c>
    </row>
    <row r="2074" ht="17.25" customHeight="1">
      <c r="A2074" s="32">
        <v>45388.0</v>
      </c>
      <c r="B2074" s="5" t="s">
        <v>309</v>
      </c>
      <c r="C2074" s="3" t="s">
        <v>144</v>
      </c>
      <c r="D2074" s="3" t="s">
        <v>16</v>
      </c>
      <c r="E2074" s="5">
        <v>4.0</v>
      </c>
      <c r="F2074" s="3" t="s">
        <v>1814</v>
      </c>
      <c r="G2074" s="3" t="s">
        <v>230</v>
      </c>
      <c r="J2074" s="5">
        <v>1.0</v>
      </c>
      <c r="N2074" s="3" t="b">
        <v>0</v>
      </c>
      <c r="R2074" s="3">
        <v>0.0</v>
      </c>
      <c r="T2074" s="3">
        <v>10.0</v>
      </c>
      <c r="U2074" s="3">
        <v>6.5</v>
      </c>
      <c r="V2074" s="3" t="s">
        <v>2181</v>
      </c>
      <c r="W2074" s="3" t="s">
        <v>730</v>
      </c>
      <c r="X2074" s="77" t="s">
        <v>2175</v>
      </c>
      <c r="Y2074" s="3">
        <v>0.0</v>
      </c>
      <c r="Z2074" s="3">
        <v>1.0</v>
      </c>
      <c r="AA2074" s="3">
        <f>2+ (P2074*'Scoring System'!$B$3)+ (IF(OR(AD2074="DEF",AD2074="GK"),N2074*'Scoring System'!$B$4,IF(AD2074="MID",N2074*'Scoring System'!$B$5,0)))+ (IF(OR(AD2074="DEF",AD2074="GK"),H2074*'Scoring System'!$B$6,IF(AD2074="MID",H2074*'Scoring System'!$B$7,IF(AD2074="ATT",H2074*'Scoring System'!$B$8,0))))+ IF(AND(OR(AD2074="GK",AD2074="DEF"),J2074&gt;=3),1*'Scoring System'!$B$9,0)+ (I2074*'Scoring System'!$B$10)+ (K2074*'Scoring System'!$B$11)+ (M2074*'Scoring System'!$B$12)+ (L2074*'Scoring System'!$B$13)+ (O2074*'Scoring System'!$B$14)+ (Q2074*'Scoring System'!$B$15)+ (R2074*'Scoring System'!$B$16)</f>
        <v>2</v>
      </c>
      <c r="AB2074" s="3" t="b">
        <f>IFERROR(match(C2074,'Match Day Fees'!$B$2:$B$999,0),0)=0</f>
        <v>0</v>
      </c>
      <c r="AC2074" s="3">
        <f t="shared" si="2"/>
        <v>1</v>
      </c>
      <c r="AD2074" s="3" t="str">
        <f>VLOOKUP(D2074,'Position Lookup'!A:B,2,FALSE)</f>
        <v>DEF</v>
      </c>
    </row>
    <row r="2075" ht="17.25" customHeight="1">
      <c r="A2075" s="32">
        <v>45388.0</v>
      </c>
      <c r="B2075" s="5" t="s">
        <v>309</v>
      </c>
      <c r="C2075" s="3" t="s">
        <v>136</v>
      </c>
      <c r="D2075" s="3" t="s">
        <v>20</v>
      </c>
      <c r="E2075" s="5">
        <v>4.0</v>
      </c>
      <c r="F2075" s="3" t="s">
        <v>1814</v>
      </c>
      <c r="G2075" s="3" t="s">
        <v>230</v>
      </c>
      <c r="J2075" s="5">
        <v>1.0</v>
      </c>
      <c r="N2075" s="3" t="b">
        <v>0</v>
      </c>
      <c r="R2075" s="3">
        <v>0.0</v>
      </c>
      <c r="S2075" s="3" t="b">
        <v>1</v>
      </c>
      <c r="T2075" s="3">
        <v>0.0</v>
      </c>
      <c r="U2075" s="3">
        <v>7.0</v>
      </c>
      <c r="V2075" s="3" t="s">
        <v>2182</v>
      </c>
      <c r="W2075" s="3" t="s">
        <v>730</v>
      </c>
      <c r="X2075" s="77" t="s">
        <v>2175</v>
      </c>
      <c r="Y2075" s="3">
        <v>0.0</v>
      </c>
      <c r="Z2075" s="3">
        <v>1.0</v>
      </c>
      <c r="AA2075" s="3">
        <f>2+ (P2075*'Scoring System'!$B$3)+ (IF(OR(AD2075="DEF",AD2075="GK"),N2075*'Scoring System'!$B$4,IF(AD2075="MID",N2075*'Scoring System'!$B$5,0)))+ (IF(OR(AD2075="DEF",AD2075="GK"),H2075*'Scoring System'!$B$6,IF(AD2075="MID",H2075*'Scoring System'!$B$7,IF(AD2075="ATT",H2075*'Scoring System'!$B$8,0))))+ IF(AND(OR(AD2075="GK",AD2075="DEF"),J2075&gt;=3),1*'Scoring System'!$B$9,0)+ (I2075*'Scoring System'!$B$10)+ (K2075*'Scoring System'!$B$11)+ (M2075*'Scoring System'!$B$12)+ (L2075*'Scoring System'!$B$13)+ (O2075*'Scoring System'!$B$14)+ (Q2075*'Scoring System'!$B$15)+ (R2075*'Scoring System'!$B$16)</f>
        <v>2</v>
      </c>
      <c r="AB2075" s="3" t="b">
        <f>IFERROR(match(C2075,'Match Day Fees'!$B$2:$B$999,0),0)=0</f>
        <v>0</v>
      </c>
      <c r="AC2075" s="3">
        <f t="shared" si="2"/>
        <v>1</v>
      </c>
      <c r="AD2075" s="3" t="str">
        <f>VLOOKUP(D2075,'Position Lookup'!A:B,2,FALSE)</f>
        <v>MID</v>
      </c>
    </row>
    <row r="2076" ht="17.25" customHeight="1">
      <c r="A2076" s="32">
        <v>45388.0</v>
      </c>
      <c r="B2076" s="5" t="s">
        <v>309</v>
      </c>
      <c r="C2076" s="3" t="s">
        <v>132</v>
      </c>
      <c r="D2076" s="3" t="s">
        <v>24</v>
      </c>
      <c r="E2076" s="5">
        <v>4.0</v>
      </c>
      <c r="F2076" s="3" t="s">
        <v>1814</v>
      </c>
      <c r="G2076" s="3" t="s">
        <v>230</v>
      </c>
      <c r="J2076" s="5">
        <v>1.0</v>
      </c>
      <c r="N2076" s="3" t="b">
        <v>0</v>
      </c>
      <c r="R2076" s="3">
        <v>0.0</v>
      </c>
      <c r="T2076" s="3">
        <v>10.0</v>
      </c>
      <c r="U2076" s="3">
        <v>7.0</v>
      </c>
      <c r="V2076" s="3" t="s">
        <v>2183</v>
      </c>
      <c r="W2076" s="3" t="s">
        <v>730</v>
      </c>
      <c r="X2076" s="77" t="s">
        <v>2175</v>
      </c>
      <c r="Y2076" s="3">
        <v>0.0</v>
      </c>
      <c r="Z2076" s="3">
        <v>1.0</v>
      </c>
      <c r="AA2076" s="3">
        <f>2+ (P2076*'Scoring System'!$B$3)+ (IF(OR(AD2076="DEF",AD2076="GK"),N2076*'Scoring System'!$B$4,IF(AD2076="MID",N2076*'Scoring System'!$B$5,0)))+ (IF(OR(AD2076="DEF",AD2076="GK"),H2076*'Scoring System'!$B$6,IF(AD2076="MID",H2076*'Scoring System'!$B$7,IF(AD2076="ATT",H2076*'Scoring System'!$B$8,0))))+ IF(AND(OR(AD2076="GK",AD2076="DEF"),J2076&gt;=3),1*'Scoring System'!$B$9,0)+ (I2076*'Scoring System'!$B$10)+ (K2076*'Scoring System'!$B$11)+ (M2076*'Scoring System'!$B$12)+ (L2076*'Scoring System'!$B$13)+ (O2076*'Scoring System'!$B$14)+ (Q2076*'Scoring System'!$B$15)+ (R2076*'Scoring System'!$B$16)</f>
        <v>2</v>
      </c>
      <c r="AB2076" s="3" t="b">
        <f>IFERROR(match(C2076,'Match Day Fees'!$B$2:$B$999,0),0)=0</f>
        <v>0</v>
      </c>
      <c r="AC2076" s="3">
        <f t="shared" si="2"/>
        <v>1</v>
      </c>
      <c r="AD2076" s="3" t="str">
        <f>VLOOKUP(D2076,'Position Lookup'!A:B,2,FALSE)</f>
        <v>ATT</v>
      </c>
    </row>
    <row r="2077" ht="17.25" customHeight="1">
      <c r="A2077" s="32">
        <v>45388.0</v>
      </c>
      <c r="B2077" s="5" t="s">
        <v>309</v>
      </c>
      <c r="C2077" s="3" t="s">
        <v>45</v>
      </c>
      <c r="D2077" s="3" t="s">
        <v>22</v>
      </c>
      <c r="E2077" s="5">
        <v>4.0</v>
      </c>
      <c r="F2077" s="3" t="s">
        <v>1814</v>
      </c>
      <c r="G2077" s="3" t="s">
        <v>230</v>
      </c>
      <c r="J2077" s="5">
        <v>1.0</v>
      </c>
      <c r="N2077" s="3" t="b">
        <v>0</v>
      </c>
      <c r="R2077" s="3">
        <v>0.0</v>
      </c>
      <c r="T2077" s="3">
        <v>10.0</v>
      </c>
      <c r="U2077" s="3">
        <v>6.5</v>
      </c>
      <c r="V2077" s="3" t="s">
        <v>2184</v>
      </c>
      <c r="W2077" s="3" t="s">
        <v>730</v>
      </c>
      <c r="X2077" s="77" t="s">
        <v>2175</v>
      </c>
      <c r="Y2077" s="3">
        <v>0.0</v>
      </c>
      <c r="Z2077" s="3">
        <v>1.0</v>
      </c>
      <c r="AA2077" s="3">
        <f>2+ (P2077*'Scoring System'!$B$3)+ (IF(OR(AD2077="DEF",AD2077="GK"),N2077*'Scoring System'!$B$4,IF(AD2077="MID",N2077*'Scoring System'!$B$5,0)))+ (IF(OR(AD2077="DEF",AD2077="GK"),H2077*'Scoring System'!$B$6,IF(AD2077="MID",H2077*'Scoring System'!$B$7,IF(AD2077="ATT",H2077*'Scoring System'!$B$8,0))))+ IF(AND(OR(AD2077="GK",AD2077="DEF"),J2077&gt;=3),1*'Scoring System'!$B$9,0)+ (I2077*'Scoring System'!$B$10)+ (K2077*'Scoring System'!$B$11)+ (M2077*'Scoring System'!$B$12)+ (L2077*'Scoring System'!$B$13)+ (O2077*'Scoring System'!$B$14)+ (Q2077*'Scoring System'!$B$15)+ (R2077*'Scoring System'!$B$16)</f>
        <v>2</v>
      </c>
      <c r="AB2077" s="3" t="b">
        <f>IFERROR(match(C2077,'Match Day Fees'!$B$2:$B$999,0),0)=0</f>
        <v>0</v>
      </c>
      <c r="AC2077" s="3">
        <f t="shared" si="2"/>
        <v>1</v>
      </c>
      <c r="AD2077" s="3" t="str">
        <f>VLOOKUP(D2077,'Position Lookup'!A:B,2,FALSE)</f>
        <v>ATT</v>
      </c>
    </row>
    <row r="2078" ht="17.25" customHeight="1">
      <c r="A2078" s="32">
        <v>45388.0</v>
      </c>
      <c r="B2078" s="5" t="s">
        <v>309</v>
      </c>
      <c r="C2078" s="3" t="s">
        <v>139</v>
      </c>
      <c r="D2078" s="3" t="s">
        <v>24</v>
      </c>
      <c r="E2078" s="5">
        <v>4.0</v>
      </c>
      <c r="F2078" s="3" t="s">
        <v>1814</v>
      </c>
      <c r="G2078" s="3" t="s">
        <v>230</v>
      </c>
      <c r="J2078" s="5">
        <v>1.0</v>
      </c>
      <c r="N2078" s="3" t="b">
        <v>0</v>
      </c>
      <c r="R2078" s="3">
        <v>0.0</v>
      </c>
      <c r="T2078" s="3">
        <v>10.0</v>
      </c>
      <c r="U2078" s="3">
        <v>6.5</v>
      </c>
      <c r="V2078" s="3" t="s">
        <v>2185</v>
      </c>
      <c r="W2078" s="3" t="s">
        <v>730</v>
      </c>
      <c r="X2078" s="77" t="s">
        <v>2175</v>
      </c>
      <c r="Y2078" s="3">
        <v>0.0</v>
      </c>
      <c r="Z2078" s="3">
        <v>1.0</v>
      </c>
      <c r="AA2078" s="3">
        <f>2+ (P2078*'Scoring System'!$B$3)+ (IF(OR(AD2078="DEF",AD2078="GK"),N2078*'Scoring System'!$B$4,IF(AD2078="MID",N2078*'Scoring System'!$B$5,0)))+ (IF(OR(AD2078="DEF",AD2078="GK"),H2078*'Scoring System'!$B$6,IF(AD2078="MID",H2078*'Scoring System'!$B$7,IF(AD2078="ATT",H2078*'Scoring System'!$B$8,0))))+ IF(AND(OR(AD2078="GK",AD2078="DEF"),J2078&gt;=3),1*'Scoring System'!$B$9,0)+ (I2078*'Scoring System'!$B$10)+ (K2078*'Scoring System'!$B$11)+ (M2078*'Scoring System'!$B$12)+ (L2078*'Scoring System'!$B$13)+ (O2078*'Scoring System'!$B$14)+ (Q2078*'Scoring System'!$B$15)+ (R2078*'Scoring System'!$B$16)</f>
        <v>2</v>
      </c>
      <c r="AB2078" s="3" t="b">
        <f>IFERROR(match(C2078,'Match Day Fees'!$B$2:$B$999,0),0)=0</f>
        <v>0</v>
      </c>
      <c r="AC2078" s="3">
        <f t="shared" si="2"/>
        <v>1</v>
      </c>
      <c r="AD2078" s="3" t="str">
        <f>VLOOKUP(D2078,'Position Lookup'!A:B,2,FALSE)</f>
        <v>ATT</v>
      </c>
    </row>
    <row r="2079" ht="17.25" customHeight="1">
      <c r="A2079" s="32">
        <v>45388.0</v>
      </c>
      <c r="B2079" s="5" t="s">
        <v>309</v>
      </c>
      <c r="C2079" s="3" t="s">
        <v>140</v>
      </c>
      <c r="D2079" s="3" t="s">
        <v>22</v>
      </c>
      <c r="E2079" s="5">
        <v>4.0</v>
      </c>
      <c r="F2079" s="3" t="s">
        <v>1814</v>
      </c>
      <c r="G2079" s="3" t="s">
        <v>230</v>
      </c>
      <c r="J2079" s="5">
        <v>1.0</v>
      </c>
      <c r="N2079" s="3" t="b">
        <v>0</v>
      </c>
      <c r="R2079" s="3">
        <v>0.0</v>
      </c>
      <c r="T2079" s="3">
        <v>10.0</v>
      </c>
      <c r="U2079" s="3">
        <v>7.0</v>
      </c>
      <c r="V2079" s="3" t="s">
        <v>2186</v>
      </c>
      <c r="W2079" s="3" t="s">
        <v>730</v>
      </c>
      <c r="X2079" s="77" t="s">
        <v>2175</v>
      </c>
      <c r="Y2079" s="3">
        <v>0.0</v>
      </c>
      <c r="Z2079" s="3">
        <v>1.0</v>
      </c>
      <c r="AA2079" s="3">
        <f>2+ (P2079*'Scoring System'!$B$3)+ (IF(OR(AD2079="DEF",AD2079="GK"),N2079*'Scoring System'!$B$4,IF(AD2079="MID",N2079*'Scoring System'!$B$5,0)))+ (IF(OR(AD2079="DEF",AD2079="GK"),H2079*'Scoring System'!$B$6,IF(AD2079="MID",H2079*'Scoring System'!$B$7,IF(AD2079="ATT",H2079*'Scoring System'!$B$8,0))))+ IF(AND(OR(AD2079="GK",AD2079="DEF"),J2079&gt;=3),1*'Scoring System'!$B$9,0)+ (I2079*'Scoring System'!$B$10)+ (K2079*'Scoring System'!$B$11)+ (M2079*'Scoring System'!$B$12)+ (L2079*'Scoring System'!$B$13)+ (O2079*'Scoring System'!$B$14)+ (Q2079*'Scoring System'!$B$15)+ (R2079*'Scoring System'!$B$16)</f>
        <v>2</v>
      </c>
      <c r="AB2079" s="3" t="b">
        <f>IFERROR(match(C2079,'Match Day Fees'!$B$2:$B$999,0),0)=0</f>
        <v>0</v>
      </c>
      <c r="AC2079" s="3">
        <f t="shared" si="2"/>
        <v>1</v>
      </c>
      <c r="AD2079" s="3" t="str">
        <f>VLOOKUP(D2079,'Position Lookup'!A:B,2,FALSE)</f>
        <v>ATT</v>
      </c>
    </row>
    <row r="2080" ht="17.25" customHeight="1">
      <c r="A2080" s="32">
        <v>45388.0</v>
      </c>
      <c r="B2080" s="5" t="s">
        <v>309</v>
      </c>
      <c r="C2080" s="3" t="s">
        <v>308</v>
      </c>
      <c r="D2080" s="3" t="s">
        <v>20</v>
      </c>
      <c r="E2080" s="5">
        <v>4.0</v>
      </c>
      <c r="F2080" s="3" t="s">
        <v>1814</v>
      </c>
      <c r="G2080" s="3" t="s">
        <v>230</v>
      </c>
      <c r="J2080" s="5">
        <v>1.0</v>
      </c>
      <c r="N2080" s="3" t="b">
        <v>0</v>
      </c>
      <c r="R2080" s="3">
        <v>0.0</v>
      </c>
      <c r="T2080" s="3">
        <v>10.0</v>
      </c>
      <c r="U2080" s="3">
        <v>7.0</v>
      </c>
      <c r="V2080" s="3" t="s">
        <v>2187</v>
      </c>
      <c r="W2080" s="3" t="s">
        <v>730</v>
      </c>
      <c r="X2080" s="77" t="s">
        <v>2175</v>
      </c>
      <c r="Y2080" s="3">
        <v>0.0</v>
      </c>
      <c r="Z2080" s="3">
        <v>1.0</v>
      </c>
      <c r="AA2080" s="3">
        <f>2+ (P2080*'Scoring System'!$B$3)+ (IF(OR(AD2080="DEF",AD2080="GK"),N2080*'Scoring System'!$B$4,IF(AD2080="MID",N2080*'Scoring System'!$B$5,0)))+ (IF(OR(AD2080="DEF",AD2080="GK"),H2080*'Scoring System'!$B$6,IF(AD2080="MID",H2080*'Scoring System'!$B$7,IF(AD2080="ATT",H2080*'Scoring System'!$B$8,0))))+ IF(AND(OR(AD2080="GK",AD2080="DEF"),J2080&gt;=3),1*'Scoring System'!$B$9,0)+ (I2080*'Scoring System'!$B$10)+ (K2080*'Scoring System'!$B$11)+ (M2080*'Scoring System'!$B$12)+ (L2080*'Scoring System'!$B$13)+ (O2080*'Scoring System'!$B$14)+ (Q2080*'Scoring System'!$B$15)+ (R2080*'Scoring System'!$B$16)</f>
        <v>2</v>
      </c>
      <c r="AB2080" s="3" t="b">
        <f>IFERROR(match(C2080,'Match Day Fees'!$B$2:$B$999,0),0)=0</f>
        <v>0</v>
      </c>
      <c r="AC2080" s="3">
        <f t="shared" si="2"/>
        <v>1</v>
      </c>
      <c r="AD2080" s="3" t="str">
        <f>VLOOKUP(D2080,'Position Lookup'!A:B,2,FALSE)</f>
        <v>MID</v>
      </c>
    </row>
    <row r="2081" ht="17.25" customHeight="1">
      <c r="A2081" s="32">
        <v>45388.0</v>
      </c>
      <c r="B2081" s="5" t="s">
        <v>309</v>
      </c>
      <c r="C2081" s="3" t="s">
        <v>145</v>
      </c>
      <c r="D2081" s="3" t="s">
        <v>14</v>
      </c>
      <c r="E2081" s="5">
        <v>4.0</v>
      </c>
      <c r="F2081" s="3" t="s">
        <v>1814</v>
      </c>
      <c r="G2081" s="3" t="s">
        <v>230</v>
      </c>
      <c r="J2081" s="5">
        <v>1.0</v>
      </c>
      <c r="N2081" s="3" t="b">
        <v>0</v>
      </c>
      <c r="R2081" s="3">
        <v>0.0</v>
      </c>
      <c r="T2081" s="3">
        <v>5.0</v>
      </c>
      <c r="U2081" s="3">
        <v>7.0</v>
      </c>
      <c r="V2081" s="3" t="s">
        <v>2188</v>
      </c>
      <c r="W2081" s="3" t="s">
        <v>730</v>
      </c>
      <c r="X2081" s="77" t="s">
        <v>2175</v>
      </c>
      <c r="Y2081" s="3">
        <v>0.0</v>
      </c>
      <c r="Z2081" s="3">
        <v>1.0</v>
      </c>
      <c r="AA2081" s="3">
        <f>2+ (P2081*'Scoring System'!$B$3)+ (IF(OR(AD2081="DEF",AD2081="GK"),N2081*'Scoring System'!$B$4,IF(AD2081="MID",N2081*'Scoring System'!$B$5,0)))+ (IF(OR(AD2081="DEF",AD2081="GK"),H2081*'Scoring System'!$B$6,IF(AD2081="MID",H2081*'Scoring System'!$B$7,IF(AD2081="ATT",H2081*'Scoring System'!$B$8,0))))+ IF(AND(OR(AD2081="GK",AD2081="DEF"),J2081&gt;=3),1*'Scoring System'!$B$9,0)+ (I2081*'Scoring System'!$B$10)+ (K2081*'Scoring System'!$B$11)+ (M2081*'Scoring System'!$B$12)+ (L2081*'Scoring System'!$B$13)+ (O2081*'Scoring System'!$B$14)+ (Q2081*'Scoring System'!$B$15)+ (R2081*'Scoring System'!$B$16)</f>
        <v>2</v>
      </c>
      <c r="AB2081" s="3" t="b">
        <f>IFERROR(match(C2081,'Match Day Fees'!$B$2:$B$999,0),0)=0</f>
        <v>0</v>
      </c>
      <c r="AC2081" s="3">
        <f t="shared" si="2"/>
        <v>1</v>
      </c>
      <c r="AD2081" s="3" t="str">
        <f>VLOOKUP(D2081,'Position Lookup'!A:B,2,FALSE)</f>
        <v>DEF</v>
      </c>
    </row>
    <row r="2082" ht="17.25" customHeight="1">
      <c r="A2082" s="32">
        <v>45388.0</v>
      </c>
      <c r="B2082" s="5" t="s">
        <v>309</v>
      </c>
      <c r="C2082" s="3" t="s">
        <v>38</v>
      </c>
      <c r="D2082" s="3" t="s">
        <v>8</v>
      </c>
      <c r="E2082" s="5">
        <v>2.0</v>
      </c>
      <c r="F2082" s="3" t="s">
        <v>2189</v>
      </c>
      <c r="G2082" s="3" t="s">
        <v>224</v>
      </c>
      <c r="J2082" s="5">
        <v>1.0</v>
      </c>
      <c r="N2082" s="3" t="b">
        <v>0</v>
      </c>
      <c r="R2082" s="3">
        <v>0.0</v>
      </c>
      <c r="T2082" s="3">
        <v>10.0</v>
      </c>
      <c r="U2082" s="3">
        <v>7.5</v>
      </c>
      <c r="V2082" s="3" t="s">
        <v>2190</v>
      </c>
      <c r="W2082" s="3" t="s">
        <v>327</v>
      </c>
      <c r="X2082" s="77" t="s">
        <v>2191</v>
      </c>
      <c r="Y2082" s="3">
        <v>2.0</v>
      </c>
      <c r="Z2082" s="3">
        <v>1.0</v>
      </c>
      <c r="AA2082" s="3">
        <f>2+ (P2082*'Scoring System'!$B$3)+ (IF(OR(AD2082="DEF",AD2082="GK"),N2082*'Scoring System'!$B$4,IF(AD2082="MID",N2082*'Scoring System'!$B$5,0)))+ (IF(OR(AD2082="DEF",AD2082="GK"),H2082*'Scoring System'!$B$6,IF(AD2082="MID",H2082*'Scoring System'!$B$7,IF(AD2082="ATT",H2082*'Scoring System'!$B$8,0))))+ IF(AND(OR(AD2082="GK",AD2082="DEF"),J2082&gt;=3),1*'Scoring System'!$B$9,0)+ (I2082*'Scoring System'!$B$10)+ (K2082*'Scoring System'!$B$11)+ (M2082*'Scoring System'!$B$12)+ (L2082*'Scoring System'!$B$13)+ (O2082*'Scoring System'!$B$14)+ (Q2082*'Scoring System'!$B$15)+ (R2082*'Scoring System'!$B$16)</f>
        <v>2</v>
      </c>
      <c r="AB2082" s="3" t="b">
        <f>IFERROR(match(C2082,'Match Day Fees'!$B$2:$B$999,0),0)=0</f>
        <v>0</v>
      </c>
      <c r="AC2082" s="3">
        <f t="shared" si="2"/>
        <v>1</v>
      </c>
      <c r="AD2082" s="3" t="str">
        <f>VLOOKUP(D2082,'Position Lookup'!A:B,2,FALSE)</f>
        <v>GK</v>
      </c>
    </row>
    <row r="2083" ht="17.25" customHeight="1">
      <c r="A2083" s="32">
        <v>45388.0</v>
      </c>
      <c r="B2083" s="5" t="s">
        <v>309</v>
      </c>
      <c r="C2083" s="3" t="s">
        <v>56</v>
      </c>
      <c r="D2083" s="3" t="s">
        <v>14</v>
      </c>
      <c r="E2083" s="5">
        <v>2.0</v>
      </c>
      <c r="F2083" s="3" t="s">
        <v>2189</v>
      </c>
      <c r="G2083" s="3" t="s">
        <v>224</v>
      </c>
      <c r="J2083" s="5">
        <v>1.0</v>
      </c>
      <c r="N2083" s="3" t="b">
        <v>0</v>
      </c>
      <c r="R2083" s="3">
        <v>1.0</v>
      </c>
      <c r="S2083" s="3" t="b">
        <v>1</v>
      </c>
      <c r="T2083" s="3">
        <v>0.0</v>
      </c>
      <c r="U2083" s="3">
        <v>7.5</v>
      </c>
      <c r="V2083" s="3" t="s">
        <v>2192</v>
      </c>
      <c r="W2083" s="3" t="s">
        <v>327</v>
      </c>
      <c r="X2083" s="77" t="s">
        <v>2191</v>
      </c>
      <c r="Y2083" s="3">
        <v>2.0</v>
      </c>
      <c r="Z2083" s="3">
        <v>1.0</v>
      </c>
      <c r="AA2083" s="3">
        <f>2+ (P2083*'Scoring System'!$B$3)+ (IF(OR(AD2083="DEF",AD2083="GK"),N2083*'Scoring System'!$B$4,IF(AD2083="MID",N2083*'Scoring System'!$B$5,0)))+ (IF(OR(AD2083="DEF",AD2083="GK"),H2083*'Scoring System'!$B$6,IF(AD2083="MID",H2083*'Scoring System'!$B$7,IF(AD2083="ATT",H2083*'Scoring System'!$B$8,0))))+ IF(AND(OR(AD2083="GK",AD2083="DEF"),J2083&gt;=3),1*'Scoring System'!$B$9,0)+ (I2083*'Scoring System'!$B$10)+ (K2083*'Scoring System'!$B$11)+ (M2083*'Scoring System'!$B$12)+ (L2083*'Scoring System'!$B$13)+ (O2083*'Scoring System'!$B$14)+ (Q2083*'Scoring System'!$B$15)+ (R2083*'Scoring System'!$B$16)</f>
        <v>7</v>
      </c>
      <c r="AB2083" s="3" t="b">
        <f>IFERROR(match(C2083,'Match Day Fees'!$B$2:$B$999,0),0)=0</f>
        <v>0</v>
      </c>
      <c r="AC2083" s="3">
        <f t="shared" si="2"/>
        <v>1</v>
      </c>
      <c r="AD2083" s="3" t="str">
        <f>VLOOKUP(D2083,'Position Lookup'!A:B,2,FALSE)</f>
        <v>DEF</v>
      </c>
    </row>
    <row r="2084" ht="17.25" customHeight="1">
      <c r="A2084" s="32">
        <v>45388.0</v>
      </c>
      <c r="B2084" s="5" t="s">
        <v>309</v>
      </c>
      <c r="C2084" s="3" t="s">
        <v>81</v>
      </c>
      <c r="D2084" s="3" t="s">
        <v>16</v>
      </c>
      <c r="E2084" s="5">
        <v>2.0</v>
      </c>
      <c r="F2084" s="3" t="s">
        <v>2189</v>
      </c>
      <c r="G2084" s="3" t="s">
        <v>224</v>
      </c>
      <c r="J2084" s="5">
        <v>1.0</v>
      </c>
      <c r="N2084" s="3" t="b">
        <v>0</v>
      </c>
      <c r="R2084" s="3">
        <v>0.0</v>
      </c>
      <c r="T2084" s="3">
        <v>10.0</v>
      </c>
      <c r="U2084" s="3">
        <v>6.0</v>
      </c>
      <c r="V2084" s="3" t="s">
        <v>2193</v>
      </c>
      <c r="W2084" s="3" t="s">
        <v>327</v>
      </c>
      <c r="X2084" s="77" t="s">
        <v>2191</v>
      </c>
      <c r="Y2084" s="3">
        <v>2.0</v>
      </c>
      <c r="Z2084" s="3">
        <v>1.0</v>
      </c>
      <c r="AA2084" s="3">
        <f>2+ (P2084*'Scoring System'!$B$3)+ (IF(OR(AD2084="DEF",AD2084="GK"),N2084*'Scoring System'!$B$4,IF(AD2084="MID",N2084*'Scoring System'!$B$5,0)))+ (IF(OR(AD2084="DEF",AD2084="GK"),H2084*'Scoring System'!$B$6,IF(AD2084="MID",H2084*'Scoring System'!$B$7,IF(AD2084="ATT",H2084*'Scoring System'!$B$8,0))))+ IF(AND(OR(AD2084="GK",AD2084="DEF"),J2084&gt;=3),1*'Scoring System'!$B$9,0)+ (I2084*'Scoring System'!$B$10)+ (K2084*'Scoring System'!$B$11)+ (M2084*'Scoring System'!$B$12)+ (L2084*'Scoring System'!$B$13)+ (O2084*'Scoring System'!$B$14)+ (Q2084*'Scoring System'!$B$15)+ (R2084*'Scoring System'!$B$16)</f>
        <v>2</v>
      </c>
      <c r="AB2084" s="3" t="b">
        <f>IFERROR(match(C2084,'Match Day Fees'!$B$2:$B$999,0),0)=0</f>
        <v>0</v>
      </c>
      <c r="AC2084" s="3">
        <f t="shared" si="2"/>
        <v>1</v>
      </c>
      <c r="AD2084" s="3" t="str">
        <f>VLOOKUP(D2084,'Position Lookup'!A:B,2,FALSE)</f>
        <v>DEF</v>
      </c>
    </row>
    <row r="2085" ht="17.25" customHeight="1">
      <c r="A2085" s="32">
        <v>45388.0</v>
      </c>
      <c r="B2085" s="5" t="s">
        <v>309</v>
      </c>
      <c r="C2085" s="3" t="s">
        <v>114</v>
      </c>
      <c r="D2085" s="3" t="s">
        <v>12</v>
      </c>
      <c r="E2085" s="5">
        <v>2.0</v>
      </c>
      <c r="F2085" s="3" t="s">
        <v>2189</v>
      </c>
      <c r="G2085" s="3" t="s">
        <v>224</v>
      </c>
      <c r="J2085" s="5">
        <v>1.0</v>
      </c>
      <c r="N2085" s="3" t="b">
        <v>0</v>
      </c>
      <c r="R2085" s="3">
        <v>0.0</v>
      </c>
      <c r="T2085" s="3">
        <v>10.0</v>
      </c>
      <c r="U2085" s="3">
        <v>6.5</v>
      </c>
      <c r="V2085" s="3" t="s">
        <v>2194</v>
      </c>
      <c r="W2085" s="3" t="s">
        <v>327</v>
      </c>
      <c r="X2085" s="77" t="s">
        <v>2191</v>
      </c>
      <c r="Y2085" s="3">
        <v>2.0</v>
      </c>
      <c r="Z2085" s="3">
        <v>1.0</v>
      </c>
      <c r="AA2085" s="3">
        <f>2+ (P2085*'Scoring System'!$B$3)+ (IF(OR(AD2085="DEF",AD2085="GK"),N2085*'Scoring System'!$B$4,IF(AD2085="MID",N2085*'Scoring System'!$B$5,0)))+ (IF(OR(AD2085="DEF",AD2085="GK"),H2085*'Scoring System'!$B$6,IF(AD2085="MID",H2085*'Scoring System'!$B$7,IF(AD2085="ATT",H2085*'Scoring System'!$B$8,0))))+ IF(AND(OR(AD2085="GK",AD2085="DEF"),J2085&gt;=3),1*'Scoring System'!$B$9,0)+ (I2085*'Scoring System'!$B$10)+ (K2085*'Scoring System'!$B$11)+ (M2085*'Scoring System'!$B$12)+ (L2085*'Scoring System'!$B$13)+ (O2085*'Scoring System'!$B$14)+ (Q2085*'Scoring System'!$B$15)+ (R2085*'Scoring System'!$B$16)</f>
        <v>2</v>
      </c>
      <c r="AB2085" s="3" t="b">
        <f>IFERROR(match(C2085,'Match Day Fees'!$B$2:$B$999,0),0)=0</f>
        <v>0</v>
      </c>
      <c r="AC2085" s="3">
        <f t="shared" si="2"/>
        <v>1</v>
      </c>
      <c r="AD2085" s="3" t="str">
        <f>VLOOKUP(D2085,'Position Lookup'!A:B,2,FALSE)</f>
        <v>DEF</v>
      </c>
    </row>
    <row r="2086" ht="17.25" customHeight="1">
      <c r="A2086" s="32">
        <v>45388.0</v>
      </c>
      <c r="B2086" s="5" t="s">
        <v>309</v>
      </c>
      <c r="C2086" s="3" t="s">
        <v>43</v>
      </c>
      <c r="D2086" s="3" t="s">
        <v>14</v>
      </c>
      <c r="E2086" s="5">
        <v>2.0</v>
      </c>
      <c r="F2086" s="3" t="s">
        <v>2189</v>
      </c>
      <c r="G2086" s="3" t="s">
        <v>224</v>
      </c>
      <c r="J2086" s="5">
        <v>1.0</v>
      </c>
      <c r="N2086" s="3" t="b">
        <v>0</v>
      </c>
      <c r="R2086" s="3">
        <v>0.0</v>
      </c>
      <c r="T2086" s="3">
        <v>10.0</v>
      </c>
      <c r="U2086" s="3">
        <v>6.5</v>
      </c>
      <c r="V2086" s="3" t="s">
        <v>2195</v>
      </c>
      <c r="W2086" s="3" t="s">
        <v>327</v>
      </c>
      <c r="X2086" s="77" t="s">
        <v>2191</v>
      </c>
      <c r="Y2086" s="3">
        <v>2.0</v>
      </c>
      <c r="Z2086" s="3">
        <v>1.0</v>
      </c>
      <c r="AA2086" s="3">
        <f>2+ (P2086*'Scoring System'!$B$3)+ (IF(OR(AD2086="DEF",AD2086="GK"),N2086*'Scoring System'!$B$4,IF(AD2086="MID",N2086*'Scoring System'!$B$5,0)))+ (IF(OR(AD2086="DEF",AD2086="GK"),H2086*'Scoring System'!$B$6,IF(AD2086="MID",H2086*'Scoring System'!$B$7,IF(AD2086="ATT",H2086*'Scoring System'!$B$8,0))))+ IF(AND(OR(AD2086="GK",AD2086="DEF"),J2086&gt;=3),1*'Scoring System'!$B$9,0)+ (I2086*'Scoring System'!$B$10)+ (K2086*'Scoring System'!$B$11)+ (M2086*'Scoring System'!$B$12)+ (L2086*'Scoring System'!$B$13)+ (O2086*'Scoring System'!$B$14)+ (Q2086*'Scoring System'!$B$15)+ (R2086*'Scoring System'!$B$16)</f>
        <v>2</v>
      </c>
      <c r="AB2086" s="3" t="b">
        <f>IFERROR(match(C2086,'Match Day Fees'!$B$2:$B$999,0),0)=0</f>
        <v>0</v>
      </c>
      <c r="AC2086" s="3">
        <f t="shared" si="2"/>
        <v>1</v>
      </c>
      <c r="AD2086" s="3" t="str">
        <f>VLOOKUP(D2086,'Position Lookup'!A:B,2,FALSE)</f>
        <v>DEF</v>
      </c>
    </row>
    <row r="2087" ht="17.25" customHeight="1">
      <c r="A2087" s="32">
        <v>45388.0</v>
      </c>
      <c r="B2087" s="5" t="s">
        <v>309</v>
      </c>
      <c r="C2087" s="3" t="s">
        <v>137</v>
      </c>
      <c r="D2087" s="3" t="s">
        <v>20</v>
      </c>
      <c r="E2087" s="5">
        <v>2.0</v>
      </c>
      <c r="F2087" s="3" t="s">
        <v>2189</v>
      </c>
      <c r="G2087" s="3" t="s">
        <v>224</v>
      </c>
      <c r="J2087" s="5">
        <v>1.0</v>
      </c>
      <c r="N2087" s="3" t="b">
        <v>0</v>
      </c>
      <c r="R2087" s="3">
        <v>0.0</v>
      </c>
      <c r="T2087" s="3">
        <v>10.0</v>
      </c>
      <c r="U2087" s="3">
        <v>7.0</v>
      </c>
      <c r="V2087" s="3" t="s">
        <v>2196</v>
      </c>
      <c r="W2087" s="3" t="s">
        <v>327</v>
      </c>
      <c r="X2087" s="77" t="s">
        <v>2191</v>
      </c>
      <c r="Y2087" s="3">
        <v>2.0</v>
      </c>
      <c r="Z2087" s="3">
        <v>1.0</v>
      </c>
      <c r="AA2087" s="3">
        <f>2+ (P2087*'Scoring System'!$B$3)+ (IF(OR(AD2087="DEF",AD2087="GK"),N2087*'Scoring System'!$B$4,IF(AD2087="MID",N2087*'Scoring System'!$B$5,0)))+ (IF(OR(AD2087="DEF",AD2087="GK"),H2087*'Scoring System'!$B$6,IF(AD2087="MID",H2087*'Scoring System'!$B$7,IF(AD2087="ATT",H2087*'Scoring System'!$B$8,0))))+ IF(AND(OR(AD2087="GK",AD2087="DEF"),J2087&gt;=3),1*'Scoring System'!$B$9,0)+ (I2087*'Scoring System'!$B$10)+ (K2087*'Scoring System'!$B$11)+ (M2087*'Scoring System'!$B$12)+ (L2087*'Scoring System'!$B$13)+ (O2087*'Scoring System'!$B$14)+ (Q2087*'Scoring System'!$B$15)+ (R2087*'Scoring System'!$B$16)</f>
        <v>2</v>
      </c>
      <c r="AB2087" s="3" t="b">
        <f>IFERROR(match(C2087,'Match Day Fees'!$B$2:$B$999,0),0)=0</f>
        <v>0</v>
      </c>
      <c r="AC2087" s="3">
        <f t="shared" si="2"/>
        <v>1</v>
      </c>
      <c r="AD2087" s="3" t="str">
        <f>VLOOKUP(D2087,'Position Lookup'!A:B,2,FALSE)</f>
        <v>MID</v>
      </c>
    </row>
    <row r="2088" ht="17.25" customHeight="1">
      <c r="A2088" s="32">
        <v>45388.0</v>
      </c>
      <c r="B2088" s="5" t="s">
        <v>309</v>
      </c>
      <c r="C2088" s="3" t="s">
        <v>86</v>
      </c>
      <c r="D2088" s="3" t="s">
        <v>20</v>
      </c>
      <c r="E2088" s="5">
        <v>2.0</v>
      </c>
      <c r="F2088" s="3" t="s">
        <v>2189</v>
      </c>
      <c r="G2088" s="3" t="s">
        <v>224</v>
      </c>
      <c r="J2088" s="5">
        <v>1.0</v>
      </c>
      <c r="N2088" s="3" t="b">
        <v>0</v>
      </c>
      <c r="R2088" s="3">
        <v>0.0</v>
      </c>
      <c r="T2088" s="3">
        <v>10.0</v>
      </c>
      <c r="U2088" s="3">
        <v>7.0</v>
      </c>
      <c r="V2088" s="3" t="s">
        <v>2197</v>
      </c>
      <c r="W2088" s="3" t="s">
        <v>327</v>
      </c>
      <c r="X2088" s="77" t="s">
        <v>2191</v>
      </c>
      <c r="Y2088" s="3">
        <v>2.0</v>
      </c>
      <c r="Z2088" s="3">
        <v>1.0</v>
      </c>
      <c r="AA2088" s="3">
        <f>2+ (P2088*'Scoring System'!$B$3)+ (IF(OR(AD2088="DEF",AD2088="GK"),N2088*'Scoring System'!$B$4,IF(AD2088="MID",N2088*'Scoring System'!$B$5,0)))+ (IF(OR(AD2088="DEF",AD2088="GK"),H2088*'Scoring System'!$B$6,IF(AD2088="MID",H2088*'Scoring System'!$B$7,IF(AD2088="ATT",H2088*'Scoring System'!$B$8,0))))+ IF(AND(OR(AD2088="GK",AD2088="DEF"),J2088&gt;=3),1*'Scoring System'!$B$9,0)+ (I2088*'Scoring System'!$B$10)+ (K2088*'Scoring System'!$B$11)+ (M2088*'Scoring System'!$B$12)+ (L2088*'Scoring System'!$B$13)+ (O2088*'Scoring System'!$B$14)+ (Q2088*'Scoring System'!$B$15)+ (R2088*'Scoring System'!$B$16)</f>
        <v>2</v>
      </c>
      <c r="AB2088" s="3" t="b">
        <f>IFERROR(match(C2088,'Match Day Fees'!$B$2:$B$999,0),0)=0</f>
        <v>0</v>
      </c>
      <c r="AC2088" s="3">
        <f t="shared" si="2"/>
        <v>1</v>
      </c>
      <c r="AD2088" s="3" t="str">
        <f>VLOOKUP(D2088,'Position Lookup'!A:B,2,FALSE)</f>
        <v>MID</v>
      </c>
    </row>
    <row r="2089" ht="17.25" customHeight="1">
      <c r="A2089" s="32">
        <v>45388.0</v>
      </c>
      <c r="B2089" s="5" t="s">
        <v>309</v>
      </c>
      <c r="C2089" s="3" t="s">
        <v>61</v>
      </c>
      <c r="D2089" s="3" t="s">
        <v>23</v>
      </c>
      <c r="E2089" s="5">
        <v>2.0</v>
      </c>
      <c r="F2089" s="3" t="s">
        <v>2189</v>
      </c>
      <c r="G2089" s="3" t="s">
        <v>224</v>
      </c>
      <c r="J2089" s="5">
        <v>1.0</v>
      </c>
      <c r="N2089" s="3" t="b">
        <v>0</v>
      </c>
      <c r="R2089" s="3">
        <v>0.0</v>
      </c>
      <c r="T2089" s="3">
        <v>10.0</v>
      </c>
      <c r="U2089" s="3">
        <v>6.5</v>
      </c>
      <c r="V2089" s="3" t="s">
        <v>2198</v>
      </c>
      <c r="W2089" s="3" t="s">
        <v>327</v>
      </c>
      <c r="X2089" s="77" t="s">
        <v>2191</v>
      </c>
      <c r="Y2089" s="3">
        <v>2.0</v>
      </c>
      <c r="Z2089" s="3">
        <v>1.0</v>
      </c>
      <c r="AA2089" s="3">
        <f>2+ (P2089*'Scoring System'!$B$3)+ (IF(OR(AD2089="DEF",AD2089="GK"),N2089*'Scoring System'!$B$4,IF(AD2089="MID",N2089*'Scoring System'!$B$5,0)))+ (IF(OR(AD2089="DEF",AD2089="GK"),H2089*'Scoring System'!$B$6,IF(AD2089="MID",H2089*'Scoring System'!$B$7,IF(AD2089="ATT",H2089*'Scoring System'!$B$8,0))))+ IF(AND(OR(AD2089="GK",AD2089="DEF"),J2089&gt;=3),1*'Scoring System'!$B$9,0)+ (I2089*'Scoring System'!$B$10)+ (K2089*'Scoring System'!$B$11)+ (M2089*'Scoring System'!$B$12)+ (L2089*'Scoring System'!$B$13)+ (O2089*'Scoring System'!$B$14)+ (Q2089*'Scoring System'!$B$15)+ (R2089*'Scoring System'!$B$16)</f>
        <v>2</v>
      </c>
      <c r="AB2089" s="3" t="b">
        <f>IFERROR(match(C2089,'Match Day Fees'!$B$2:$B$999,0),0)=0</f>
        <v>0</v>
      </c>
      <c r="AC2089" s="3">
        <f t="shared" si="2"/>
        <v>1</v>
      </c>
      <c r="AD2089" s="3" t="str">
        <f>VLOOKUP(D2089,'Position Lookup'!A:B,2,FALSE)</f>
        <v>ATT</v>
      </c>
    </row>
    <row r="2090" ht="17.25" customHeight="1">
      <c r="A2090" s="32">
        <v>45388.0</v>
      </c>
      <c r="B2090" s="5" t="s">
        <v>309</v>
      </c>
      <c r="C2090" s="3" t="s">
        <v>1910</v>
      </c>
      <c r="D2090" s="3" t="s">
        <v>22</v>
      </c>
      <c r="E2090" s="5">
        <v>2.0</v>
      </c>
      <c r="F2090" s="3" t="s">
        <v>2189</v>
      </c>
      <c r="G2090" s="3" t="s">
        <v>224</v>
      </c>
      <c r="H2090" s="3">
        <v>1.0</v>
      </c>
      <c r="I2090" s="3">
        <v>1.0</v>
      </c>
      <c r="J2090" s="5">
        <v>1.0</v>
      </c>
      <c r="N2090" s="3" t="b">
        <v>0</v>
      </c>
      <c r="R2090" s="3">
        <v>0.0</v>
      </c>
      <c r="T2090" s="3">
        <v>10.0</v>
      </c>
      <c r="U2090" s="3">
        <v>8.5</v>
      </c>
      <c r="V2090" s="3" t="s">
        <v>2199</v>
      </c>
      <c r="W2090" s="3" t="s">
        <v>327</v>
      </c>
      <c r="X2090" s="77" t="s">
        <v>2191</v>
      </c>
      <c r="Y2090" s="3">
        <v>2.0</v>
      </c>
      <c r="Z2090" s="3">
        <v>1.0</v>
      </c>
      <c r="AA2090" s="3">
        <f>2+ (P2090*'Scoring System'!$B$3)+ (IF(OR(AD2090="DEF",AD2090="GK"),N2090*'Scoring System'!$B$4,IF(AD2090="MID",N2090*'Scoring System'!$B$5,0)))+ (IF(OR(AD2090="DEF",AD2090="GK"),H2090*'Scoring System'!$B$6,IF(AD2090="MID",H2090*'Scoring System'!$B$7,IF(AD2090="ATT",H2090*'Scoring System'!$B$8,0))))+ IF(AND(OR(AD2090="GK",AD2090="DEF"),J2090&gt;=3),1*'Scoring System'!$B$9,0)+ (I2090*'Scoring System'!$B$10)+ (K2090*'Scoring System'!$B$11)+ (M2090*'Scoring System'!$B$12)+ (L2090*'Scoring System'!$B$13)+ (O2090*'Scoring System'!$B$14)+ (Q2090*'Scoring System'!$B$15)+ (R2090*'Scoring System'!$B$16)</f>
        <v>9</v>
      </c>
      <c r="AB2090" s="3" t="b">
        <f>IFERROR(match(C2090,'Match Day Fees'!$B$2:$B$999,0),0)=0</f>
        <v>0</v>
      </c>
      <c r="AC2090" s="3">
        <f t="shared" si="2"/>
        <v>1</v>
      </c>
      <c r="AD2090" s="3" t="str">
        <f>VLOOKUP(D2090,'Position Lookup'!A:B,2,FALSE)</f>
        <v>ATT</v>
      </c>
    </row>
    <row r="2091" ht="17.25" customHeight="1">
      <c r="A2091" s="32">
        <v>45388.0</v>
      </c>
      <c r="B2091" s="5" t="s">
        <v>309</v>
      </c>
      <c r="C2091" s="3" t="s">
        <v>73</v>
      </c>
      <c r="D2091" s="3" t="s">
        <v>24</v>
      </c>
      <c r="E2091" s="5">
        <v>2.0</v>
      </c>
      <c r="F2091" s="3" t="s">
        <v>2189</v>
      </c>
      <c r="G2091" s="3" t="s">
        <v>224</v>
      </c>
      <c r="H2091" s="3">
        <v>1.0</v>
      </c>
      <c r="J2091" s="5">
        <v>1.0</v>
      </c>
      <c r="N2091" s="3" t="b">
        <v>0</v>
      </c>
      <c r="R2091" s="3">
        <v>0.0</v>
      </c>
      <c r="T2091" s="3">
        <v>10.0</v>
      </c>
      <c r="U2091" s="3">
        <v>7.0</v>
      </c>
      <c r="V2091" s="3" t="s">
        <v>2200</v>
      </c>
      <c r="W2091" s="3" t="s">
        <v>327</v>
      </c>
      <c r="X2091" s="77" t="s">
        <v>2191</v>
      </c>
      <c r="Y2091" s="3">
        <v>2.0</v>
      </c>
      <c r="Z2091" s="3">
        <v>1.0</v>
      </c>
      <c r="AA2091" s="3">
        <f>2+ (P2091*'Scoring System'!$B$3)+ (IF(OR(AD2091="DEF",AD2091="GK"),N2091*'Scoring System'!$B$4,IF(AD2091="MID",N2091*'Scoring System'!$B$5,0)))+ (IF(OR(AD2091="DEF",AD2091="GK"),H2091*'Scoring System'!$B$6,IF(AD2091="MID",H2091*'Scoring System'!$B$7,IF(AD2091="ATT",H2091*'Scoring System'!$B$8,0))))+ IF(AND(OR(AD2091="GK",AD2091="DEF"),J2091&gt;=3),1*'Scoring System'!$B$9,0)+ (I2091*'Scoring System'!$B$10)+ (K2091*'Scoring System'!$B$11)+ (M2091*'Scoring System'!$B$12)+ (L2091*'Scoring System'!$B$13)+ (O2091*'Scoring System'!$B$14)+ (Q2091*'Scoring System'!$B$15)+ (R2091*'Scoring System'!$B$16)</f>
        <v>6</v>
      </c>
      <c r="AB2091" s="3" t="b">
        <f>IFERROR(match(C2091,'Match Day Fees'!$B$2:$B$999,0),0)=0</f>
        <v>0</v>
      </c>
      <c r="AC2091" s="3">
        <f t="shared" si="2"/>
        <v>1</v>
      </c>
      <c r="AD2091" s="3" t="str">
        <f>VLOOKUP(D2091,'Position Lookup'!A:B,2,FALSE)</f>
        <v>ATT</v>
      </c>
    </row>
    <row r="2092" ht="17.25" customHeight="1">
      <c r="A2092" s="32">
        <v>45388.0</v>
      </c>
      <c r="B2092" s="5" t="s">
        <v>309</v>
      </c>
      <c r="C2092" s="3" t="s">
        <v>148</v>
      </c>
      <c r="D2092" s="3" t="s">
        <v>24</v>
      </c>
      <c r="E2092" s="5">
        <v>2.0</v>
      </c>
      <c r="F2092" s="3" t="s">
        <v>2189</v>
      </c>
      <c r="G2092" s="3" t="s">
        <v>224</v>
      </c>
      <c r="J2092" s="5">
        <v>1.0</v>
      </c>
      <c r="N2092" s="3" t="b">
        <v>0</v>
      </c>
      <c r="R2092" s="3">
        <v>0.0</v>
      </c>
      <c r="T2092" s="3">
        <v>10.0</v>
      </c>
      <c r="U2092" s="3">
        <v>7.0</v>
      </c>
      <c r="V2092" s="3" t="s">
        <v>2201</v>
      </c>
      <c r="W2092" s="3" t="s">
        <v>327</v>
      </c>
      <c r="X2092" s="77" t="s">
        <v>2191</v>
      </c>
      <c r="Y2092" s="3">
        <v>2.0</v>
      </c>
      <c r="Z2092" s="3">
        <v>1.0</v>
      </c>
      <c r="AA2092" s="3">
        <f>2+ (P2092*'Scoring System'!$B$3)+ (IF(OR(AD2092="DEF",AD2092="GK"),N2092*'Scoring System'!$B$4,IF(AD2092="MID",N2092*'Scoring System'!$B$5,0)))+ (IF(OR(AD2092="DEF",AD2092="GK"),H2092*'Scoring System'!$B$6,IF(AD2092="MID",H2092*'Scoring System'!$B$7,IF(AD2092="ATT",H2092*'Scoring System'!$B$8,0))))+ IF(AND(OR(AD2092="GK",AD2092="DEF"),J2092&gt;=3),1*'Scoring System'!$B$9,0)+ (I2092*'Scoring System'!$B$10)+ (K2092*'Scoring System'!$B$11)+ (M2092*'Scoring System'!$B$12)+ (L2092*'Scoring System'!$B$13)+ (O2092*'Scoring System'!$B$14)+ (Q2092*'Scoring System'!$B$15)+ (R2092*'Scoring System'!$B$16)</f>
        <v>2</v>
      </c>
      <c r="AB2092" s="3" t="b">
        <f>IFERROR(match(C2092,'Match Day Fees'!$B$2:$B$999,0),0)=0</f>
        <v>0</v>
      </c>
      <c r="AC2092" s="3">
        <f t="shared" si="2"/>
        <v>1</v>
      </c>
      <c r="AD2092" s="3" t="str">
        <f>VLOOKUP(D2092,'Position Lookup'!A:B,2,FALSE)</f>
        <v>ATT</v>
      </c>
    </row>
    <row r="2093" ht="17.25" customHeight="1">
      <c r="A2093" s="32">
        <v>45388.0</v>
      </c>
      <c r="B2093" s="5" t="s">
        <v>309</v>
      </c>
      <c r="C2093" s="3" t="s">
        <v>78</v>
      </c>
      <c r="D2093" s="3" t="s">
        <v>22</v>
      </c>
      <c r="E2093" s="5">
        <v>2.0</v>
      </c>
      <c r="F2093" s="3" t="s">
        <v>2189</v>
      </c>
      <c r="G2093" s="3" t="s">
        <v>224</v>
      </c>
      <c r="J2093" s="5">
        <v>1.0</v>
      </c>
      <c r="N2093" s="3" t="b">
        <v>0</v>
      </c>
      <c r="R2093" s="3">
        <v>0.0</v>
      </c>
      <c r="T2093" s="3">
        <v>5.0</v>
      </c>
      <c r="U2093" s="3">
        <v>6.0</v>
      </c>
      <c r="V2093" s="3" t="s">
        <v>2202</v>
      </c>
      <c r="W2093" s="3" t="s">
        <v>327</v>
      </c>
      <c r="X2093" s="77" t="s">
        <v>2191</v>
      </c>
      <c r="Y2093" s="3">
        <v>2.0</v>
      </c>
      <c r="Z2093" s="3">
        <v>1.0</v>
      </c>
      <c r="AA2093" s="3">
        <f>2+ (P2093*'Scoring System'!$B$3)+ (IF(OR(AD2093="DEF",AD2093="GK"),N2093*'Scoring System'!$B$4,IF(AD2093="MID",N2093*'Scoring System'!$B$5,0)))+ (IF(OR(AD2093="DEF",AD2093="GK"),H2093*'Scoring System'!$B$6,IF(AD2093="MID",H2093*'Scoring System'!$B$7,IF(AD2093="ATT",H2093*'Scoring System'!$B$8,0))))+ IF(AND(OR(AD2093="GK",AD2093="DEF"),J2093&gt;=3),1*'Scoring System'!$B$9,0)+ (I2093*'Scoring System'!$B$10)+ (K2093*'Scoring System'!$B$11)+ (M2093*'Scoring System'!$B$12)+ (L2093*'Scoring System'!$B$13)+ (O2093*'Scoring System'!$B$14)+ (Q2093*'Scoring System'!$B$15)+ (R2093*'Scoring System'!$B$16)</f>
        <v>2</v>
      </c>
      <c r="AB2093" s="3" t="b">
        <f>IFERROR(match(C2093,'Match Day Fees'!$B$2:$B$999,0),0)=0</f>
        <v>0</v>
      </c>
      <c r="AC2093" s="3">
        <f t="shared" si="2"/>
        <v>1</v>
      </c>
      <c r="AD2093" s="3" t="str">
        <f>VLOOKUP(D2093,'Position Lookup'!A:B,2,FALSE)</f>
        <v>ATT</v>
      </c>
    </row>
    <row r="2094" ht="17.25" customHeight="1">
      <c r="A2094" s="32">
        <v>45388.0</v>
      </c>
      <c r="B2094" s="5" t="s">
        <v>309</v>
      </c>
      <c r="C2094" s="3" t="s">
        <v>75</v>
      </c>
      <c r="D2094" s="3" t="s">
        <v>23</v>
      </c>
      <c r="E2094" s="5">
        <v>2.0</v>
      </c>
      <c r="F2094" s="3" t="s">
        <v>2189</v>
      </c>
      <c r="G2094" s="3" t="s">
        <v>224</v>
      </c>
      <c r="J2094" s="5">
        <v>1.0</v>
      </c>
      <c r="N2094" s="3" t="b">
        <v>0</v>
      </c>
      <c r="R2094" s="3">
        <v>0.0</v>
      </c>
      <c r="T2094" s="3">
        <v>10.0</v>
      </c>
      <c r="U2094" s="3">
        <v>6.5</v>
      </c>
      <c r="V2094" s="3" t="s">
        <v>2203</v>
      </c>
      <c r="W2094" s="3" t="s">
        <v>327</v>
      </c>
      <c r="X2094" s="77" t="s">
        <v>2191</v>
      </c>
      <c r="Y2094" s="3">
        <v>2.0</v>
      </c>
      <c r="Z2094" s="3">
        <v>1.0</v>
      </c>
      <c r="AA2094" s="3">
        <f>2+ (P2094*'Scoring System'!$B$3)+ (IF(OR(AD2094="DEF",AD2094="GK"),N2094*'Scoring System'!$B$4,IF(AD2094="MID",N2094*'Scoring System'!$B$5,0)))+ (IF(OR(AD2094="DEF",AD2094="GK"),H2094*'Scoring System'!$B$6,IF(AD2094="MID",H2094*'Scoring System'!$B$7,IF(AD2094="ATT",H2094*'Scoring System'!$B$8,0))))+ IF(AND(OR(AD2094="GK",AD2094="DEF"),J2094&gt;=3),1*'Scoring System'!$B$9,0)+ (I2094*'Scoring System'!$B$10)+ (K2094*'Scoring System'!$B$11)+ (M2094*'Scoring System'!$B$12)+ (L2094*'Scoring System'!$B$13)+ (O2094*'Scoring System'!$B$14)+ (Q2094*'Scoring System'!$B$15)+ (R2094*'Scoring System'!$B$16)</f>
        <v>2</v>
      </c>
      <c r="AB2094" s="3" t="b">
        <f>IFERROR(match(C2094,'Match Day Fees'!$B$2:$B$999,0),0)=0</f>
        <v>0</v>
      </c>
      <c r="AC2094" s="3">
        <f t="shared" si="2"/>
        <v>1</v>
      </c>
      <c r="AD2094" s="3" t="str">
        <f>VLOOKUP(D2094,'Position Lookup'!A:B,2,FALSE)</f>
        <v>ATT</v>
      </c>
    </row>
    <row r="2095" ht="17.25" customHeight="1">
      <c r="A2095" s="32">
        <v>45388.0</v>
      </c>
      <c r="B2095" s="5" t="s">
        <v>309</v>
      </c>
      <c r="C2095" s="3" t="s">
        <v>155</v>
      </c>
      <c r="D2095" s="3" t="s">
        <v>20</v>
      </c>
      <c r="E2095" s="5">
        <v>2.0</v>
      </c>
      <c r="F2095" s="3" t="s">
        <v>2189</v>
      </c>
      <c r="G2095" s="3" t="s">
        <v>224</v>
      </c>
      <c r="J2095" s="5">
        <v>1.0</v>
      </c>
      <c r="N2095" s="3" t="b">
        <v>0</v>
      </c>
      <c r="R2095" s="3">
        <v>0.0</v>
      </c>
      <c r="T2095" s="3">
        <v>10.0</v>
      </c>
      <c r="U2095" s="3">
        <v>7.0</v>
      </c>
      <c r="V2095" s="3" t="s">
        <v>2204</v>
      </c>
      <c r="W2095" s="3" t="s">
        <v>327</v>
      </c>
      <c r="X2095" s="77" t="s">
        <v>2191</v>
      </c>
      <c r="Y2095" s="3">
        <v>2.0</v>
      </c>
      <c r="Z2095" s="3">
        <v>1.0</v>
      </c>
      <c r="AA2095" s="3">
        <f>2+ (P2095*'Scoring System'!$B$3)+ (IF(OR(AD2095="DEF",AD2095="GK"),N2095*'Scoring System'!$B$4,IF(AD2095="MID",N2095*'Scoring System'!$B$5,0)))+ (IF(OR(AD2095="DEF",AD2095="GK"),H2095*'Scoring System'!$B$6,IF(AD2095="MID",H2095*'Scoring System'!$B$7,IF(AD2095="ATT",H2095*'Scoring System'!$B$8,0))))+ IF(AND(OR(AD2095="GK",AD2095="DEF"),J2095&gt;=3),1*'Scoring System'!$B$9,0)+ (I2095*'Scoring System'!$B$10)+ (K2095*'Scoring System'!$B$11)+ (M2095*'Scoring System'!$B$12)+ (L2095*'Scoring System'!$B$13)+ (O2095*'Scoring System'!$B$14)+ (Q2095*'Scoring System'!$B$15)+ (R2095*'Scoring System'!$B$16)</f>
        <v>2</v>
      </c>
      <c r="AB2095" s="3" t="b">
        <f>IFERROR(match(C2095,'Match Day Fees'!$B$2:$B$999,0),0)=0</f>
        <v>0</v>
      </c>
      <c r="AC2095" s="3">
        <f t="shared" si="2"/>
        <v>1</v>
      </c>
      <c r="AD2095" s="3" t="str">
        <f>VLOOKUP(D2095,'Position Lookup'!A:B,2,FALSE)</f>
        <v>MID</v>
      </c>
    </row>
    <row r="2096" ht="17.25" customHeight="1">
      <c r="A2096" s="10"/>
      <c r="B2096" s="5"/>
      <c r="C2096" s="3" t="s">
        <v>96</v>
      </c>
      <c r="D2096" s="3" t="s">
        <v>8</v>
      </c>
      <c r="E2096" s="5">
        <v>1.0</v>
      </c>
      <c r="F2096" s="84" t="s">
        <v>2205</v>
      </c>
      <c r="G2096" s="3" t="s">
        <v>242</v>
      </c>
      <c r="J2096" s="5">
        <v>0.0</v>
      </c>
      <c r="N2096" s="3" t="b">
        <v>1</v>
      </c>
      <c r="R2096" s="3">
        <v>1.0</v>
      </c>
      <c r="T2096" s="3">
        <v>0.0</v>
      </c>
      <c r="U2096" s="3">
        <v>9.5</v>
      </c>
      <c r="V2096" s="3" t="s">
        <v>2206</v>
      </c>
      <c r="W2096" s="3" t="s">
        <v>311</v>
      </c>
      <c r="X2096" s="77"/>
      <c r="Y2096" s="3">
        <v>0.0</v>
      </c>
      <c r="Z2096" s="3">
        <v>0.0</v>
      </c>
    </row>
    <row r="2097" ht="17.25" customHeight="1">
      <c r="A2097" s="10"/>
      <c r="B2097" s="5"/>
      <c r="C2097" s="3" t="s">
        <v>69</v>
      </c>
      <c r="D2097" s="3" t="s">
        <v>14</v>
      </c>
      <c r="E2097" s="5">
        <v>1.0</v>
      </c>
      <c r="F2097" s="84" t="s">
        <v>2205</v>
      </c>
      <c r="G2097" s="3" t="s">
        <v>242</v>
      </c>
      <c r="J2097" s="5">
        <v>0.0</v>
      </c>
      <c r="N2097" s="3" t="b">
        <v>1</v>
      </c>
      <c r="R2097" s="3">
        <v>0.0</v>
      </c>
      <c r="T2097" s="3">
        <v>8.0</v>
      </c>
      <c r="U2097" s="3">
        <v>8.5</v>
      </c>
      <c r="V2097" s="3" t="s">
        <v>2207</v>
      </c>
      <c r="W2097" s="3" t="s">
        <v>311</v>
      </c>
      <c r="X2097" s="77"/>
      <c r="Y2097" s="3">
        <v>0.0</v>
      </c>
      <c r="Z2097" s="3">
        <v>0.0</v>
      </c>
    </row>
    <row r="2098" ht="17.25" customHeight="1">
      <c r="A2098" s="10"/>
      <c r="B2098" s="5"/>
      <c r="C2098" s="3" t="s">
        <v>76</v>
      </c>
      <c r="D2098" s="3" t="s">
        <v>13</v>
      </c>
      <c r="E2098" s="5">
        <v>1.0</v>
      </c>
      <c r="F2098" s="84" t="s">
        <v>2205</v>
      </c>
      <c r="G2098" s="3" t="s">
        <v>242</v>
      </c>
      <c r="J2098" s="5">
        <v>0.0</v>
      </c>
      <c r="N2098" s="3" t="b">
        <v>1</v>
      </c>
      <c r="R2098" s="3">
        <v>0.0</v>
      </c>
      <c r="T2098" s="3">
        <v>8.0</v>
      </c>
      <c r="U2098" s="3">
        <v>8.0</v>
      </c>
      <c r="V2098" s="3" t="s">
        <v>2208</v>
      </c>
      <c r="W2098" s="3" t="s">
        <v>311</v>
      </c>
      <c r="X2098" s="77"/>
      <c r="Y2098" s="3">
        <v>0.0</v>
      </c>
      <c r="Z2098" s="3">
        <v>0.0</v>
      </c>
    </row>
    <row r="2099" ht="17.25" customHeight="1">
      <c r="A2099" s="10"/>
      <c r="B2099" s="5"/>
      <c r="C2099" s="3" t="s">
        <v>68</v>
      </c>
      <c r="D2099" s="3" t="s">
        <v>15</v>
      </c>
      <c r="E2099" s="5">
        <v>1.0</v>
      </c>
      <c r="F2099" s="84" t="s">
        <v>2205</v>
      </c>
      <c r="G2099" s="3" t="s">
        <v>242</v>
      </c>
      <c r="J2099" s="5">
        <v>0.0</v>
      </c>
      <c r="N2099" s="3" t="b">
        <v>1</v>
      </c>
      <c r="R2099" s="3">
        <v>0.0</v>
      </c>
      <c r="T2099" s="3">
        <v>10.0</v>
      </c>
      <c r="U2099" s="3">
        <v>8.0</v>
      </c>
      <c r="V2099" s="3" t="s">
        <v>2209</v>
      </c>
      <c r="W2099" s="3" t="s">
        <v>311</v>
      </c>
      <c r="X2099" s="77"/>
      <c r="Y2099" s="3">
        <v>0.0</v>
      </c>
      <c r="Z2099" s="3">
        <v>0.0</v>
      </c>
    </row>
    <row r="2100" ht="17.25" customHeight="1">
      <c r="A2100" s="10"/>
      <c r="B2100" s="5"/>
      <c r="C2100" s="3" t="s">
        <v>75</v>
      </c>
      <c r="D2100" s="3" t="s">
        <v>18</v>
      </c>
      <c r="E2100" s="5">
        <v>1.0</v>
      </c>
      <c r="F2100" s="84" t="s">
        <v>2205</v>
      </c>
      <c r="G2100" s="3" t="s">
        <v>242</v>
      </c>
      <c r="J2100" s="5">
        <v>0.0</v>
      </c>
      <c r="N2100" s="3" t="b">
        <v>1</v>
      </c>
      <c r="R2100" s="3">
        <v>0.0</v>
      </c>
      <c r="T2100" s="3">
        <v>5.0</v>
      </c>
      <c r="U2100" s="3">
        <v>8.0</v>
      </c>
      <c r="V2100" s="3" t="s">
        <v>2210</v>
      </c>
      <c r="W2100" s="3" t="s">
        <v>311</v>
      </c>
      <c r="X2100" s="77"/>
      <c r="Y2100" s="3">
        <v>0.0</v>
      </c>
      <c r="Z2100" s="3">
        <v>0.0</v>
      </c>
    </row>
    <row r="2101" ht="17.25" customHeight="1">
      <c r="A2101" s="10"/>
      <c r="B2101" s="5"/>
      <c r="C2101" s="3" t="s">
        <v>57</v>
      </c>
      <c r="D2101" s="3" t="s">
        <v>17</v>
      </c>
      <c r="E2101" s="5">
        <v>1.0</v>
      </c>
      <c r="F2101" s="84" t="s">
        <v>2205</v>
      </c>
      <c r="G2101" s="3" t="s">
        <v>242</v>
      </c>
      <c r="J2101" s="5">
        <v>0.0</v>
      </c>
      <c r="N2101" s="3" t="b">
        <v>1</v>
      </c>
      <c r="R2101" s="3">
        <v>0.0</v>
      </c>
      <c r="T2101" s="3">
        <v>5.0</v>
      </c>
      <c r="U2101" s="3">
        <v>8.5</v>
      </c>
      <c r="V2101" s="3" t="s">
        <v>2211</v>
      </c>
      <c r="W2101" s="3" t="s">
        <v>311</v>
      </c>
      <c r="X2101" s="77"/>
      <c r="Y2101" s="3">
        <v>0.0</v>
      </c>
      <c r="Z2101" s="3">
        <v>0.0</v>
      </c>
    </row>
    <row r="2102" ht="17.25" customHeight="1">
      <c r="A2102" s="10"/>
      <c r="B2102" s="5"/>
      <c r="C2102" s="3" t="s">
        <v>85</v>
      </c>
      <c r="D2102" s="3" t="s">
        <v>20</v>
      </c>
      <c r="E2102" s="5">
        <v>1.0</v>
      </c>
      <c r="F2102" s="84" t="s">
        <v>2205</v>
      </c>
      <c r="G2102" s="3" t="s">
        <v>242</v>
      </c>
      <c r="J2102" s="5">
        <v>0.0</v>
      </c>
      <c r="N2102" s="3" t="b">
        <v>1</v>
      </c>
      <c r="R2102" s="3">
        <v>0.0</v>
      </c>
      <c r="T2102" s="3">
        <v>10.0</v>
      </c>
      <c r="U2102" s="3">
        <v>8.0</v>
      </c>
      <c r="V2102" s="3" t="s">
        <v>2212</v>
      </c>
      <c r="W2102" s="3" t="s">
        <v>311</v>
      </c>
      <c r="X2102" s="77"/>
      <c r="Y2102" s="3">
        <v>0.0</v>
      </c>
      <c r="Z2102" s="3">
        <v>0.0</v>
      </c>
    </row>
    <row r="2103" ht="17.25" customHeight="1">
      <c r="A2103" s="10"/>
      <c r="B2103" s="5"/>
      <c r="C2103" s="3" t="s">
        <v>77</v>
      </c>
      <c r="D2103" s="3" t="s">
        <v>20</v>
      </c>
      <c r="E2103" s="5">
        <v>1.0</v>
      </c>
      <c r="F2103" s="84" t="s">
        <v>2205</v>
      </c>
      <c r="G2103" s="3" t="s">
        <v>242</v>
      </c>
      <c r="J2103" s="5">
        <v>0.0</v>
      </c>
      <c r="N2103" s="3" t="b">
        <v>1</v>
      </c>
      <c r="R2103" s="3">
        <v>0.0</v>
      </c>
      <c r="T2103" s="3">
        <v>10.0</v>
      </c>
      <c r="U2103" s="3">
        <v>7.0</v>
      </c>
      <c r="V2103" s="3" t="s">
        <v>2213</v>
      </c>
      <c r="W2103" s="3" t="s">
        <v>311</v>
      </c>
      <c r="X2103" s="77"/>
      <c r="Y2103" s="3">
        <v>0.0</v>
      </c>
      <c r="Z2103" s="3">
        <v>0.0</v>
      </c>
    </row>
    <row r="2104" ht="17.25" customHeight="1">
      <c r="A2104" s="10"/>
      <c r="B2104" s="5"/>
      <c r="C2104" s="3" t="s">
        <v>60</v>
      </c>
      <c r="D2104" s="3" t="s">
        <v>21</v>
      </c>
      <c r="E2104" s="5">
        <v>1.0</v>
      </c>
      <c r="F2104" s="84" t="s">
        <v>2205</v>
      </c>
      <c r="G2104" s="3" t="s">
        <v>242</v>
      </c>
      <c r="J2104" s="5">
        <v>0.0</v>
      </c>
      <c r="N2104" s="3" t="b">
        <v>1</v>
      </c>
      <c r="R2104" s="3">
        <v>0.0</v>
      </c>
      <c r="T2104" s="3">
        <v>10.0</v>
      </c>
      <c r="U2104" s="3">
        <v>6.5</v>
      </c>
      <c r="V2104" s="3" t="s">
        <v>2214</v>
      </c>
      <c r="W2104" s="3" t="s">
        <v>311</v>
      </c>
      <c r="X2104" s="77"/>
      <c r="Y2104" s="3">
        <v>0.0</v>
      </c>
      <c r="Z2104" s="3">
        <v>0.0</v>
      </c>
    </row>
    <row r="2105" ht="17.25" customHeight="1">
      <c r="A2105" s="10"/>
      <c r="B2105" s="5"/>
      <c r="C2105" s="3" t="s">
        <v>47</v>
      </c>
      <c r="D2105" s="3" t="s">
        <v>24</v>
      </c>
      <c r="E2105" s="5">
        <v>1.0</v>
      </c>
      <c r="F2105" s="84" t="s">
        <v>2205</v>
      </c>
      <c r="G2105" s="3" t="s">
        <v>242</v>
      </c>
      <c r="J2105" s="5">
        <v>0.0</v>
      </c>
      <c r="N2105" s="3" t="b">
        <v>1</v>
      </c>
      <c r="R2105" s="3">
        <v>0.0</v>
      </c>
      <c r="T2105" s="3">
        <v>10.0</v>
      </c>
      <c r="U2105" s="3">
        <v>7.0</v>
      </c>
      <c r="V2105" s="3" t="s">
        <v>2215</v>
      </c>
      <c r="W2105" s="3" t="s">
        <v>311</v>
      </c>
      <c r="X2105" s="77"/>
      <c r="Y2105" s="3">
        <v>0.0</v>
      </c>
      <c r="Z2105" s="3">
        <v>0.0</v>
      </c>
    </row>
    <row r="2106" ht="17.25" customHeight="1">
      <c r="A2106" s="10"/>
      <c r="B2106" s="5"/>
      <c r="C2106" s="3" t="s">
        <v>110</v>
      </c>
      <c r="D2106" s="3" t="s">
        <v>24</v>
      </c>
      <c r="E2106" s="5">
        <v>1.0</v>
      </c>
      <c r="F2106" s="84" t="s">
        <v>2205</v>
      </c>
      <c r="G2106" s="3" t="s">
        <v>242</v>
      </c>
      <c r="J2106" s="5">
        <v>0.0</v>
      </c>
      <c r="N2106" s="3" t="b">
        <v>1</v>
      </c>
      <c r="R2106" s="3">
        <v>0.0</v>
      </c>
      <c r="T2106" s="3">
        <v>10.0</v>
      </c>
      <c r="U2106" s="3">
        <v>7.5</v>
      </c>
      <c r="V2106" s="3" t="s">
        <v>2216</v>
      </c>
      <c r="W2106" s="3" t="s">
        <v>311</v>
      </c>
      <c r="X2106" s="77"/>
      <c r="Y2106" s="3">
        <v>0.0</v>
      </c>
      <c r="Z2106" s="3">
        <v>0.0</v>
      </c>
    </row>
    <row r="2107" ht="17.25" customHeight="1">
      <c r="A2107" s="10"/>
      <c r="B2107" s="5"/>
      <c r="C2107" s="3" t="s">
        <v>107</v>
      </c>
      <c r="D2107" s="3" t="s">
        <v>13</v>
      </c>
      <c r="E2107" s="5">
        <v>1.0</v>
      </c>
      <c r="F2107" s="84" t="s">
        <v>2205</v>
      </c>
      <c r="G2107" s="3" t="s">
        <v>242</v>
      </c>
      <c r="J2107" s="5">
        <v>0.0</v>
      </c>
      <c r="N2107" s="3" t="b">
        <v>1</v>
      </c>
      <c r="R2107" s="3">
        <v>0.0</v>
      </c>
      <c r="T2107" s="3">
        <v>4.0</v>
      </c>
      <c r="U2107" s="3">
        <v>7.0</v>
      </c>
      <c r="V2107" s="3" t="s">
        <v>2217</v>
      </c>
      <c r="W2107" s="3" t="s">
        <v>311</v>
      </c>
      <c r="X2107" s="77"/>
      <c r="Y2107" s="3">
        <v>0.0</v>
      </c>
      <c r="Z2107" s="3">
        <v>0.0</v>
      </c>
    </row>
    <row r="2108" ht="17.25" customHeight="1">
      <c r="A2108" s="10"/>
      <c r="B2108" s="5"/>
      <c r="C2108" s="3" t="s">
        <v>67</v>
      </c>
      <c r="D2108" s="3" t="s">
        <v>20</v>
      </c>
      <c r="E2108" s="5">
        <v>1.0</v>
      </c>
      <c r="F2108" s="84" t="s">
        <v>2205</v>
      </c>
      <c r="G2108" s="3" t="s">
        <v>242</v>
      </c>
      <c r="J2108" s="5">
        <v>0.0</v>
      </c>
      <c r="N2108" s="3" t="b">
        <v>1</v>
      </c>
      <c r="R2108" s="3">
        <v>0.0</v>
      </c>
      <c r="T2108" s="3">
        <v>5.0</v>
      </c>
      <c r="U2108" s="3">
        <v>7.0</v>
      </c>
      <c r="V2108" s="3" t="s">
        <v>2218</v>
      </c>
      <c r="W2108" s="3" t="s">
        <v>311</v>
      </c>
      <c r="X2108" s="77"/>
      <c r="Y2108" s="3">
        <v>0.0</v>
      </c>
      <c r="Z2108" s="3">
        <v>0.0</v>
      </c>
    </row>
    <row r="2109" ht="17.25" customHeight="1">
      <c r="A2109" s="10"/>
      <c r="B2109" s="5"/>
      <c r="C2109" s="3" t="s">
        <v>93</v>
      </c>
      <c r="D2109" s="3" t="s">
        <v>20</v>
      </c>
      <c r="E2109" s="5">
        <v>1.0</v>
      </c>
      <c r="F2109" s="84" t="s">
        <v>2205</v>
      </c>
      <c r="G2109" s="3" t="s">
        <v>242</v>
      </c>
      <c r="J2109" s="5">
        <v>0.0</v>
      </c>
      <c r="N2109" s="3" t="b">
        <v>1</v>
      </c>
      <c r="R2109" s="3">
        <v>0.0</v>
      </c>
      <c r="T2109" s="3">
        <v>0.0</v>
      </c>
      <c r="U2109" s="3">
        <v>8.0</v>
      </c>
      <c r="V2109" s="3" t="s">
        <v>2219</v>
      </c>
      <c r="W2109" s="3" t="s">
        <v>311</v>
      </c>
      <c r="X2109" s="77"/>
      <c r="Y2109" s="3">
        <v>0.0</v>
      </c>
      <c r="Z2109" s="3">
        <v>0.0</v>
      </c>
    </row>
    <row r="2110" ht="17.25" customHeight="1">
      <c r="A2110" s="10"/>
      <c r="B2110" s="5"/>
      <c r="C2110" s="3" t="s">
        <v>38</v>
      </c>
      <c r="D2110" s="3" t="s">
        <v>8</v>
      </c>
      <c r="E2110" s="5">
        <v>3.0</v>
      </c>
      <c r="F2110" s="3" t="s">
        <v>2220</v>
      </c>
      <c r="G2110" s="3" t="s">
        <v>224</v>
      </c>
      <c r="J2110" s="5">
        <v>1.0</v>
      </c>
      <c r="N2110" s="3" t="b">
        <v>0</v>
      </c>
      <c r="R2110" s="3">
        <v>0.0</v>
      </c>
      <c r="S2110" s="3" t="b">
        <v>0</v>
      </c>
      <c r="T2110" s="3">
        <v>0.0</v>
      </c>
      <c r="U2110" s="3">
        <v>7.0</v>
      </c>
      <c r="V2110" s="3" t="s">
        <v>2221</v>
      </c>
      <c r="W2110" s="3" t="s">
        <v>344</v>
      </c>
      <c r="X2110" s="77" t="s">
        <v>2222</v>
      </c>
      <c r="Y2110" s="3">
        <v>2.0</v>
      </c>
      <c r="Z2110" s="3">
        <v>1.0</v>
      </c>
    </row>
    <row r="2111" ht="17.25" customHeight="1">
      <c r="A2111" s="10"/>
      <c r="B2111" s="5"/>
      <c r="C2111" s="3" t="s">
        <v>42</v>
      </c>
      <c r="D2111" s="3" t="s">
        <v>14</v>
      </c>
      <c r="E2111" s="5">
        <v>3.0</v>
      </c>
      <c r="F2111" s="3" t="s">
        <v>2220</v>
      </c>
      <c r="G2111" s="3" t="s">
        <v>224</v>
      </c>
      <c r="J2111" s="5">
        <v>1.0</v>
      </c>
      <c r="N2111" s="3" t="b">
        <v>0</v>
      </c>
      <c r="R2111" s="3">
        <v>0.0</v>
      </c>
      <c r="T2111" s="3">
        <v>10.0</v>
      </c>
      <c r="U2111" s="3">
        <v>7.0</v>
      </c>
      <c r="V2111" s="3" t="s">
        <v>2223</v>
      </c>
      <c r="W2111" s="3" t="s">
        <v>344</v>
      </c>
      <c r="X2111" s="77" t="s">
        <v>2222</v>
      </c>
      <c r="Y2111" s="3">
        <v>2.0</v>
      </c>
      <c r="Z2111" s="3">
        <v>1.0</v>
      </c>
    </row>
    <row r="2112" ht="17.25" customHeight="1">
      <c r="A2112" s="10"/>
      <c r="B2112" s="5"/>
      <c r="C2112" s="3" t="s">
        <v>39</v>
      </c>
      <c r="D2112" s="3" t="s">
        <v>14</v>
      </c>
      <c r="E2112" s="5">
        <v>3.0</v>
      </c>
      <c r="F2112" s="3" t="s">
        <v>2220</v>
      </c>
      <c r="G2112" s="3" t="s">
        <v>224</v>
      </c>
      <c r="J2112" s="5">
        <v>1.0</v>
      </c>
      <c r="N2112" s="3" t="b">
        <v>0</v>
      </c>
      <c r="R2112" s="3">
        <v>0.0</v>
      </c>
      <c r="T2112" s="3">
        <v>10.0</v>
      </c>
      <c r="U2112" s="3">
        <v>8.0</v>
      </c>
      <c r="V2112" s="3" t="s">
        <v>2224</v>
      </c>
      <c r="W2112" s="3" t="s">
        <v>344</v>
      </c>
      <c r="X2112" s="77" t="s">
        <v>2222</v>
      </c>
      <c r="Y2112" s="3">
        <v>2.0</v>
      </c>
      <c r="Z2112" s="3">
        <v>1.0</v>
      </c>
    </row>
    <row r="2113" ht="17.25" customHeight="1">
      <c r="A2113" s="10"/>
      <c r="B2113" s="5"/>
      <c r="C2113" s="3" t="s">
        <v>86</v>
      </c>
      <c r="D2113" s="3" t="s">
        <v>22</v>
      </c>
      <c r="E2113" s="5">
        <v>3.0</v>
      </c>
      <c r="F2113" s="3" t="s">
        <v>2220</v>
      </c>
      <c r="G2113" s="3" t="s">
        <v>224</v>
      </c>
      <c r="J2113" s="5">
        <v>1.0</v>
      </c>
      <c r="N2113" s="3" t="b">
        <v>0</v>
      </c>
      <c r="R2113" s="3">
        <v>0.0</v>
      </c>
      <c r="T2113" s="3">
        <v>10.0</v>
      </c>
      <c r="U2113" s="3">
        <v>8.0</v>
      </c>
      <c r="V2113" s="3" t="s">
        <v>2225</v>
      </c>
      <c r="W2113" s="3" t="s">
        <v>344</v>
      </c>
      <c r="X2113" s="77" t="s">
        <v>2222</v>
      </c>
      <c r="Y2113" s="3">
        <v>2.0</v>
      </c>
      <c r="Z2113" s="3">
        <v>1.0</v>
      </c>
    </row>
    <row r="2114" ht="17.25" customHeight="1">
      <c r="A2114" s="10"/>
      <c r="B2114" s="5"/>
      <c r="C2114" s="3" t="s">
        <v>256</v>
      </c>
      <c r="D2114" s="3" t="s">
        <v>16</v>
      </c>
      <c r="E2114" s="5">
        <v>3.0</v>
      </c>
      <c r="F2114" s="3" t="s">
        <v>2220</v>
      </c>
      <c r="G2114" s="3" t="s">
        <v>224</v>
      </c>
      <c r="J2114" s="5">
        <v>1.0</v>
      </c>
      <c r="N2114" s="3" t="b">
        <v>0</v>
      </c>
      <c r="R2114" s="3">
        <v>0.0</v>
      </c>
      <c r="T2114" s="3">
        <v>5.0</v>
      </c>
      <c r="U2114" s="3">
        <v>8.0</v>
      </c>
      <c r="V2114" s="3" t="s">
        <v>2226</v>
      </c>
      <c r="W2114" s="3" t="s">
        <v>344</v>
      </c>
      <c r="X2114" s="77" t="s">
        <v>2222</v>
      </c>
      <c r="Y2114" s="3">
        <v>2.0</v>
      </c>
      <c r="Z2114" s="3">
        <v>1.0</v>
      </c>
    </row>
    <row r="2115" ht="17.25" customHeight="1">
      <c r="A2115" s="10"/>
      <c r="B2115" s="5"/>
      <c r="C2115" s="3" t="s">
        <v>151</v>
      </c>
      <c r="D2115" s="3" t="s">
        <v>20</v>
      </c>
      <c r="E2115" s="5">
        <v>3.0</v>
      </c>
      <c r="F2115" s="3" t="s">
        <v>2220</v>
      </c>
      <c r="G2115" s="3" t="s">
        <v>224</v>
      </c>
      <c r="J2115" s="5">
        <v>1.0</v>
      </c>
      <c r="N2115" s="3" t="b">
        <v>0</v>
      </c>
      <c r="R2115" s="3">
        <v>0.0</v>
      </c>
      <c r="T2115" s="3">
        <v>5.0</v>
      </c>
      <c r="U2115" s="3">
        <v>8.0</v>
      </c>
      <c r="V2115" s="3" t="s">
        <v>2227</v>
      </c>
      <c r="W2115" s="3" t="s">
        <v>344</v>
      </c>
      <c r="X2115" s="77" t="s">
        <v>2222</v>
      </c>
      <c r="Y2115" s="3">
        <v>2.0</v>
      </c>
      <c r="Z2115" s="3">
        <v>1.0</v>
      </c>
    </row>
    <row r="2116" ht="17.25" customHeight="1">
      <c r="A2116" s="10"/>
      <c r="B2116" s="5"/>
      <c r="C2116" s="3" t="s">
        <v>112</v>
      </c>
      <c r="D2116" s="3" t="s">
        <v>2228</v>
      </c>
      <c r="E2116" s="5">
        <v>3.0</v>
      </c>
      <c r="F2116" s="3" t="s">
        <v>2220</v>
      </c>
      <c r="G2116" s="3" t="s">
        <v>224</v>
      </c>
      <c r="J2116" s="5">
        <v>1.0</v>
      </c>
      <c r="N2116" s="3" t="b">
        <v>0</v>
      </c>
      <c r="R2116" s="3">
        <v>0.0</v>
      </c>
      <c r="T2116" s="3">
        <v>3.0</v>
      </c>
      <c r="U2116" s="3">
        <v>6.0</v>
      </c>
      <c r="V2116" s="3" t="s">
        <v>2229</v>
      </c>
      <c r="W2116" s="3" t="s">
        <v>344</v>
      </c>
      <c r="X2116" s="77" t="s">
        <v>2222</v>
      </c>
      <c r="Y2116" s="3">
        <v>2.0</v>
      </c>
      <c r="Z2116" s="3">
        <v>1.0</v>
      </c>
    </row>
    <row r="2117" ht="17.25" customHeight="1">
      <c r="A2117" s="10"/>
      <c r="B2117" s="5"/>
      <c r="C2117" s="3" t="s">
        <v>130</v>
      </c>
      <c r="D2117" s="3" t="s">
        <v>20</v>
      </c>
      <c r="E2117" s="5">
        <v>3.0</v>
      </c>
      <c r="F2117" s="3" t="s">
        <v>2220</v>
      </c>
      <c r="G2117" s="3" t="s">
        <v>224</v>
      </c>
      <c r="I2117" s="3">
        <v>2.0</v>
      </c>
      <c r="J2117" s="5">
        <v>1.0</v>
      </c>
      <c r="N2117" s="3" t="b">
        <v>0</v>
      </c>
      <c r="R2117" s="3">
        <v>0.0</v>
      </c>
      <c r="T2117" s="3">
        <v>10.0</v>
      </c>
      <c r="U2117" s="3">
        <v>8.0</v>
      </c>
      <c r="V2117" s="3" t="s">
        <v>2230</v>
      </c>
      <c r="W2117" s="3" t="s">
        <v>344</v>
      </c>
      <c r="X2117" s="77" t="s">
        <v>2222</v>
      </c>
      <c r="Y2117" s="3">
        <v>2.0</v>
      </c>
      <c r="Z2117" s="3">
        <v>1.0</v>
      </c>
    </row>
    <row r="2118" ht="17.25" customHeight="1">
      <c r="A2118" s="10"/>
      <c r="B2118" s="5"/>
      <c r="C2118" s="3" t="s">
        <v>48</v>
      </c>
      <c r="D2118" s="3" t="s">
        <v>23</v>
      </c>
      <c r="E2118" s="5">
        <v>3.0</v>
      </c>
      <c r="F2118" s="3" t="s">
        <v>2220</v>
      </c>
      <c r="G2118" s="3" t="s">
        <v>224</v>
      </c>
      <c r="J2118" s="5">
        <v>1.0</v>
      </c>
      <c r="N2118" s="3" t="b">
        <v>0</v>
      </c>
      <c r="R2118" s="3">
        <v>1.0</v>
      </c>
      <c r="T2118" s="3">
        <v>10.0</v>
      </c>
      <c r="U2118" s="3">
        <v>9.0</v>
      </c>
      <c r="V2118" s="3" t="s">
        <v>2231</v>
      </c>
      <c r="W2118" s="3" t="s">
        <v>344</v>
      </c>
      <c r="X2118" s="77" t="s">
        <v>2222</v>
      </c>
      <c r="Y2118" s="3">
        <v>2.0</v>
      </c>
      <c r="Z2118" s="3">
        <v>1.0</v>
      </c>
    </row>
    <row r="2119" ht="17.25" customHeight="1">
      <c r="A2119" s="10"/>
      <c r="B2119" s="5"/>
      <c r="C2119" s="3" t="s">
        <v>79</v>
      </c>
      <c r="D2119" s="3" t="s">
        <v>24</v>
      </c>
      <c r="E2119" s="5">
        <v>3.0</v>
      </c>
      <c r="F2119" s="3" t="s">
        <v>2220</v>
      </c>
      <c r="G2119" s="3" t="s">
        <v>224</v>
      </c>
      <c r="H2119" s="3">
        <v>1.0</v>
      </c>
      <c r="J2119" s="5">
        <v>1.0</v>
      </c>
      <c r="N2119" s="3" t="b">
        <v>0</v>
      </c>
      <c r="R2119" s="3">
        <v>0.0</v>
      </c>
      <c r="T2119" s="3">
        <v>10.0</v>
      </c>
      <c r="U2119" s="3">
        <v>8.0</v>
      </c>
      <c r="V2119" s="3" t="s">
        <v>2232</v>
      </c>
      <c r="W2119" s="3" t="s">
        <v>344</v>
      </c>
      <c r="X2119" s="77" t="s">
        <v>2222</v>
      </c>
      <c r="Y2119" s="3">
        <v>2.0</v>
      </c>
      <c r="Z2119" s="3">
        <v>1.0</v>
      </c>
    </row>
    <row r="2120" ht="17.25" customHeight="1">
      <c r="A2120" s="10"/>
      <c r="B2120" s="5"/>
      <c r="C2120" s="3" t="s">
        <v>254</v>
      </c>
      <c r="D2120" s="3" t="s">
        <v>22</v>
      </c>
      <c r="E2120" s="5">
        <v>3.0</v>
      </c>
      <c r="F2120" s="3" t="s">
        <v>2220</v>
      </c>
      <c r="G2120" s="3" t="s">
        <v>224</v>
      </c>
      <c r="H2120" s="3">
        <v>1.0</v>
      </c>
      <c r="J2120" s="5">
        <v>1.0</v>
      </c>
      <c r="N2120" s="3" t="b">
        <v>0</v>
      </c>
      <c r="R2120" s="3">
        <v>0.0</v>
      </c>
      <c r="S2120" s="3" t="b">
        <v>1</v>
      </c>
      <c r="T2120" s="3">
        <v>0.0</v>
      </c>
      <c r="U2120" s="3">
        <v>7.0</v>
      </c>
      <c r="V2120" s="3" t="s">
        <v>2233</v>
      </c>
      <c r="W2120" s="3" t="s">
        <v>344</v>
      </c>
      <c r="X2120" s="77" t="s">
        <v>2222</v>
      </c>
      <c r="Y2120" s="3">
        <v>2.0</v>
      </c>
      <c r="Z2120" s="3">
        <v>1.0</v>
      </c>
    </row>
    <row r="2121" ht="17.25" customHeight="1">
      <c r="A2121" s="10"/>
      <c r="B2121" s="5"/>
      <c r="C2121" s="3" t="s">
        <v>125</v>
      </c>
      <c r="D2121" s="3" t="s">
        <v>12</v>
      </c>
      <c r="E2121" s="5">
        <v>3.0</v>
      </c>
      <c r="F2121" s="3" t="s">
        <v>2220</v>
      </c>
      <c r="G2121" s="3" t="s">
        <v>224</v>
      </c>
      <c r="J2121" s="5">
        <v>1.0</v>
      </c>
      <c r="N2121" s="3" t="b">
        <v>0</v>
      </c>
      <c r="R2121" s="3">
        <v>0.0</v>
      </c>
      <c r="T2121" s="3">
        <v>10.0</v>
      </c>
      <c r="U2121" s="3">
        <v>7.5</v>
      </c>
      <c r="V2121" s="3" t="s">
        <v>2234</v>
      </c>
      <c r="W2121" s="3" t="s">
        <v>344</v>
      </c>
      <c r="X2121" s="77" t="s">
        <v>2222</v>
      </c>
      <c r="Y2121" s="3">
        <v>2.0</v>
      </c>
      <c r="Z2121" s="3">
        <v>1.0</v>
      </c>
    </row>
    <row r="2122" ht="17.25" customHeight="1">
      <c r="A2122" s="10"/>
      <c r="B2122" s="5"/>
      <c r="C2122" s="3" t="s">
        <v>59</v>
      </c>
      <c r="D2122" s="3" t="s">
        <v>20</v>
      </c>
      <c r="E2122" s="5">
        <v>3.0</v>
      </c>
      <c r="F2122" s="3" t="s">
        <v>2220</v>
      </c>
      <c r="G2122" s="3" t="s">
        <v>224</v>
      </c>
      <c r="J2122" s="5">
        <v>1.0</v>
      </c>
      <c r="N2122" s="3" t="b">
        <v>0</v>
      </c>
      <c r="R2122" s="3">
        <v>0.0</v>
      </c>
      <c r="T2122" s="3">
        <v>10.0</v>
      </c>
      <c r="U2122" s="3">
        <v>7.5</v>
      </c>
      <c r="V2122" s="3" t="s">
        <v>2235</v>
      </c>
      <c r="W2122" s="3" t="s">
        <v>344</v>
      </c>
      <c r="X2122" s="77" t="s">
        <v>2222</v>
      </c>
      <c r="Y2122" s="3">
        <v>2.0</v>
      </c>
      <c r="Z2122" s="3">
        <v>1.0</v>
      </c>
    </row>
    <row r="2123" ht="17.25" customHeight="1">
      <c r="A2123" s="10"/>
      <c r="B2123" s="5"/>
      <c r="C2123" s="3" t="s">
        <v>46</v>
      </c>
      <c r="D2123" s="3" t="s">
        <v>21</v>
      </c>
      <c r="E2123" s="5">
        <v>3.0</v>
      </c>
      <c r="F2123" s="3" t="s">
        <v>2220</v>
      </c>
      <c r="G2123" s="3" t="s">
        <v>224</v>
      </c>
      <c r="J2123" s="5">
        <v>1.0</v>
      </c>
      <c r="N2123" s="3" t="b">
        <v>0</v>
      </c>
      <c r="R2123" s="3">
        <v>0.0</v>
      </c>
      <c r="T2123" s="3">
        <v>10.0</v>
      </c>
      <c r="U2123" s="3">
        <v>6.5</v>
      </c>
      <c r="V2123" s="3" t="s">
        <v>2236</v>
      </c>
      <c r="W2123" s="3" t="s">
        <v>344</v>
      </c>
      <c r="X2123" s="77" t="s">
        <v>2222</v>
      </c>
      <c r="Y2123" s="3">
        <v>2.0</v>
      </c>
      <c r="Z2123" s="3">
        <v>1.0</v>
      </c>
    </row>
    <row r="2124" ht="17.25" customHeight="1">
      <c r="A2124" s="10"/>
      <c r="B2124" s="5"/>
      <c r="C2124" s="3" t="s">
        <v>259</v>
      </c>
      <c r="D2124" s="3" t="s">
        <v>8</v>
      </c>
      <c r="E2124" s="5">
        <v>6.0</v>
      </c>
      <c r="F2124" s="3" t="s">
        <v>2237</v>
      </c>
      <c r="G2124" s="3" t="s">
        <v>224</v>
      </c>
      <c r="J2124" s="5">
        <v>0.0</v>
      </c>
      <c r="N2124" s="3" t="b">
        <v>1</v>
      </c>
      <c r="R2124" s="3">
        <v>0.0</v>
      </c>
      <c r="S2124" s="3" t="b">
        <v>1</v>
      </c>
      <c r="T2124" s="3">
        <v>0.0</v>
      </c>
      <c r="U2124" s="3">
        <v>7.5</v>
      </c>
      <c r="V2124" s="3" t="s">
        <v>2238</v>
      </c>
      <c r="W2124" s="3" t="s">
        <v>1375</v>
      </c>
      <c r="X2124" s="77" t="s">
        <v>2239</v>
      </c>
      <c r="Y2124" s="3">
        <v>1.0</v>
      </c>
      <c r="Z2124" s="3">
        <v>0.0</v>
      </c>
    </row>
    <row r="2125" ht="17.25" customHeight="1">
      <c r="A2125" s="10"/>
      <c r="B2125" s="5"/>
      <c r="C2125" s="3" t="s">
        <v>116</v>
      </c>
      <c r="D2125" s="3" t="s">
        <v>14</v>
      </c>
      <c r="E2125" s="5">
        <v>6.0</v>
      </c>
      <c r="F2125" s="3" t="s">
        <v>2237</v>
      </c>
      <c r="G2125" s="3" t="s">
        <v>224</v>
      </c>
      <c r="J2125" s="5">
        <v>0.0</v>
      </c>
      <c r="N2125" s="3" t="b">
        <v>1</v>
      </c>
      <c r="R2125" s="3">
        <v>0.0</v>
      </c>
      <c r="T2125" s="3">
        <v>10.0</v>
      </c>
      <c r="U2125" s="3">
        <v>7.0</v>
      </c>
      <c r="V2125" s="3" t="s">
        <v>2240</v>
      </c>
      <c r="W2125" s="3" t="s">
        <v>1375</v>
      </c>
      <c r="X2125" s="77" t="s">
        <v>2239</v>
      </c>
      <c r="Y2125" s="3">
        <v>1.0</v>
      </c>
      <c r="Z2125" s="3">
        <v>0.0</v>
      </c>
    </row>
    <row r="2126" ht="17.25" customHeight="1">
      <c r="A2126" s="10"/>
      <c r="B2126" s="5"/>
      <c r="C2126" s="3" t="s">
        <v>1372</v>
      </c>
      <c r="D2126" s="3" t="s">
        <v>23</v>
      </c>
      <c r="E2126" s="5">
        <v>6.0</v>
      </c>
      <c r="F2126" s="3" t="s">
        <v>2237</v>
      </c>
      <c r="G2126" s="3" t="s">
        <v>224</v>
      </c>
      <c r="J2126" s="5">
        <v>0.0</v>
      </c>
      <c r="N2126" s="3" t="b">
        <v>1</v>
      </c>
      <c r="R2126" s="3">
        <v>0.0</v>
      </c>
      <c r="T2126" s="3">
        <v>10.0</v>
      </c>
      <c r="U2126" s="3">
        <v>7.5</v>
      </c>
      <c r="V2126" s="3" t="s">
        <v>2241</v>
      </c>
      <c r="W2126" s="3" t="s">
        <v>1375</v>
      </c>
      <c r="X2126" s="77" t="s">
        <v>2239</v>
      </c>
      <c r="Y2126" s="3">
        <v>1.0</v>
      </c>
      <c r="Z2126" s="3">
        <v>0.0</v>
      </c>
    </row>
    <row r="2127" ht="17.25" customHeight="1">
      <c r="A2127" s="10"/>
      <c r="B2127" s="5"/>
      <c r="C2127" s="3" t="s">
        <v>140</v>
      </c>
      <c r="D2127" s="3" t="s">
        <v>22</v>
      </c>
      <c r="E2127" s="5">
        <v>6.0</v>
      </c>
      <c r="F2127" s="3" t="s">
        <v>2237</v>
      </c>
      <c r="G2127" s="3" t="s">
        <v>224</v>
      </c>
      <c r="J2127" s="5">
        <v>0.0</v>
      </c>
      <c r="N2127" s="3" t="b">
        <v>1</v>
      </c>
      <c r="R2127" s="3">
        <v>0.0</v>
      </c>
      <c r="T2127" s="3">
        <v>10.0</v>
      </c>
      <c r="U2127" s="3">
        <v>7.5</v>
      </c>
      <c r="V2127" s="3" t="s">
        <v>2242</v>
      </c>
      <c r="W2127" s="3" t="s">
        <v>1375</v>
      </c>
      <c r="X2127" s="77" t="s">
        <v>2239</v>
      </c>
      <c r="Y2127" s="3">
        <v>1.0</v>
      </c>
      <c r="Z2127" s="3">
        <v>0.0</v>
      </c>
    </row>
    <row r="2128" ht="17.25" customHeight="1">
      <c r="A2128" s="10"/>
      <c r="B2128" s="5"/>
      <c r="C2128" s="3" t="s">
        <v>94</v>
      </c>
      <c r="D2128" s="3" t="s">
        <v>19</v>
      </c>
      <c r="E2128" s="5">
        <v>6.0</v>
      </c>
      <c r="F2128" s="3" t="s">
        <v>2237</v>
      </c>
      <c r="G2128" s="3" t="s">
        <v>224</v>
      </c>
      <c r="J2128" s="5">
        <v>0.0</v>
      </c>
      <c r="N2128" s="3" t="b">
        <v>1</v>
      </c>
      <c r="R2128" s="3">
        <v>0.0</v>
      </c>
      <c r="T2128" s="3">
        <v>10.0</v>
      </c>
      <c r="U2128" s="3">
        <v>7.5</v>
      </c>
      <c r="V2128" s="3" t="s">
        <v>2243</v>
      </c>
      <c r="W2128" s="3" t="s">
        <v>1375</v>
      </c>
      <c r="X2128" s="77" t="s">
        <v>2239</v>
      </c>
      <c r="Y2128" s="3">
        <v>1.0</v>
      </c>
      <c r="Z2128" s="3">
        <v>0.0</v>
      </c>
    </row>
    <row r="2129" ht="17.25" customHeight="1">
      <c r="A2129" s="10"/>
      <c r="B2129" s="5"/>
      <c r="C2129" s="3" t="s">
        <v>90</v>
      </c>
      <c r="D2129" s="3" t="s">
        <v>12</v>
      </c>
      <c r="E2129" s="5">
        <v>6.0</v>
      </c>
      <c r="F2129" s="3" t="s">
        <v>2237</v>
      </c>
      <c r="G2129" s="3" t="s">
        <v>224</v>
      </c>
      <c r="J2129" s="5">
        <v>0.0</v>
      </c>
      <c r="N2129" s="3" t="b">
        <v>1</v>
      </c>
      <c r="R2129" s="3">
        <v>0.0</v>
      </c>
      <c r="T2129" s="3">
        <v>5.0</v>
      </c>
      <c r="U2129" s="3">
        <v>7.0</v>
      </c>
      <c r="V2129" s="3" t="s">
        <v>2244</v>
      </c>
      <c r="W2129" s="3" t="s">
        <v>1375</v>
      </c>
      <c r="X2129" s="77" t="s">
        <v>2239</v>
      </c>
      <c r="Y2129" s="3">
        <v>1.0</v>
      </c>
      <c r="Z2129" s="3">
        <v>0.0</v>
      </c>
    </row>
    <row r="2130" ht="17.25" customHeight="1">
      <c r="A2130" s="10"/>
      <c r="B2130" s="5"/>
      <c r="C2130" s="3" t="s">
        <v>231</v>
      </c>
      <c r="D2130" s="3" t="s">
        <v>14</v>
      </c>
      <c r="E2130" s="5">
        <v>6.0</v>
      </c>
      <c r="F2130" s="3" t="s">
        <v>2237</v>
      </c>
      <c r="G2130" s="3" t="s">
        <v>224</v>
      </c>
      <c r="J2130" s="5">
        <v>0.0</v>
      </c>
      <c r="N2130" s="3" t="b">
        <v>1</v>
      </c>
      <c r="R2130" s="3">
        <v>0.0</v>
      </c>
      <c r="T2130" s="3">
        <v>5.0</v>
      </c>
      <c r="U2130" s="3">
        <v>7.0</v>
      </c>
      <c r="V2130" s="3" t="s">
        <v>2245</v>
      </c>
      <c r="W2130" s="3" t="s">
        <v>1375</v>
      </c>
      <c r="X2130" s="77" t="s">
        <v>2239</v>
      </c>
      <c r="Y2130" s="3">
        <v>1.0</v>
      </c>
      <c r="Z2130" s="3">
        <v>0.0</v>
      </c>
    </row>
    <row r="2131" ht="17.25" customHeight="1">
      <c r="A2131" s="10"/>
      <c r="B2131" s="5"/>
      <c r="C2131" s="3" t="s">
        <v>147</v>
      </c>
      <c r="D2131" s="3" t="s">
        <v>12</v>
      </c>
      <c r="E2131" s="5">
        <v>6.0</v>
      </c>
      <c r="F2131" s="3" t="s">
        <v>2237</v>
      </c>
      <c r="G2131" s="3" t="s">
        <v>224</v>
      </c>
      <c r="I2131" s="3">
        <v>1.0</v>
      </c>
      <c r="J2131" s="5">
        <v>0.0</v>
      </c>
      <c r="N2131" s="3" t="b">
        <v>1</v>
      </c>
      <c r="R2131" s="3">
        <v>0.0</v>
      </c>
      <c r="T2131" s="3">
        <v>10.0</v>
      </c>
      <c r="U2131" s="3">
        <v>7.5</v>
      </c>
      <c r="V2131" s="3" t="s">
        <v>2246</v>
      </c>
      <c r="W2131" s="3" t="s">
        <v>1375</v>
      </c>
      <c r="X2131" s="77" t="s">
        <v>2239</v>
      </c>
      <c r="Y2131" s="3">
        <v>1.0</v>
      </c>
      <c r="Z2131" s="3">
        <v>0.0</v>
      </c>
    </row>
    <row r="2132" ht="17.25" customHeight="1">
      <c r="A2132" s="10"/>
      <c r="B2132" s="5"/>
      <c r="C2132" s="3" t="s">
        <v>135</v>
      </c>
      <c r="D2132" s="3" t="s">
        <v>14</v>
      </c>
      <c r="E2132" s="5">
        <v>6.0</v>
      </c>
      <c r="F2132" s="3" t="s">
        <v>2237</v>
      </c>
      <c r="G2132" s="3" t="s">
        <v>224</v>
      </c>
      <c r="J2132" s="5">
        <v>0.0</v>
      </c>
      <c r="N2132" s="3" t="b">
        <v>1</v>
      </c>
      <c r="R2132" s="3">
        <v>0.0</v>
      </c>
      <c r="T2132" s="3">
        <v>5.0</v>
      </c>
      <c r="U2132" s="3">
        <v>8.0</v>
      </c>
      <c r="V2132" s="3" t="s">
        <v>2247</v>
      </c>
      <c r="W2132" s="3" t="s">
        <v>1375</v>
      </c>
      <c r="X2132" s="77" t="s">
        <v>2239</v>
      </c>
      <c r="Y2132" s="3">
        <v>1.0</v>
      </c>
      <c r="Z2132" s="3">
        <v>0.0</v>
      </c>
    </row>
    <row r="2133" ht="17.25" customHeight="1">
      <c r="A2133" s="10"/>
      <c r="B2133" s="5"/>
      <c r="C2133" s="3" t="s">
        <v>142</v>
      </c>
      <c r="D2133" s="3" t="s">
        <v>16</v>
      </c>
      <c r="E2133" s="5">
        <v>6.0</v>
      </c>
      <c r="F2133" s="3" t="s">
        <v>2237</v>
      </c>
      <c r="G2133" s="3" t="s">
        <v>224</v>
      </c>
      <c r="J2133" s="5">
        <v>0.0</v>
      </c>
      <c r="N2133" s="3" t="b">
        <v>1</v>
      </c>
      <c r="R2133" s="3">
        <v>0.0</v>
      </c>
      <c r="T2133" s="3">
        <v>10.0</v>
      </c>
      <c r="U2133" s="3">
        <v>8.0</v>
      </c>
      <c r="V2133" s="3" t="s">
        <v>2248</v>
      </c>
      <c r="W2133" s="3" t="s">
        <v>1375</v>
      </c>
      <c r="X2133" s="77" t="s">
        <v>2239</v>
      </c>
      <c r="Y2133" s="3">
        <v>1.0</v>
      </c>
      <c r="Z2133" s="3">
        <v>0.0</v>
      </c>
    </row>
    <row r="2134" ht="17.25" customHeight="1">
      <c r="A2134" s="10"/>
      <c r="B2134" s="5"/>
      <c r="C2134" s="3" t="s">
        <v>235</v>
      </c>
      <c r="D2134" s="3" t="s">
        <v>24</v>
      </c>
      <c r="E2134" s="5">
        <v>6.0</v>
      </c>
      <c r="F2134" s="3" t="s">
        <v>2237</v>
      </c>
      <c r="G2134" s="3" t="s">
        <v>224</v>
      </c>
      <c r="J2134" s="5">
        <v>0.0</v>
      </c>
      <c r="N2134" s="3" t="b">
        <v>1</v>
      </c>
      <c r="R2134" s="3">
        <v>0.0</v>
      </c>
      <c r="T2134" s="3">
        <v>5.0</v>
      </c>
      <c r="U2134" s="3">
        <v>7.5</v>
      </c>
      <c r="V2134" s="3" t="s">
        <v>2249</v>
      </c>
      <c r="W2134" s="3" t="s">
        <v>1375</v>
      </c>
      <c r="X2134" s="77" t="s">
        <v>2239</v>
      </c>
      <c r="Y2134" s="3">
        <v>1.0</v>
      </c>
      <c r="Z2134" s="3">
        <v>0.0</v>
      </c>
    </row>
    <row r="2135" ht="17.25" customHeight="1">
      <c r="A2135" s="10"/>
      <c r="B2135" s="5"/>
      <c r="C2135" s="3" t="s">
        <v>270</v>
      </c>
      <c r="D2135" s="3" t="s">
        <v>20</v>
      </c>
      <c r="E2135" s="5">
        <v>6.0</v>
      </c>
      <c r="F2135" s="3" t="s">
        <v>2237</v>
      </c>
      <c r="G2135" s="3" t="s">
        <v>224</v>
      </c>
      <c r="J2135" s="5">
        <v>0.0</v>
      </c>
      <c r="N2135" s="3" t="b">
        <v>1</v>
      </c>
      <c r="R2135" s="3">
        <v>0.0</v>
      </c>
      <c r="T2135" s="3">
        <v>10.0</v>
      </c>
      <c r="U2135" s="3">
        <v>7.0</v>
      </c>
      <c r="V2135" s="3" t="s">
        <v>2250</v>
      </c>
      <c r="W2135" s="3" t="s">
        <v>1375</v>
      </c>
      <c r="X2135" s="77" t="s">
        <v>2239</v>
      </c>
      <c r="Y2135" s="3">
        <v>1.0</v>
      </c>
      <c r="Z2135" s="3">
        <v>0.0</v>
      </c>
    </row>
    <row r="2136" ht="17.25" customHeight="1">
      <c r="A2136" s="10"/>
      <c r="B2136" s="5"/>
      <c r="C2136" s="3" t="s">
        <v>150</v>
      </c>
      <c r="D2136" s="3" t="s">
        <v>20</v>
      </c>
      <c r="E2136" s="5">
        <v>6.0</v>
      </c>
      <c r="F2136" s="3" t="s">
        <v>2237</v>
      </c>
      <c r="G2136" s="3" t="s">
        <v>224</v>
      </c>
      <c r="H2136" s="3">
        <v>1.0</v>
      </c>
      <c r="J2136" s="5">
        <v>0.0</v>
      </c>
      <c r="N2136" s="3" t="b">
        <v>1</v>
      </c>
      <c r="R2136" s="3">
        <v>1.0</v>
      </c>
      <c r="T2136" s="3">
        <v>10.0</v>
      </c>
      <c r="U2136" s="3">
        <v>8.5</v>
      </c>
      <c r="V2136" s="3" t="s">
        <v>2251</v>
      </c>
      <c r="W2136" s="3" t="s">
        <v>1375</v>
      </c>
      <c r="X2136" s="77" t="s">
        <v>2239</v>
      </c>
      <c r="Y2136" s="3">
        <v>1.0</v>
      </c>
      <c r="Z2136" s="3">
        <v>0.0</v>
      </c>
    </row>
    <row r="2137" ht="17.25" customHeight="1">
      <c r="A2137" s="10"/>
      <c r="B2137" s="5"/>
      <c r="C2137" s="3" t="s">
        <v>70</v>
      </c>
      <c r="D2137" s="3" t="s">
        <v>24</v>
      </c>
      <c r="E2137" s="5">
        <v>6.0</v>
      </c>
      <c r="F2137" s="3" t="s">
        <v>2237</v>
      </c>
      <c r="G2137" s="3" t="s">
        <v>224</v>
      </c>
      <c r="J2137" s="5">
        <v>0.0</v>
      </c>
      <c r="N2137" s="3" t="b">
        <v>1</v>
      </c>
      <c r="R2137" s="3">
        <v>0.0</v>
      </c>
      <c r="T2137" s="3">
        <v>5.0</v>
      </c>
      <c r="U2137" s="3">
        <v>7.5</v>
      </c>
      <c r="V2137" s="3" t="s">
        <v>2252</v>
      </c>
      <c r="W2137" s="3" t="s">
        <v>1375</v>
      </c>
      <c r="X2137" s="77" t="s">
        <v>2239</v>
      </c>
      <c r="Y2137" s="3">
        <v>1.0</v>
      </c>
      <c r="Z2137" s="3">
        <v>0.0</v>
      </c>
    </row>
    <row r="2138" ht="17.25" customHeight="1">
      <c r="A2138" s="10"/>
      <c r="B2138" s="5"/>
      <c r="C2138" s="3"/>
      <c r="E2138" s="5"/>
      <c r="J2138" s="5"/>
      <c r="X2138" s="77"/>
    </row>
    <row r="2139" ht="17.25" customHeight="1">
      <c r="A2139" s="10"/>
      <c r="B2139" s="5"/>
      <c r="C2139" s="3"/>
      <c r="E2139" s="5"/>
      <c r="J2139" s="5"/>
      <c r="X2139" s="77"/>
    </row>
    <row r="2140" ht="17.25" customHeight="1">
      <c r="A2140" s="10"/>
      <c r="B2140" s="5"/>
      <c r="C2140" s="3"/>
      <c r="E2140" s="5"/>
      <c r="J2140" s="5"/>
      <c r="X2140" s="77"/>
    </row>
    <row r="2141" ht="17.25" customHeight="1">
      <c r="A2141" s="10"/>
      <c r="B2141" s="5"/>
      <c r="C2141" s="3"/>
      <c r="E2141" s="5"/>
      <c r="J2141" s="5"/>
      <c r="X2141" s="77"/>
    </row>
    <row r="2142" ht="17.25" customHeight="1">
      <c r="A2142" s="10"/>
      <c r="B2142" s="5"/>
      <c r="C2142" s="3"/>
      <c r="E2142" s="5"/>
      <c r="J2142" s="5"/>
      <c r="X2142" s="77"/>
    </row>
    <row r="2143" ht="17.25" customHeight="1">
      <c r="A2143" s="10"/>
      <c r="B2143" s="5"/>
      <c r="C2143" s="3"/>
      <c r="E2143" s="5"/>
      <c r="J2143" s="5"/>
      <c r="X2143" s="77"/>
    </row>
    <row r="2144" ht="17.25" customHeight="1">
      <c r="A2144" s="10"/>
      <c r="B2144" s="5"/>
      <c r="C2144" s="3"/>
      <c r="E2144" s="5"/>
      <c r="J2144" s="5"/>
      <c r="X2144" s="77"/>
    </row>
    <row r="2145" ht="17.25" customHeight="1">
      <c r="A2145" s="10"/>
      <c r="B2145" s="5"/>
      <c r="C2145" s="3"/>
      <c r="E2145" s="5"/>
      <c r="J2145" s="5"/>
      <c r="X2145" s="77"/>
    </row>
    <row r="2146" ht="17.25" customHeight="1">
      <c r="A2146" s="10"/>
      <c r="B2146" s="5"/>
      <c r="C2146" s="3"/>
      <c r="E2146" s="5"/>
      <c r="J2146" s="5"/>
      <c r="X2146" s="77"/>
    </row>
    <row r="2147" ht="17.25" customHeight="1">
      <c r="A2147" s="10"/>
      <c r="B2147" s="5"/>
      <c r="C2147" s="3"/>
      <c r="E2147" s="5"/>
      <c r="J2147" s="5"/>
      <c r="X2147" s="77"/>
    </row>
    <row r="2148" ht="17.25" customHeight="1">
      <c r="A2148" s="10"/>
      <c r="B2148" s="5"/>
      <c r="C2148" s="3"/>
      <c r="E2148" s="5"/>
      <c r="J2148" s="5"/>
      <c r="X2148" s="77"/>
    </row>
    <row r="2149" ht="17.25" customHeight="1">
      <c r="A2149" s="10"/>
      <c r="B2149" s="5"/>
      <c r="C2149" s="3"/>
      <c r="E2149" s="5"/>
      <c r="J2149" s="5"/>
      <c r="X2149" s="77"/>
    </row>
    <row r="2150" ht="17.25" customHeight="1">
      <c r="A2150" s="10"/>
      <c r="B2150" s="5"/>
      <c r="C2150" s="3"/>
      <c r="E2150" s="5"/>
      <c r="J2150" s="5"/>
      <c r="X2150" s="77"/>
    </row>
    <row r="2151" ht="17.25" customHeight="1">
      <c r="A2151" s="10"/>
      <c r="B2151" s="5"/>
      <c r="C2151" s="3"/>
      <c r="E2151" s="5"/>
      <c r="J2151" s="5"/>
      <c r="X2151" s="77"/>
    </row>
    <row r="2152" ht="17.25" customHeight="1">
      <c r="A2152" s="10"/>
      <c r="B2152" s="5"/>
      <c r="C2152" s="3"/>
      <c r="E2152" s="5"/>
      <c r="J2152" s="5"/>
      <c r="X2152" s="77"/>
    </row>
    <row r="2153" ht="17.25" customHeight="1">
      <c r="A2153" s="10"/>
      <c r="B2153" s="5"/>
      <c r="C2153" s="3"/>
      <c r="E2153" s="5"/>
      <c r="J2153" s="5"/>
      <c r="X2153" s="77"/>
    </row>
    <row r="2154" ht="17.25" customHeight="1">
      <c r="A2154" s="10"/>
      <c r="B2154" s="5"/>
      <c r="C2154" s="3"/>
      <c r="E2154" s="5"/>
      <c r="J2154" s="5"/>
      <c r="X2154" s="77"/>
    </row>
    <row r="2155" ht="17.25" customHeight="1">
      <c r="A2155" s="10"/>
      <c r="B2155" s="5"/>
      <c r="C2155" s="3"/>
      <c r="E2155" s="5"/>
      <c r="J2155" s="5"/>
      <c r="X2155" s="77"/>
    </row>
    <row r="2156" ht="17.25" customHeight="1">
      <c r="A2156" s="10"/>
      <c r="B2156" s="5"/>
      <c r="C2156" s="3"/>
      <c r="E2156" s="5"/>
      <c r="J2156" s="5"/>
      <c r="X2156" s="77"/>
    </row>
    <row r="2157" ht="17.25" customHeight="1">
      <c r="A2157" s="10"/>
      <c r="B2157" s="5"/>
      <c r="C2157" s="3"/>
      <c r="E2157" s="5"/>
      <c r="J2157" s="5"/>
      <c r="X2157" s="77"/>
    </row>
    <row r="2158" ht="17.25" customHeight="1">
      <c r="A2158" s="10"/>
      <c r="B2158" s="5"/>
      <c r="C2158" s="3"/>
      <c r="E2158" s="5"/>
      <c r="J2158" s="5"/>
      <c r="X2158" s="77"/>
    </row>
    <row r="2159" ht="17.25" customHeight="1">
      <c r="A2159" s="10"/>
      <c r="B2159" s="5"/>
      <c r="C2159" s="3"/>
      <c r="E2159" s="5"/>
      <c r="J2159" s="5"/>
      <c r="X2159" s="77"/>
    </row>
    <row r="2160" ht="17.25" customHeight="1">
      <c r="A2160" s="10"/>
      <c r="B2160" s="5"/>
      <c r="C2160" s="3"/>
      <c r="E2160" s="5"/>
      <c r="J2160" s="5"/>
      <c r="X2160" s="77"/>
    </row>
    <row r="2161" ht="17.25" customHeight="1">
      <c r="A2161" s="10"/>
      <c r="B2161" s="5"/>
      <c r="C2161" s="3"/>
      <c r="E2161" s="5"/>
      <c r="J2161" s="5"/>
      <c r="X2161" s="77"/>
    </row>
    <row r="2162" ht="17.25" customHeight="1">
      <c r="A2162" s="10"/>
      <c r="B2162" s="5"/>
      <c r="C2162" s="3"/>
      <c r="E2162" s="5"/>
      <c r="J2162" s="5"/>
      <c r="X2162" s="77"/>
    </row>
    <row r="2163" ht="17.25" customHeight="1">
      <c r="A2163" s="10"/>
      <c r="B2163" s="5"/>
      <c r="C2163" s="3"/>
      <c r="E2163" s="5"/>
      <c r="J2163" s="5"/>
      <c r="X2163" s="77"/>
    </row>
    <row r="2164" ht="17.25" customHeight="1">
      <c r="A2164" s="10"/>
      <c r="B2164" s="5"/>
      <c r="C2164" s="3"/>
      <c r="E2164" s="5"/>
      <c r="J2164" s="5"/>
      <c r="X2164" s="77"/>
    </row>
    <row r="2165" ht="17.25" customHeight="1">
      <c r="A2165" s="10"/>
      <c r="B2165" s="5"/>
      <c r="C2165" s="3"/>
      <c r="E2165" s="5"/>
      <c r="J2165" s="5"/>
      <c r="X2165" s="77"/>
    </row>
    <row r="2166" ht="17.25" customHeight="1">
      <c r="A2166" s="10"/>
      <c r="B2166" s="5"/>
      <c r="C2166" s="3"/>
      <c r="E2166" s="5"/>
      <c r="J2166" s="5"/>
      <c r="X2166" s="77"/>
    </row>
    <row r="2167" ht="17.25" customHeight="1">
      <c r="A2167" s="10"/>
      <c r="B2167" s="5"/>
      <c r="C2167" s="3"/>
      <c r="E2167" s="5"/>
      <c r="J2167" s="5"/>
      <c r="X2167" s="77"/>
    </row>
    <row r="2168" ht="17.25" customHeight="1">
      <c r="A2168" s="10"/>
      <c r="B2168" s="5"/>
      <c r="C2168" s="3"/>
      <c r="E2168" s="5"/>
      <c r="J2168" s="5"/>
      <c r="X2168" s="77"/>
    </row>
    <row r="2169" ht="17.25" customHeight="1">
      <c r="A2169" s="10"/>
      <c r="B2169" s="5"/>
      <c r="C2169" s="3"/>
      <c r="E2169" s="5"/>
      <c r="J2169" s="5"/>
      <c r="X2169" s="77"/>
    </row>
    <row r="2170" ht="17.25" customHeight="1">
      <c r="A2170" s="10"/>
      <c r="B2170" s="5"/>
      <c r="C2170" s="3"/>
      <c r="E2170" s="5"/>
      <c r="J2170" s="5"/>
      <c r="X2170" s="77"/>
    </row>
    <row r="2171" ht="17.25" customHeight="1">
      <c r="A2171" s="10"/>
      <c r="B2171" s="5"/>
      <c r="C2171" s="3"/>
      <c r="E2171" s="5"/>
      <c r="J2171" s="5"/>
      <c r="X2171" s="77"/>
    </row>
    <row r="2172" ht="17.25" customHeight="1">
      <c r="A2172" s="10"/>
      <c r="B2172" s="5"/>
      <c r="C2172" s="3"/>
      <c r="E2172" s="5"/>
      <c r="J2172" s="5"/>
      <c r="X2172" s="77"/>
    </row>
    <row r="2173" ht="17.25" customHeight="1">
      <c r="A2173" s="10"/>
      <c r="B2173" s="5"/>
      <c r="C2173" s="3"/>
      <c r="E2173" s="5"/>
      <c r="J2173" s="5"/>
      <c r="X2173" s="77"/>
    </row>
    <row r="2174" ht="17.25" customHeight="1">
      <c r="A2174" s="10"/>
      <c r="B2174" s="5"/>
      <c r="C2174" s="3"/>
      <c r="E2174" s="5"/>
      <c r="J2174" s="5"/>
      <c r="X2174" s="77"/>
    </row>
    <row r="2175" ht="17.25" customHeight="1">
      <c r="A2175" s="10"/>
      <c r="B2175" s="5"/>
      <c r="C2175" s="3"/>
      <c r="E2175" s="5"/>
      <c r="J2175" s="5"/>
      <c r="X2175" s="77"/>
    </row>
    <row r="2176" ht="17.25" customHeight="1">
      <c r="A2176" s="10"/>
      <c r="B2176" s="5"/>
      <c r="C2176" s="3"/>
      <c r="E2176" s="5"/>
      <c r="J2176" s="5"/>
      <c r="X2176" s="77"/>
    </row>
    <row r="2177" ht="17.25" customHeight="1">
      <c r="A2177" s="10"/>
      <c r="B2177" s="5"/>
      <c r="C2177" s="3"/>
      <c r="E2177" s="5"/>
      <c r="J2177" s="5"/>
      <c r="X2177" s="77"/>
    </row>
    <row r="2178" ht="17.25" customHeight="1">
      <c r="A2178" s="10"/>
      <c r="B2178" s="5"/>
      <c r="C2178" s="3"/>
      <c r="E2178" s="5"/>
      <c r="J2178" s="5"/>
      <c r="X2178" s="77"/>
    </row>
    <row r="2179" ht="17.25" customHeight="1">
      <c r="A2179" s="10"/>
      <c r="B2179" s="5"/>
      <c r="C2179" s="3"/>
      <c r="E2179" s="5"/>
      <c r="J2179" s="5"/>
      <c r="X2179" s="77"/>
    </row>
    <row r="2180" ht="17.25" customHeight="1">
      <c r="A2180" s="10"/>
      <c r="B2180" s="5"/>
      <c r="C2180" s="3"/>
      <c r="E2180" s="5"/>
      <c r="J2180" s="5"/>
      <c r="X2180" s="77"/>
    </row>
    <row r="2181" ht="17.25" customHeight="1">
      <c r="A2181" s="10"/>
      <c r="B2181" s="5"/>
      <c r="C2181" s="3"/>
      <c r="E2181" s="5"/>
      <c r="J2181" s="5"/>
      <c r="X2181" s="77"/>
    </row>
    <row r="2182" ht="17.25" customHeight="1">
      <c r="A2182" s="10"/>
      <c r="B2182" s="5"/>
      <c r="C2182" s="3"/>
      <c r="E2182" s="5"/>
      <c r="J2182" s="5"/>
      <c r="X2182" s="77"/>
    </row>
    <row r="2183" ht="17.25" customHeight="1">
      <c r="A2183" s="10"/>
      <c r="B2183" s="5"/>
      <c r="C2183" s="3"/>
      <c r="E2183" s="5"/>
      <c r="J2183" s="5"/>
      <c r="X2183" s="77"/>
    </row>
    <row r="2184" ht="17.25" customHeight="1">
      <c r="A2184" s="10"/>
      <c r="B2184" s="5"/>
      <c r="C2184" s="3"/>
      <c r="E2184" s="5"/>
      <c r="J2184" s="5"/>
      <c r="X2184" s="77"/>
    </row>
    <row r="2185" ht="17.25" customHeight="1">
      <c r="A2185" s="10"/>
      <c r="B2185" s="5"/>
      <c r="C2185" s="3"/>
      <c r="E2185" s="5"/>
      <c r="J2185" s="5"/>
      <c r="X2185" s="77"/>
    </row>
    <row r="2186" ht="17.25" customHeight="1">
      <c r="A2186" s="10"/>
      <c r="B2186" s="5"/>
      <c r="C2186" s="3"/>
      <c r="E2186" s="5"/>
      <c r="J2186" s="5"/>
      <c r="X2186" s="77"/>
    </row>
    <row r="2187" ht="17.25" customHeight="1">
      <c r="A2187" s="10"/>
      <c r="B2187" s="5"/>
      <c r="C2187" s="3"/>
      <c r="E2187" s="5"/>
      <c r="J2187" s="5"/>
      <c r="X2187" s="77"/>
    </row>
    <row r="2188" ht="17.25" customHeight="1">
      <c r="A2188" s="10"/>
      <c r="B2188" s="5"/>
      <c r="C2188" s="3"/>
      <c r="E2188" s="5"/>
      <c r="J2188" s="5"/>
      <c r="X2188" s="77"/>
    </row>
    <row r="2189" ht="17.25" customHeight="1">
      <c r="A2189" s="10"/>
      <c r="B2189" s="5"/>
      <c r="C2189" s="3"/>
      <c r="E2189" s="5"/>
      <c r="J2189" s="5"/>
      <c r="X2189" s="77"/>
    </row>
    <row r="2190" ht="17.25" customHeight="1">
      <c r="A2190" s="10"/>
      <c r="B2190" s="5"/>
      <c r="C2190" s="3"/>
      <c r="E2190" s="5"/>
      <c r="J2190" s="5"/>
      <c r="X2190" s="77"/>
    </row>
    <row r="2191" ht="17.25" customHeight="1">
      <c r="A2191" s="10"/>
      <c r="B2191" s="5"/>
      <c r="C2191" s="3"/>
      <c r="E2191" s="5"/>
      <c r="J2191" s="5"/>
      <c r="X2191" s="77"/>
    </row>
    <row r="2192" ht="17.25" customHeight="1">
      <c r="A2192" s="10"/>
      <c r="B2192" s="5"/>
      <c r="C2192" s="3"/>
      <c r="E2192" s="5"/>
      <c r="J2192" s="5"/>
      <c r="X2192" s="77"/>
    </row>
    <row r="2193" ht="17.25" customHeight="1">
      <c r="A2193" s="10"/>
      <c r="B2193" s="5"/>
      <c r="C2193" s="3"/>
      <c r="E2193" s="5"/>
      <c r="J2193" s="5"/>
      <c r="X2193" s="77"/>
    </row>
    <row r="2194" ht="17.25" customHeight="1">
      <c r="A2194" s="10"/>
      <c r="B2194" s="5"/>
      <c r="C2194" s="3"/>
      <c r="E2194" s="5"/>
      <c r="J2194" s="5"/>
      <c r="X2194" s="77"/>
    </row>
    <row r="2195" ht="17.25" customHeight="1">
      <c r="A2195" s="10"/>
      <c r="B2195" s="5"/>
      <c r="C2195" s="3"/>
      <c r="E2195" s="5"/>
      <c r="J2195" s="5"/>
      <c r="X2195" s="77"/>
    </row>
    <row r="2196" ht="17.25" customHeight="1">
      <c r="A2196" s="10"/>
      <c r="B2196" s="5"/>
      <c r="C2196" s="3"/>
      <c r="E2196" s="5"/>
      <c r="J2196" s="5"/>
      <c r="X2196" s="77"/>
    </row>
    <row r="2197" ht="17.25" customHeight="1">
      <c r="A2197" s="10"/>
      <c r="B2197" s="5"/>
      <c r="C2197" s="3"/>
      <c r="E2197" s="5"/>
      <c r="J2197" s="5"/>
      <c r="X2197" s="77"/>
    </row>
    <row r="2198" ht="17.25" customHeight="1">
      <c r="A2198" s="10"/>
      <c r="B2198" s="5"/>
      <c r="C2198" s="3"/>
      <c r="E2198" s="5"/>
      <c r="J2198" s="5"/>
      <c r="X2198" s="77"/>
    </row>
    <row r="2199" ht="17.25" customHeight="1">
      <c r="A2199" s="10"/>
      <c r="B2199" s="5"/>
      <c r="C2199" s="3"/>
      <c r="E2199" s="5"/>
      <c r="J2199" s="5"/>
      <c r="X2199" s="77"/>
    </row>
    <row r="2200" ht="17.25" customHeight="1">
      <c r="A2200" s="10"/>
      <c r="B2200" s="5"/>
      <c r="C2200" s="3"/>
      <c r="E2200" s="5"/>
      <c r="J2200" s="5"/>
      <c r="X2200" s="77"/>
    </row>
    <row r="2201" ht="17.25" customHeight="1">
      <c r="A2201" s="10"/>
      <c r="B2201" s="5"/>
      <c r="C2201" s="3"/>
      <c r="E2201" s="5"/>
      <c r="J2201" s="5"/>
      <c r="X2201" s="77"/>
    </row>
    <row r="2202" ht="17.25" customHeight="1">
      <c r="A2202" s="10"/>
      <c r="B2202" s="5"/>
      <c r="C2202" s="3"/>
      <c r="E2202" s="5"/>
      <c r="J2202" s="5"/>
      <c r="X2202" s="77"/>
    </row>
    <row r="2203" ht="17.25" customHeight="1">
      <c r="A2203" s="10"/>
      <c r="B2203" s="5"/>
      <c r="C2203" s="3"/>
      <c r="E2203" s="5"/>
      <c r="J2203" s="5"/>
      <c r="X2203" s="77"/>
    </row>
    <row r="2204" ht="17.25" customHeight="1">
      <c r="A2204" s="10"/>
      <c r="B2204" s="5"/>
      <c r="C2204" s="3"/>
      <c r="E2204" s="5"/>
      <c r="J2204" s="5"/>
      <c r="X2204" s="77"/>
    </row>
    <row r="2205" ht="17.25" customHeight="1">
      <c r="A2205" s="10"/>
      <c r="B2205" s="5"/>
      <c r="C2205" s="3"/>
      <c r="E2205" s="5"/>
      <c r="J2205" s="5"/>
      <c r="X2205" s="77"/>
    </row>
    <row r="2206" ht="17.25" customHeight="1">
      <c r="A2206" s="10"/>
      <c r="B2206" s="5"/>
      <c r="C2206" s="3"/>
      <c r="E2206" s="5"/>
      <c r="J2206" s="5"/>
      <c r="X2206" s="77"/>
    </row>
    <row r="2207" ht="17.25" customHeight="1">
      <c r="A2207" s="10"/>
      <c r="B2207" s="5"/>
      <c r="C2207" s="3"/>
      <c r="E2207" s="5"/>
      <c r="J2207" s="5"/>
      <c r="X2207" s="77"/>
    </row>
    <row r="2208" ht="17.25" customHeight="1">
      <c r="A2208" s="10"/>
      <c r="B2208" s="5"/>
      <c r="C2208" s="3"/>
      <c r="E2208" s="5"/>
      <c r="J2208" s="5"/>
      <c r="X2208" s="77"/>
    </row>
    <row r="2209" ht="17.25" customHeight="1">
      <c r="A2209" s="10"/>
      <c r="B2209" s="5"/>
      <c r="C2209" s="3"/>
      <c r="E2209" s="5"/>
      <c r="J2209" s="5"/>
      <c r="X2209" s="77"/>
    </row>
    <row r="2210" ht="17.25" customHeight="1">
      <c r="A2210" s="10"/>
      <c r="B2210" s="5"/>
      <c r="C2210" s="3"/>
      <c r="E2210" s="5"/>
      <c r="J2210" s="5"/>
      <c r="X2210" s="77"/>
    </row>
    <row r="2211" ht="17.25" customHeight="1">
      <c r="A2211" s="10"/>
      <c r="B2211" s="5"/>
      <c r="C2211" s="3"/>
      <c r="E2211" s="5"/>
      <c r="J2211" s="5"/>
      <c r="X2211" s="77"/>
    </row>
    <row r="2212" ht="17.25" customHeight="1">
      <c r="A2212" s="10"/>
      <c r="B2212" s="5"/>
      <c r="C2212" s="3"/>
      <c r="E2212" s="5"/>
      <c r="J2212" s="5"/>
      <c r="X2212" s="77"/>
    </row>
    <row r="2213" ht="17.25" customHeight="1">
      <c r="A2213" s="10"/>
      <c r="B2213" s="5"/>
      <c r="C2213" s="3"/>
      <c r="E2213" s="5"/>
      <c r="J2213" s="5"/>
      <c r="X2213" s="77"/>
    </row>
    <row r="2214" ht="17.25" customHeight="1">
      <c r="A2214" s="10"/>
      <c r="B2214" s="5"/>
      <c r="C2214" s="3"/>
      <c r="E2214" s="5"/>
      <c r="J2214" s="5"/>
      <c r="X2214" s="77"/>
    </row>
    <row r="2215" ht="17.25" customHeight="1">
      <c r="A2215" s="10"/>
      <c r="B2215" s="5"/>
      <c r="C2215" s="3"/>
      <c r="E2215" s="5"/>
      <c r="J2215" s="5"/>
      <c r="X2215" s="77"/>
    </row>
    <row r="2216" ht="17.25" customHeight="1">
      <c r="A2216" s="10"/>
      <c r="B2216" s="5"/>
      <c r="C2216" s="3"/>
      <c r="E2216" s="5"/>
      <c r="J2216" s="5"/>
      <c r="X2216" s="77"/>
    </row>
    <row r="2217" ht="17.25" customHeight="1">
      <c r="A2217" s="10"/>
      <c r="B2217" s="5"/>
      <c r="C2217" s="3"/>
      <c r="E2217" s="5"/>
      <c r="J2217" s="5"/>
      <c r="X2217" s="77"/>
    </row>
    <row r="2218" ht="17.25" customHeight="1">
      <c r="A2218" s="10"/>
      <c r="B2218" s="5"/>
      <c r="C2218" s="3"/>
      <c r="E2218" s="5"/>
      <c r="J2218" s="5"/>
      <c r="X2218" s="77"/>
    </row>
    <row r="2219" ht="17.25" customHeight="1">
      <c r="A2219" s="10"/>
      <c r="B2219" s="5"/>
      <c r="C2219" s="3"/>
      <c r="E2219" s="5"/>
      <c r="J2219" s="5"/>
      <c r="X2219" s="77"/>
    </row>
    <row r="2220" ht="17.25" customHeight="1">
      <c r="A2220" s="10"/>
      <c r="B2220" s="5"/>
      <c r="C2220" s="3"/>
      <c r="E2220" s="5"/>
      <c r="J2220" s="5"/>
      <c r="X2220" s="77"/>
    </row>
    <row r="2221" ht="17.25" customHeight="1">
      <c r="A2221" s="10"/>
      <c r="B2221" s="5"/>
      <c r="C2221" s="3"/>
      <c r="E2221" s="5"/>
      <c r="J2221" s="5"/>
      <c r="X2221" s="77"/>
    </row>
    <row r="2222" ht="17.25" customHeight="1">
      <c r="A2222" s="10"/>
      <c r="B2222" s="5"/>
      <c r="C2222" s="3"/>
      <c r="E2222" s="5"/>
      <c r="J2222" s="5"/>
      <c r="X2222" s="77"/>
    </row>
    <row r="2223" ht="17.25" customHeight="1">
      <c r="A2223" s="10"/>
      <c r="B2223" s="5"/>
      <c r="C2223" s="3"/>
      <c r="E2223" s="5"/>
      <c r="J2223" s="5"/>
      <c r="X2223" s="77"/>
    </row>
    <row r="2224" ht="17.25" customHeight="1">
      <c r="A2224" s="10"/>
      <c r="B2224" s="5"/>
      <c r="C2224" s="3"/>
      <c r="E2224" s="5"/>
      <c r="J2224" s="5"/>
      <c r="X2224" s="77"/>
    </row>
    <row r="2225" ht="17.25" customHeight="1">
      <c r="A2225" s="10"/>
      <c r="B2225" s="5"/>
      <c r="C2225" s="3"/>
      <c r="E2225" s="5"/>
      <c r="J2225" s="5"/>
      <c r="X2225" s="77"/>
    </row>
    <row r="2226" ht="17.25" customHeight="1">
      <c r="A2226" s="10"/>
      <c r="B2226" s="5"/>
      <c r="C2226" s="3"/>
      <c r="E2226" s="5"/>
      <c r="J2226" s="5"/>
      <c r="X2226" s="77"/>
    </row>
    <row r="2227" ht="17.25" customHeight="1">
      <c r="A2227" s="10"/>
      <c r="B2227" s="5"/>
      <c r="C2227" s="3"/>
      <c r="E2227" s="5"/>
      <c r="J2227" s="5"/>
      <c r="X2227" s="77"/>
    </row>
    <row r="2228" ht="17.25" customHeight="1">
      <c r="A2228" s="10"/>
      <c r="B2228" s="5"/>
      <c r="C2228" s="3"/>
      <c r="E2228" s="5"/>
      <c r="J2228" s="5"/>
      <c r="X2228" s="77"/>
    </row>
    <row r="2229" ht="17.25" customHeight="1">
      <c r="A2229" s="10"/>
      <c r="B2229" s="5"/>
      <c r="C2229" s="3"/>
      <c r="E2229" s="5"/>
      <c r="J2229" s="5"/>
      <c r="X2229" s="77"/>
    </row>
    <row r="2230" ht="17.25" customHeight="1">
      <c r="A2230" s="10"/>
      <c r="B2230" s="5"/>
      <c r="C2230" s="3"/>
      <c r="E2230" s="5"/>
      <c r="J2230" s="5"/>
      <c r="X2230" s="77"/>
    </row>
    <row r="2231" ht="17.25" customHeight="1">
      <c r="A2231" s="10"/>
      <c r="B2231" s="5"/>
      <c r="C2231" s="3"/>
      <c r="E2231" s="5"/>
      <c r="J2231" s="5"/>
      <c r="X2231" s="77"/>
    </row>
    <row r="2232" ht="17.25" customHeight="1">
      <c r="A2232" s="10"/>
      <c r="B2232" s="5"/>
      <c r="C2232" s="3"/>
      <c r="E2232" s="5"/>
      <c r="J2232" s="5"/>
      <c r="X2232" s="77"/>
    </row>
    <row r="2233" ht="17.25" customHeight="1">
      <c r="A2233" s="10"/>
      <c r="B2233" s="5"/>
      <c r="C2233" s="3"/>
      <c r="E2233" s="5"/>
      <c r="J2233" s="5"/>
      <c r="X2233" s="77"/>
    </row>
    <row r="2234" ht="17.25" customHeight="1">
      <c r="A2234" s="10"/>
      <c r="B2234" s="5"/>
      <c r="C2234" s="3"/>
      <c r="E2234" s="5"/>
      <c r="J2234" s="5"/>
      <c r="X2234" s="77"/>
    </row>
    <row r="2235" ht="17.25" customHeight="1">
      <c r="A2235" s="10"/>
      <c r="B2235" s="5"/>
      <c r="C2235" s="3"/>
      <c r="E2235" s="5"/>
      <c r="J2235" s="5"/>
      <c r="X2235" s="77"/>
    </row>
    <row r="2236" ht="17.25" customHeight="1">
      <c r="A2236" s="10"/>
      <c r="B2236" s="5"/>
      <c r="C2236" s="3"/>
      <c r="E2236" s="5"/>
      <c r="J2236" s="5"/>
      <c r="X2236" s="77"/>
    </row>
    <row r="2237" ht="17.25" customHeight="1">
      <c r="A2237" s="10"/>
      <c r="B2237" s="5"/>
      <c r="C2237" s="3"/>
      <c r="E2237" s="5"/>
      <c r="J2237" s="5"/>
      <c r="X2237" s="77"/>
    </row>
    <row r="2238" ht="17.25" customHeight="1">
      <c r="A2238" s="10"/>
      <c r="B2238" s="5"/>
      <c r="C2238" s="3"/>
      <c r="E2238" s="5"/>
      <c r="J2238" s="5"/>
      <c r="X2238" s="77"/>
    </row>
    <row r="2239" ht="17.25" customHeight="1">
      <c r="A2239" s="10"/>
      <c r="B2239" s="5"/>
      <c r="C2239" s="3"/>
      <c r="E2239" s="5"/>
      <c r="J2239" s="5"/>
      <c r="X2239" s="77"/>
    </row>
    <row r="2240" ht="17.25" customHeight="1">
      <c r="A2240" s="10"/>
      <c r="B2240" s="5"/>
      <c r="C2240" s="3"/>
      <c r="E2240" s="5"/>
      <c r="J2240" s="5"/>
      <c r="X2240" s="77"/>
    </row>
    <row r="2241" ht="17.25" customHeight="1">
      <c r="A2241" s="10"/>
      <c r="B2241" s="5"/>
      <c r="C2241" s="3"/>
      <c r="E2241" s="5"/>
      <c r="J2241" s="5"/>
      <c r="X2241" s="77"/>
    </row>
    <row r="2242" ht="17.25" customHeight="1">
      <c r="A2242" s="10"/>
      <c r="B2242" s="5"/>
      <c r="C2242" s="3"/>
      <c r="E2242" s="5"/>
      <c r="J2242" s="5"/>
      <c r="X2242" s="77"/>
    </row>
    <row r="2243" ht="17.25" customHeight="1">
      <c r="A2243" s="10"/>
      <c r="B2243" s="5"/>
      <c r="C2243" s="3"/>
      <c r="E2243" s="5"/>
      <c r="J2243" s="5"/>
      <c r="X2243" s="77"/>
    </row>
    <row r="2244" ht="17.25" customHeight="1">
      <c r="A2244" s="10"/>
      <c r="B2244" s="5"/>
      <c r="C2244" s="3"/>
      <c r="E2244" s="5"/>
      <c r="J2244" s="5"/>
      <c r="X2244" s="77"/>
    </row>
    <row r="2245" ht="17.25" customHeight="1">
      <c r="A2245" s="10"/>
      <c r="B2245" s="5"/>
      <c r="C2245" s="3"/>
      <c r="E2245" s="5"/>
      <c r="J2245" s="5"/>
      <c r="X2245" s="77"/>
    </row>
    <row r="2246" ht="17.25" customHeight="1">
      <c r="A2246" s="10"/>
      <c r="B2246" s="5"/>
      <c r="C2246" s="3"/>
      <c r="E2246" s="5"/>
      <c r="J2246" s="5"/>
      <c r="X2246" s="77"/>
    </row>
    <row r="2247" ht="17.25" customHeight="1">
      <c r="A2247" s="10"/>
      <c r="B2247" s="5"/>
      <c r="C2247" s="3"/>
      <c r="E2247" s="5"/>
      <c r="J2247" s="5"/>
      <c r="X2247" s="77"/>
    </row>
    <row r="2248" ht="17.25" customHeight="1">
      <c r="A2248" s="10"/>
      <c r="B2248" s="5"/>
      <c r="C2248" s="3"/>
      <c r="E2248" s="5"/>
      <c r="J2248" s="5"/>
      <c r="X2248" s="77"/>
    </row>
    <row r="2249" ht="17.25" customHeight="1">
      <c r="A2249" s="10"/>
      <c r="B2249" s="5"/>
      <c r="C2249" s="3"/>
      <c r="E2249" s="5"/>
      <c r="J2249" s="5"/>
      <c r="X2249" s="77"/>
    </row>
    <row r="2250" ht="17.25" customHeight="1">
      <c r="A2250" s="10"/>
      <c r="B2250" s="5"/>
      <c r="C2250" s="3"/>
      <c r="E2250" s="5"/>
      <c r="J2250" s="5"/>
      <c r="X2250" s="77"/>
    </row>
    <row r="2251" ht="17.25" customHeight="1">
      <c r="A2251" s="10"/>
      <c r="B2251" s="5"/>
      <c r="C2251" s="3"/>
      <c r="E2251" s="5"/>
      <c r="J2251" s="5"/>
      <c r="X2251" s="77"/>
    </row>
    <row r="2252" ht="17.25" customHeight="1">
      <c r="A2252" s="10"/>
      <c r="B2252" s="5"/>
      <c r="C2252" s="3"/>
      <c r="E2252" s="5"/>
      <c r="J2252" s="5"/>
      <c r="X2252" s="77"/>
    </row>
    <row r="2253" ht="17.25" customHeight="1">
      <c r="A2253" s="10"/>
      <c r="B2253" s="5"/>
      <c r="C2253" s="3"/>
      <c r="E2253" s="5"/>
      <c r="J2253" s="5"/>
      <c r="X2253" s="77"/>
    </row>
    <row r="2254" ht="17.25" customHeight="1">
      <c r="A2254" s="10"/>
      <c r="B2254" s="5"/>
      <c r="C2254" s="3"/>
      <c r="E2254" s="5"/>
      <c r="J2254" s="5"/>
      <c r="X2254" s="77"/>
    </row>
    <row r="2255" ht="17.25" customHeight="1">
      <c r="A2255" s="10"/>
      <c r="B2255" s="5"/>
      <c r="C2255" s="3"/>
      <c r="E2255" s="5"/>
      <c r="J2255" s="5"/>
      <c r="X2255" s="77"/>
    </row>
    <row r="2256" ht="17.25" customHeight="1">
      <c r="A2256" s="10"/>
      <c r="B2256" s="5"/>
      <c r="C2256" s="3"/>
      <c r="E2256" s="5"/>
      <c r="J2256" s="5"/>
      <c r="X2256" s="77"/>
    </row>
    <row r="2257" ht="17.25" customHeight="1">
      <c r="A2257" s="10"/>
      <c r="B2257" s="5"/>
      <c r="C2257" s="3"/>
      <c r="E2257" s="5"/>
      <c r="J2257" s="5"/>
      <c r="X2257" s="77"/>
    </row>
    <row r="2258" ht="17.25" customHeight="1">
      <c r="A2258" s="10"/>
      <c r="B2258" s="5"/>
      <c r="C2258" s="3"/>
      <c r="E2258" s="5"/>
      <c r="J2258" s="5"/>
      <c r="X2258" s="77"/>
    </row>
    <row r="2259" ht="17.25" customHeight="1">
      <c r="A2259" s="10"/>
      <c r="B2259" s="5"/>
      <c r="C2259" s="3"/>
      <c r="E2259" s="5"/>
      <c r="J2259" s="5"/>
      <c r="X2259" s="77"/>
    </row>
    <row r="2260" ht="17.25" customHeight="1">
      <c r="A2260" s="10"/>
      <c r="B2260" s="5"/>
      <c r="C2260" s="3"/>
      <c r="E2260" s="5"/>
      <c r="J2260" s="5"/>
      <c r="X2260" s="77"/>
    </row>
    <row r="2261" ht="17.25" customHeight="1">
      <c r="A2261" s="10"/>
      <c r="B2261" s="5"/>
      <c r="C2261" s="3"/>
      <c r="E2261" s="5"/>
      <c r="J2261" s="5"/>
      <c r="X2261" s="77"/>
    </row>
    <row r="2262" ht="17.25" customHeight="1">
      <c r="A2262" s="10"/>
      <c r="B2262" s="5"/>
      <c r="C2262" s="3"/>
      <c r="E2262" s="5"/>
      <c r="J2262" s="5"/>
      <c r="X2262" s="77"/>
    </row>
    <row r="2263" ht="17.25" customHeight="1">
      <c r="A2263" s="10"/>
      <c r="B2263" s="5"/>
      <c r="C2263" s="3"/>
      <c r="E2263" s="5"/>
      <c r="J2263" s="5"/>
      <c r="X2263" s="77"/>
    </row>
    <row r="2264" ht="17.25" customHeight="1">
      <c r="A2264" s="10"/>
      <c r="B2264" s="5"/>
      <c r="C2264" s="3"/>
      <c r="E2264" s="5"/>
      <c r="J2264" s="5"/>
      <c r="X2264" s="77"/>
    </row>
    <row r="2265" ht="17.25" customHeight="1">
      <c r="A2265" s="10"/>
      <c r="B2265" s="5"/>
      <c r="C2265" s="3"/>
      <c r="E2265" s="5"/>
      <c r="J2265" s="5"/>
      <c r="X2265" s="77"/>
    </row>
    <row r="2266" ht="17.25" customHeight="1">
      <c r="A2266" s="10"/>
      <c r="B2266" s="5"/>
      <c r="C2266" s="3"/>
      <c r="E2266" s="5"/>
      <c r="J2266" s="5"/>
      <c r="X2266" s="77"/>
    </row>
    <row r="2267" ht="17.25" customHeight="1">
      <c r="A2267" s="10"/>
      <c r="B2267" s="5"/>
      <c r="C2267" s="3"/>
      <c r="E2267" s="5"/>
      <c r="J2267" s="5"/>
      <c r="X2267" s="77"/>
    </row>
    <row r="2268" ht="17.25" customHeight="1">
      <c r="A2268" s="10"/>
      <c r="B2268" s="5"/>
      <c r="C2268" s="3"/>
      <c r="E2268" s="5"/>
      <c r="J2268" s="5"/>
      <c r="X2268" s="77"/>
    </row>
    <row r="2269" ht="17.25" customHeight="1">
      <c r="A2269" s="10"/>
      <c r="B2269" s="5"/>
      <c r="C2269" s="3"/>
      <c r="E2269" s="5"/>
      <c r="J2269" s="5"/>
      <c r="X2269" s="77"/>
    </row>
    <row r="2270" ht="17.25" customHeight="1">
      <c r="A2270" s="10"/>
      <c r="B2270" s="5"/>
      <c r="C2270" s="3"/>
      <c r="E2270" s="5"/>
      <c r="J2270" s="5"/>
      <c r="X2270" s="77"/>
    </row>
    <row r="2271" ht="17.25" customHeight="1">
      <c r="A2271" s="10"/>
      <c r="B2271" s="5"/>
      <c r="C2271" s="3"/>
      <c r="E2271" s="5"/>
      <c r="J2271" s="5"/>
      <c r="X2271" s="77"/>
    </row>
    <row r="2272" ht="17.25" customHeight="1">
      <c r="A2272" s="10"/>
      <c r="B2272" s="5"/>
      <c r="C2272" s="3"/>
      <c r="E2272" s="5"/>
      <c r="J2272" s="5"/>
      <c r="X2272" s="77"/>
    </row>
    <row r="2273" ht="17.25" customHeight="1">
      <c r="A2273" s="10"/>
      <c r="B2273" s="5"/>
      <c r="C2273" s="3"/>
      <c r="E2273" s="5"/>
      <c r="J2273" s="5"/>
      <c r="X2273" s="77"/>
    </row>
    <row r="2274" ht="17.25" customHeight="1">
      <c r="A2274" s="10"/>
      <c r="B2274" s="5"/>
      <c r="C2274" s="3"/>
      <c r="E2274" s="5"/>
      <c r="J2274" s="5"/>
      <c r="X2274" s="77"/>
    </row>
    <row r="2275" ht="17.25" customHeight="1">
      <c r="A2275" s="10"/>
      <c r="B2275" s="5"/>
      <c r="C2275" s="3"/>
      <c r="E2275" s="5"/>
      <c r="J2275" s="5"/>
      <c r="X2275" s="77"/>
    </row>
    <row r="2276" ht="17.25" customHeight="1">
      <c r="A2276" s="10"/>
      <c r="B2276" s="5"/>
      <c r="C2276" s="3"/>
      <c r="E2276" s="5"/>
      <c r="J2276" s="5"/>
      <c r="X2276" s="77"/>
    </row>
    <row r="2277" ht="17.25" customHeight="1">
      <c r="A2277" s="10"/>
      <c r="B2277" s="5"/>
      <c r="C2277" s="3"/>
      <c r="E2277" s="5"/>
      <c r="J2277" s="5"/>
      <c r="X2277" s="77"/>
    </row>
    <row r="2278" ht="17.25" customHeight="1">
      <c r="A2278" s="10"/>
      <c r="B2278" s="5"/>
      <c r="C2278" s="3"/>
      <c r="E2278" s="5"/>
      <c r="J2278" s="5"/>
      <c r="X2278" s="77"/>
    </row>
    <row r="2279" ht="17.25" customHeight="1">
      <c r="A2279" s="10"/>
      <c r="B2279" s="5"/>
      <c r="C2279" s="3"/>
      <c r="E2279" s="5"/>
      <c r="J2279" s="5"/>
      <c r="X2279" s="77"/>
    </row>
    <row r="2280" ht="17.25" customHeight="1">
      <c r="A2280" s="10"/>
      <c r="B2280" s="5"/>
      <c r="C2280" s="3"/>
      <c r="E2280" s="5"/>
      <c r="J2280" s="5"/>
      <c r="X2280" s="77"/>
    </row>
    <row r="2281" ht="17.25" customHeight="1">
      <c r="A2281" s="10"/>
      <c r="B2281" s="5"/>
      <c r="C2281" s="3"/>
      <c r="E2281" s="5"/>
      <c r="J2281" s="5"/>
      <c r="X2281" s="77"/>
    </row>
    <row r="2282" ht="17.25" customHeight="1">
      <c r="A2282" s="10"/>
      <c r="B2282" s="5"/>
      <c r="C2282" s="3"/>
      <c r="E2282" s="5"/>
      <c r="J2282" s="5"/>
      <c r="X2282" s="77"/>
    </row>
    <row r="2283" ht="17.25" customHeight="1">
      <c r="A2283" s="10"/>
      <c r="B2283" s="5"/>
      <c r="C2283" s="3"/>
      <c r="E2283" s="5"/>
      <c r="J2283" s="5"/>
      <c r="X2283" s="77"/>
    </row>
    <row r="2284" ht="17.25" customHeight="1">
      <c r="A2284" s="10"/>
      <c r="B2284" s="5"/>
      <c r="C2284" s="3"/>
      <c r="E2284" s="5"/>
      <c r="J2284" s="5"/>
      <c r="X2284" s="77"/>
    </row>
    <row r="2285" ht="17.25" customHeight="1">
      <c r="A2285" s="10"/>
      <c r="B2285" s="5"/>
      <c r="C2285" s="3"/>
      <c r="E2285" s="5"/>
      <c r="J2285" s="5"/>
      <c r="X2285" s="77"/>
    </row>
    <row r="2286" ht="17.25" customHeight="1">
      <c r="A2286" s="10"/>
      <c r="B2286" s="5"/>
      <c r="C2286" s="3"/>
      <c r="E2286" s="5"/>
      <c r="J2286" s="5"/>
      <c r="X2286" s="77"/>
    </row>
    <row r="2287" ht="17.25" customHeight="1">
      <c r="A2287" s="10"/>
      <c r="B2287" s="5"/>
      <c r="C2287" s="3"/>
      <c r="E2287" s="5"/>
      <c r="J2287" s="5"/>
      <c r="X2287" s="77"/>
    </row>
    <row r="2288" ht="17.25" customHeight="1">
      <c r="A2288" s="10"/>
      <c r="B2288" s="5"/>
      <c r="C2288" s="3"/>
      <c r="E2288" s="5"/>
      <c r="J2288" s="5"/>
      <c r="X2288" s="77"/>
    </row>
    <row r="2289" ht="17.25" customHeight="1">
      <c r="A2289" s="10"/>
      <c r="B2289" s="5"/>
      <c r="C2289" s="3"/>
      <c r="E2289" s="5"/>
      <c r="J2289" s="5"/>
      <c r="X2289" s="77"/>
    </row>
    <row r="2290" ht="17.25" customHeight="1">
      <c r="A2290" s="10"/>
      <c r="B2290" s="5"/>
      <c r="C2290" s="3"/>
      <c r="E2290" s="5"/>
      <c r="J2290" s="5"/>
      <c r="X2290" s="77"/>
    </row>
    <row r="2291" ht="17.25" customHeight="1">
      <c r="A2291" s="10"/>
      <c r="B2291" s="5"/>
      <c r="C2291" s="3"/>
      <c r="E2291" s="5"/>
      <c r="J2291" s="5"/>
      <c r="X2291" s="77"/>
    </row>
    <row r="2292" ht="17.25" customHeight="1">
      <c r="A2292" s="10"/>
      <c r="B2292" s="5"/>
      <c r="C2292" s="3"/>
      <c r="E2292" s="5"/>
      <c r="J2292" s="5"/>
      <c r="X2292" s="77"/>
    </row>
    <row r="2293" ht="17.25" customHeight="1">
      <c r="A2293" s="10"/>
      <c r="B2293" s="5"/>
      <c r="C2293" s="3"/>
      <c r="E2293" s="5"/>
      <c r="J2293" s="5"/>
      <c r="X2293" s="77"/>
    </row>
    <row r="2294" ht="17.25" customHeight="1">
      <c r="A2294" s="10"/>
      <c r="B2294" s="5"/>
      <c r="C2294" s="3"/>
      <c r="E2294" s="5"/>
      <c r="J2294" s="5"/>
      <c r="X2294" s="77"/>
    </row>
    <row r="2295" ht="17.25" customHeight="1">
      <c r="A2295" s="10"/>
      <c r="B2295" s="5"/>
      <c r="C2295" s="3"/>
      <c r="E2295" s="5"/>
      <c r="J2295" s="5"/>
      <c r="X2295" s="77"/>
    </row>
    <row r="2296" ht="17.25" customHeight="1">
      <c r="A2296" s="10"/>
      <c r="B2296" s="5"/>
      <c r="C2296" s="3"/>
      <c r="E2296" s="5"/>
      <c r="J2296" s="5"/>
      <c r="X2296" s="77"/>
    </row>
    <row r="2297" ht="17.25" customHeight="1">
      <c r="A2297" s="10"/>
      <c r="B2297" s="5"/>
      <c r="C2297" s="3"/>
      <c r="E2297" s="5"/>
      <c r="J2297" s="5"/>
      <c r="X2297" s="77"/>
    </row>
    <row r="2298" ht="17.25" customHeight="1">
      <c r="A2298" s="10"/>
      <c r="B2298" s="5"/>
      <c r="C2298" s="3"/>
      <c r="E2298" s="5"/>
      <c r="J2298" s="5"/>
      <c r="X2298" s="77"/>
    </row>
    <row r="2299" ht="17.25" customHeight="1">
      <c r="A2299" s="10"/>
      <c r="B2299" s="5"/>
      <c r="C2299" s="3"/>
      <c r="E2299" s="5"/>
      <c r="J2299" s="5"/>
      <c r="X2299" s="77"/>
    </row>
    <row r="2300" ht="17.25" customHeight="1">
      <c r="A2300" s="10"/>
      <c r="B2300" s="5"/>
      <c r="C2300" s="3"/>
      <c r="E2300" s="5"/>
      <c r="J2300" s="5"/>
      <c r="X2300" s="77"/>
    </row>
    <row r="2301" ht="17.25" customHeight="1">
      <c r="A2301" s="10"/>
      <c r="B2301" s="5"/>
      <c r="C2301" s="3"/>
      <c r="E2301" s="5"/>
      <c r="J2301" s="5"/>
      <c r="X2301" s="77"/>
    </row>
    <row r="2302" ht="17.25" customHeight="1">
      <c r="A2302" s="10"/>
      <c r="B2302" s="5"/>
      <c r="C2302" s="3"/>
      <c r="E2302" s="5"/>
      <c r="J2302" s="5"/>
      <c r="X2302" s="77"/>
    </row>
    <row r="2303" ht="17.25" customHeight="1">
      <c r="A2303" s="10"/>
      <c r="B2303" s="5"/>
      <c r="C2303" s="3"/>
      <c r="E2303" s="5"/>
      <c r="J2303" s="5"/>
      <c r="X2303" s="77"/>
    </row>
    <row r="2304" ht="17.25" customHeight="1">
      <c r="A2304" s="10"/>
      <c r="B2304" s="5"/>
      <c r="C2304" s="3"/>
      <c r="E2304" s="5"/>
      <c r="J2304" s="5"/>
      <c r="X2304" s="77"/>
    </row>
    <row r="2305" ht="17.25" customHeight="1">
      <c r="A2305" s="10"/>
      <c r="B2305" s="5"/>
      <c r="C2305" s="3"/>
      <c r="E2305" s="5"/>
      <c r="J2305" s="5"/>
      <c r="X2305" s="77"/>
    </row>
    <row r="2306" ht="17.25" customHeight="1">
      <c r="A2306" s="10"/>
      <c r="B2306" s="5"/>
      <c r="C2306" s="3"/>
      <c r="E2306" s="5"/>
      <c r="J2306" s="5"/>
      <c r="X2306" s="77"/>
    </row>
    <row r="2307" ht="17.25" customHeight="1">
      <c r="A2307" s="10"/>
      <c r="B2307" s="5"/>
      <c r="C2307" s="3"/>
      <c r="E2307" s="5"/>
      <c r="J2307" s="5"/>
      <c r="X2307" s="77"/>
    </row>
    <row r="2308" ht="17.25" customHeight="1">
      <c r="A2308" s="10"/>
      <c r="B2308" s="5"/>
      <c r="C2308" s="3"/>
      <c r="E2308" s="5"/>
      <c r="J2308" s="5"/>
      <c r="X2308" s="77"/>
    </row>
    <row r="2309" ht="17.25" customHeight="1">
      <c r="A2309" s="10"/>
      <c r="B2309" s="5"/>
      <c r="C2309" s="3"/>
      <c r="E2309" s="5"/>
      <c r="J2309" s="5"/>
      <c r="X2309" s="77"/>
    </row>
    <row r="2310" ht="17.25" customHeight="1">
      <c r="A2310" s="10"/>
      <c r="B2310" s="5"/>
      <c r="C2310" s="3"/>
      <c r="E2310" s="5"/>
      <c r="J2310" s="5"/>
      <c r="X2310" s="77"/>
    </row>
    <row r="2311" ht="17.25" customHeight="1">
      <c r="A2311" s="10"/>
      <c r="B2311" s="5"/>
      <c r="C2311" s="3"/>
      <c r="E2311" s="5"/>
      <c r="J2311" s="5"/>
      <c r="X2311" s="77"/>
    </row>
    <row r="2312" ht="17.25" customHeight="1">
      <c r="A2312" s="10"/>
      <c r="B2312" s="5"/>
      <c r="C2312" s="3"/>
      <c r="E2312" s="5"/>
      <c r="J2312" s="5"/>
      <c r="X2312" s="77"/>
    </row>
    <row r="2313" ht="17.25" customHeight="1">
      <c r="A2313" s="10"/>
      <c r="B2313" s="5"/>
      <c r="C2313" s="3"/>
      <c r="E2313" s="5"/>
      <c r="J2313" s="5"/>
      <c r="X2313" s="77"/>
    </row>
    <row r="2314" ht="17.25" customHeight="1">
      <c r="A2314" s="10"/>
      <c r="B2314" s="5"/>
      <c r="C2314" s="3"/>
      <c r="E2314" s="5"/>
      <c r="J2314" s="5"/>
      <c r="X2314" s="77"/>
    </row>
    <row r="2315" ht="17.25" customHeight="1">
      <c r="A2315" s="10"/>
      <c r="B2315" s="5"/>
      <c r="C2315" s="3"/>
      <c r="E2315" s="5"/>
      <c r="J2315" s="5"/>
      <c r="X2315" s="77"/>
    </row>
    <row r="2316" ht="17.25" customHeight="1">
      <c r="A2316" s="10"/>
      <c r="B2316" s="5"/>
      <c r="C2316" s="3"/>
      <c r="E2316" s="5"/>
      <c r="J2316" s="5"/>
      <c r="X2316" s="77"/>
    </row>
    <row r="2317" ht="17.25" customHeight="1">
      <c r="A2317" s="10"/>
      <c r="B2317" s="5"/>
      <c r="C2317" s="3"/>
      <c r="E2317" s="5"/>
      <c r="J2317" s="5"/>
      <c r="X2317" s="77"/>
    </row>
    <row r="2318" ht="17.25" customHeight="1">
      <c r="A2318" s="10"/>
      <c r="B2318" s="5"/>
      <c r="C2318" s="3"/>
      <c r="E2318" s="5"/>
      <c r="J2318" s="5"/>
      <c r="X2318" s="77"/>
    </row>
    <row r="2319" ht="17.25" customHeight="1">
      <c r="A2319" s="10"/>
      <c r="B2319" s="5"/>
      <c r="C2319" s="3"/>
      <c r="E2319" s="5"/>
      <c r="J2319" s="5"/>
      <c r="X2319" s="77"/>
    </row>
    <row r="2320" ht="17.25" customHeight="1">
      <c r="A2320" s="10"/>
      <c r="B2320" s="5"/>
      <c r="C2320" s="3"/>
      <c r="E2320" s="5"/>
      <c r="J2320" s="5"/>
      <c r="X2320" s="77"/>
    </row>
    <row r="2321" ht="17.25" customHeight="1">
      <c r="A2321" s="10"/>
      <c r="B2321" s="5"/>
      <c r="C2321" s="3"/>
      <c r="E2321" s="5"/>
      <c r="J2321" s="5"/>
      <c r="X2321" s="77"/>
    </row>
    <row r="2322" ht="17.25" customHeight="1">
      <c r="A2322" s="10"/>
      <c r="B2322" s="5"/>
      <c r="C2322" s="3"/>
      <c r="E2322" s="5"/>
      <c r="J2322" s="5"/>
      <c r="X2322" s="77"/>
    </row>
    <row r="2323" ht="17.25" customHeight="1">
      <c r="A2323" s="10"/>
      <c r="B2323" s="5"/>
      <c r="C2323" s="3"/>
      <c r="E2323" s="5"/>
      <c r="J2323" s="5"/>
      <c r="X2323" s="77"/>
    </row>
    <row r="2324" ht="17.25" customHeight="1">
      <c r="A2324" s="10"/>
      <c r="B2324" s="5"/>
      <c r="C2324" s="3"/>
      <c r="E2324" s="5"/>
      <c r="J2324" s="5"/>
      <c r="X2324" s="77"/>
    </row>
    <row r="2325" ht="17.25" customHeight="1">
      <c r="A2325" s="10"/>
      <c r="B2325" s="5"/>
      <c r="C2325" s="3"/>
      <c r="E2325" s="5"/>
      <c r="J2325" s="5"/>
      <c r="X2325" s="77"/>
    </row>
    <row r="2326" ht="17.25" customHeight="1">
      <c r="A2326" s="10"/>
      <c r="B2326" s="5"/>
      <c r="C2326" s="3"/>
      <c r="E2326" s="5"/>
      <c r="J2326" s="5"/>
      <c r="X2326" s="77"/>
    </row>
    <row r="2327" ht="17.25" customHeight="1">
      <c r="A2327" s="10"/>
      <c r="B2327" s="5"/>
      <c r="C2327" s="3"/>
      <c r="E2327" s="5"/>
      <c r="J2327" s="5"/>
      <c r="X2327" s="77"/>
    </row>
    <row r="2328" ht="17.25" customHeight="1">
      <c r="A2328" s="10"/>
      <c r="B2328" s="5"/>
      <c r="C2328" s="3"/>
      <c r="E2328" s="5"/>
      <c r="J2328" s="5"/>
      <c r="X2328" s="77"/>
    </row>
    <row r="2329" ht="17.25" customHeight="1">
      <c r="A2329" s="10"/>
      <c r="B2329" s="5"/>
      <c r="C2329" s="3"/>
      <c r="E2329" s="5"/>
      <c r="J2329" s="5"/>
      <c r="X2329" s="77"/>
    </row>
    <row r="2330" ht="17.25" customHeight="1">
      <c r="A2330" s="10"/>
      <c r="B2330" s="5"/>
      <c r="C2330" s="3"/>
      <c r="E2330" s="5"/>
      <c r="J2330" s="5"/>
      <c r="X2330" s="77"/>
    </row>
    <row r="2331" ht="17.25" customHeight="1">
      <c r="A2331" s="10"/>
      <c r="B2331" s="5"/>
      <c r="C2331" s="3"/>
      <c r="E2331" s="5"/>
      <c r="J2331" s="5"/>
      <c r="X2331" s="77"/>
    </row>
    <row r="2332" ht="17.25" customHeight="1">
      <c r="A2332" s="10"/>
      <c r="B2332" s="5"/>
      <c r="C2332" s="3"/>
      <c r="E2332" s="5"/>
      <c r="J2332" s="5"/>
      <c r="X2332" s="77"/>
    </row>
    <row r="2333" ht="17.25" customHeight="1">
      <c r="A2333" s="10"/>
      <c r="B2333" s="5"/>
      <c r="C2333" s="3"/>
      <c r="E2333" s="5"/>
      <c r="J2333" s="5"/>
      <c r="X2333" s="77"/>
    </row>
    <row r="2334" ht="17.25" customHeight="1">
      <c r="A2334" s="10"/>
      <c r="B2334" s="5"/>
      <c r="C2334" s="3"/>
      <c r="E2334" s="5"/>
      <c r="J2334" s="5"/>
      <c r="X2334" s="77"/>
    </row>
    <row r="2335" ht="17.25" customHeight="1">
      <c r="A2335" s="10"/>
      <c r="B2335" s="5"/>
      <c r="C2335" s="3"/>
      <c r="E2335" s="5"/>
      <c r="J2335" s="5"/>
      <c r="X2335" s="77"/>
    </row>
    <row r="2336" ht="17.25" customHeight="1">
      <c r="A2336" s="10"/>
      <c r="B2336" s="5"/>
      <c r="C2336" s="3"/>
      <c r="E2336" s="5"/>
      <c r="J2336" s="5"/>
      <c r="X2336" s="77"/>
    </row>
    <row r="2337" ht="17.25" customHeight="1">
      <c r="A2337" s="10"/>
      <c r="B2337" s="5"/>
      <c r="C2337" s="3"/>
      <c r="E2337" s="5"/>
      <c r="J2337" s="5"/>
      <c r="X2337" s="77"/>
    </row>
    <row r="2338" ht="17.25" customHeight="1">
      <c r="A2338" s="10"/>
      <c r="B2338" s="5"/>
      <c r="C2338" s="3"/>
      <c r="E2338" s="5"/>
      <c r="J2338" s="5"/>
      <c r="X2338" s="77"/>
    </row>
    <row r="2339" ht="17.25" customHeight="1">
      <c r="A2339" s="10"/>
      <c r="B2339" s="5"/>
      <c r="C2339" s="3"/>
      <c r="E2339" s="5"/>
      <c r="J2339" s="5"/>
      <c r="X2339" s="77"/>
    </row>
    <row r="2340" ht="17.25" customHeight="1">
      <c r="A2340" s="10"/>
      <c r="B2340" s="5"/>
      <c r="C2340" s="3"/>
      <c r="E2340" s="5"/>
      <c r="J2340" s="5"/>
      <c r="X2340" s="77"/>
    </row>
    <row r="2341" ht="17.25" customHeight="1">
      <c r="A2341" s="10"/>
      <c r="B2341" s="5"/>
      <c r="C2341" s="3"/>
      <c r="E2341" s="5"/>
      <c r="J2341" s="5"/>
      <c r="X2341" s="77"/>
    </row>
    <row r="2342" ht="17.25" customHeight="1">
      <c r="A2342" s="10"/>
      <c r="B2342" s="5"/>
      <c r="C2342" s="3"/>
      <c r="E2342" s="5"/>
      <c r="J2342" s="5"/>
      <c r="X2342" s="77"/>
    </row>
    <row r="2343" ht="17.25" customHeight="1">
      <c r="A2343" s="10"/>
      <c r="B2343" s="5"/>
      <c r="C2343" s="3"/>
      <c r="E2343" s="5"/>
      <c r="J2343" s="5"/>
      <c r="X2343" s="77"/>
    </row>
    <row r="2344" ht="17.25" customHeight="1">
      <c r="A2344" s="10"/>
      <c r="B2344" s="5"/>
      <c r="C2344" s="3"/>
      <c r="E2344" s="5"/>
      <c r="J2344" s="5"/>
      <c r="X2344" s="77"/>
    </row>
    <row r="2345" ht="17.25" customHeight="1">
      <c r="A2345" s="10"/>
      <c r="B2345" s="5"/>
      <c r="C2345" s="3"/>
      <c r="E2345" s="5"/>
      <c r="J2345" s="5"/>
      <c r="X2345" s="77"/>
    </row>
    <row r="2346" ht="17.25" customHeight="1">
      <c r="A2346" s="10"/>
      <c r="B2346" s="5"/>
      <c r="C2346" s="3"/>
      <c r="E2346" s="5"/>
      <c r="J2346" s="5"/>
      <c r="X2346" s="77"/>
    </row>
    <row r="2347" ht="17.25" customHeight="1">
      <c r="A2347" s="10"/>
      <c r="B2347" s="5"/>
      <c r="C2347" s="3"/>
      <c r="E2347" s="5"/>
      <c r="J2347" s="5"/>
      <c r="X2347" s="77"/>
    </row>
    <row r="2348" ht="17.25" customHeight="1">
      <c r="A2348" s="10"/>
      <c r="B2348" s="5"/>
      <c r="C2348" s="3"/>
      <c r="E2348" s="5"/>
      <c r="J2348" s="5"/>
      <c r="X2348" s="77"/>
    </row>
    <row r="2349" ht="17.25" customHeight="1">
      <c r="A2349" s="10"/>
      <c r="B2349" s="5"/>
      <c r="C2349" s="3"/>
      <c r="E2349" s="5"/>
      <c r="J2349" s="5"/>
      <c r="X2349" s="77"/>
    </row>
    <row r="2350" ht="17.25" customHeight="1">
      <c r="A2350" s="10"/>
      <c r="B2350" s="5"/>
      <c r="C2350" s="3"/>
      <c r="E2350" s="5"/>
      <c r="J2350" s="5"/>
      <c r="X2350" s="77"/>
    </row>
    <row r="2351" ht="17.25" customHeight="1">
      <c r="A2351" s="10"/>
      <c r="B2351" s="5"/>
      <c r="C2351" s="3"/>
      <c r="E2351" s="5"/>
      <c r="J2351" s="5"/>
      <c r="X2351" s="77"/>
    </row>
    <row r="2352" ht="17.25" customHeight="1">
      <c r="A2352" s="10"/>
      <c r="B2352" s="5"/>
      <c r="C2352" s="3"/>
      <c r="E2352" s="5"/>
      <c r="J2352" s="5"/>
      <c r="X2352" s="77"/>
    </row>
    <row r="2353" ht="17.25" customHeight="1">
      <c r="A2353" s="10"/>
      <c r="B2353" s="5"/>
      <c r="C2353" s="3"/>
      <c r="E2353" s="5"/>
      <c r="J2353" s="5"/>
      <c r="X2353" s="77"/>
    </row>
    <row r="2354" ht="17.25" customHeight="1">
      <c r="A2354" s="10"/>
      <c r="B2354" s="5"/>
      <c r="C2354" s="3"/>
      <c r="E2354" s="5"/>
      <c r="J2354" s="5"/>
      <c r="X2354" s="77"/>
    </row>
    <row r="2355" ht="17.25" customHeight="1">
      <c r="A2355" s="10"/>
      <c r="B2355" s="5"/>
      <c r="C2355" s="3"/>
      <c r="E2355" s="5"/>
      <c r="J2355" s="5"/>
      <c r="X2355" s="77"/>
    </row>
    <row r="2356" ht="17.25" customHeight="1">
      <c r="A2356" s="10"/>
      <c r="B2356" s="5"/>
      <c r="C2356" s="3"/>
      <c r="E2356" s="5"/>
      <c r="J2356" s="5"/>
      <c r="X2356" s="77"/>
    </row>
    <row r="2357" ht="17.25" customHeight="1">
      <c r="A2357" s="10"/>
      <c r="B2357" s="5"/>
      <c r="C2357" s="3"/>
      <c r="E2357" s="5"/>
      <c r="J2357" s="5"/>
      <c r="X2357" s="77"/>
    </row>
    <row r="2358" ht="17.25" customHeight="1">
      <c r="A2358" s="10"/>
      <c r="B2358" s="5"/>
      <c r="C2358" s="3"/>
      <c r="E2358" s="5"/>
      <c r="J2358" s="5"/>
      <c r="X2358" s="77"/>
    </row>
    <row r="2359" ht="17.25" customHeight="1">
      <c r="A2359" s="10"/>
      <c r="B2359" s="5"/>
      <c r="C2359" s="3"/>
      <c r="E2359" s="5"/>
      <c r="J2359" s="5"/>
      <c r="X2359" s="77"/>
    </row>
    <row r="2360" ht="17.25" customHeight="1">
      <c r="A2360" s="10"/>
      <c r="B2360" s="5"/>
      <c r="C2360" s="3"/>
      <c r="E2360" s="5"/>
      <c r="J2360" s="5"/>
      <c r="X2360" s="77"/>
    </row>
    <row r="2361" ht="17.25" customHeight="1">
      <c r="A2361" s="10"/>
      <c r="B2361" s="5"/>
      <c r="C2361" s="3"/>
      <c r="E2361" s="5"/>
      <c r="J2361" s="5"/>
      <c r="X2361" s="77"/>
    </row>
    <row r="2362" ht="17.25" customHeight="1">
      <c r="A2362" s="10"/>
      <c r="B2362" s="5"/>
      <c r="C2362" s="3"/>
      <c r="E2362" s="5"/>
      <c r="J2362" s="5"/>
      <c r="X2362" s="77"/>
    </row>
    <row r="2363" ht="17.25" customHeight="1">
      <c r="A2363" s="10"/>
      <c r="B2363" s="5"/>
      <c r="C2363" s="3"/>
      <c r="E2363" s="5"/>
      <c r="J2363" s="5"/>
      <c r="X2363" s="77"/>
    </row>
    <row r="2364" ht="17.25" customHeight="1">
      <c r="A2364" s="10"/>
      <c r="B2364" s="5"/>
      <c r="C2364" s="3"/>
      <c r="E2364" s="5"/>
      <c r="J2364" s="5"/>
      <c r="X2364" s="77"/>
    </row>
    <row r="2365" ht="17.25" customHeight="1">
      <c r="A2365" s="10"/>
      <c r="B2365" s="5"/>
      <c r="C2365" s="3"/>
      <c r="E2365" s="5"/>
      <c r="J2365" s="5"/>
      <c r="X2365" s="77"/>
    </row>
    <row r="2366" ht="17.25" customHeight="1">
      <c r="A2366" s="10"/>
      <c r="B2366" s="5"/>
      <c r="C2366" s="3"/>
      <c r="E2366" s="5"/>
      <c r="J2366" s="5"/>
      <c r="X2366" s="77"/>
    </row>
    <row r="2367" ht="17.25" customHeight="1">
      <c r="A2367" s="10"/>
      <c r="B2367" s="5"/>
      <c r="C2367" s="3"/>
      <c r="E2367" s="5"/>
      <c r="J2367" s="5"/>
      <c r="X2367" s="77"/>
    </row>
    <row r="2368" ht="17.25" customHeight="1">
      <c r="A2368" s="10"/>
      <c r="B2368" s="5"/>
      <c r="C2368" s="3"/>
      <c r="E2368" s="5"/>
      <c r="J2368" s="5"/>
      <c r="X2368" s="77"/>
    </row>
    <row r="2369" ht="17.25" customHeight="1">
      <c r="A2369" s="10"/>
      <c r="B2369" s="5"/>
      <c r="C2369" s="3"/>
      <c r="E2369" s="5"/>
      <c r="J2369" s="5"/>
      <c r="X2369" s="77"/>
    </row>
    <row r="2370" ht="17.25" customHeight="1">
      <c r="A2370" s="10"/>
      <c r="B2370" s="5"/>
      <c r="C2370" s="3"/>
      <c r="E2370" s="5"/>
      <c r="J2370" s="5"/>
      <c r="X2370" s="77"/>
    </row>
    <row r="2371" ht="17.25" customHeight="1">
      <c r="A2371" s="10"/>
      <c r="B2371" s="5"/>
      <c r="C2371" s="3"/>
      <c r="E2371" s="5"/>
      <c r="J2371" s="5"/>
      <c r="X2371" s="77"/>
    </row>
    <row r="2372" ht="17.25" customHeight="1">
      <c r="A2372" s="10"/>
      <c r="B2372" s="5"/>
      <c r="C2372" s="3"/>
      <c r="E2372" s="5"/>
      <c r="J2372" s="5"/>
      <c r="X2372" s="77"/>
    </row>
    <row r="2373" ht="17.25" customHeight="1">
      <c r="A2373" s="10"/>
      <c r="B2373" s="5"/>
      <c r="C2373" s="3"/>
      <c r="E2373" s="5"/>
      <c r="J2373" s="5"/>
      <c r="X2373" s="77"/>
    </row>
    <row r="2374" ht="17.25" customHeight="1">
      <c r="A2374" s="10"/>
      <c r="B2374" s="5"/>
      <c r="C2374" s="3"/>
      <c r="E2374" s="5"/>
      <c r="J2374" s="5"/>
      <c r="X2374" s="77"/>
    </row>
    <row r="2375" ht="17.25" customHeight="1">
      <c r="A2375" s="10"/>
      <c r="B2375" s="5"/>
      <c r="C2375" s="3"/>
      <c r="E2375" s="5"/>
      <c r="J2375" s="5"/>
      <c r="X2375" s="77"/>
    </row>
    <row r="2376" ht="17.25" customHeight="1">
      <c r="A2376" s="10"/>
      <c r="B2376" s="5"/>
      <c r="C2376" s="3"/>
      <c r="E2376" s="5"/>
      <c r="J2376" s="5"/>
      <c r="X2376" s="77"/>
    </row>
    <row r="2377" ht="17.25" customHeight="1">
      <c r="A2377" s="10"/>
      <c r="B2377" s="5"/>
      <c r="C2377" s="3"/>
      <c r="E2377" s="5"/>
      <c r="J2377" s="5"/>
      <c r="X2377" s="77"/>
    </row>
    <row r="2378" ht="17.25" customHeight="1">
      <c r="A2378" s="10"/>
      <c r="B2378" s="5"/>
      <c r="C2378" s="3"/>
      <c r="E2378" s="5"/>
      <c r="J2378" s="5"/>
      <c r="X2378" s="77"/>
    </row>
    <row r="2379" ht="17.25" customHeight="1">
      <c r="A2379" s="10"/>
      <c r="B2379" s="5"/>
      <c r="C2379" s="3"/>
      <c r="E2379" s="5"/>
      <c r="J2379" s="5"/>
      <c r="X2379" s="77"/>
    </row>
    <row r="2380" ht="17.25" customHeight="1">
      <c r="A2380" s="10"/>
      <c r="B2380" s="5"/>
      <c r="C2380" s="3"/>
      <c r="E2380" s="5"/>
      <c r="J2380" s="5"/>
      <c r="X2380" s="77"/>
    </row>
    <row r="2381" ht="17.25" customHeight="1">
      <c r="A2381" s="10"/>
      <c r="B2381" s="5"/>
      <c r="C2381" s="3"/>
      <c r="E2381" s="5"/>
      <c r="J2381" s="5"/>
      <c r="X2381" s="77"/>
    </row>
    <row r="2382" ht="17.25" customHeight="1">
      <c r="A2382" s="10"/>
      <c r="B2382" s="5"/>
      <c r="C2382" s="3"/>
      <c r="E2382" s="5"/>
      <c r="J2382" s="5"/>
      <c r="X2382" s="77"/>
    </row>
    <row r="2383" ht="17.25" customHeight="1">
      <c r="A2383" s="10"/>
      <c r="B2383" s="5"/>
      <c r="C2383" s="3"/>
      <c r="E2383" s="5"/>
      <c r="J2383" s="5"/>
      <c r="X2383" s="77"/>
    </row>
    <row r="2384" ht="17.25" customHeight="1">
      <c r="A2384" s="10"/>
      <c r="B2384" s="5"/>
      <c r="C2384" s="3"/>
      <c r="E2384" s="5"/>
      <c r="J2384" s="5"/>
      <c r="X2384" s="77"/>
    </row>
    <row r="2385" ht="17.25" customHeight="1">
      <c r="A2385" s="10"/>
      <c r="B2385" s="5"/>
      <c r="C2385" s="3"/>
      <c r="E2385" s="5"/>
      <c r="J2385" s="5"/>
      <c r="X2385" s="77"/>
    </row>
    <row r="2386" ht="17.25" customHeight="1">
      <c r="A2386" s="10"/>
      <c r="B2386" s="5"/>
      <c r="C2386" s="3"/>
      <c r="E2386" s="5"/>
      <c r="J2386" s="5"/>
      <c r="X2386" s="77"/>
    </row>
    <row r="2387" ht="17.25" customHeight="1">
      <c r="A2387" s="10"/>
      <c r="B2387" s="5"/>
      <c r="C2387" s="3"/>
      <c r="E2387" s="5"/>
      <c r="J2387" s="5"/>
      <c r="X2387" s="77"/>
    </row>
    <row r="2388" ht="17.25" customHeight="1">
      <c r="A2388" s="10"/>
      <c r="B2388" s="5"/>
      <c r="C2388" s="3"/>
      <c r="E2388" s="5"/>
      <c r="J2388" s="5"/>
      <c r="X2388" s="77"/>
    </row>
    <row r="2389" ht="17.25" customHeight="1">
      <c r="A2389" s="10"/>
      <c r="B2389" s="5"/>
      <c r="C2389" s="3"/>
      <c r="E2389" s="5"/>
      <c r="J2389" s="5"/>
      <c r="X2389" s="77"/>
    </row>
    <row r="2390" ht="17.25" customHeight="1">
      <c r="A2390" s="10"/>
      <c r="B2390" s="5"/>
      <c r="C2390" s="3"/>
      <c r="E2390" s="5"/>
      <c r="J2390" s="5"/>
      <c r="X2390" s="77"/>
    </row>
    <row r="2391" ht="17.25" customHeight="1">
      <c r="A2391" s="10"/>
      <c r="B2391" s="5"/>
      <c r="C2391" s="3"/>
      <c r="E2391" s="5"/>
      <c r="J2391" s="5"/>
      <c r="X2391" s="77"/>
    </row>
    <row r="2392" ht="17.25" customHeight="1">
      <c r="A2392" s="10"/>
      <c r="B2392" s="5"/>
      <c r="C2392" s="3"/>
      <c r="E2392" s="5"/>
      <c r="J2392" s="5"/>
      <c r="X2392" s="77"/>
    </row>
    <row r="2393" ht="17.25" customHeight="1">
      <c r="A2393" s="10"/>
      <c r="B2393" s="5"/>
      <c r="C2393" s="3"/>
      <c r="E2393" s="5"/>
      <c r="J2393" s="5"/>
      <c r="X2393" s="77"/>
    </row>
    <row r="2394" ht="17.25" customHeight="1">
      <c r="A2394" s="10"/>
      <c r="B2394" s="5"/>
      <c r="C2394" s="3"/>
      <c r="E2394" s="5"/>
      <c r="J2394" s="5"/>
      <c r="X2394" s="77"/>
    </row>
    <row r="2395" ht="17.25" customHeight="1">
      <c r="A2395" s="10"/>
      <c r="B2395" s="5"/>
      <c r="C2395" s="3"/>
      <c r="E2395" s="5"/>
      <c r="J2395" s="5"/>
      <c r="X2395" s="77"/>
    </row>
    <row r="2396" ht="17.25" customHeight="1">
      <c r="A2396" s="10"/>
      <c r="B2396" s="5"/>
      <c r="C2396" s="3"/>
      <c r="E2396" s="5"/>
      <c r="J2396" s="5"/>
      <c r="X2396" s="77"/>
    </row>
    <row r="2397" ht="17.25" customHeight="1">
      <c r="A2397" s="10"/>
      <c r="B2397" s="5"/>
      <c r="C2397" s="3"/>
      <c r="E2397" s="5"/>
      <c r="J2397" s="5"/>
      <c r="X2397" s="77"/>
    </row>
    <row r="2398" ht="17.25" customHeight="1">
      <c r="A2398" s="10"/>
      <c r="B2398" s="5"/>
      <c r="C2398" s="3"/>
      <c r="E2398" s="5"/>
      <c r="J2398" s="5"/>
      <c r="X2398" s="77"/>
    </row>
    <row r="2399" ht="17.25" customHeight="1">
      <c r="A2399" s="10"/>
      <c r="B2399" s="5"/>
      <c r="C2399" s="3"/>
      <c r="E2399" s="5"/>
      <c r="J2399" s="5"/>
      <c r="X2399" s="77"/>
    </row>
    <row r="2400" ht="17.25" customHeight="1">
      <c r="A2400" s="10"/>
      <c r="B2400" s="5"/>
      <c r="C2400" s="3"/>
      <c r="E2400" s="5"/>
      <c r="J2400" s="5"/>
      <c r="X2400" s="77"/>
    </row>
    <row r="2401" ht="17.25" customHeight="1">
      <c r="A2401" s="10"/>
      <c r="B2401" s="5"/>
      <c r="C2401" s="3"/>
      <c r="E2401" s="5"/>
      <c r="J2401" s="5"/>
      <c r="X2401" s="77"/>
    </row>
    <row r="2402" ht="17.25" customHeight="1">
      <c r="A2402" s="10"/>
      <c r="B2402" s="5"/>
      <c r="C2402" s="3"/>
      <c r="E2402" s="5"/>
      <c r="J2402" s="5"/>
      <c r="X2402" s="77"/>
    </row>
    <row r="2403" ht="17.25" customHeight="1">
      <c r="A2403" s="10"/>
      <c r="B2403" s="5"/>
      <c r="C2403" s="3"/>
      <c r="E2403" s="5"/>
      <c r="J2403" s="5"/>
      <c r="X2403" s="77"/>
    </row>
    <row r="2404" ht="17.25" customHeight="1">
      <c r="A2404" s="10"/>
      <c r="B2404" s="5"/>
      <c r="C2404" s="3"/>
      <c r="E2404" s="5"/>
      <c r="J2404" s="5"/>
      <c r="X2404" s="77"/>
    </row>
    <row r="2405" ht="17.25" customHeight="1">
      <c r="A2405" s="10"/>
      <c r="B2405" s="5"/>
      <c r="C2405" s="3"/>
      <c r="E2405" s="5"/>
      <c r="J2405" s="5"/>
      <c r="X2405" s="77"/>
    </row>
    <row r="2406" ht="17.25" customHeight="1">
      <c r="A2406" s="10"/>
      <c r="B2406" s="5"/>
      <c r="C2406" s="3"/>
      <c r="E2406" s="5"/>
      <c r="J2406" s="5"/>
      <c r="X2406" s="77"/>
    </row>
    <row r="2407" ht="17.25" customHeight="1">
      <c r="A2407" s="10"/>
      <c r="B2407" s="5"/>
      <c r="C2407" s="3"/>
      <c r="E2407" s="5"/>
      <c r="J2407" s="5"/>
      <c r="X2407" s="77"/>
    </row>
    <row r="2408" ht="17.25" customHeight="1">
      <c r="A2408" s="10"/>
      <c r="B2408" s="5"/>
      <c r="C2408" s="3"/>
      <c r="E2408" s="5"/>
      <c r="J2408" s="5"/>
      <c r="X2408" s="77"/>
    </row>
    <row r="2409" ht="17.25" customHeight="1">
      <c r="A2409" s="10"/>
      <c r="B2409" s="5"/>
      <c r="C2409" s="3"/>
      <c r="E2409" s="5"/>
      <c r="J2409" s="5"/>
      <c r="X2409" s="77"/>
    </row>
    <row r="2410" ht="17.25" customHeight="1">
      <c r="A2410" s="10"/>
      <c r="B2410" s="5"/>
      <c r="C2410" s="3"/>
      <c r="E2410" s="5"/>
      <c r="J2410" s="5"/>
      <c r="X2410" s="77"/>
    </row>
    <row r="2411" ht="17.25" customHeight="1">
      <c r="A2411" s="10"/>
      <c r="B2411" s="5"/>
      <c r="C2411" s="3"/>
      <c r="E2411" s="5"/>
      <c r="J2411" s="5"/>
      <c r="X2411" s="77"/>
    </row>
    <row r="2412" ht="17.25" customHeight="1">
      <c r="A2412" s="10"/>
      <c r="B2412" s="5"/>
      <c r="C2412" s="3"/>
      <c r="E2412" s="5"/>
      <c r="J2412" s="5"/>
      <c r="X2412" s="77"/>
    </row>
    <row r="2413" ht="17.25" customHeight="1">
      <c r="A2413" s="10"/>
      <c r="B2413" s="5"/>
      <c r="C2413" s="3"/>
      <c r="E2413" s="5"/>
      <c r="J2413" s="5"/>
      <c r="X2413" s="77"/>
    </row>
    <row r="2414" ht="17.25" customHeight="1">
      <c r="A2414" s="10"/>
      <c r="B2414" s="5"/>
      <c r="C2414" s="3"/>
      <c r="E2414" s="5"/>
      <c r="J2414" s="5"/>
      <c r="X2414" s="77"/>
    </row>
    <row r="2415" ht="17.25" customHeight="1">
      <c r="A2415" s="10"/>
      <c r="B2415" s="5"/>
      <c r="C2415" s="3"/>
      <c r="E2415" s="5"/>
      <c r="J2415" s="5"/>
      <c r="X2415" s="77"/>
    </row>
    <row r="2416" ht="17.25" customHeight="1">
      <c r="A2416" s="10"/>
      <c r="B2416" s="5"/>
      <c r="C2416" s="3"/>
      <c r="E2416" s="5"/>
      <c r="J2416" s="5"/>
      <c r="X2416" s="77"/>
    </row>
    <row r="2417" ht="17.25" customHeight="1">
      <c r="A2417" s="10"/>
      <c r="B2417" s="5"/>
      <c r="C2417" s="3"/>
      <c r="E2417" s="5"/>
      <c r="J2417" s="5"/>
      <c r="X2417" s="77"/>
    </row>
    <row r="2418" ht="17.25" customHeight="1">
      <c r="A2418" s="10"/>
      <c r="B2418" s="5"/>
      <c r="C2418" s="3"/>
      <c r="E2418" s="5"/>
      <c r="J2418" s="5"/>
      <c r="X2418" s="77"/>
    </row>
    <row r="2419" ht="17.25" customHeight="1">
      <c r="A2419" s="10"/>
      <c r="B2419" s="5"/>
      <c r="C2419" s="3"/>
      <c r="E2419" s="5"/>
      <c r="J2419" s="5"/>
      <c r="X2419" s="77"/>
    </row>
    <row r="2420" ht="17.25" customHeight="1">
      <c r="A2420" s="10"/>
      <c r="B2420" s="5"/>
      <c r="C2420" s="3"/>
      <c r="E2420" s="5"/>
      <c r="J2420" s="5"/>
      <c r="X2420" s="77"/>
    </row>
    <row r="2421" ht="17.25" customHeight="1">
      <c r="A2421" s="10"/>
      <c r="B2421" s="5"/>
      <c r="C2421" s="3"/>
      <c r="E2421" s="5"/>
      <c r="J2421" s="5"/>
      <c r="X2421" s="77"/>
    </row>
    <row r="2422" ht="17.25" customHeight="1">
      <c r="A2422" s="10"/>
      <c r="B2422" s="5"/>
      <c r="C2422" s="3"/>
      <c r="E2422" s="5"/>
      <c r="J2422" s="5"/>
      <c r="X2422" s="77"/>
    </row>
    <row r="2423" ht="17.25" customHeight="1">
      <c r="A2423" s="10"/>
      <c r="B2423" s="5"/>
      <c r="C2423" s="3"/>
      <c r="E2423" s="5"/>
      <c r="J2423" s="5"/>
      <c r="X2423" s="77"/>
    </row>
    <row r="2424" ht="17.25" customHeight="1">
      <c r="A2424" s="10"/>
      <c r="B2424" s="5"/>
      <c r="C2424" s="3"/>
      <c r="E2424" s="5"/>
      <c r="J2424" s="5"/>
      <c r="X2424" s="77"/>
    </row>
    <row r="2425" ht="17.25" customHeight="1">
      <c r="A2425" s="10"/>
      <c r="B2425" s="5"/>
      <c r="C2425" s="3"/>
      <c r="E2425" s="5"/>
      <c r="J2425" s="5"/>
      <c r="X2425" s="77"/>
    </row>
    <row r="2426" ht="17.25" customHeight="1">
      <c r="A2426" s="10"/>
      <c r="B2426" s="5"/>
      <c r="C2426" s="3"/>
      <c r="E2426" s="5"/>
      <c r="J2426" s="5"/>
      <c r="X2426" s="77"/>
    </row>
    <row r="2427" ht="17.25" customHeight="1">
      <c r="A2427" s="10"/>
      <c r="B2427" s="5"/>
      <c r="C2427" s="3"/>
      <c r="E2427" s="5"/>
      <c r="J2427" s="5"/>
      <c r="X2427" s="77"/>
    </row>
    <row r="2428" ht="17.25" customHeight="1">
      <c r="A2428" s="10"/>
      <c r="B2428" s="5"/>
      <c r="C2428" s="3"/>
      <c r="E2428" s="5"/>
      <c r="J2428" s="5"/>
      <c r="X2428" s="77"/>
    </row>
    <row r="2429" ht="17.25" customHeight="1">
      <c r="A2429" s="10"/>
      <c r="B2429" s="5"/>
      <c r="C2429" s="3"/>
      <c r="E2429" s="5"/>
      <c r="J2429" s="5"/>
      <c r="X2429" s="77"/>
    </row>
    <row r="2430" ht="17.25" customHeight="1">
      <c r="A2430" s="10"/>
      <c r="B2430" s="5"/>
      <c r="C2430" s="3"/>
      <c r="E2430" s="5"/>
      <c r="J2430" s="5"/>
      <c r="X2430" s="77"/>
    </row>
    <row r="2431" ht="17.25" customHeight="1">
      <c r="A2431" s="10"/>
      <c r="B2431" s="5"/>
      <c r="C2431" s="3"/>
      <c r="E2431" s="5"/>
      <c r="J2431" s="5"/>
      <c r="X2431" s="77"/>
    </row>
    <row r="2432" ht="17.25" customHeight="1">
      <c r="A2432" s="10"/>
      <c r="B2432" s="5"/>
      <c r="C2432" s="3"/>
      <c r="E2432" s="5"/>
      <c r="J2432" s="5"/>
      <c r="X2432" s="77"/>
    </row>
    <row r="2433" ht="17.25" customHeight="1">
      <c r="A2433" s="10"/>
      <c r="B2433" s="5"/>
      <c r="C2433" s="3"/>
      <c r="E2433" s="5"/>
      <c r="J2433" s="5"/>
      <c r="X2433" s="77"/>
    </row>
    <row r="2434" ht="17.25" customHeight="1">
      <c r="A2434" s="10"/>
      <c r="B2434" s="5"/>
      <c r="C2434" s="3"/>
      <c r="E2434" s="5"/>
      <c r="J2434" s="5"/>
      <c r="X2434" s="77"/>
    </row>
    <row r="2435" ht="17.25" customHeight="1">
      <c r="A2435" s="10"/>
      <c r="B2435" s="5"/>
      <c r="C2435" s="3"/>
      <c r="E2435" s="5"/>
      <c r="J2435" s="5"/>
      <c r="X2435" s="77"/>
    </row>
    <row r="2436" ht="17.25" customHeight="1">
      <c r="A2436" s="10"/>
      <c r="B2436" s="5"/>
      <c r="C2436" s="3"/>
      <c r="E2436" s="5"/>
      <c r="J2436" s="5"/>
      <c r="X2436" s="77"/>
    </row>
    <row r="2437" ht="17.25" customHeight="1">
      <c r="A2437" s="10"/>
      <c r="B2437" s="5"/>
      <c r="C2437" s="3"/>
      <c r="E2437" s="5"/>
      <c r="J2437" s="5"/>
      <c r="X2437" s="77"/>
    </row>
    <row r="2438" ht="17.25" customHeight="1">
      <c r="A2438" s="10"/>
      <c r="B2438" s="5"/>
      <c r="C2438" s="3"/>
      <c r="E2438" s="5"/>
      <c r="J2438" s="5"/>
      <c r="X2438" s="77"/>
    </row>
    <row r="2439" ht="17.25" customHeight="1">
      <c r="A2439" s="10"/>
      <c r="B2439" s="5"/>
      <c r="C2439" s="3"/>
      <c r="E2439" s="5"/>
      <c r="J2439" s="5"/>
      <c r="X2439" s="77"/>
    </row>
    <row r="2440" ht="17.25" customHeight="1">
      <c r="A2440" s="10"/>
      <c r="B2440" s="5"/>
      <c r="C2440" s="3"/>
      <c r="E2440" s="5"/>
      <c r="J2440" s="5"/>
      <c r="X2440" s="77"/>
    </row>
    <row r="2441" ht="17.25" customHeight="1">
      <c r="A2441" s="10"/>
      <c r="B2441" s="5"/>
      <c r="C2441" s="3"/>
      <c r="E2441" s="5"/>
      <c r="J2441" s="5"/>
      <c r="X2441" s="77"/>
    </row>
    <row r="2442" ht="17.25" customHeight="1">
      <c r="A2442" s="10"/>
      <c r="B2442" s="5"/>
      <c r="C2442" s="3"/>
      <c r="E2442" s="5"/>
      <c r="J2442" s="5"/>
      <c r="X2442" s="77"/>
    </row>
    <row r="2443" ht="17.25" customHeight="1">
      <c r="A2443" s="10"/>
      <c r="B2443" s="5"/>
      <c r="C2443" s="3"/>
      <c r="E2443" s="5"/>
      <c r="J2443" s="5"/>
      <c r="X2443" s="77"/>
    </row>
    <row r="2444" ht="17.25" customHeight="1">
      <c r="A2444" s="10"/>
      <c r="B2444" s="5"/>
      <c r="C2444" s="3"/>
      <c r="E2444" s="5"/>
      <c r="J2444" s="5"/>
      <c r="X2444" s="77"/>
    </row>
    <row r="2445" ht="17.25" customHeight="1">
      <c r="A2445" s="10"/>
      <c r="B2445" s="5"/>
      <c r="C2445" s="3"/>
      <c r="E2445" s="5"/>
      <c r="J2445" s="5"/>
      <c r="X2445" s="77"/>
    </row>
    <row r="2446" ht="17.25" customHeight="1">
      <c r="A2446" s="10"/>
      <c r="B2446" s="5"/>
      <c r="C2446" s="3"/>
      <c r="E2446" s="5"/>
      <c r="J2446" s="5"/>
      <c r="X2446" s="77"/>
    </row>
    <row r="2447" ht="17.25" customHeight="1">
      <c r="A2447" s="10"/>
      <c r="B2447" s="5"/>
      <c r="C2447" s="3"/>
      <c r="E2447" s="5"/>
      <c r="J2447" s="5"/>
      <c r="X2447" s="77"/>
    </row>
    <row r="2448" ht="17.25" customHeight="1">
      <c r="A2448" s="10"/>
      <c r="B2448" s="5"/>
      <c r="C2448" s="3"/>
      <c r="E2448" s="5"/>
      <c r="J2448" s="5"/>
      <c r="X2448" s="77"/>
    </row>
    <row r="2449" ht="17.25" customHeight="1">
      <c r="A2449" s="10"/>
      <c r="B2449" s="5"/>
      <c r="C2449" s="3"/>
      <c r="E2449" s="5"/>
      <c r="J2449" s="5"/>
      <c r="X2449" s="77"/>
    </row>
    <row r="2450" ht="17.25" customHeight="1">
      <c r="A2450" s="10"/>
      <c r="B2450" s="5"/>
      <c r="C2450" s="3"/>
      <c r="E2450" s="5"/>
      <c r="J2450" s="5"/>
      <c r="X2450" s="77"/>
    </row>
    <row r="2451" ht="17.25" customHeight="1">
      <c r="A2451" s="10"/>
      <c r="B2451" s="5"/>
      <c r="C2451" s="3"/>
      <c r="E2451" s="5"/>
      <c r="J2451" s="5"/>
      <c r="X2451" s="77"/>
    </row>
    <row r="2452" ht="17.25" customHeight="1">
      <c r="A2452" s="10"/>
      <c r="B2452" s="5"/>
      <c r="C2452" s="3"/>
      <c r="E2452" s="5"/>
      <c r="J2452" s="5"/>
      <c r="X2452" s="77"/>
    </row>
    <row r="2453" ht="17.25" customHeight="1">
      <c r="A2453" s="10"/>
      <c r="B2453" s="5"/>
      <c r="C2453" s="3"/>
      <c r="E2453" s="5"/>
      <c r="J2453" s="5"/>
      <c r="X2453" s="77"/>
    </row>
    <row r="2454" ht="17.25" customHeight="1">
      <c r="A2454" s="10"/>
      <c r="B2454" s="5"/>
      <c r="C2454" s="3"/>
      <c r="E2454" s="5"/>
      <c r="J2454" s="5"/>
      <c r="X2454" s="77"/>
    </row>
    <row r="2455" ht="17.25" customHeight="1">
      <c r="A2455" s="10"/>
      <c r="B2455" s="5"/>
      <c r="C2455" s="3"/>
      <c r="E2455" s="5"/>
      <c r="J2455" s="5"/>
      <c r="X2455" s="77"/>
    </row>
    <row r="2456" ht="17.25" customHeight="1">
      <c r="A2456" s="10"/>
      <c r="B2456" s="5"/>
      <c r="C2456" s="3"/>
      <c r="E2456" s="5"/>
      <c r="J2456" s="5"/>
      <c r="X2456" s="77"/>
    </row>
    <row r="2457" ht="17.25" customHeight="1">
      <c r="A2457" s="10"/>
      <c r="B2457" s="5"/>
      <c r="C2457" s="3"/>
      <c r="E2457" s="5"/>
      <c r="J2457" s="5"/>
      <c r="X2457" s="77"/>
    </row>
    <row r="2458" ht="17.25" customHeight="1">
      <c r="A2458" s="10"/>
      <c r="B2458" s="5"/>
      <c r="C2458" s="3"/>
      <c r="E2458" s="5"/>
      <c r="J2458" s="5"/>
      <c r="X2458" s="77"/>
    </row>
    <row r="2459" ht="17.25" customHeight="1">
      <c r="A2459" s="10"/>
      <c r="B2459" s="5"/>
      <c r="C2459" s="3"/>
      <c r="E2459" s="5"/>
      <c r="J2459" s="5"/>
      <c r="X2459" s="77"/>
    </row>
    <row r="2460" ht="17.25" customHeight="1">
      <c r="A2460" s="10"/>
      <c r="B2460" s="5"/>
      <c r="C2460" s="3"/>
      <c r="E2460" s="5"/>
      <c r="J2460" s="5"/>
      <c r="X2460" s="77"/>
    </row>
    <row r="2461" ht="17.25" customHeight="1">
      <c r="A2461" s="10"/>
      <c r="B2461" s="5"/>
      <c r="C2461" s="3"/>
      <c r="E2461" s="5"/>
      <c r="J2461" s="5"/>
      <c r="X2461" s="77"/>
    </row>
    <row r="2462" ht="17.25" customHeight="1">
      <c r="A2462" s="10"/>
      <c r="B2462" s="5"/>
      <c r="C2462" s="3"/>
      <c r="E2462" s="5"/>
      <c r="J2462" s="5"/>
      <c r="X2462" s="77"/>
    </row>
    <row r="2463" ht="17.25" customHeight="1">
      <c r="A2463" s="10"/>
      <c r="B2463" s="5"/>
      <c r="C2463" s="3"/>
      <c r="E2463" s="5"/>
      <c r="J2463" s="5"/>
      <c r="X2463" s="77"/>
    </row>
    <row r="2464" ht="17.25" customHeight="1">
      <c r="A2464" s="10"/>
      <c r="B2464" s="5"/>
      <c r="C2464" s="3"/>
      <c r="E2464" s="5"/>
      <c r="J2464" s="5"/>
      <c r="X2464" s="77"/>
    </row>
    <row r="2465" ht="17.25" customHeight="1">
      <c r="A2465" s="10"/>
      <c r="B2465" s="5"/>
      <c r="C2465" s="3"/>
      <c r="E2465" s="5"/>
      <c r="J2465" s="5"/>
      <c r="X2465" s="77"/>
    </row>
    <row r="2466" ht="17.25" customHeight="1">
      <c r="A2466" s="10"/>
      <c r="B2466" s="5"/>
      <c r="C2466" s="3"/>
      <c r="E2466" s="5"/>
      <c r="J2466" s="5"/>
      <c r="X2466" s="77"/>
    </row>
    <row r="2467" ht="17.25" customHeight="1">
      <c r="A2467" s="10"/>
      <c r="B2467" s="5"/>
      <c r="C2467" s="3"/>
      <c r="E2467" s="5"/>
      <c r="J2467" s="5"/>
      <c r="X2467" s="77"/>
    </row>
    <row r="2468" ht="17.25" customHeight="1">
      <c r="A2468" s="10"/>
      <c r="B2468" s="5"/>
      <c r="C2468" s="3"/>
      <c r="E2468" s="5"/>
      <c r="J2468" s="5"/>
      <c r="X2468" s="77"/>
    </row>
    <row r="2469" ht="17.25" customHeight="1">
      <c r="A2469" s="10"/>
      <c r="B2469" s="5"/>
      <c r="C2469" s="3"/>
      <c r="E2469" s="5"/>
      <c r="J2469" s="5"/>
      <c r="X2469" s="77"/>
    </row>
    <row r="2470" ht="17.25" customHeight="1">
      <c r="A2470" s="10"/>
      <c r="B2470" s="5"/>
      <c r="C2470" s="3"/>
      <c r="E2470" s="5"/>
      <c r="J2470" s="5"/>
      <c r="X2470" s="77"/>
    </row>
    <row r="2471" ht="17.25" customHeight="1">
      <c r="A2471" s="10"/>
      <c r="B2471" s="5"/>
      <c r="C2471" s="3"/>
      <c r="E2471" s="5"/>
      <c r="J2471" s="5"/>
      <c r="X2471" s="77"/>
    </row>
    <row r="2472" ht="17.25" customHeight="1">
      <c r="A2472" s="10"/>
      <c r="B2472" s="5"/>
      <c r="C2472" s="3"/>
      <c r="E2472" s="5"/>
      <c r="J2472" s="5"/>
      <c r="X2472" s="77"/>
    </row>
    <row r="2473" ht="17.25" customHeight="1">
      <c r="A2473" s="10"/>
      <c r="B2473" s="5"/>
      <c r="C2473" s="3"/>
      <c r="E2473" s="5"/>
      <c r="J2473" s="5"/>
      <c r="X2473" s="77"/>
    </row>
    <row r="2474" ht="17.25" customHeight="1">
      <c r="A2474" s="10"/>
      <c r="B2474" s="5"/>
      <c r="C2474" s="3"/>
      <c r="E2474" s="5"/>
      <c r="J2474" s="5"/>
      <c r="X2474" s="77"/>
    </row>
    <row r="2475" ht="17.25" customHeight="1">
      <c r="A2475" s="10"/>
      <c r="B2475" s="5"/>
      <c r="C2475" s="3"/>
      <c r="E2475" s="5"/>
      <c r="J2475" s="5"/>
      <c r="X2475" s="77"/>
    </row>
    <row r="2476" ht="17.25" customHeight="1">
      <c r="A2476" s="10"/>
      <c r="B2476" s="5"/>
      <c r="C2476" s="3"/>
      <c r="E2476" s="5"/>
      <c r="J2476" s="5"/>
      <c r="X2476" s="77"/>
    </row>
    <row r="2477" ht="17.25" customHeight="1">
      <c r="A2477" s="10"/>
      <c r="B2477" s="5"/>
      <c r="C2477" s="3"/>
      <c r="E2477" s="5"/>
      <c r="J2477" s="5"/>
      <c r="X2477" s="77"/>
    </row>
    <row r="2478" ht="17.25" customHeight="1">
      <c r="A2478" s="10"/>
      <c r="B2478" s="5"/>
      <c r="C2478" s="3"/>
      <c r="E2478" s="5"/>
      <c r="J2478" s="5"/>
      <c r="X2478" s="77"/>
    </row>
    <row r="2479" ht="17.25" customHeight="1">
      <c r="A2479" s="10"/>
      <c r="B2479" s="5"/>
      <c r="C2479" s="3"/>
      <c r="E2479" s="5"/>
      <c r="J2479" s="5"/>
      <c r="X2479" s="77"/>
    </row>
    <row r="2480" ht="17.25" customHeight="1">
      <c r="A2480" s="10"/>
      <c r="B2480" s="5"/>
      <c r="C2480" s="3"/>
      <c r="E2480" s="5"/>
      <c r="J2480" s="5"/>
      <c r="X2480" s="77"/>
    </row>
    <row r="2481" ht="17.25" customHeight="1">
      <c r="A2481" s="10"/>
      <c r="B2481" s="5"/>
      <c r="C2481" s="3"/>
      <c r="E2481" s="5"/>
      <c r="J2481" s="5"/>
      <c r="X2481" s="77"/>
    </row>
    <row r="2482" ht="17.25" customHeight="1">
      <c r="A2482" s="10"/>
      <c r="B2482" s="5"/>
      <c r="C2482" s="3"/>
      <c r="E2482" s="5"/>
      <c r="J2482" s="5"/>
      <c r="X2482" s="77"/>
    </row>
    <row r="2483" ht="17.25" customHeight="1">
      <c r="A2483" s="10"/>
      <c r="B2483" s="5"/>
      <c r="C2483" s="3"/>
      <c r="E2483" s="5"/>
      <c r="J2483" s="5"/>
      <c r="X2483" s="77"/>
    </row>
    <row r="2484" ht="17.25" customHeight="1">
      <c r="A2484" s="10"/>
      <c r="B2484" s="5"/>
      <c r="C2484" s="3"/>
      <c r="E2484" s="5"/>
      <c r="J2484" s="5"/>
      <c r="X2484" s="77"/>
    </row>
    <row r="2485" ht="17.25" customHeight="1">
      <c r="A2485" s="10"/>
      <c r="B2485" s="5"/>
      <c r="C2485" s="3"/>
      <c r="E2485" s="5"/>
      <c r="J2485" s="5"/>
      <c r="X2485" s="77"/>
    </row>
    <row r="2486" ht="17.25" customHeight="1">
      <c r="A2486" s="10"/>
      <c r="B2486" s="5"/>
      <c r="C2486" s="3"/>
      <c r="E2486" s="5"/>
      <c r="J2486" s="5"/>
      <c r="X2486" s="77"/>
    </row>
    <row r="2487" ht="17.25" customHeight="1">
      <c r="A2487" s="10"/>
      <c r="B2487" s="5"/>
      <c r="C2487" s="3"/>
      <c r="E2487" s="5"/>
      <c r="J2487" s="5"/>
      <c r="X2487" s="77"/>
    </row>
    <row r="2488" ht="17.25" customHeight="1">
      <c r="A2488" s="10"/>
      <c r="B2488" s="5"/>
      <c r="C2488" s="3"/>
      <c r="E2488" s="5"/>
      <c r="J2488" s="5"/>
      <c r="X2488" s="77"/>
    </row>
    <row r="2489" ht="17.25" customHeight="1">
      <c r="A2489" s="10"/>
      <c r="B2489" s="5"/>
      <c r="C2489" s="3"/>
      <c r="E2489" s="5"/>
      <c r="J2489" s="5"/>
      <c r="X2489" s="77"/>
    </row>
    <row r="2490" ht="17.25" customHeight="1">
      <c r="A2490" s="10"/>
      <c r="B2490" s="5"/>
      <c r="C2490" s="3"/>
      <c r="E2490" s="5"/>
      <c r="J2490" s="5"/>
      <c r="X2490" s="77"/>
    </row>
    <row r="2491" ht="17.25" customHeight="1">
      <c r="A2491" s="10"/>
      <c r="B2491" s="5"/>
      <c r="C2491" s="3"/>
      <c r="E2491" s="5"/>
      <c r="J2491" s="5"/>
      <c r="X2491" s="77"/>
    </row>
    <row r="2492" ht="17.25" customHeight="1">
      <c r="A2492" s="10"/>
      <c r="B2492" s="5"/>
      <c r="C2492" s="3"/>
      <c r="E2492" s="5"/>
      <c r="J2492" s="5"/>
      <c r="X2492" s="77"/>
    </row>
    <row r="2493" ht="17.25" customHeight="1">
      <c r="A2493" s="10"/>
      <c r="B2493" s="5"/>
      <c r="C2493" s="3"/>
      <c r="E2493" s="5"/>
      <c r="J2493" s="5"/>
      <c r="X2493" s="77"/>
    </row>
    <row r="2494" ht="17.25" customHeight="1">
      <c r="A2494" s="10"/>
      <c r="B2494" s="5"/>
      <c r="C2494" s="3"/>
      <c r="E2494" s="5"/>
      <c r="J2494" s="5"/>
      <c r="X2494" s="77"/>
    </row>
    <row r="2495" ht="17.25" customHeight="1">
      <c r="A2495" s="10"/>
      <c r="B2495" s="5"/>
      <c r="C2495" s="3"/>
      <c r="E2495" s="5"/>
      <c r="J2495" s="5"/>
      <c r="X2495" s="77"/>
    </row>
    <row r="2496" ht="17.25" customHeight="1">
      <c r="A2496" s="10"/>
      <c r="B2496" s="5"/>
      <c r="C2496" s="3"/>
      <c r="E2496" s="5"/>
      <c r="J2496" s="5"/>
      <c r="X2496" s="77"/>
    </row>
    <row r="2497" ht="17.25" customHeight="1">
      <c r="A2497" s="10"/>
      <c r="B2497" s="5"/>
      <c r="C2497" s="3"/>
      <c r="E2497" s="5"/>
      <c r="J2497" s="5"/>
      <c r="X2497" s="77"/>
    </row>
    <row r="2498" ht="17.25" customHeight="1">
      <c r="A2498" s="10"/>
      <c r="B2498" s="5"/>
      <c r="C2498" s="3"/>
      <c r="E2498" s="5"/>
      <c r="J2498" s="5"/>
      <c r="X2498" s="77"/>
    </row>
    <row r="2499" ht="17.25" customHeight="1">
      <c r="A2499" s="10"/>
      <c r="B2499" s="5"/>
      <c r="C2499" s="3"/>
      <c r="E2499" s="5"/>
      <c r="J2499" s="5"/>
      <c r="X2499" s="77"/>
    </row>
    <row r="2500" ht="17.25" customHeight="1">
      <c r="A2500" s="10"/>
      <c r="B2500" s="5"/>
      <c r="C2500" s="3"/>
      <c r="E2500" s="5"/>
      <c r="J2500" s="5"/>
      <c r="X2500" s="77"/>
    </row>
    <row r="2501" ht="17.25" customHeight="1">
      <c r="A2501" s="10"/>
      <c r="B2501" s="5"/>
      <c r="C2501" s="3"/>
      <c r="E2501" s="5"/>
      <c r="J2501" s="5"/>
      <c r="X2501" s="77"/>
    </row>
    <row r="2502" ht="17.25" customHeight="1">
      <c r="A2502" s="10"/>
      <c r="B2502" s="5"/>
      <c r="C2502" s="3"/>
      <c r="E2502" s="5"/>
      <c r="J2502" s="5"/>
      <c r="X2502" s="77"/>
    </row>
    <row r="2503" ht="17.25" customHeight="1">
      <c r="A2503" s="10"/>
      <c r="B2503" s="5"/>
      <c r="C2503" s="3"/>
      <c r="E2503" s="5"/>
      <c r="J2503" s="5"/>
      <c r="X2503" s="77"/>
    </row>
    <row r="2504" ht="17.25" customHeight="1">
      <c r="A2504" s="10"/>
      <c r="B2504" s="5"/>
      <c r="C2504" s="3"/>
      <c r="E2504" s="5"/>
      <c r="J2504" s="5"/>
      <c r="X2504" s="77"/>
    </row>
    <row r="2505" ht="17.25" customHeight="1">
      <c r="A2505" s="10"/>
      <c r="B2505" s="5"/>
      <c r="C2505" s="3"/>
      <c r="E2505" s="5"/>
      <c r="J2505" s="5"/>
      <c r="X2505" s="77"/>
    </row>
    <row r="2506" ht="17.25" customHeight="1">
      <c r="A2506" s="10"/>
      <c r="B2506" s="5"/>
      <c r="C2506" s="3"/>
      <c r="E2506" s="5"/>
      <c r="J2506" s="5"/>
      <c r="X2506" s="77"/>
    </row>
    <row r="2507" ht="17.25" customHeight="1">
      <c r="A2507" s="10"/>
      <c r="B2507" s="5"/>
      <c r="C2507" s="3"/>
      <c r="E2507" s="5"/>
      <c r="J2507" s="5"/>
      <c r="X2507" s="77"/>
    </row>
    <row r="2508" ht="17.25" customHeight="1">
      <c r="A2508" s="10"/>
      <c r="B2508" s="5"/>
      <c r="C2508" s="3"/>
      <c r="E2508" s="5"/>
      <c r="J2508" s="5"/>
      <c r="X2508" s="77"/>
    </row>
    <row r="2509" ht="17.25" customHeight="1">
      <c r="A2509" s="10"/>
      <c r="B2509" s="5"/>
      <c r="C2509" s="3"/>
      <c r="E2509" s="5"/>
      <c r="J2509" s="5"/>
      <c r="X2509" s="77"/>
    </row>
    <row r="2510" ht="17.25" customHeight="1">
      <c r="A2510" s="10"/>
      <c r="B2510" s="5"/>
      <c r="C2510" s="3"/>
      <c r="E2510" s="5"/>
      <c r="J2510" s="5"/>
      <c r="X2510" s="77"/>
    </row>
    <row r="2511" ht="17.25" customHeight="1">
      <c r="A2511" s="10"/>
      <c r="B2511" s="5"/>
      <c r="C2511" s="3"/>
      <c r="E2511" s="5"/>
      <c r="J2511" s="5"/>
      <c r="X2511" s="77"/>
    </row>
    <row r="2512" ht="17.25" customHeight="1">
      <c r="A2512" s="10"/>
      <c r="B2512" s="5"/>
      <c r="C2512" s="3"/>
      <c r="E2512" s="5"/>
      <c r="J2512" s="5"/>
      <c r="X2512" s="77"/>
    </row>
    <row r="2513" ht="17.25" customHeight="1">
      <c r="A2513" s="10"/>
      <c r="B2513" s="5"/>
      <c r="C2513" s="3"/>
      <c r="E2513" s="5"/>
      <c r="J2513" s="5"/>
      <c r="X2513" s="77"/>
    </row>
    <row r="2514" ht="17.25" customHeight="1">
      <c r="A2514" s="10"/>
      <c r="B2514" s="5"/>
      <c r="C2514" s="3"/>
      <c r="E2514" s="5"/>
      <c r="J2514" s="5"/>
      <c r="X2514" s="77"/>
    </row>
    <row r="2515" ht="17.25" customHeight="1">
      <c r="A2515" s="10"/>
      <c r="B2515" s="5"/>
      <c r="C2515" s="3"/>
      <c r="E2515" s="5"/>
      <c r="J2515" s="5"/>
      <c r="X2515" s="77"/>
    </row>
    <row r="2516" ht="17.25" customHeight="1">
      <c r="A2516" s="10"/>
      <c r="B2516" s="5"/>
      <c r="C2516" s="3"/>
      <c r="E2516" s="5"/>
      <c r="J2516" s="5"/>
      <c r="X2516" s="77"/>
    </row>
    <row r="2517" ht="17.25" customHeight="1">
      <c r="A2517" s="10"/>
      <c r="B2517" s="5"/>
      <c r="C2517" s="3"/>
      <c r="E2517" s="5"/>
      <c r="J2517" s="5"/>
      <c r="X2517" s="77"/>
    </row>
    <row r="2518" ht="17.25" customHeight="1">
      <c r="A2518" s="10"/>
      <c r="B2518" s="5"/>
      <c r="C2518" s="3"/>
      <c r="E2518" s="5"/>
      <c r="J2518" s="5"/>
      <c r="X2518" s="77"/>
    </row>
    <row r="2519" ht="17.25" customHeight="1">
      <c r="A2519" s="10"/>
      <c r="B2519" s="5"/>
      <c r="C2519" s="3"/>
      <c r="E2519" s="5"/>
      <c r="J2519" s="5"/>
      <c r="X2519" s="77"/>
    </row>
    <row r="2520" ht="17.25" customHeight="1">
      <c r="A2520" s="10"/>
      <c r="B2520" s="5"/>
      <c r="C2520" s="3"/>
      <c r="E2520" s="5"/>
      <c r="J2520" s="5"/>
      <c r="X2520" s="77"/>
    </row>
    <row r="2521" ht="17.25" customHeight="1">
      <c r="A2521" s="10"/>
      <c r="B2521" s="5"/>
      <c r="C2521" s="3"/>
      <c r="E2521" s="5"/>
      <c r="J2521" s="5"/>
      <c r="X2521" s="77"/>
    </row>
    <row r="2522" ht="17.25" customHeight="1">
      <c r="A2522" s="10"/>
      <c r="B2522" s="5"/>
      <c r="C2522" s="3"/>
      <c r="E2522" s="5"/>
      <c r="J2522" s="5"/>
      <c r="X2522" s="77"/>
    </row>
    <row r="2523" ht="17.25" customHeight="1">
      <c r="A2523" s="10"/>
      <c r="B2523" s="5"/>
      <c r="C2523" s="3"/>
      <c r="E2523" s="5"/>
      <c r="J2523" s="5"/>
      <c r="X2523" s="77"/>
    </row>
    <row r="2524" ht="17.25" customHeight="1">
      <c r="A2524" s="10"/>
      <c r="B2524" s="5"/>
      <c r="C2524" s="3"/>
      <c r="E2524" s="5"/>
      <c r="J2524" s="5"/>
      <c r="X2524" s="77"/>
    </row>
    <row r="2525" ht="17.25" customHeight="1">
      <c r="A2525" s="10"/>
      <c r="B2525" s="5"/>
      <c r="C2525" s="3"/>
      <c r="E2525" s="5"/>
      <c r="J2525" s="5"/>
      <c r="X2525" s="77"/>
    </row>
    <row r="2526" ht="17.25" customHeight="1">
      <c r="A2526" s="10"/>
      <c r="B2526" s="5"/>
      <c r="C2526" s="3"/>
      <c r="E2526" s="5"/>
      <c r="J2526" s="5"/>
      <c r="X2526" s="77"/>
    </row>
    <row r="2527" ht="17.25" customHeight="1">
      <c r="A2527" s="10"/>
      <c r="B2527" s="5"/>
      <c r="C2527" s="3"/>
      <c r="E2527" s="5"/>
      <c r="J2527" s="5"/>
      <c r="X2527" s="77"/>
    </row>
    <row r="2528" ht="17.25" customHeight="1">
      <c r="A2528" s="10"/>
      <c r="B2528" s="5"/>
      <c r="C2528" s="3"/>
      <c r="E2528" s="5"/>
      <c r="J2528" s="5"/>
      <c r="X2528" s="77"/>
    </row>
    <row r="2529" ht="17.25" customHeight="1">
      <c r="A2529" s="10"/>
      <c r="B2529" s="5"/>
      <c r="C2529" s="3"/>
      <c r="E2529" s="5"/>
      <c r="J2529" s="5"/>
      <c r="X2529" s="77"/>
    </row>
    <row r="2530" ht="17.25" customHeight="1">
      <c r="A2530" s="10"/>
      <c r="B2530" s="5"/>
      <c r="C2530" s="3"/>
      <c r="E2530" s="5"/>
      <c r="J2530" s="5"/>
      <c r="X2530" s="77"/>
    </row>
    <row r="2531" ht="17.25" customHeight="1">
      <c r="A2531" s="10"/>
      <c r="B2531" s="5"/>
      <c r="C2531" s="3"/>
      <c r="E2531" s="5"/>
      <c r="J2531" s="5"/>
      <c r="X2531" s="77"/>
    </row>
    <row r="2532" ht="17.25" customHeight="1">
      <c r="A2532" s="10"/>
      <c r="B2532" s="5"/>
      <c r="C2532" s="3"/>
      <c r="E2532" s="5"/>
      <c r="J2532" s="5"/>
      <c r="X2532" s="77"/>
    </row>
    <row r="2533" ht="17.25" customHeight="1">
      <c r="A2533" s="10"/>
      <c r="B2533" s="5"/>
      <c r="C2533" s="3"/>
      <c r="E2533" s="5"/>
      <c r="J2533" s="5"/>
      <c r="X2533" s="77"/>
    </row>
    <row r="2534" ht="17.25" customHeight="1">
      <c r="A2534" s="10"/>
      <c r="B2534" s="5"/>
      <c r="C2534" s="3"/>
      <c r="E2534" s="5"/>
      <c r="J2534" s="5"/>
      <c r="X2534" s="77"/>
    </row>
    <row r="2535" ht="17.25" customHeight="1">
      <c r="A2535" s="10"/>
      <c r="B2535" s="5"/>
      <c r="C2535" s="3"/>
      <c r="E2535" s="5"/>
      <c r="J2535" s="5"/>
      <c r="X2535" s="77"/>
    </row>
    <row r="2536" ht="17.25" customHeight="1">
      <c r="A2536" s="10"/>
      <c r="B2536" s="5"/>
      <c r="C2536" s="3"/>
      <c r="E2536" s="5"/>
      <c r="J2536" s="5"/>
      <c r="X2536" s="77"/>
    </row>
    <row r="2537" ht="17.25" customHeight="1">
      <c r="A2537" s="10"/>
      <c r="B2537" s="5"/>
      <c r="C2537" s="3"/>
      <c r="E2537" s="5"/>
      <c r="J2537" s="5"/>
      <c r="X2537" s="77"/>
    </row>
    <row r="2538" ht="17.25" customHeight="1">
      <c r="A2538" s="10"/>
      <c r="B2538" s="5"/>
      <c r="C2538" s="3"/>
      <c r="E2538" s="5"/>
      <c r="J2538" s="5"/>
      <c r="X2538" s="77"/>
    </row>
    <row r="2539" ht="17.25" customHeight="1">
      <c r="A2539" s="10"/>
      <c r="B2539" s="5"/>
      <c r="C2539" s="3"/>
      <c r="E2539" s="5"/>
      <c r="J2539" s="5"/>
      <c r="X2539" s="77"/>
    </row>
    <row r="2540" ht="17.25" customHeight="1">
      <c r="A2540" s="10"/>
      <c r="B2540" s="5"/>
      <c r="C2540" s="3"/>
      <c r="E2540" s="5"/>
      <c r="J2540" s="5"/>
      <c r="X2540" s="77"/>
    </row>
    <row r="2541" ht="17.25" customHeight="1">
      <c r="A2541" s="10"/>
      <c r="B2541" s="5"/>
      <c r="C2541" s="3"/>
      <c r="E2541" s="5"/>
      <c r="J2541" s="5"/>
      <c r="X2541" s="77"/>
    </row>
    <row r="2542" ht="17.25" customHeight="1">
      <c r="A2542" s="10"/>
      <c r="B2542" s="5"/>
      <c r="C2542" s="3"/>
      <c r="E2542" s="5"/>
      <c r="J2542" s="5"/>
      <c r="X2542" s="77"/>
    </row>
    <row r="2543" ht="17.25" customHeight="1">
      <c r="A2543" s="10"/>
      <c r="B2543" s="5"/>
      <c r="C2543" s="3"/>
      <c r="E2543" s="5"/>
      <c r="J2543" s="5"/>
      <c r="X2543" s="77"/>
    </row>
    <row r="2544" ht="17.25" customHeight="1">
      <c r="A2544" s="10"/>
      <c r="B2544" s="5"/>
      <c r="C2544" s="3"/>
      <c r="E2544" s="5"/>
      <c r="J2544" s="5"/>
      <c r="X2544" s="77"/>
    </row>
    <row r="2545" ht="17.25" customHeight="1">
      <c r="A2545" s="10"/>
      <c r="B2545" s="5"/>
      <c r="C2545" s="3"/>
      <c r="E2545" s="5"/>
      <c r="J2545" s="5"/>
      <c r="X2545" s="77"/>
    </row>
    <row r="2546" ht="17.25" customHeight="1">
      <c r="A2546" s="10"/>
      <c r="B2546" s="5"/>
      <c r="C2546" s="3"/>
      <c r="E2546" s="5"/>
      <c r="J2546" s="5"/>
      <c r="X2546" s="77"/>
    </row>
    <row r="2547" ht="17.25" customHeight="1">
      <c r="A2547" s="10"/>
      <c r="B2547" s="5"/>
      <c r="C2547" s="3"/>
      <c r="E2547" s="5"/>
      <c r="J2547" s="5"/>
      <c r="X2547" s="77"/>
    </row>
    <row r="2548" ht="17.25" customHeight="1">
      <c r="A2548" s="10"/>
      <c r="B2548" s="5"/>
      <c r="C2548" s="3"/>
      <c r="E2548" s="5"/>
      <c r="J2548" s="5"/>
      <c r="X2548" s="77"/>
    </row>
    <row r="2549" ht="17.25" customHeight="1">
      <c r="A2549" s="10"/>
      <c r="B2549" s="5"/>
      <c r="C2549" s="3"/>
      <c r="E2549" s="5"/>
      <c r="J2549" s="5"/>
      <c r="X2549" s="77"/>
    </row>
    <row r="2550" ht="17.25" customHeight="1">
      <c r="A2550" s="10"/>
      <c r="B2550" s="5"/>
      <c r="C2550" s="3"/>
      <c r="E2550" s="5"/>
      <c r="J2550" s="5"/>
      <c r="X2550" s="77"/>
    </row>
    <row r="2551" ht="17.25" customHeight="1">
      <c r="A2551" s="10"/>
      <c r="B2551" s="5"/>
      <c r="C2551" s="3"/>
      <c r="E2551" s="5"/>
      <c r="J2551" s="5"/>
      <c r="X2551" s="77"/>
    </row>
    <row r="2552" ht="17.25" customHeight="1">
      <c r="A2552" s="10"/>
      <c r="B2552" s="5"/>
      <c r="C2552" s="3"/>
      <c r="E2552" s="5"/>
      <c r="J2552" s="5"/>
      <c r="X2552" s="77"/>
    </row>
    <row r="2553" ht="17.25" customHeight="1">
      <c r="A2553" s="10"/>
      <c r="B2553" s="5"/>
      <c r="C2553" s="3"/>
      <c r="E2553" s="5"/>
      <c r="J2553" s="5"/>
      <c r="X2553" s="77"/>
    </row>
    <row r="2554" ht="17.25" customHeight="1">
      <c r="A2554" s="10"/>
      <c r="B2554" s="5"/>
      <c r="C2554" s="3"/>
      <c r="E2554" s="5"/>
      <c r="J2554" s="5"/>
      <c r="X2554" s="77"/>
    </row>
    <row r="2555" ht="17.25" customHeight="1">
      <c r="A2555" s="10"/>
      <c r="B2555" s="5"/>
      <c r="C2555" s="3"/>
      <c r="E2555" s="5"/>
      <c r="J2555" s="5"/>
      <c r="X2555" s="77"/>
    </row>
    <row r="2556" ht="17.25" customHeight="1">
      <c r="A2556" s="10"/>
      <c r="B2556" s="5"/>
      <c r="C2556" s="3"/>
      <c r="E2556" s="5"/>
      <c r="J2556" s="5"/>
      <c r="X2556" s="77"/>
    </row>
    <row r="2557" ht="17.25" customHeight="1">
      <c r="A2557" s="10"/>
      <c r="B2557" s="5"/>
      <c r="C2557" s="3"/>
      <c r="E2557" s="5"/>
      <c r="J2557" s="5"/>
      <c r="X2557" s="77"/>
    </row>
    <row r="2558" ht="17.25" customHeight="1">
      <c r="A2558" s="10"/>
      <c r="B2558" s="5"/>
      <c r="C2558" s="3"/>
      <c r="E2558" s="5"/>
      <c r="J2558" s="5"/>
      <c r="X2558" s="77"/>
    </row>
    <row r="2559" ht="17.25" customHeight="1">
      <c r="A2559" s="10"/>
      <c r="B2559" s="5"/>
      <c r="C2559" s="3"/>
      <c r="E2559" s="5"/>
      <c r="J2559" s="5"/>
      <c r="X2559" s="77"/>
    </row>
    <row r="2560" ht="17.25" customHeight="1">
      <c r="A2560" s="10"/>
      <c r="B2560" s="5"/>
      <c r="C2560" s="3"/>
      <c r="E2560" s="5"/>
      <c r="J2560" s="5"/>
      <c r="X2560" s="77"/>
    </row>
    <row r="2561" ht="17.25" customHeight="1">
      <c r="A2561" s="10"/>
      <c r="B2561" s="5"/>
      <c r="C2561" s="3"/>
      <c r="E2561" s="5"/>
      <c r="J2561" s="5"/>
      <c r="X2561" s="77"/>
    </row>
    <row r="2562" ht="17.25" customHeight="1">
      <c r="A2562" s="10"/>
      <c r="B2562" s="5"/>
      <c r="C2562" s="3"/>
      <c r="E2562" s="5"/>
      <c r="J2562" s="5"/>
      <c r="X2562" s="77"/>
    </row>
    <row r="2563" ht="17.25" customHeight="1">
      <c r="A2563" s="10"/>
      <c r="B2563" s="5"/>
      <c r="C2563" s="3"/>
      <c r="E2563" s="5"/>
      <c r="J2563" s="5"/>
      <c r="X2563" s="77"/>
    </row>
    <row r="2564" ht="17.25" customHeight="1">
      <c r="A2564" s="10"/>
      <c r="B2564" s="5"/>
      <c r="C2564" s="3"/>
      <c r="E2564" s="5"/>
      <c r="J2564" s="5"/>
      <c r="X2564" s="77"/>
    </row>
    <row r="2565" ht="17.25" customHeight="1">
      <c r="A2565" s="10"/>
      <c r="B2565" s="5"/>
      <c r="C2565" s="3"/>
      <c r="E2565" s="5"/>
      <c r="J2565" s="5"/>
      <c r="X2565" s="77"/>
    </row>
    <row r="2566" ht="17.25" customHeight="1">
      <c r="A2566" s="10"/>
      <c r="B2566" s="5"/>
      <c r="C2566" s="3"/>
      <c r="E2566" s="5"/>
      <c r="J2566" s="5"/>
      <c r="X2566" s="77"/>
    </row>
    <row r="2567" ht="17.25" customHeight="1">
      <c r="A2567" s="10"/>
      <c r="B2567" s="5"/>
      <c r="C2567" s="3"/>
      <c r="E2567" s="5"/>
      <c r="J2567" s="5"/>
      <c r="X2567" s="77"/>
    </row>
    <row r="2568" ht="17.25" customHeight="1">
      <c r="A2568" s="10"/>
      <c r="B2568" s="5"/>
      <c r="C2568" s="3"/>
      <c r="E2568" s="5"/>
      <c r="J2568" s="5"/>
      <c r="X2568" s="77"/>
    </row>
    <row r="2569" ht="17.25" customHeight="1">
      <c r="A2569" s="10"/>
      <c r="B2569" s="5"/>
      <c r="C2569" s="3"/>
      <c r="E2569" s="5"/>
      <c r="J2569" s="5"/>
      <c r="X2569" s="77"/>
    </row>
    <row r="2570" ht="17.25" customHeight="1">
      <c r="A2570" s="10"/>
      <c r="B2570" s="5"/>
      <c r="C2570" s="3"/>
      <c r="E2570" s="5"/>
      <c r="J2570" s="5"/>
      <c r="X2570" s="77"/>
    </row>
    <row r="2571" ht="17.25" customHeight="1">
      <c r="A2571" s="10"/>
      <c r="B2571" s="5"/>
      <c r="C2571" s="3"/>
      <c r="E2571" s="5"/>
      <c r="J2571" s="5"/>
      <c r="X2571" s="77"/>
    </row>
    <row r="2572" ht="17.25" customHeight="1">
      <c r="A2572" s="10"/>
      <c r="B2572" s="5"/>
      <c r="C2572" s="3"/>
      <c r="E2572" s="5"/>
      <c r="J2572" s="5"/>
      <c r="X2572" s="77"/>
    </row>
    <row r="2573" ht="17.25" customHeight="1">
      <c r="A2573" s="10"/>
      <c r="B2573" s="5"/>
      <c r="C2573" s="3"/>
      <c r="E2573" s="5"/>
      <c r="J2573" s="5"/>
      <c r="X2573" s="77"/>
    </row>
    <row r="2574" ht="17.25" customHeight="1">
      <c r="A2574" s="10"/>
      <c r="B2574" s="5"/>
      <c r="C2574" s="3"/>
      <c r="E2574" s="5"/>
      <c r="J2574" s="5"/>
      <c r="X2574" s="77"/>
    </row>
    <row r="2575" ht="17.25" customHeight="1">
      <c r="A2575" s="10"/>
      <c r="B2575" s="5"/>
      <c r="C2575" s="3"/>
      <c r="E2575" s="5"/>
      <c r="J2575" s="5"/>
      <c r="X2575" s="77"/>
    </row>
    <row r="2576" ht="17.25" customHeight="1">
      <c r="A2576" s="10"/>
      <c r="B2576" s="5"/>
      <c r="C2576" s="3"/>
      <c r="E2576" s="5"/>
      <c r="J2576" s="5"/>
      <c r="X2576" s="77"/>
    </row>
    <row r="2577" ht="17.25" customHeight="1">
      <c r="A2577" s="10"/>
      <c r="B2577" s="5"/>
      <c r="C2577" s="3"/>
      <c r="E2577" s="5"/>
      <c r="J2577" s="5"/>
      <c r="X2577" s="77"/>
    </row>
    <row r="2578" ht="17.25" customHeight="1">
      <c r="A2578" s="10"/>
      <c r="B2578" s="5"/>
      <c r="C2578" s="3"/>
      <c r="E2578" s="5"/>
      <c r="J2578" s="5"/>
      <c r="X2578" s="77"/>
    </row>
    <row r="2579" ht="17.25" customHeight="1">
      <c r="A2579" s="10"/>
      <c r="B2579" s="5"/>
      <c r="C2579" s="3"/>
      <c r="E2579" s="5"/>
      <c r="J2579" s="5"/>
      <c r="X2579" s="77"/>
    </row>
    <row r="2580" ht="17.25" customHeight="1">
      <c r="A2580" s="10"/>
      <c r="B2580" s="5"/>
      <c r="C2580" s="3"/>
      <c r="E2580" s="5"/>
      <c r="J2580" s="5"/>
      <c r="X2580" s="77"/>
    </row>
    <row r="2581" ht="17.25" customHeight="1">
      <c r="A2581" s="10"/>
      <c r="B2581" s="5"/>
      <c r="C2581" s="3"/>
      <c r="E2581" s="5"/>
      <c r="J2581" s="5"/>
      <c r="X2581" s="77"/>
    </row>
    <row r="2582" ht="17.25" customHeight="1">
      <c r="A2582" s="10"/>
      <c r="B2582" s="5"/>
      <c r="C2582" s="3"/>
      <c r="E2582" s="5"/>
      <c r="J2582" s="5"/>
      <c r="X2582" s="77"/>
    </row>
    <row r="2583" ht="17.25" customHeight="1">
      <c r="A2583" s="10"/>
      <c r="B2583" s="5"/>
      <c r="C2583" s="3"/>
      <c r="E2583" s="5"/>
      <c r="J2583" s="5"/>
      <c r="X2583" s="77"/>
    </row>
    <row r="2584" ht="17.25" customHeight="1">
      <c r="A2584" s="10"/>
      <c r="B2584" s="5"/>
      <c r="C2584" s="3"/>
      <c r="E2584" s="5"/>
      <c r="J2584" s="5"/>
      <c r="X2584" s="77"/>
    </row>
    <row r="2585" ht="17.25" customHeight="1">
      <c r="A2585" s="10"/>
      <c r="B2585" s="5"/>
      <c r="C2585" s="3"/>
      <c r="E2585" s="5"/>
      <c r="J2585" s="5"/>
      <c r="X2585" s="77"/>
    </row>
    <row r="2586" ht="17.25" customHeight="1">
      <c r="A2586" s="10"/>
      <c r="B2586" s="5"/>
      <c r="C2586" s="3"/>
      <c r="E2586" s="5"/>
      <c r="J2586" s="5"/>
      <c r="X2586" s="77"/>
    </row>
    <row r="2587" ht="17.25" customHeight="1">
      <c r="A2587" s="10"/>
      <c r="B2587" s="5"/>
      <c r="C2587" s="3"/>
      <c r="E2587" s="5"/>
      <c r="J2587" s="5"/>
      <c r="X2587" s="77"/>
    </row>
    <row r="2588" ht="17.25" customHeight="1">
      <c r="A2588" s="10"/>
      <c r="B2588" s="5"/>
      <c r="C2588" s="3"/>
      <c r="E2588" s="5"/>
      <c r="J2588" s="5"/>
      <c r="X2588" s="77"/>
    </row>
    <row r="2589" ht="17.25" customHeight="1">
      <c r="A2589" s="10"/>
      <c r="B2589" s="5"/>
      <c r="C2589" s="3"/>
      <c r="E2589" s="5"/>
      <c r="J2589" s="5"/>
      <c r="X2589" s="77"/>
    </row>
    <row r="2590" ht="17.25" customHeight="1">
      <c r="A2590" s="10"/>
      <c r="B2590" s="5"/>
      <c r="C2590" s="3"/>
      <c r="E2590" s="5"/>
      <c r="J2590" s="5"/>
      <c r="X2590" s="77"/>
    </row>
    <row r="2591" ht="17.25" customHeight="1">
      <c r="A2591" s="10"/>
      <c r="B2591" s="5"/>
      <c r="C2591" s="3"/>
      <c r="E2591" s="5"/>
      <c r="J2591" s="5"/>
      <c r="X2591" s="77"/>
    </row>
    <row r="2592" ht="17.25" customHeight="1">
      <c r="A2592" s="10"/>
      <c r="B2592" s="5"/>
      <c r="C2592" s="3"/>
      <c r="E2592" s="5"/>
      <c r="J2592" s="5"/>
      <c r="X2592" s="77"/>
    </row>
    <row r="2593" ht="17.25" customHeight="1">
      <c r="A2593" s="10"/>
      <c r="B2593" s="5"/>
      <c r="C2593" s="3"/>
      <c r="E2593" s="5"/>
      <c r="J2593" s="5"/>
      <c r="X2593" s="77"/>
    </row>
    <row r="2594" ht="17.25" customHeight="1">
      <c r="A2594" s="10"/>
      <c r="B2594" s="5"/>
      <c r="C2594" s="3"/>
      <c r="E2594" s="5"/>
      <c r="J2594" s="5"/>
      <c r="X2594" s="77"/>
    </row>
    <row r="2595" ht="17.25" customHeight="1">
      <c r="A2595" s="10"/>
      <c r="B2595" s="5"/>
      <c r="C2595" s="3"/>
      <c r="E2595" s="5"/>
      <c r="J2595" s="5"/>
      <c r="X2595" s="77"/>
    </row>
    <row r="2596" ht="17.25" customHeight="1">
      <c r="A2596" s="10"/>
      <c r="B2596" s="5"/>
      <c r="C2596" s="3"/>
      <c r="E2596" s="5"/>
      <c r="J2596" s="5"/>
      <c r="X2596" s="77"/>
    </row>
    <row r="2597" ht="17.25" customHeight="1">
      <c r="A2597" s="10"/>
      <c r="B2597" s="5"/>
      <c r="C2597" s="3"/>
      <c r="E2597" s="5"/>
      <c r="J2597" s="5"/>
      <c r="X2597" s="77"/>
    </row>
    <row r="2598" ht="17.25" customHeight="1">
      <c r="A2598" s="10"/>
      <c r="B2598" s="5"/>
      <c r="C2598" s="3"/>
      <c r="E2598" s="5"/>
      <c r="J2598" s="5"/>
      <c r="X2598" s="77"/>
    </row>
    <row r="2599" ht="17.25" customHeight="1">
      <c r="A2599" s="10"/>
      <c r="B2599" s="5"/>
      <c r="C2599" s="3"/>
      <c r="E2599" s="5"/>
      <c r="J2599" s="5"/>
      <c r="X2599" s="77"/>
    </row>
    <row r="2600" ht="17.25" customHeight="1">
      <c r="A2600" s="10"/>
      <c r="B2600" s="5"/>
      <c r="C2600" s="3"/>
      <c r="E2600" s="5"/>
      <c r="J2600" s="5"/>
      <c r="X2600" s="77"/>
    </row>
    <row r="2601" ht="17.25" customHeight="1">
      <c r="A2601" s="10"/>
      <c r="B2601" s="5"/>
      <c r="C2601" s="3"/>
      <c r="E2601" s="5"/>
      <c r="J2601" s="5"/>
      <c r="X2601" s="77"/>
    </row>
    <row r="2602" ht="17.25" customHeight="1">
      <c r="A2602" s="10"/>
      <c r="B2602" s="5"/>
      <c r="C2602" s="3"/>
      <c r="E2602" s="5"/>
      <c r="J2602" s="5"/>
      <c r="X2602" s="77"/>
    </row>
    <row r="2603" ht="17.25" customHeight="1">
      <c r="A2603" s="10"/>
      <c r="B2603" s="5"/>
      <c r="C2603" s="3"/>
      <c r="E2603" s="5"/>
      <c r="J2603" s="5"/>
      <c r="X2603" s="77"/>
    </row>
    <row r="2604" ht="17.25" customHeight="1">
      <c r="A2604" s="10"/>
      <c r="B2604" s="5"/>
      <c r="C2604" s="3"/>
      <c r="E2604" s="5"/>
      <c r="J2604" s="5"/>
      <c r="X2604" s="77"/>
    </row>
    <row r="2605" ht="17.25" customHeight="1">
      <c r="A2605" s="10"/>
      <c r="B2605" s="5"/>
      <c r="C2605" s="3"/>
      <c r="E2605" s="5"/>
      <c r="J2605" s="5"/>
      <c r="X2605" s="77"/>
    </row>
    <row r="2606" ht="17.25" customHeight="1">
      <c r="A2606" s="10"/>
      <c r="B2606" s="5"/>
      <c r="C2606" s="3"/>
      <c r="E2606" s="5"/>
      <c r="J2606" s="5"/>
      <c r="X2606" s="77"/>
    </row>
    <row r="2607" ht="17.25" customHeight="1">
      <c r="A2607" s="10"/>
      <c r="B2607" s="5"/>
      <c r="C2607" s="3"/>
      <c r="E2607" s="5"/>
      <c r="J2607" s="5"/>
      <c r="X2607" s="77"/>
    </row>
    <row r="2608" ht="17.25" customHeight="1">
      <c r="A2608" s="10"/>
      <c r="B2608" s="5"/>
      <c r="C2608" s="3"/>
      <c r="E2608" s="5"/>
      <c r="J2608" s="5"/>
      <c r="X2608" s="77"/>
    </row>
    <row r="2609" ht="17.25" customHeight="1">
      <c r="A2609" s="10"/>
      <c r="B2609" s="5"/>
      <c r="C2609" s="3"/>
      <c r="E2609" s="5"/>
      <c r="J2609" s="5"/>
      <c r="X2609" s="77"/>
    </row>
    <row r="2610" ht="17.25" customHeight="1">
      <c r="A2610" s="10"/>
      <c r="B2610" s="5"/>
      <c r="C2610" s="3"/>
      <c r="E2610" s="5"/>
      <c r="J2610" s="5"/>
      <c r="X2610" s="77"/>
    </row>
    <row r="2611" ht="17.25" customHeight="1">
      <c r="A2611" s="10"/>
      <c r="B2611" s="5"/>
      <c r="C2611" s="3"/>
      <c r="E2611" s="5"/>
      <c r="J2611" s="5"/>
      <c r="X2611" s="77"/>
    </row>
    <row r="2612" ht="17.25" customHeight="1">
      <c r="A2612" s="10"/>
      <c r="B2612" s="5"/>
      <c r="C2612" s="3"/>
      <c r="E2612" s="5"/>
      <c r="J2612" s="5"/>
      <c r="X2612" s="77"/>
    </row>
    <row r="2613" ht="17.25" customHeight="1">
      <c r="A2613" s="10"/>
      <c r="B2613" s="5"/>
      <c r="C2613" s="3"/>
      <c r="E2613" s="5"/>
      <c r="J2613" s="5"/>
      <c r="X2613" s="77"/>
    </row>
    <row r="2614" ht="17.25" customHeight="1">
      <c r="A2614" s="10"/>
      <c r="B2614" s="5"/>
      <c r="C2614" s="3"/>
      <c r="E2614" s="5"/>
      <c r="J2614" s="5"/>
      <c r="X2614" s="77"/>
    </row>
    <row r="2615" ht="17.25" customHeight="1">
      <c r="A2615" s="10"/>
      <c r="B2615" s="5"/>
      <c r="C2615" s="3"/>
      <c r="E2615" s="5"/>
      <c r="J2615" s="5"/>
      <c r="X2615" s="77"/>
    </row>
    <row r="2616" ht="17.25" customHeight="1">
      <c r="A2616" s="10"/>
      <c r="B2616" s="5"/>
      <c r="C2616" s="3"/>
      <c r="E2616" s="5"/>
      <c r="J2616" s="5"/>
      <c r="X2616" s="77"/>
    </row>
    <row r="2617" ht="17.25" customHeight="1">
      <c r="A2617" s="10"/>
      <c r="B2617" s="5"/>
      <c r="C2617" s="3"/>
      <c r="E2617" s="5"/>
      <c r="J2617" s="5"/>
      <c r="X2617" s="77"/>
    </row>
    <row r="2618" ht="17.25" customHeight="1">
      <c r="A2618" s="10"/>
      <c r="B2618" s="5"/>
      <c r="C2618" s="3"/>
      <c r="E2618" s="5"/>
      <c r="J2618" s="5"/>
      <c r="X2618" s="77"/>
    </row>
    <row r="2619" ht="17.25" customHeight="1">
      <c r="A2619" s="10"/>
      <c r="B2619" s="5"/>
      <c r="C2619" s="3"/>
      <c r="E2619" s="5"/>
      <c r="J2619" s="5"/>
      <c r="X2619" s="77"/>
    </row>
    <row r="2620" ht="17.25" customHeight="1">
      <c r="A2620" s="10"/>
      <c r="B2620" s="5"/>
      <c r="C2620" s="3"/>
      <c r="E2620" s="5"/>
      <c r="J2620" s="5"/>
      <c r="X2620" s="77"/>
    </row>
    <row r="2621" ht="17.25" customHeight="1">
      <c r="A2621" s="10"/>
      <c r="B2621" s="5"/>
      <c r="C2621" s="3"/>
      <c r="E2621" s="5"/>
      <c r="J2621" s="5"/>
      <c r="X2621" s="77"/>
    </row>
    <row r="2622" ht="17.25" customHeight="1">
      <c r="A2622" s="10"/>
      <c r="B2622" s="5"/>
      <c r="C2622" s="3"/>
      <c r="E2622" s="5"/>
      <c r="J2622" s="5"/>
      <c r="X2622" s="77"/>
    </row>
    <row r="2623" ht="17.25" customHeight="1">
      <c r="A2623" s="10"/>
      <c r="B2623" s="5"/>
      <c r="C2623" s="3"/>
      <c r="E2623" s="5"/>
      <c r="J2623" s="5"/>
      <c r="X2623" s="77"/>
    </row>
    <row r="2624" ht="17.25" customHeight="1">
      <c r="A2624" s="10"/>
      <c r="B2624" s="5"/>
      <c r="C2624" s="3"/>
      <c r="E2624" s="5"/>
      <c r="J2624" s="5"/>
      <c r="X2624" s="77"/>
    </row>
    <row r="2625" ht="17.25" customHeight="1">
      <c r="A2625" s="10"/>
      <c r="B2625" s="5"/>
      <c r="C2625" s="3"/>
      <c r="E2625" s="5"/>
      <c r="J2625" s="5"/>
      <c r="X2625" s="77"/>
    </row>
    <row r="2626" ht="17.25" customHeight="1">
      <c r="A2626" s="10"/>
      <c r="B2626" s="5"/>
      <c r="C2626" s="3"/>
      <c r="E2626" s="5"/>
      <c r="J2626" s="5"/>
      <c r="X2626" s="77"/>
    </row>
    <row r="2627" ht="17.25" customHeight="1">
      <c r="A2627" s="10"/>
      <c r="B2627" s="5"/>
      <c r="C2627" s="3"/>
      <c r="E2627" s="5"/>
      <c r="J2627" s="5"/>
      <c r="X2627" s="77"/>
    </row>
    <row r="2628" ht="17.25" customHeight="1">
      <c r="A2628" s="10"/>
      <c r="B2628" s="5"/>
      <c r="C2628" s="3"/>
      <c r="E2628" s="5"/>
      <c r="J2628" s="5"/>
      <c r="X2628" s="77"/>
    </row>
    <row r="2629" ht="17.25" customHeight="1">
      <c r="A2629" s="10"/>
      <c r="B2629" s="5"/>
      <c r="C2629" s="3"/>
      <c r="E2629" s="5"/>
      <c r="J2629" s="5"/>
      <c r="X2629" s="77"/>
    </row>
    <row r="2630" ht="17.25" customHeight="1">
      <c r="A2630" s="10"/>
      <c r="B2630" s="5"/>
      <c r="C2630" s="3"/>
      <c r="E2630" s="5"/>
      <c r="J2630" s="5"/>
      <c r="X2630" s="77"/>
    </row>
    <row r="2631" ht="17.25" customHeight="1">
      <c r="A2631" s="10"/>
      <c r="B2631" s="5"/>
      <c r="C2631" s="3"/>
      <c r="E2631" s="5"/>
      <c r="J2631" s="5"/>
      <c r="X2631" s="77"/>
    </row>
    <row r="2632" ht="17.25" customHeight="1">
      <c r="A2632" s="10"/>
      <c r="B2632" s="5"/>
      <c r="C2632" s="3"/>
      <c r="E2632" s="5"/>
      <c r="J2632" s="5"/>
      <c r="X2632" s="77"/>
    </row>
    <row r="2633" ht="17.25" customHeight="1">
      <c r="A2633" s="10"/>
      <c r="B2633" s="5"/>
      <c r="C2633" s="3"/>
      <c r="E2633" s="5"/>
      <c r="J2633" s="5"/>
      <c r="X2633" s="77"/>
    </row>
    <row r="2634" ht="17.25" customHeight="1">
      <c r="A2634" s="10"/>
      <c r="B2634" s="5"/>
      <c r="C2634" s="3"/>
      <c r="E2634" s="5"/>
      <c r="J2634" s="5"/>
      <c r="X2634" s="77"/>
    </row>
    <row r="2635" ht="17.25" customHeight="1">
      <c r="A2635" s="10"/>
      <c r="B2635" s="5"/>
      <c r="C2635" s="3"/>
      <c r="E2635" s="5"/>
      <c r="J2635" s="5"/>
      <c r="X2635" s="77"/>
    </row>
    <row r="2636" ht="17.25" customHeight="1">
      <c r="A2636" s="10"/>
      <c r="B2636" s="5"/>
      <c r="C2636" s="3"/>
      <c r="E2636" s="5"/>
      <c r="J2636" s="5"/>
      <c r="X2636" s="77"/>
    </row>
    <row r="2637" ht="17.25" customHeight="1">
      <c r="A2637" s="10"/>
      <c r="B2637" s="5"/>
      <c r="C2637" s="3"/>
      <c r="E2637" s="5"/>
      <c r="J2637" s="5"/>
      <c r="X2637" s="77"/>
    </row>
    <row r="2638" ht="17.25" customHeight="1">
      <c r="A2638" s="10"/>
      <c r="B2638" s="5"/>
      <c r="C2638" s="3"/>
      <c r="E2638" s="5"/>
      <c r="J2638" s="5"/>
      <c r="X2638" s="77"/>
    </row>
    <row r="2639" ht="17.25" customHeight="1">
      <c r="A2639" s="10"/>
      <c r="B2639" s="5"/>
      <c r="C2639" s="3"/>
      <c r="E2639" s="5"/>
      <c r="J2639" s="5"/>
      <c r="X2639" s="77"/>
    </row>
    <row r="2640" ht="17.25" customHeight="1">
      <c r="A2640" s="10"/>
      <c r="B2640" s="5"/>
      <c r="C2640" s="3"/>
      <c r="E2640" s="5"/>
      <c r="J2640" s="5"/>
      <c r="X2640" s="77"/>
    </row>
    <row r="2641" ht="17.25" customHeight="1">
      <c r="A2641" s="10"/>
      <c r="B2641" s="5"/>
      <c r="C2641" s="3"/>
      <c r="E2641" s="5"/>
      <c r="J2641" s="5"/>
      <c r="X2641" s="77"/>
    </row>
    <row r="2642" ht="17.25" customHeight="1">
      <c r="A2642" s="10"/>
      <c r="B2642" s="5"/>
      <c r="C2642" s="3"/>
      <c r="E2642" s="5"/>
      <c r="J2642" s="5"/>
      <c r="X2642" s="77"/>
    </row>
    <row r="2643" ht="17.25" customHeight="1">
      <c r="A2643" s="10"/>
      <c r="B2643" s="5"/>
      <c r="C2643" s="3"/>
      <c r="E2643" s="5"/>
      <c r="J2643" s="5"/>
      <c r="X2643" s="77"/>
    </row>
    <row r="2644" ht="17.25" customHeight="1">
      <c r="A2644" s="10"/>
      <c r="B2644" s="5"/>
      <c r="C2644" s="3"/>
      <c r="E2644" s="5"/>
      <c r="J2644" s="5"/>
      <c r="X2644" s="77"/>
    </row>
    <row r="2645" ht="17.25" customHeight="1">
      <c r="A2645" s="10"/>
      <c r="B2645" s="5"/>
      <c r="C2645" s="3"/>
      <c r="E2645" s="5"/>
      <c r="J2645" s="5"/>
      <c r="X2645" s="77"/>
    </row>
    <row r="2646" ht="17.25" customHeight="1">
      <c r="A2646" s="10"/>
      <c r="B2646" s="5"/>
      <c r="C2646" s="3"/>
      <c r="E2646" s="5"/>
      <c r="J2646" s="5"/>
      <c r="X2646" s="77"/>
    </row>
    <row r="2647" ht="17.25" customHeight="1">
      <c r="A2647" s="10"/>
      <c r="B2647" s="5"/>
      <c r="C2647" s="3"/>
      <c r="E2647" s="5"/>
      <c r="J2647" s="5"/>
      <c r="X2647" s="77"/>
    </row>
    <row r="2648" ht="17.25" customHeight="1">
      <c r="A2648" s="10"/>
      <c r="B2648" s="5"/>
      <c r="C2648" s="3"/>
      <c r="E2648" s="5"/>
      <c r="J2648" s="5"/>
      <c r="X2648" s="77"/>
    </row>
    <row r="2649" ht="17.25" customHeight="1">
      <c r="A2649" s="10"/>
      <c r="B2649" s="5"/>
      <c r="C2649" s="3"/>
      <c r="E2649" s="5"/>
      <c r="J2649" s="5"/>
      <c r="X2649" s="77"/>
    </row>
    <row r="2650" ht="17.25" customHeight="1">
      <c r="A2650" s="10"/>
      <c r="B2650" s="5"/>
      <c r="C2650" s="3"/>
      <c r="E2650" s="5"/>
      <c r="J2650" s="5"/>
      <c r="X2650" s="77"/>
    </row>
    <row r="2651" ht="17.25" customHeight="1">
      <c r="A2651" s="10"/>
      <c r="B2651" s="5"/>
      <c r="C2651" s="3"/>
      <c r="E2651" s="5"/>
      <c r="J2651" s="5"/>
      <c r="X2651" s="77"/>
    </row>
    <row r="2652" ht="17.25" customHeight="1">
      <c r="A2652" s="10"/>
      <c r="B2652" s="5"/>
      <c r="C2652" s="3"/>
      <c r="E2652" s="5"/>
      <c r="J2652" s="5"/>
      <c r="X2652" s="77"/>
    </row>
    <row r="2653" ht="17.25" customHeight="1">
      <c r="A2653" s="10"/>
      <c r="B2653" s="5"/>
      <c r="C2653" s="3"/>
      <c r="E2653" s="5"/>
      <c r="J2653" s="5"/>
      <c r="X2653" s="77"/>
    </row>
    <row r="2654" ht="17.25" customHeight="1">
      <c r="A2654" s="10"/>
      <c r="B2654" s="5"/>
      <c r="C2654" s="3"/>
      <c r="E2654" s="5"/>
      <c r="J2654" s="5"/>
      <c r="X2654" s="77"/>
    </row>
    <row r="2655" ht="17.25" customHeight="1">
      <c r="A2655" s="10"/>
      <c r="B2655" s="5"/>
      <c r="C2655" s="3"/>
      <c r="E2655" s="5"/>
      <c r="J2655" s="5"/>
      <c r="X2655" s="77"/>
    </row>
    <row r="2656" ht="17.25" customHeight="1">
      <c r="A2656" s="10"/>
      <c r="B2656" s="5"/>
      <c r="C2656" s="3"/>
      <c r="E2656" s="5"/>
      <c r="J2656" s="5"/>
      <c r="X2656" s="77"/>
    </row>
    <row r="2657" ht="17.25" customHeight="1">
      <c r="A2657" s="10"/>
      <c r="B2657" s="5"/>
      <c r="C2657" s="3"/>
      <c r="E2657" s="5"/>
      <c r="J2657" s="5"/>
      <c r="X2657" s="77"/>
    </row>
    <row r="2658" ht="17.25" customHeight="1">
      <c r="A2658" s="10"/>
      <c r="B2658" s="5"/>
      <c r="C2658" s="3"/>
      <c r="E2658" s="5"/>
      <c r="J2658" s="5"/>
      <c r="X2658" s="77"/>
    </row>
    <row r="2659" ht="17.25" customHeight="1">
      <c r="A2659" s="10"/>
      <c r="B2659" s="5"/>
      <c r="C2659" s="3"/>
      <c r="E2659" s="5"/>
      <c r="J2659" s="5"/>
      <c r="X2659" s="77"/>
    </row>
    <row r="2660" ht="17.25" customHeight="1">
      <c r="A2660" s="10"/>
      <c r="B2660" s="5"/>
      <c r="C2660" s="3"/>
      <c r="E2660" s="5"/>
      <c r="J2660" s="5"/>
      <c r="X2660" s="77"/>
    </row>
    <row r="2661" ht="17.25" customHeight="1">
      <c r="A2661" s="10"/>
      <c r="B2661" s="5"/>
      <c r="C2661" s="3"/>
      <c r="E2661" s="5"/>
      <c r="J2661" s="5"/>
      <c r="X2661" s="77"/>
    </row>
    <row r="2662" ht="17.25" customHeight="1">
      <c r="A2662" s="10"/>
      <c r="B2662" s="5"/>
      <c r="C2662" s="3"/>
      <c r="E2662" s="5"/>
      <c r="J2662" s="5"/>
      <c r="X2662" s="77"/>
    </row>
    <row r="2663" ht="17.25" customHeight="1">
      <c r="A2663" s="10"/>
      <c r="B2663" s="5"/>
      <c r="C2663" s="3"/>
      <c r="E2663" s="5"/>
      <c r="J2663" s="5"/>
      <c r="X2663" s="77"/>
    </row>
    <row r="2664" ht="17.25" customHeight="1">
      <c r="A2664" s="10"/>
      <c r="B2664" s="5"/>
      <c r="C2664" s="3"/>
      <c r="E2664" s="5"/>
      <c r="J2664" s="5"/>
      <c r="X2664" s="77"/>
    </row>
    <row r="2665" ht="17.25" customHeight="1">
      <c r="A2665" s="10"/>
      <c r="B2665" s="5"/>
      <c r="C2665" s="3"/>
      <c r="E2665" s="5"/>
      <c r="J2665" s="5"/>
      <c r="X2665" s="77"/>
    </row>
    <row r="2666" ht="17.25" customHeight="1">
      <c r="A2666" s="10"/>
      <c r="B2666" s="5"/>
      <c r="C2666" s="3"/>
      <c r="E2666" s="5"/>
      <c r="J2666" s="5"/>
      <c r="X2666" s="77"/>
    </row>
    <row r="2667" ht="17.25" customHeight="1">
      <c r="A2667" s="10"/>
      <c r="B2667" s="5"/>
      <c r="C2667" s="3"/>
      <c r="E2667" s="5"/>
      <c r="J2667" s="5"/>
      <c r="X2667" s="77"/>
    </row>
    <row r="2668" ht="17.25" customHeight="1">
      <c r="A2668" s="10"/>
      <c r="B2668" s="5"/>
      <c r="C2668" s="3"/>
      <c r="E2668" s="5"/>
      <c r="J2668" s="5"/>
      <c r="X2668" s="77"/>
    </row>
    <row r="2669" ht="17.25" customHeight="1">
      <c r="A2669" s="10"/>
      <c r="B2669" s="5"/>
      <c r="C2669" s="3"/>
      <c r="E2669" s="5"/>
      <c r="J2669" s="5"/>
      <c r="X2669" s="77"/>
    </row>
    <row r="2670" ht="17.25" customHeight="1">
      <c r="A2670" s="10"/>
      <c r="B2670" s="5"/>
      <c r="C2670" s="3"/>
      <c r="E2670" s="5"/>
      <c r="J2670" s="5"/>
      <c r="X2670" s="77"/>
    </row>
    <row r="2671" ht="17.25" customHeight="1">
      <c r="A2671" s="10"/>
      <c r="B2671" s="5"/>
      <c r="C2671" s="3"/>
      <c r="E2671" s="5"/>
      <c r="J2671" s="5"/>
      <c r="X2671" s="77"/>
    </row>
    <row r="2672" ht="17.25" customHeight="1">
      <c r="A2672" s="10"/>
      <c r="B2672" s="5"/>
      <c r="C2672" s="3"/>
      <c r="E2672" s="5"/>
      <c r="J2672" s="5"/>
      <c r="X2672" s="77"/>
    </row>
    <row r="2673" ht="17.25" customHeight="1">
      <c r="A2673" s="10"/>
      <c r="B2673" s="5"/>
      <c r="C2673" s="3"/>
      <c r="E2673" s="5"/>
      <c r="J2673" s="5"/>
      <c r="X2673" s="77"/>
    </row>
    <row r="2674" ht="17.25" customHeight="1">
      <c r="A2674" s="10"/>
      <c r="B2674" s="5"/>
      <c r="C2674" s="3"/>
      <c r="E2674" s="5"/>
      <c r="J2674" s="5"/>
      <c r="X2674" s="77"/>
    </row>
    <row r="2675" ht="17.25" customHeight="1">
      <c r="A2675" s="10"/>
      <c r="B2675" s="5"/>
      <c r="C2675" s="3"/>
      <c r="E2675" s="5"/>
      <c r="J2675" s="5"/>
      <c r="X2675" s="77"/>
    </row>
    <row r="2676" ht="17.25" customHeight="1">
      <c r="A2676" s="10"/>
      <c r="B2676" s="5"/>
      <c r="C2676" s="3"/>
      <c r="E2676" s="5"/>
      <c r="J2676" s="5"/>
      <c r="X2676" s="77"/>
    </row>
    <row r="2677" ht="17.25" customHeight="1">
      <c r="A2677" s="10"/>
      <c r="B2677" s="5"/>
      <c r="C2677" s="3"/>
      <c r="E2677" s="5"/>
      <c r="J2677" s="5"/>
      <c r="X2677" s="77"/>
    </row>
    <row r="2678" ht="17.25" customHeight="1">
      <c r="A2678" s="10"/>
      <c r="B2678" s="5"/>
      <c r="C2678" s="3"/>
      <c r="E2678" s="5"/>
      <c r="J2678" s="5"/>
      <c r="X2678" s="77"/>
    </row>
    <row r="2679" ht="17.25" customHeight="1">
      <c r="A2679" s="10"/>
      <c r="B2679" s="5"/>
      <c r="C2679" s="3"/>
      <c r="E2679" s="5"/>
      <c r="J2679" s="5"/>
      <c r="X2679" s="77"/>
    </row>
    <row r="2680" ht="17.25" customHeight="1">
      <c r="A2680" s="10"/>
      <c r="B2680" s="5"/>
      <c r="C2680" s="3"/>
      <c r="E2680" s="5"/>
      <c r="J2680" s="5"/>
      <c r="X2680" s="77"/>
    </row>
    <row r="2681" ht="17.25" customHeight="1">
      <c r="A2681" s="10"/>
      <c r="B2681" s="5"/>
      <c r="C2681" s="3"/>
      <c r="E2681" s="5"/>
      <c r="J2681" s="5"/>
      <c r="X2681" s="77"/>
    </row>
    <row r="2682" ht="17.25" customHeight="1">
      <c r="A2682" s="10"/>
      <c r="B2682" s="5"/>
      <c r="C2682" s="3"/>
      <c r="E2682" s="5"/>
      <c r="J2682" s="5"/>
      <c r="X2682" s="77"/>
    </row>
    <row r="2683" ht="17.25" customHeight="1">
      <c r="A2683" s="10"/>
      <c r="B2683" s="5"/>
      <c r="C2683" s="3"/>
      <c r="E2683" s="5"/>
      <c r="J2683" s="5"/>
      <c r="X2683" s="77"/>
    </row>
    <row r="2684" ht="17.25" customHeight="1">
      <c r="A2684" s="10"/>
      <c r="B2684" s="5"/>
      <c r="C2684" s="3"/>
      <c r="E2684" s="5"/>
      <c r="J2684" s="5"/>
      <c r="X2684" s="77"/>
    </row>
    <row r="2685" ht="17.25" customHeight="1">
      <c r="A2685" s="10"/>
      <c r="B2685" s="5"/>
      <c r="C2685" s="3"/>
      <c r="E2685" s="5"/>
      <c r="J2685" s="5"/>
      <c r="X2685" s="77"/>
    </row>
    <row r="2686" ht="17.25" customHeight="1">
      <c r="A2686" s="10"/>
      <c r="B2686" s="5"/>
      <c r="C2686" s="3"/>
      <c r="E2686" s="5"/>
      <c r="J2686" s="5"/>
      <c r="X2686" s="77"/>
    </row>
    <row r="2687" ht="17.25" customHeight="1">
      <c r="A2687" s="10"/>
      <c r="B2687" s="5"/>
      <c r="C2687" s="3"/>
      <c r="E2687" s="5"/>
      <c r="J2687" s="5"/>
      <c r="X2687" s="77"/>
    </row>
    <row r="2688" ht="17.25" customHeight="1">
      <c r="A2688" s="10"/>
      <c r="B2688" s="5"/>
      <c r="C2688" s="3"/>
      <c r="E2688" s="5"/>
      <c r="J2688" s="5"/>
      <c r="X2688" s="77"/>
    </row>
    <row r="2689" ht="17.25" customHeight="1">
      <c r="A2689" s="10"/>
      <c r="B2689" s="5"/>
      <c r="C2689" s="3"/>
      <c r="E2689" s="5"/>
      <c r="J2689" s="5"/>
      <c r="X2689" s="77"/>
    </row>
    <row r="2690" ht="17.25" customHeight="1">
      <c r="A2690" s="10"/>
      <c r="B2690" s="5"/>
      <c r="C2690" s="3"/>
      <c r="E2690" s="5"/>
      <c r="J2690" s="5"/>
      <c r="X2690" s="77"/>
    </row>
    <row r="2691" ht="17.25" customHeight="1">
      <c r="A2691" s="10"/>
      <c r="B2691" s="5"/>
      <c r="C2691" s="3"/>
      <c r="E2691" s="5"/>
      <c r="J2691" s="5"/>
      <c r="X2691" s="77"/>
    </row>
    <row r="2692" ht="17.25" customHeight="1">
      <c r="A2692" s="10"/>
      <c r="B2692" s="5"/>
      <c r="C2692" s="3"/>
      <c r="E2692" s="5"/>
      <c r="J2692" s="5"/>
      <c r="X2692" s="77"/>
    </row>
    <row r="2693" ht="17.25" customHeight="1">
      <c r="A2693" s="10"/>
      <c r="B2693" s="5"/>
      <c r="C2693" s="3"/>
      <c r="E2693" s="5"/>
      <c r="J2693" s="5"/>
      <c r="X2693" s="77"/>
    </row>
    <row r="2694" ht="17.25" customHeight="1">
      <c r="A2694" s="10"/>
      <c r="B2694" s="5"/>
      <c r="C2694" s="3"/>
      <c r="E2694" s="5"/>
      <c r="J2694" s="5"/>
      <c r="X2694" s="77"/>
    </row>
    <row r="2695" ht="17.25" customHeight="1">
      <c r="A2695" s="10"/>
      <c r="B2695" s="5"/>
      <c r="C2695" s="3"/>
      <c r="E2695" s="5"/>
      <c r="J2695" s="5"/>
      <c r="X2695" s="77"/>
    </row>
    <row r="2696" ht="17.25" customHeight="1">
      <c r="A2696" s="10"/>
      <c r="B2696" s="5"/>
      <c r="C2696" s="3"/>
      <c r="E2696" s="5"/>
      <c r="J2696" s="5"/>
      <c r="X2696" s="77"/>
    </row>
    <row r="2697" ht="17.25" customHeight="1">
      <c r="A2697" s="10"/>
      <c r="B2697" s="5"/>
      <c r="C2697" s="3"/>
      <c r="E2697" s="5"/>
      <c r="J2697" s="5"/>
      <c r="X2697" s="77"/>
    </row>
    <row r="2698" ht="17.25" customHeight="1">
      <c r="A2698" s="10"/>
      <c r="B2698" s="5"/>
      <c r="C2698" s="3"/>
      <c r="E2698" s="5"/>
      <c r="J2698" s="5"/>
      <c r="X2698" s="77"/>
    </row>
    <row r="2699" ht="17.25" customHeight="1">
      <c r="A2699" s="10"/>
      <c r="B2699" s="5"/>
      <c r="C2699" s="3"/>
      <c r="E2699" s="5"/>
      <c r="J2699" s="5"/>
      <c r="X2699" s="77"/>
    </row>
    <row r="2700" ht="17.25" customHeight="1">
      <c r="A2700" s="10"/>
      <c r="B2700" s="5"/>
      <c r="C2700" s="3"/>
      <c r="E2700" s="5"/>
      <c r="J2700" s="5"/>
      <c r="X2700" s="77"/>
    </row>
    <row r="2701" ht="17.25" customHeight="1">
      <c r="A2701" s="10"/>
      <c r="B2701" s="5"/>
      <c r="C2701" s="3"/>
      <c r="E2701" s="5"/>
      <c r="J2701" s="5"/>
      <c r="X2701" s="77"/>
    </row>
    <row r="2702" ht="17.25" customHeight="1">
      <c r="A2702" s="10"/>
      <c r="B2702" s="5"/>
      <c r="C2702" s="3"/>
      <c r="E2702" s="5"/>
      <c r="J2702" s="5"/>
      <c r="X2702" s="77"/>
    </row>
    <row r="2703" ht="17.25" customHeight="1">
      <c r="A2703" s="10"/>
      <c r="B2703" s="5"/>
      <c r="C2703" s="3"/>
      <c r="E2703" s="5"/>
      <c r="J2703" s="5"/>
      <c r="X2703" s="77"/>
    </row>
    <row r="2704" ht="17.25" customHeight="1">
      <c r="A2704" s="10"/>
      <c r="B2704" s="5"/>
      <c r="C2704" s="3"/>
      <c r="E2704" s="5"/>
      <c r="J2704" s="5"/>
      <c r="X2704" s="77"/>
    </row>
    <row r="2705" ht="17.25" customHeight="1">
      <c r="A2705" s="10"/>
      <c r="B2705" s="5"/>
      <c r="C2705" s="3"/>
      <c r="E2705" s="5"/>
      <c r="J2705" s="5"/>
      <c r="X2705" s="77"/>
    </row>
    <row r="2706" ht="17.25" customHeight="1">
      <c r="A2706" s="10"/>
      <c r="B2706" s="5"/>
      <c r="C2706" s="3"/>
      <c r="E2706" s="5"/>
      <c r="J2706" s="5"/>
      <c r="X2706" s="77"/>
    </row>
  </sheetData>
  <conditionalFormatting sqref="C2:C2706">
    <cfRule type="expression" dxfId="2" priority="1">
      <formula>AB:AB</formula>
    </cfRule>
  </conditionalFormatting>
  <dataValidations>
    <dataValidation type="list" allowBlank="1" showErrorMessage="1" sqref="C2:C2706">
      <formula1>'Match Day Fees'!$B$2:$B$999</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s>
  <sheetData>
    <row r="1">
      <c r="A1" s="5" t="s">
        <v>2253</v>
      </c>
    </row>
    <row r="2">
      <c r="A2" s="3" t="str">
        <f>IFERROR(__xludf.DUMMYFUNCTION("sort(unique({'OTPI Scores'!C:C}))"),"Aaron Snelling")</f>
        <v>Aaron Snelling</v>
      </c>
      <c r="B2" s="3">
        <f>IFERROR(__xludf.DUMMYFUNCTION("iferror(sum(query('OTPI Scores'!$A:$AA,""select AA where C = '""&amp;A2&amp;""'  and B!='Friendly' order by A desc limit 5"",0)),0)"),15.0)</f>
        <v>15</v>
      </c>
    </row>
    <row r="3">
      <c r="A3" s="3" t="str">
        <f>IFERROR(__xludf.DUMMYFUNCTION("""COMPUTED_VALUE"""),"Abz Marfa")</f>
        <v>Abz Marfa</v>
      </c>
      <c r="B3" s="3">
        <f>IFERROR(__xludf.DUMMYFUNCTION("iferror(sum(query('OTPI Scores'!$A:$AA,""select AA where C = '""&amp;A3&amp;""'  and B!='Friendly' order by A desc limit 5"",0)),0)"),17.0)</f>
        <v>17</v>
      </c>
    </row>
    <row r="4">
      <c r="A4" s="3" t="str">
        <f>IFERROR(__xludf.DUMMYFUNCTION("""COMPUTED_VALUE"""),"Adam Platten")</f>
        <v>Adam Platten</v>
      </c>
      <c r="B4" s="3">
        <f>IFERROR(__xludf.DUMMYFUNCTION("iferror(sum(query('OTPI Scores'!$A:$AA,""select AA where C = '""&amp;A4&amp;""'  and B!='Friendly' order by A desc limit 5"",0)),0)"),26.0)</f>
        <v>26</v>
      </c>
    </row>
    <row r="5">
      <c r="A5" s="3" t="str">
        <f>IFERROR(__xludf.DUMMYFUNCTION("""COMPUTED_VALUE"""),"Ade Lawal")</f>
        <v>Ade Lawal</v>
      </c>
      <c r="B5" s="3">
        <f>IFERROR(__xludf.DUMMYFUNCTION("iferror(sum(query('OTPI Scores'!$A:$AA,""select AA where C = '""&amp;A5&amp;""'  and B!='Friendly' order by A desc limit 5"",0)),0)"),38.0)</f>
        <v>38</v>
      </c>
    </row>
    <row r="6">
      <c r="A6" s="3" t="str">
        <f>IFERROR(__xludf.DUMMYFUNCTION("""COMPUTED_VALUE"""),"Afnan Khan")</f>
        <v>Afnan Khan</v>
      </c>
      <c r="B6" s="3">
        <f>IFERROR(__xludf.DUMMYFUNCTION("iferror(sum(query('OTPI Scores'!$A:$AA,""select AA where C = '""&amp;A6&amp;""'  and B!='Friendly' order by A desc limit 5"",0)),0)"),9.0)</f>
        <v>9</v>
      </c>
    </row>
    <row r="7">
      <c r="A7" s="3" t="str">
        <f>IFERROR(__xludf.DUMMYFUNCTION("""COMPUTED_VALUE"""),"Aidan Byrne")</f>
        <v>Aidan Byrne</v>
      </c>
      <c r="B7" s="3">
        <f>IFERROR(__xludf.DUMMYFUNCTION("iferror(sum(query('OTPI Scores'!$A:$AA,""select AA where C = '""&amp;A7&amp;""'  and B!='Friendly' order by A desc limit 5"",0)),0)"),24.0)</f>
        <v>24</v>
      </c>
    </row>
    <row r="8">
      <c r="A8" s="3" t="str">
        <f>IFERROR(__xludf.DUMMYFUNCTION("""COMPUTED_VALUE"""),"Al Humphrey")</f>
        <v>Al Humphrey</v>
      </c>
      <c r="B8" s="3">
        <f>IFERROR(__xludf.DUMMYFUNCTION("iferror(sum(query('OTPI Scores'!$A:$AA,""select AA where C = '""&amp;A8&amp;""'  and B!='Friendly' order by A desc limit 5"",0)),0)"),5.0)</f>
        <v>5</v>
      </c>
    </row>
    <row r="9">
      <c r="A9" s="3" t="str">
        <f>IFERROR(__xludf.DUMMYFUNCTION("""COMPUTED_VALUE"""),"Alex Clark")</f>
        <v>Alex Clark</v>
      </c>
      <c r="B9" s="3">
        <f>IFERROR(__xludf.DUMMYFUNCTION("iferror(sum(query('OTPI Scores'!$A:$AA,""select AA where C = '""&amp;A9&amp;""'  and B!='Friendly' order by A desc limit 5"",0)),0)"),17.0)</f>
        <v>17</v>
      </c>
    </row>
    <row r="10">
      <c r="A10" s="3" t="str">
        <f>IFERROR(__xludf.DUMMYFUNCTION("""COMPUTED_VALUE"""),"Alex Dockerill")</f>
        <v>Alex Dockerill</v>
      </c>
      <c r="B10" s="3">
        <f>IFERROR(__xludf.DUMMYFUNCTION("iferror(sum(query('OTPI Scores'!$A:$AA,""select AA where C = '""&amp;A10&amp;""'  and B!='Friendly' order by A desc limit 5"",0)),0)"),14.0)</f>
        <v>14</v>
      </c>
    </row>
    <row r="11">
      <c r="A11" s="3" t="str">
        <f>IFERROR(__xludf.DUMMYFUNCTION("""COMPUTED_VALUE"""),"Alex Mansfield")</f>
        <v>Alex Mansfield</v>
      </c>
      <c r="B11" s="3">
        <f>IFERROR(__xludf.DUMMYFUNCTION("iferror(sum(query('OTPI Scores'!$A:$AA,""select AA where C = '""&amp;A11&amp;""'  and B!='Friendly' order by A desc limit 5"",0)),0)"),17.0)</f>
        <v>17</v>
      </c>
    </row>
    <row r="12">
      <c r="A12" s="3" t="str">
        <f>IFERROR(__xludf.DUMMYFUNCTION("""COMPUTED_VALUE"""),"Alex Scott-Ruddock")</f>
        <v>Alex Scott-Ruddock</v>
      </c>
      <c r="B12" s="3">
        <f>IFERROR(__xludf.DUMMYFUNCTION("iferror(sum(query('OTPI Scores'!$A:$AA,""select AA where C = '""&amp;A12&amp;""'  and B!='Friendly' order by A desc limit 5"",0)),0)"),25.0)</f>
        <v>25</v>
      </c>
    </row>
    <row r="13">
      <c r="A13" s="3" t="str">
        <f>IFERROR(__xludf.DUMMYFUNCTION("""COMPUTED_VALUE"""),"Alex Stevens")</f>
        <v>Alex Stevens</v>
      </c>
      <c r="B13" s="3">
        <f>IFERROR(__xludf.DUMMYFUNCTION("iferror(sum(query('OTPI Scores'!$A:$AA,""select AA where C = '""&amp;A13&amp;""'  and B!='Friendly' order by A desc limit 5"",0)),0)"),18.0)</f>
        <v>18</v>
      </c>
    </row>
    <row r="14">
      <c r="A14" s="3" t="str">
        <f>IFERROR(__xludf.DUMMYFUNCTION("""COMPUTED_VALUE"""),"Ali Koc")</f>
        <v>Ali Koc</v>
      </c>
      <c r="B14" s="3">
        <f>IFERROR(__xludf.DUMMYFUNCTION("iferror(sum(query('OTPI Scores'!$A:$AA,""select AA where C = '""&amp;A14&amp;""'  and B!='Friendly' order by A desc limit 5"",0)),0)"),1.0)</f>
        <v>1</v>
      </c>
    </row>
    <row r="15">
      <c r="A15" s="3" t="str">
        <f>IFERROR(__xludf.DUMMYFUNCTION("""COMPUTED_VALUE"""),"Andreas Andreou")</f>
        <v>Andreas Andreou</v>
      </c>
      <c r="B15" s="3">
        <f>IFERROR(__xludf.DUMMYFUNCTION("iferror(sum(query('OTPI Scores'!$A:$AA,""select AA where C = '""&amp;A15&amp;""'  and B!='Friendly' order by A desc limit 5"",0)),0)"),2.0)</f>
        <v>2</v>
      </c>
    </row>
    <row r="16">
      <c r="A16" s="3" t="str">
        <f>IFERROR(__xludf.DUMMYFUNCTION("""COMPUTED_VALUE"""),"Andres Ahlgren")</f>
        <v>Andres Ahlgren</v>
      </c>
      <c r="B16" s="3">
        <f>IFERROR(__xludf.DUMMYFUNCTION("iferror(sum(query('OTPI Scores'!$A:$AA,""select AA where C = '""&amp;A16&amp;""'  and B!='Friendly' order by A desc limit 5"",0)),0)"),26.0)</f>
        <v>26</v>
      </c>
    </row>
    <row r="17">
      <c r="A17" s="3" t="str">
        <f>IFERROR(__xludf.DUMMYFUNCTION("""COMPUTED_VALUE"""),"Andrew Barclay")</f>
        <v>Andrew Barclay</v>
      </c>
      <c r="B17" s="3">
        <f>IFERROR(__xludf.DUMMYFUNCTION("iferror(sum(query('OTPI Scores'!$A:$AA,""select AA where C = '""&amp;A17&amp;""'  and B!='Friendly' order by A desc limit 5"",0)),0)"),22.0)</f>
        <v>22</v>
      </c>
    </row>
    <row r="18">
      <c r="A18" s="3" t="str">
        <f>IFERROR(__xludf.DUMMYFUNCTION("""COMPUTED_VALUE"""),"Anish Philips")</f>
        <v>Anish Philips</v>
      </c>
      <c r="B18" s="3">
        <f>IFERROR(__xludf.DUMMYFUNCTION("iferror(sum(query('OTPI Scores'!$A:$AA,""select AA where C = '""&amp;A18&amp;""'  and B!='Friendly' order by A desc limit 5"",0)),0)"),10.0)</f>
        <v>10</v>
      </c>
    </row>
    <row r="19">
      <c r="A19" s="3" t="str">
        <f>IFERROR(__xludf.DUMMYFUNCTION("""COMPUTED_VALUE"""),"Anitej Rao")</f>
        <v>Anitej Rao</v>
      </c>
      <c r="B19" s="3">
        <f>IFERROR(__xludf.DUMMYFUNCTION("iferror(sum(query('OTPI Scores'!$A:$AA,""select AA where C = '""&amp;A19&amp;""'  and B!='Friendly' order by A desc limit 5"",0)),0)"),0.0)</f>
        <v>0</v>
      </c>
    </row>
    <row r="20">
      <c r="A20" s="3" t="str">
        <f>IFERROR(__xludf.DUMMYFUNCTION("""COMPUTED_VALUE"""),"Anthony Ball")</f>
        <v>Anthony Ball</v>
      </c>
      <c r="B20" s="3">
        <f>IFERROR(__xludf.DUMMYFUNCTION("iferror(sum(query('OTPI Scores'!$A:$AA,""select AA where C = '""&amp;A20&amp;""'  and B!='Friendly' order by A desc limit 5"",0)),0)"),13.0)</f>
        <v>13</v>
      </c>
    </row>
    <row r="21">
      <c r="A21" s="3" t="str">
        <f>IFERROR(__xludf.DUMMYFUNCTION("""COMPUTED_VALUE"""),"Ash Mayers")</f>
        <v>Ash Mayers</v>
      </c>
      <c r="B21" s="3">
        <f>IFERROR(__xludf.DUMMYFUNCTION("iferror(sum(query('OTPI Scores'!$A:$AA,""select AA where C = '""&amp;A21&amp;""'  and B!='Friendly' order by A desc limit 5"",0)),0)"),18.0)</f>
        <v>18</v>
      </c>
    </row>
    <row r="22">
      <c r="A22" s="3" t="str">
        <f>IFERROR(__xludf.DUMMYFUNCTION("""COMPUTED_VALUE"""),"Ben Dockerill")</f>
        <v>Ben Dockerill</v>
      </c>
      <c r="B22" s="3">
        <f>IFERROR(__xludf.DUMMYFUNCTION("iferror(sum(query('OTPI Scores'!$A:$AA,""select AA where C = '""&amp;A22&amp;""'  and B!='Friendly' order by A desc limit 5"",0)),0)"),19.0)</f>
        <v>19</v>
      </c>
    </row>
    <row r="23">
      <c r="A23" s="3" t="str">
        <f>IFERROR(__xludf.DUMMYFUNCTION("""COMPUTED_VALUE"""),"Ben Himpe")</f>
        <v>Ben Himpe</v>
      </c>
      <c r="B23" s="3">
        <f>IFERROR(__xludf.DUMMYFUNCTION("iferror(sum(query('OTPI Scores'!$A:$AA,""select AA where C = '""&amp;A23&amp;""'  and B!='Friendly' order by A desc limit 5"",0)),0)"),14.0)</f>
        <v>14</v>
      </c>
    </row>
    <row r="24">
      <c r="A24" s="3" t="str">
        <f>IFERROR(__xludf.DUMMYFUNCTION("""COMPUTED_VALUE"""),"Ben Roberts")</f>
        <v>Ben Roberts</v>
      </c>
      <c r="B24" s="3">
        <f>IFERROR(__xludf.DUMMYFUNCTION("iferror(sum(query('OTPI Scores'!$A:$AA,""select AA where C = '""&amp;A24&amp;""'  and B!='Friendly' order by A desc limit 5"",0)),0)"),0.0)</f>
        <v>0</v>
      </c>
    </row>
    <row r="25">
      <c r="A25" s="3" t="str">
        <f>IFERROR(__xludf.DUMMYFUNCTION("""COMPUTED_VALUE"""),"Billy King")</f>
        <v>Billy King</v>
      </c>
      <c r="B25" s="3">
        <f>IFERROR(__xludf.DUMMYFUNCTION("iferror(sum(query('OTPI Scores'!$A:$AA,""select AA where C = '""&amp;A25&amp;""'  and B!='Friendly' order by A desc limit 5"",0)),0)"),15.0)</f>
        <v>15</v>
      </c>
    </row>
    <row r="26">
      <c r="A26" s="3" t="str">
        <f>IFERROR(__xludf.DUMMYFUNCTION("""COMPUTED_VALUE"""),"Billy Mclean")</f>
        <v>Billy Mclean</v>
      </c>
      <c r="B26" s="3">
        <f>IFERROR(__xludf.DUMMYFUNCTION("iferror(sum(query('OTPI Scores'!$A:$AA,""select AA where C = '""&amp;A26&amp;""'  and B!='Friendly' order by A desc limit 5"",0)),0)"),20.0)</f>
        <v>20</v>
      </c>
    </row>
    <row r="27">
      <c r="A27" s="3" t="str">
        <f>IFERROR(__xludf.DUMMYFUNCTION("""COMPUTED_VALUE"""),"Calum Bennett")</f>
        <v>Calum Bennett</v>
      </c>
      <c r="B27" s="3">
        <f>IFERROR(__xludf.DUMMYFUNCTION("iferror(sum(query('OTPI Scores'!$A:$AA,""select AA where C = '""&amp;A27&amp;""'  and B!='Friendly' order by A desc limit 5"",0)),0)"),19.0)</f>
        <v>19</v>
      </c>
    </row>
    <row r="28">
      <c r="A28" s="3" t="str">
        <f>IFERROR(__xludf.DUMMYFUNCTION("""COMPUTED_VALUE"""),"Calum Edwards")</f>
        <v>Calum Edwards</v>
      </c>
      <c r="B28" s="3">
        <f>IFERROR(__xludf.DUMMYFUNCTION("iferror(sum(query('OTPI Scores'!$A:$AA,""select AA where C = '""&amp;A28&amp;""'  and B!='Friendly' order by A desc limit 5"",0)),0)"),7.0)</f>
        <v>7</v>
      </c>
    </row>
    <row r="29">
      <c r="A29" s="3" t="str">
        <f>IFERROR(__xludf.DUMMYFUNCTION("""COMPUTED_VALUE"""),"Cameron Divine")</f>
        <v>Cameron Divine</v>
      </c>
      <c r="B29" s="3">
        <f>IFERROR(__xludf.DUMMYFUNCTION("iferror(sum(query('OTPI Scores'!$A:$AA,""select AA where C = '""&amp;A29&amp;""'  and B!='Friendly' order by A desc limit 5"",0)),0)"),2.0)</f>
        <v>2</v>
      </c>
    </row>
    <row r="30">
      <c r="A30" s="3" t="str">
        <f>IFERROR(__xludf.DUMMYFUNCTION("""COMPUTED_VALUE"""),"Cameron Hildebrandt-Brooks")</f>
        <v>Cameron Hildebrandt-Brooks</v>
      </c>
      <c r="B30" s="3">
        <f>IFERROR(__xludf.DUMMYFUNCTION("iferror(sum(query('OTPI Scores'!$A:$AA,""select AA where C = '""&amp;A30&amp;""'  and B!='Friendly' order by A desc limit 5"",0)),0)"),5.0)</f>
        <v>5</v>
      </c>
    </row>
    <row r="31">
      <c r="A31" s="3" t="str">
        <f>IFERROR(__xludf.DUMMYFUNCTION("""COMPUTED_VALUE"""),"Cameron Pashley")</f>
        <v>Cameron Pashley</v>
      </c>
      <c r="B31" s="3">
        <f>IFERROR(__xludf.DUMMYFUNCTION("iferror(sum(query('OTPI Scores'!$A:$AA,""select AA where C = '""&amp;A31&amp;""'  and B!='Friendly' order by A desc limit 5"",0)),0)"),31.0)</f>
        <v>31</v>
      </c>
    </row>
    <row r="32">
      <c r="A32" s="3" t="str">
        <f>IFERROR(__xludf.DUMMYFUNCTION("""COMPUTED_VALUE"""),"Cameron Ward")</f>
        <v>Cameron Ward</v>
      </c>
      <c r="B32" s="3">
        <f>IFERROR(__xludf.DUMMYFUNCTION("iferror(sum(query('OTPI Scores'!$A:$AA,""select AA where C = '""&amp;A32&amp;""'  and B!='Friendly' order by A desc limit 5"",0)),0)"),19.0)</f>
        <v>19</v>
      </c>
    </row>
    <row r="33">
      <c r="A33" s="3" t="str">
        <f>IFERROR(__xludf.DUMMYFUNCTION("""COMPUTED_VALUE"""),"Charlie Brooks")</f>
        <v>Charlie Brooks</v>
      </c>
      <c r="B33" s="3">
        <f>IFERROR(__xludf.DUMMYFUNCTION("iferror(sum(query('OTPI Scores'!$A:$AA,""select AA where C = '""&amp;A33&amp;""'  and B!='Friendly' order by A desc limit 5"",0)),0)"),2.0)</f>
        <v>2</v>
      </c>
    </row>
    <row r="34">
      <c r="A34" s="3" t="str">
        <f>IFERROR(__xludf.DUMMYFUNCTION("""COMPUTED_VALUE"""),"Charlie Doe")</f>
        <v>Charlie Doe</v>
      </c>
      <c r="B34" s="3">
        <f>IFERROR(__xludf.DUMMYFUNCTION("iferror(sum(query('OTPI Scores'!$A:$AA,""select AA where C = '""&amp;A34&amp;""'  and B!='Friendly' order by A desc limit 5"",0)),0)"),10.0)</f>
        <v>10</v>
      </c>
    </row>
    <row r="35">
      <c r="A35" s="3" t="str">
        <f>IFERROR(__xludf.DUMMYFUNCTION("""COMPUTED_VALUE"""),"Charlie Heptinstall")</f>
        <v>Charlie Heptinstall</v>
      </c>
      <c r="B35" s="3">
        <f>IFERROR(__xludf.DUMMYFUNCTION("iferror(sum(query('OTPI Scores'!$A:$AA,""select AA where C = '""&amp;A35&amp;""'  and B!='Friendly' order by A desc limit 5"",0)),0)"),5.0)</f>
        <v>5</v>
      </c>
    </row>
    <row r="36">
      <c r="A36" s="3" t="str">
        <f>IFERROR(__xludf.DUMMYFUNCTION("""COMPUTED_VALUE"""),"Chris Boden")</f>
        <v>Chris Boden</v>
      </c>
      <c r="B36" s="3">
        <f>IFERROR(__xludf.DUMMYFUNCTION("iferror(sum(query('OTPI Scores'!$A:$AA,""select AA where C = '""&amp;A36&amp;""'  and B!='Friendly' order by A desc limit 5"",0)),0)"),3.0)</f>
        <v>3</v>
      </c>
    </row>
    <row r="37">
      <c r="A37" s="3" t="str">
        <f>IFERROR(__xludf.DUMMYFUNCTION("""COMPUTED_VALUE"""),"Chris Claeys")</f>
        <v>Chris Claeys</v>
      </c>
      <c r="B37" s="3">
        <f>IFERROR(__xludf.DUMMYFUNCTION("iferror(sum(query('OTPI Scores'!$A:$AA,""select AA where C = '""&amp;A37&amp;""'  and B!='Friendly' order by A desc limit 5"",0)),0)"),17.0)</f>
        <v>17</v>
      </c>
    </row>
    <row r="38">
      <c r="A38" s="3" t="str">
        <f>IFERROR(__xludf.DUMMYFUNCTION("""COMPUTED_VALUE"""),"Chris Douthwaite")</f>
        <v>Chris Douthwaite</v>
      </c>
      <c r="B38" s="3">
        <f>IFERROR(__xludf.DUMMYFUNCTION("iferror(sum(query('OTPI Scores'!$A:$AA,""select AA where C = '""&amp;A38&amp;""'  and B!='Friendly' order by A desc limit 5"",0)),0)"),20.0)</f>
        <v>20</v>
      </c>
    </row>
    <row r="39">
      <c r="A39" s="3" t="str">
        <f>IFERROR(__xludf.DUMMYFUNCTION("""COMPUTED_VALUE"""),"Chris Lang")</f>
        <v>Chris Lang</v>
      </c>
      <c r="B39" s="3">
        <f>IFERROR(__xludf.DUMMYFUNCTION("iferror(sum(query('OTPI Scores'!$A:$AA,""select AA where C = '""&amp;A39&amp;""'  and B!='Friendly' order by A desc limit 5"",0)),0)"),8.0)</f>
        <v>8</v>
      </c>
    </row>
    <row r="40">
      <c r="A40" s="3" t="str">
        <f>IFERROR(__xludf.DUMMYFUNCTION("""COMPUTED_VALUE"""),"Chris Marx")</f>
        <v>Chris Marx</v>
      </c>
      <c r="B40" s="3">
        <f>IFERROR(__xludf.DUMMYFUNCTION("iferror(sum(query('OTPI Scores'!$A:$AA,""select AA where C = '""&amp;A40&amp;""'  and B!='Friendly' order by A desc limit 5"",0)),0)"),2.0)</f>
        <v>2</v>
      </c>
    </row>
    <row r="41">
      <c r="A41" s="3" t="str">
        <f>IFERROR(__xludf.DUMMYFUNCTION("""COMPUTED_VALUE"""),"Chris Tong")</f>
        <v>Chris Tong</v>
      </c>
      <c r="B41" s="3">
        <f>IFERROR(__xludf.DUMMYFUNCTION("iferror(sum(query('OTPI Scores'!$A:$AA,""select AA where C = '""&amp;A41&amp;""'  and B!='Friendly' order by A desc limit 5"",0)),0)"),4.0)</f>
        <v>4</v>
      </c>
    </row>
    <row r="42">
      <c r="A42" s="3" t="str">
        <f>IFERROR(__xludf.DUMMYFUNCTION("""COMPUTED_VALUE"""),"Chris Weir")</f>
        <v>Chris Weir</v>
      </c>
      <c r="B42" s="3">
        <f>IFERROR(__xludf.DUMMYFUNCTION("iferror(sum(query('OTPI Scores'!$A:$AA,""select AA where C = '""&amp;A42&amp;""'  and B!='Friendly' order by A desc limit 5"",0)),0)"),5.0)</f>
        <v>5</v>
      </c>
    </row>
    <row r="43">
      <c r="A43" s="3" t="str">
        <f>IFERROR(__xludf.DUMMYFUNCTION("""COMPUTED_VALUE"""),"Christian Cleave")</f>
        <v>Christian Cleave</v>
      </c>
      <c r="B43" s="3">
        <f>IFERROR(__xludf.DUMMYFUNCTION("iferror(sum(query('OTPI Scores'!$A:$AA,""select AA where C = '""&amp;A43&amp;""'  and B!='Friendly' order by A desc limit 5"",0)),0)"),0.0)</f>
        <v>0</v>
      </c>
    </row>
    <row r="44">
      <c r="A44" s="3" t="str">
        <f>IFERROR(__xludf.DUMMYFUNCTION("""COMPUTED_VALUE"""),"Christian King")</f>
        <v>Christian King</v>
      </c>
      <c r="B44" s="3">
        <f>IFERROR(__xludf.DUMMYFUNCTION("iferror(sum(query('OTPI Scores'!$A:$AA,""select AA where C = '""&amp;A44&amp;""'  and B!='Friendly' order by A desc limit 5"",0)),0)"),12.0)</f>
        <v>12</v>
      </c>
    </row>
    <row r="45">
      <c r="A45" s="3" t="str">
        <f>IFERROR(__xludf.DUMMYFUNCTION("""COMPUTED_VALUE"""),"Christian Roach")</f>
        <v>Christian Roach</v>
      </c>
      <c r="B45" s="3">
        <f>IFERROR(__xludf.DUMMYFUNCTION("iferror(sum(query('OTPI Scores'!$A:$AA,""select AA where C = '""&amp;A45&amp;""'  and B!='Friendly' order by A desc limit 5"",0)),0)"),0.0)</f>
        <v>0</v>
      </c>
    </row>
    <row r="46">
      <c r="A46" s="3" t="str">
        <f>IFERROR(__xludf.DUMMYFUNCTION("""COMPUTED_VALUE"""),"Ciaran Curran")</f>
        <v>Ciaran Curran</v>
      </c>
      <c r="B46" s="3">
        <f>IFERROR(__xludf.DUMMYFUNCTION("iferror(sum(query('OTPI Scores'!$A:$AA,""select AA where C = '""&amp;A46&amp;""'  and B!='Friendly' order by A desc limit 5"",0)),0)"),21.0)</f>
        <v>21</v>
      </c>
    </row>
    <row r="47">
      <c r="A47" s="3" t="str">
        <f>IFERROR(__xludf.DUMMYFUNCTION("""COMPUTED_VALUE"""),"Claudien Mwalimu")</f>
        <v>Claudien Mwalimu</v>
      </c>
      <c r="B47" s="3">
        <f>IFERROR(__xludf.DUMMYFUNCTION("iferror(sum(query('OTPI Scores'!$A:$AA,""select AA where C = '""&amp;A47&amp;""'  and B!='Friendly' order by A desc limit 5"",0)),0)"),24.0)</f>
        <v>24</v>
      </c>
    </row>
    <row r="48">
      <c r="A48" s="3" t="str">
        <f>IFERROR(__xludf.DUMMYFUNCTION("""COMPUTED_VALUE"""),"Colin Paterson")</f>
        <v>Colin Paterson</v>
      </c>
      <c r="B48" s="3">
        <f>IFERROR(__xludf.DUMMYFUNCTION("iferror(sum(query('OTPI Scores'!$A:$AA,""select AA where C = '""&amp;A48&amp;""'  and B!='Friendly' order by A desc limit 5"",0)),0)"),0.0)</f>
        <v>0</v>
      </c>
    </row>
    <row r="49">
      <c r="A49" s="3" t="str">
        <f>IFERROR(__xludf.DUMMYFUNCTION("""COMPUTED_VALUE"""),"Connor White")</f>
        <v>Connor White</v>
      </c>
      <c r="B49" s="3">
        <f>IFERROR(__xludf.DUMMYFUNCTION("iferror(sum(query('OTPI Scores'!$A:$AA,""select AA where C = '""&amp;A49&amp;""'  and B!='Friendly' order by A desc limit 5"",0)),0)"),24.0)</f>
        <v>24</v>
      </c>
    </row>
    <row r="50">
      <c r="A50" s="3" t="str">
        <f>IFERROR(__xludf.DUMMYFUNCTION("""COMPUTED_VALUE"""),"Corey Cleave")</f>
        <v>Corey Cleave</v>
      </c>
      <c r="B50" s="3">
        <f>IFERROR(__xludf.DUMMYFUNCTION("iferror(sum(query('OTPI Scores'!$A:$AA,""select AA where C = '""&amp;A50&amp;""'  and B!='Friendly' order by A desc limit 5"",0)),0)"),27.0)</f>
        <v>27</v>
      </c>
    </row>
    <row r="51">
      <c r="A51" s="3" t="str">
        <f>IFERROR(__xludf.DUMMYFUNCTION("""COMPUTED_VALUE"""),"Dan Klin")</f>
        <v>Dan Klin</v>
      </c>
      <c r="B51" s="3">
        <f>IFERROR(__xludf.DUMMYFUNCTION("iferror(sum(query('OTPI Scores'!$A:$AA,""select AA where C = '""&amp;A51&amp;""'  and B!='Friendly' order by A desc limit 5"",0)),0)"),22.0)</f>
        <v>22</v>
      </c>
    </row>
    <row r="52">
      <c r="A52" s="3" t="str">
        <f>IFERROR(__xludf.DUMMYFUNCTION("""COMPUTED_VALUE"""),"Dan Russell")</f>
        <v>Dan Russell</v>
      </c>
      <c r="B52" s="3">
        <f>IFERROR(__xludf.DUMMYFUNCTION("iferror(sum(query('OTPI Scores'!$A:$AA,""select AA where C = '""&amp;A52&amp;""'  and B!='Friendly' order by A desc limit 5"",0)),0)"),22.0)</f>
        <v>22</v>
      </c>
    </row>
    <row r="53">
      <c r="A53" s="3" t="str">
        <f>IFERROR(__xludf.DUMMYFUNCTION("""COMPUTED_VALUE"""),"Daniel Salazar Ponce")</f>
        <v>Daniel Salazar Ponce</v>
      </c>
      <c r="B53" s="3">
        <f>IFERROR(__xludf.DUMMYFUNCTION("iferror(sum(query('OTPI Scores'!$A:$AA,""select AA where C = '""&amp;A53&amp;""'  and B!='Friendly' order by A desc limit 5"",0)),0)"),0.0)</f>
        <v>0</v>
      </c>
    </row>
    <row r="54">
      <c r="A54" s="3" t="str">
        <f>IFERROR(__xludf.DUMMYFUNCTION("""COMPUTED_VALUE"""),"Daniel Sheehan")</f>
        <v>Daniel Sheehan</v>
      </c>
      <c r="B54" s="3">
        <f>IFERROR(__xludf.DUMMYFUNCTION("iferror(sum(query('OTPI Scores'!$A:$AA,""select AA where C = '""&amp;A54&amp;""'  and B!='Friendly' order by A desc limit 5"",0)),0)"),23.0)</f>
        <v>23</v>
      </c>
    </row>
    <row r="55">
      <c r="A55" s="3" t="str">
        <f>IFERROR(__xludf.DUMMYFUNCTION("""COMPUTED_VALUE"""),"Dave Webster")</f>
        <v>Dave Webster</v>
      </c>
      <c r="B55" s="3">
        <f>IFERROR(__xludf.DUMMYFUNCTION("iferror(sum(query('OTPI Scores'!$A:$AA,""select AA where C = '""&amp;A55&amp;""'  and B!='Friendly' order by A desc limit 5"",0)),0)"),5.0)</f>
        <v>5</v>
      </c>
    </row>
    <row r="56">
      <c r="A56" s="3" t="str">
        <f>IFERROR(__xludf.DUMMYFUNCTION("""COMPUTED_VALUE"""),"David Holmes-White")</f>
        <v>David Holmes-White</v>
      </c>
      <c r="B56" s="3">
        <f>IFERROR(__xludf.DUMMYFUNCTION("iferror(sum(query('OTPI Scores'!$A:$AA,""select AA where C = '""&amp;A56&amp;""'  and B!='Friendly' order by A desc limit 5"",0)),0)"),12.0)</f>
        <v>12</v>
      </c>
    </row>
    <row r="57">
      <c r="A57" s="3" t="str">
        <f>IFERROR(__xludf.DUMMYFUNCTION("""COMPUTED_VALUE"""),"Dean Wright")</f>
        <v>Dean Wright</v>
      </c>
      <c r="B57" s="3">
        <f>IFERROR(__xludf.DUMMYFUNCTION("iferror(sum(query('OTPI Scores'!$A:$AA,""select AA where C = '""&amp;A57&amp;""'  and B!='Friendly' order by A desc limit 5"",0)),0)"),7.0)</f>
        <v>7</v>
      </c>
    </row>
    <row r="58">
      <c r="A58" s="3" t="str">
        <f>IFERROR(__xludf.DUMMYFUNCTION("""COMPUTED_VALUE"""),"Deji Ogunyemi")</f>
        <v>Deji Ogunyemi</v>
      </c>
      <c r="B58" s="3">
        <f>IFERROR(__xludf.DUMMYFUNCTION("iferror(sum(query('OTPI Scores'!$A:$AA,""select AA where C = '""&amp;A58&amp;""'  and B!='Friendly' order by A desc limit 5"",0)),0)"),24.0)</f>
        <v>24</v>
      </c>
    </row>
    <row r="59">
      <c r="A59" s="3" t="str">
        <f>IFERROR(__xludf.DUMMYFUNCTION("""COMPUTED_VALUE"""),"Denver Lalonde")</f>
        <v>Denver Lalonde</v>
      </c>
      <c r="B59" s="3">
        <f>IFERROR(__xludf.DUMMYFUNCTION("iferror(sum(query('OTPI Scores'!$A:$AA,""select AA where C = '""&amp;A59&amp;""'  and B!='Friendly' order by A desc limit 5"",0)),0)"),15.0)</f>
        <v>15</v>
      </c>
    </row>
    <row r="60">
      <c r="A60" s="3" t="str">
        <f>IFERROR(__xludf.DUMMYFUNCTION("""COMPUTED_VALUE"""),"Dereece Pinder")</f>
        <v>Dereece Pinder</v>
      </c>
      <c r="B60" s="3">
        <f>IFERROR(__xludf.DUMMYFUNCTION("iferror(sum(query('OTPI Scores'!$A:$AA,""select AA where C = '""&amp;A60&amp;""'  and B!='Friendly' order by A desc limit 5"",0)),0)"),8.0)</f>
        <v>8</v>
      </c>
    </row>
    <row r="61">
      <c r="A61" s="3" t="str">
        <f>IFERROR(__xludf.DUMMYFUNCTION("""COMPUTED_VALUE"""),"Dom Robbins")</f>
        <v>Dom Robbins</v>
      </c>
      <c r="B61" s="3">
        <f>IFERROR(__xludf.DUMMYFUNCTION("iferror(sum(query('OTPI Scores'!$A:$AA,""select AA where C = '""&amp;A61&amp;""'  and B!='Friendly' order by A desc limit 5"",0)),0)"),13.0)</f>
        <v>13</v>
      </c>
    </row>
    <row r="62">
      <c r="A62" s="3" t="str">
        <f>IFERROR(__xludf.DUMMYFUNCTION("""COMPUTED_VALUE"""),"Ed Wightman")</f>
        <v>Ed Wightman</v>
      </c>
      <c r="B62" s="3">
        <f>IFERROR(__xludf.DUMMYFUNCTION("iferror(sum(query('OTPI Scores'!$A:$AA,""select AA where C = '""&amp;A62&amp;""'  and B!='Friendly' order by A desc limit 5"",0)),0)"),24.0)</f>
        <v>24</v>
      </c>
    </row>
    <row r="63">
      <c r="A63" s="3" t="str">
        <f>IFERROR(__xludf.DUMMYFUNCTION("""COMPUTED_VALUE"""),"Ellis Forrester")</f>
        <v>Ellis Forrester</v>
      </c>
      <c r="B63" s="3">
        <f>IFERROR(__xludf.DUMMYFUNCTION("iferror(sum(query('OTPI Scores'!$A:$AA,""select AA where C = '""&amp;A63&amp;""'  and B!='Friendly' order by A desc limit 5"",0)),0)"),7.0)</f>
        <v>7</v>
      </c>
    </row>
    <row r="64">
      <c r="A64" s="3" t="str">
        <f>IFERROR(__xludf.DUMMYFUNCTION("""COMPUTED_VALUE"""),"Emi Muhadri")</f>
        <v>Emi Muhadri</v>
      </c>
      <c r="B64" s="3">
        <f>IFERROR(__xludf.DUMMYFUNCTION("iferror(sum(query('OTPI Scores'!$A:$AA,""select AA where C = '""&amp;A64&amp;""'  and B!='Friendly' order by A desc limit 5"",0)),0)"),10.0)</f>
        <v>10</v>
      </c>
    </row>
    <row r="65">
      <c r="A65" s="3" t="str">
        <f>IFERROR(__xludf.DUMMYFUNCTION("""COMPUTED_VALUE"""),"Ewan Harris")</f>
        <v>Ewan Harris</v>
      </c>
      <c r="B65" s="3">
        <f>IFERROR(__xludf.DUMMYFUNCTION("iferror(sum(query('OTPI Scores'!$A:$AA,""select AA where C = '""&amp;A65&amp;""'  and B!='Friendly' order by A desc limit 5"",0)),0)"),18.0)</f>
        <v>18</v>
      </c>
    </row>
    <row r="66">
      <c r="A66" s="3" t="str">
        <f>IFERROR(__xludf.DUMMYFUNCTION("""COMPUTED_VALUE"""),"Ewan Porteous")</f>
        <v>Ewan Porteous</v>
      </c>
      <c r="B66" s="3">
        <f>IFERROR(__xludf.DUMMYFUNCTION("iferror(sum(query('OTPI Scores'!$A:$AA,""select AA where C = '""&amp;A66&amp;""'  and B!='Friendly' order by A desc limit 5"",0)),0)"),0.0)</f>
        <v>0</v>
      </c>
    </row>
    <row r="67">
      <c r="A67" s="3" t="str">
        <f>IFERROR(__xludf.DUMMYFUNCTION("""COMPUTED_VALUE"""),"Fabio Teixeira")</f>
        <v>Fabio Teixeira</v>
      </c>
      <c r="B67" s="3">
        <f>IFERROR(__xludf.DUMMYFUNCTION("iferror(sum(query('OTPI Scores'!$A:$AA,""select AA where C = '""&amp;A67&amp;""'  and B!='Friendly' order by A desc limit 5"",0)),0)"),4.0)</f>
        <v>4</v>
      </c>
    </row>
    <row r="68">
      <c r="A68" s="3" t="str">
        <f>IFERROR(__xludf.DUMMYFUNCTION("""COMPUTED_VALUE"""),"Finn Coolen")</f>
        <v>Finn Coolen</v>
      </c>
      <c r="B68" s="3">
        <f>IFERROR(__xludf.DUMMYFUNCTION("iferror(sum(query('OTPI Scores'!$A:$AA,""select AA where C = '""&amp;A68&amp;""'  and B!='Friendly' order by A desc limit 5"",0)),0)"),12.0)</f>
        <v>12</v>
      </c>
    </row>
    <row r="69">
      <c r="A69" s="3" t="str">
        <f>IFERROR(__xludf.DUMMYFUNCTION("""COMPUTED_VALUE"""),"Fraser Wylie")</f>
        <v>Fraser Wylie</v>
      </c>
      <c r="B69" s="3">
        <f>IFERROR(__xludf.DUMMYFUNCTION("iferror(sum(query('OTPI Scores'!$A:$AA,""select AA where C = '""&amp;A69&amp;""'  and B!='Friendly' order by A desc limit 5"",0)),0)"),6.0)</f>
        <v>6</v>
      </c>
    </row>
    <row r="70">
      <c r="A70" s="3" t="str">
        <f>IFERROR(__xludf.DUMMYFUNCTION("""COMPUTED_VALUE"""),"Gaz Wheldale")</f>
        <v>Gaz Wheldale</v>
      </c>
      <c r="B70" s="3">
        <f>IFERROR(__xludf.DUMMYFUNCTION("iferror(sum(query('OTPI Scores'!$A:$AA,""select AA where C = '""&amp;A70&amp;""'  and B!='Friendly' order by A desc limit 5"",0)),0)"),19.0)</f>
        <v>19</v>
      </c>
    </row>
    <row r="71">
      <c r="A71" s="3" t="str">
        <f>IFERROR(__xludf.DUMMYFUNCTION("""COMPUTED_VALUE"""),"George Connolly")</f>
        <v>George Connolly</v>
      </c>
      <c r="B71" s="3">
        <f>IFERROR(__xludf.DUMMYFUNCTION("iferror(sum(query('OTPI Scores'!$A:$AA,""select AA where C = '""&amp;A71&amp;""'  and B!='Friendly' order by A desc limit 5"",0)),0)"),34.0)</f>
        <v>34</v>
      </c>
    </row>
    <row r="72">
      <c r="A72" s="3" t="str">
        <f>IFERROR(__xludf.DUMMYFUNCTION("""COMPUTED_VALUE"""),"George Havord")</f>
        <v>George Havord</v>
      </c>
      <c r="B72" s="3">
        <f>IFERROR(__xludf.DUMMYFUNCTION("iferror(sum(query('OTPI Scores'!$A:$AA,""select AA where C = '""&amp;A72&amp;""'  and B!='Friendly' order by A desc limit 5"",0)),0)"),18.0)</f>
        <v>18</v>
      </c>
    </row>
    <row r="73">
      <c r="A73" s="3" t="str">
        <f>IFERROR(__xludf.DUMMYFUNCTION("""COMPUTED_VALUE"""),"Gulled Hersi")</f>
        <v>Gulled Hersi</v>
      </c>
      <c r="B73" s="3">
        <f>IFERROR(__xludf.DUMMYFUNCTION("iferror(sum(query('OTPI Scores'!$A:$AA,""select AA where C = '""&amp;A73&amp;""'  and B!='Friendly' order by A desc limit 5"",0)),0)"),0.0)</f>
        <v>0</v>
      </c>
    </row>
    <row r="74">
      <c r="A74" s="3" t="str">
        <f>IFERROR(__xludf.DUMMYFUNCTION("""COMPUTED_VALUE"""),"Gus Neill")</f>
        <v>Gus Neill</v>
      </c>
      <c r="B74" s="3">
        <f>IFERROR(__xludf.DUMMYFUNCTION("iferror(sum(query('OTPI Scores'!$A:$AA,""select AA where C = '""&amp;A74&amp;""'  and B!='Friendly' order by A desc limit 5"",0)),0)"),4.0)</f>
        <v>4</v>
      </c>
    </row>
    <row r="75">
      <c r="A75" s="3" t="str">
        <f>IFERROR(__xludf.DUMMYFUNCTION("""COMPUTED_VALUE"""),"Hallam Wye")</f>
        <v>Hallam Wye</v>
      </c>
      <c r="B75" s="3">
        <f>IFERROR(__xludf.DUMMYFUNCTION("iferror(sum(query('OTPI Scores'!$A:$AA,""select AA where C = '""&amp;A75&amp;""'  and B!='Friendly' order by A desc limit 5"",0)),0)"),9.0)</f>
        <v>9</v>
      </c>
    </row>
    <row r="76">
      <c r="A76" s="3" t="str">
        <f>IFERROR(__xludf.DUMMYFUNCTION("""COMPUTED_VALUE"""),"Harold Kiyingi")</f>
        <v>Harold Kiyingi</v>
      </c>
      <c r="B76" s="3">
        <f>IFERROR(__xludf.DUMMYFUNCTION("iferror(sum(query('OTPI Scores'!$A:$AA,""select AA where C = '""&amp;A76&amp;""'  and B!='Friendly' order by A desc limit 5"",0)),0)"),10.0)</f>
        <v>10</v>
      </c>
    </row>
    <row r="77">
      <c r="A77" s="3" t="str">
        <f>IFERROR(__xludf.DUMMYFUNCTION("""COMPUTED_VALUE"""),"Harrison Woolley")</f>
        <v>Harrison Woolley</v>
      </c>
      <c r="B77" s="3">
        <f>IFERROR(__xludf.DUMMYFUNCTION("iferror(sum(query('OTPI Scores'!$A:$AA,""select AA where C = '""&amp;A77&amp;""'  and B!='Friendly' order by A desc limit 5"",0)),0)"),2.0)</f>
        <v>2</v>
      </c>
    </row>
    <row r="78">
      <c r="A78" s="3" t="str">
        <f>IFERROR(__xludf.DUMMYFUNCTION("""COMPUTED_VALUE"""),"Harry Calvesbert")</f>
        <v>Harry Calvesbert</v>
      </c>
      <c r="B78" s="3">
        <f>IFERROR(__xludf.DUMMYFUNCTION("iferror(sum(query('OTPI Scores'!$A:$AA,""select AA where C = '""&amp;A78&amp;""'  and B!='Friendly' order by A desc limit 5"",0)),0)"),9.0)</f>
        <v>9</v>
      </c>
    </row>
    <row r="79">
      <c r="A79" s="3" t="str">
        <f>IFERROR(__xludf.DUMMYFUNCTION("""COMPUTED_VALUE"""),"Harry Fripp")</f>
        <v>Harry Fripp</v>
      </c>
      <c r="B79" s="3">
        <f>IFERROR(__xludf.DUMMYFUNCTION("iferror(sum(query('OTPI Scores'!$A:$AA,""select AA where C = '""&amp;A79&amp;""'  and B!='Friendly' order by A desc limit 5"",0)),0)"),26.0)</f>
        <v>26</v>
      </c>
    </row>
    <row r="80">
      <c r="A80" s="3" t="str">
        <f>IFERROR(__xludf.DUMMYFUNCTION("""COMPUTED_VALUE"""),"Henry Pepperell")</f>
        <v>Henry Pepperell</v>
      </c>
      <c r="B80" s="3">
        <f>IFERROR(__xludf.DUMMYFUNCTION("iferror(sum(query('OTPI Scores'!$A:$AA,""select AA where C = '""&amp;A80&amp;""'  and B!='Friendly' order by A desc limit 5"",0)),0)"),14.0)</f>
        <v>14</v>
      </c>
    </row>
    <row r="81">
      <c r="A81" s="3" t="str">
        <f>IFERROR(__xludf.DUMMYFUNCTION("""COMPUTED_VALUE"""),"Isaac Adepegba")</f>
        <v>Isaac Adepegba</v>
      </c>
      <c r="B81" s="3">
        <f>IFERROR(__xludf.DUMMYFUNCTION("iferror(sum(query('OTPI Scores'!$A:$AA,""select AA where C = '""&amp;A81&amp;""'  and B!='Friendly' order by A desc limit 5"",0)),0)"),14.0)</f>
        <v>14</v>
      </c>
    </row>
    <row r="82">
      <c r="A82" s="3" t="str">
        <f>IFERROR(__xludf.DUMMYFUNCTION("""COMPUTED_VALUE"""),"Ismail Wall")</f>
        <v>Ismail Wall</v>
      </c>
      <c r="B82" s="3">
        <f>IFERROR(__xludf.DUMMYFUNCTION("iferror(sum(query('OTPI Scores'!$A:$AA,""select AA where C = '""&amp;A82&amp;""'  and B!='Friendly' order by A desc limit 5"",0)),0)"),7.0)</f>
        <v>7</v>
      </c>
    </row>
    <row r="83">
      <c r="A83" s="3" t="str">
        <f>IFERROR(__xludf.DUMMYFUNCTION("""COMPUTED_VALUE"""),"Jabari Dixon")</f>
        <v>Jabari Dixon</v>
      </c>
      <c r="B83" s="3">
        <f>IFERROR(__xludf.DUMMYFUNCTION("iferror(sum(query('OTPI Scores'!$A:$AA,""select AA where C = '""&amp;A83&amp;""'  and B!='Friendly' order by A desc limit 5"",0)),0)"),12.0)</f>
        <v>12</v>
      </c>
    </row>
    <row r="84">
      <c r="A84" s="3" t="str">
        <f>IFERROR(__xludf.DUMMYFUNCTION("""COMPUTED_VALUE"""),"Jack Butcher")</f>
        <v>Jack Butcher</v>
      </c>
      <c r="B84" s="3">
        <f>IFERROR(__xludf.DUMMYFUNCTION("iferror(sum(query('OTPI Scores'!$A:$AA,""select AA where C = '""&amp;A84&amp;""'  and B!='Friendly' order by A desc limit 5"",0)),0)"),8.0)</f>
        <v>8</v>
      </c>
    </row>
    <row r="85">
      <c r="A85" s="3" t="str">
        <f>IFERROR(__xludf.DUMMYFUNCTION("""COMPUTED_VALUE"""),"Jack Harris")</f>
        <v>Jack Harris</v>
      </c>
      <c r="B85" s="3">
        <f>IFERROR(__xludf.DUMMYFUNCTION("iferror(sum(query('OTPI Scores'!$A:$AA,""select AA where C = '""&amp;A85&amp;""'  and B!='Friendly' order by A desc limit 5"",0)),0)"),30.0)</f>
        <v>30</v>
      </c>
    </row>
    <row r="86">
      <c r="A86" s="3" t="str">
        <f>IFERROR(__xludf.DUMMYFUNCTION("""COMPUTED_VALUE"""),"Jack Hind")</f>
        <v>Jack Hind</v>
      </c>
      <c r="B86" s="3">
        <f>IFERROR(__xludf.DUMMYFUNCTION("iferror(sum(query('OTPI Scores'!$A:$AA,""select AA where C = '""&amp;A86&amp;""'  and B!='Friendly' order by A desc limit 5"",0)),0)"),12.0)</f>
        <v>12</v>
      </c>
    </row>
    <row r="87">
      <c r="A87" s="3" t="str">
        <f>IFERROR(__xludf.DUMMYFUNCTION("""COMPUTED_VALUE"""),"James Bashford")</f>
        <v>James Bashford</v>
      </c>
      <c r="B87" s="3">
        <f>IFERROR(__xludf.DUMMYFUNCTION("iferror(sum(query('OTPI Scores'!$A:$AA,""select AA where C = '""&amp;A87&amp;""'  and B!='Friendly' order by A desc limit 5"",0)),0)"),0.0)</f>
        <v>0</v>
      </c>
    </row>
    <row r="88">
      <c r="A88" s="3" t="str">
        <f>IFERROR(__xludf.DUMMYFUNCTION("""COMPUTED_VALUE"""),"James Black")</f>
        <v>James Black</v>
      </c>
      <c r="B88" s="3">
        <f>IFERROR(__xludf.DUMMYFUNCTION("iferror(sum(query('OTPI Scores'!$A:$AA,""select AA where C = '""&amp;A88&amp;""'  and B!='Friendly' order by A desc limit 5"",0)),0)"),2.0)</f>
        <v>2</v>
      </c>
    </row>
    <row r="89">
      <c r="A89" s="3" t="str">
        <f>IFERROR(__xludf.DUMMYFUNCTION("""COMPUTED_VALUE"""),"James Rodriguez")</f>
        <v>James Rodriguez</v>
      </c>
      <c r="B89" s="3">
        <f>IFERROR(__xludf.DUMMYFUNCTION("iferror(sum(query('OTPI Scores'!$A:$AA,""select AA where C = '""&amp;A89&amp;""'  and B!='Friendly' order by A desc limit 5"",0)),0)"),10.0)</f>
        <v>10</v>
      </c>
    </row>
    <row r="90">
      <c r="A90" s="3" t="str">
        <f>IFERROR(__xludf.DUMMYFUNCTION("""COMPUTED_VALUE"""),"James Timmins")</f>
        <v>James Timmins</v>
      </c>
      <c r="B90" s="3">
        <f>IFERROR(__xludf.DUMMYFUNCTION("iferror(sum(query('OTPI Scores'!$A:$AA,""select AA where C = '""&amp;A90&amp;""'  and B!='Friendly' order by A desc limit 5"",0)),0)"),15.0)</f>
        <v>15</v>
      </c>
    </row>
    <row r="91">
      <c r="A91" s="3" t="str">
        <f>IFERROR(__xludf.DUMMYFUNCTION("""COMPUTED_VALUE"""),"Jamie Arkell")</f>
        <v>Jamie Arkell</v>
      </c>
      <c r="B91" s="3">
        <f>IFERROR(__xludf.DUMMYFUNCTION("iferror(sum(query('OTPI Scores'!$A:$AA,""select AA where C = '""&amp;A91&amp;""'  and B!='Friendly' order by A desc limit 5"",0)),0)"),14.0)</f>
        <v>14</v>
      </c>
    </row>
    <row r="92">
      <c r="A92" s="3" t="str">
        <f>IFERROR(__xludf.DUMMYFUNCTION("""COMPUTED_VALUE"""),"Jamie Dedman")</f>
        <v>Jamie Dedman</v>
      </c>
      <c r="B92" s="3">
        <f>IFERROR(__xludf.DUMMYFUNCTION("iferror(sum(query('OTPI Scores'!$A:$AA,""select AA where C = '""&amp;A92&amp;""'  and B!='Friendly' order by A desc limit 5"",0)),0)"),2.0)</f>
        <v>2</v>
      </c>
    </row>
    <row r="93">
      <c r="A93" s="3" t="str">
        <f>IFERROR(__xludf.DUMMYFUNCTION("""COMPUTED_VALUE"""),"Jamie Wood")</f>
        <v>Jamie Wood</v>
      </c>
      <c r="B93" s="3">
        <f>IFERROR(__xludf.DUMMYFUNCTION("iferror(sum(query('OTPI Scores'!$A:$AA,""select AA where C = '""&amp;A93&amp;""'  and B!='Friendly' order by A desc limit 5"",0)),0)"),16.0)</f>
        <v>16</v>
      </c>
    </row>
    <row r="94">
      <c r="A94" s="3" t="str">
        <f>IFERROR(__xludf.DUMMYFUNCTION("""COMPUTED_VALUE"""),"Janam Satra")</f>
        <v>Janam Satra</v>
      </c>
      <c r="B94" s="3">
        <f>IFERROR(__xludf.DUMMYFUNCTION("iferror(sum(query('OTPI Scores'!$A:$AA,""select AA where C = '""&amp;A94&amp;""'  and B!='Friendly' order by A desc limit 5"",0)),0)"),12.0)</f>
        <v>12</v>
      </c>
    </row>
    <row r="95">
      <c r="A95" s="3" t="str">
        <f>IFERROR(__xludf.DUMMYFUNCTION("""COMPUTED_VALUE"""),"Jarvis Cheek")</f>
        <v>Jarvis Cheek</v>
      </c>
      <c r="B95" s="3">
        <f>IFERROR(__xludf.DUMMYFUNCTION("iferror(sum(query('OTPI Scores'!$A:$AA,""select AA where C = '""&amp;A95&amp;""'  and B!='Friendly' order by A desc limit 5"",0)),0)"),42.0)</f>
        <v>42</v>
      </c>
    </row>
    <row r="96">
      <c r="A96" s="3" t="str">
        <f>IFERROR(__xludf.DUMMYFUNCTION("""COMPUTED_VALUE"""),"Jason Heath")</f>
        <v>Jason Heath</v>
      </c>
      <c r="B96" s="3">
        <f>IFERROR(__xludf.DUMMYFUNCTION("iferror(sum(query('OTPI Scores'!$A:$AA,""select AA where C = '""&amp;A96&amp;""'  and B!='Friendly' order by A desc limit 5"",0)),0)"),13.0)</f>
        <v>13</v>
      </c>
    </row>
    <row r="97">
      <c r="A97" s="3" t="str">
        <f>IFERROR(__xludf.DUMMYFUNCTION("""COMPUTED_VALUE"""),"Jason Nwakaeze")</f>
        <v>Jason Nwakaeze</v>
      </c>
      <c r="B97" s="3">
        <f>IFERROR(__xludf.DUMMYFUNCTION("iferror(sum(query('OTPI Scores'!$A:$AA,""select AA where C = '""&amp;A97&amp;""'  and B!='Friendly' order by A desc limit 5"",0)),0)"),18.0)</f>
        <v>18</v>
      </c>
    </row>
    <row r="98">
      <c r="A98" s="3" t="str">
        <f>IFERROR(__xludf.DUMMYFUNCTION("""COMPUTED_VALUE"""),"Jason Raife")</f>
        <v>Jason Raife</v>
      </c>
      <c r="B98" s="3">
        <f>IFERROR(__xludf.DUMMYFUNCTION("iferror(sum(query('OTPI Scores'!$A:$AA,""select AA where C = '""&amp;A98&amp;""'  and B!='Friendly' order by A desc limit 5"",0)),0)"),2.0)</f>
        <v>2</v>
      </c>
    </row>
    <row r="99">
      <c r="A99" s="3" t="str">
        <f>IFERROR(__xludf.DUMMYFUNCTION("""COMPUTED_VALUE"""),"Jay Mair")</f>
        <v>Jay Mair</v>
      </c>
      <c r="B99" s="3">
        <f>IFERROR(__xludf.DUMMYFUNCTION("iferror(sum(query('OTPI Scores'!$A:$AA,""select AA where C = '""&amp;A99&amp;""'  and B!='Friendly' order by A desc limit 5"",0)),0)"),8.0)</f>
        <v>8</v>
      </c>
    </row>
    <row r="100">
      <c r="A100" s="3" t="str">
        <f>IFERROR(__xludf.DUMMYFUNCTION("""COMPUTED_VALUE"""),"Jayden Wong")</f>
        <v>Jayden Wong</v>
      </c>
      <c r="B100" s="3">
        <f>IFERROR(__xludf.DUMMYFUNCTION("iferror(sum(query('OTPI Scores'!$A:$AA,""select AA where C = '""&amp;A100&amp;""'  and B!='Friendly' order by A desc limit 5"",0)),0)"),4.0)</f>
        <v>4</v>
      </c>
    </row>
    <row r="101">
      <c r="A101" s="3" t="str">
        <f>IFERROR(__xludf.DUMMYFUNCTION("""COMPUTED_VALUE"""),"Jed Evamy")</f>
        <v>Jed Evamy</v>
      </c>
      <c r="B101" s="3">
        <f>IFERROR(__xludf.DUMMYFUNCTION("iferror(sum(query('OTPI Scores'!$A:$AA,""select AA where C = '""&amp;A101&amp;""'  and B!='Friendly' order by A desc limit 5"",0)),0)"),13.0)</f>
        <v>13</v>
      </c>
    </row>
    <row r="102">
      <c r="A102" s="3" t="str">
        <f>IFERROR(__xludf.DUMMYFUNCTION("""COMPUTED_VALUE"""),"Jerome Goncalves")</f>
        <v>Jerome Goncalves</v>
      </c>
      <c r="B102" s="3">
        <f>IFERROR(__xludf.DUMMYFUNCTION("iferror(sum(query('OTPI Scores'!$A:$AA,""select AA where C = '""&amp;A102&amp;""'  and B!='Friendly' order by A desc limit 5"",0)),0)"),15.0)</f>
        <v>15</v>
      </c>
    </row>
    <row r="103">
      <c r="A103" s="3" t="str">
        <f>IFERROR(__xludf.DUMMYFUNCTION("""COMPUTED_VALUE"""),"Joe Docherty")</f>
        <v>Joe Docherty</v>
      </c>
      <c r="B103" s="3">
        <f>IFERROR(__xludf.DUMMYFUNCTION("iferror(sum(query('OTPI Scores'!$A:$AA,""select AA where C = '""&amp;A103&amp;""'  and B!='Friendly' order by A desc limit 5"",0)),0)"),17.0)</f>
        <v>17</v>
      </c>
    </row>
    <row r="104">
      <c r="A104" s="3" t="str">
        <f>IFERROR(__xludf.DUMMYFUNCTION("""COMPUTED_VALUE"""),"Joe France")</f>
        <v>Joe France</v>
      </c>
      <c r="B104" s="3">
        <f>IFERROR(__xludf.DUMMYFUNCTION("iferror(sum(query('OTPI Scores'!$A:$AA,""select AA where C = '""&amp;A104&amp;""'  and B!='Friendly' order by A desc limit 5"",0)),0)"),11.0)</f>
        <v>11</v>
      </c>
    </row>
    <row r="105">
      <c r="A105" s="3" t="str">
        <f>IFERROR(__xludf.DUMMYFUNCTION("""COMPUTED_VALUE"""),"Joe Tanner")</f>
        <v>Joe Tanner</v>
      </c>
      <c r="B105" s="3">
        <f>IFERROR(__xludf.DUMMYFUNCTION("iferror(sum(query('OTPI Scores'!$A:$AA,""select AA where C = '""&amp;A105&amp;""'  and B!='Friendly' order by A desc limit 5"",0)),0)"),2.0)</f>
        <v>2</v>
      </c>
    </row>
    <row r="106">
      <c r="A106" s="3" t="str">
        <f>IFERROR(__xludf.DUMMYFUNCTION("""COMPUTED_VALUE"""),"Joe Vincent")</f>
        <v>Joe Vincent</v>
      </c>
      <c r="B106" s="3">
        <f>IFERROR(__xludf.DUMMYFUNCTION("iferror(sum(query('OTPI Scores'!$A:$AA,""select AA where C = '""&amp;A106&amp;""'  and B!='Friendly' order by A desc limit 5"",0)),0)"),20.0)</f>
        <v>20</v>
      </c>
    </row>
    <row r="107">
      <c r="A107" s="3" t="str">
        <f>IFERROR(__xludf.DUMMYFUNCTION("""COMPUTED_VALUE"""),"Joel Wright")</f>
        <v>Joel Wright</v>
      </c>
      <c r="B107" s="3">
        <f>IFERROR(__xludf.DUMMYFUNCTION("iferror(sum(query('OTPI Scores'!$A:$AA,""select AA where C = '""&amp;A107&amp;""'  and B!='Friendly' order by A desc limit 5"",0)),0)"),16.0)</f>
        <v>16</v>
      </c>
    </row>
    <row r="108">
      <c r="A108" s="3" t="str">
        <f>IFERROR(__xludf.DUMMYFUNCTION("""COMPUTED_VALUE"""),"Joey Wackrill")</f>
        <v>Joey Wackrill</v>
      </c>
      <c r="B108" s="3">
        <f>IFERROR(__xludf.DUMMYFUNCTION("iferror(sum(query('OTPI Scores'!$A:$AA,""select AA where C = '""&amp;A108&amp;""'  and B!='Friendly' order by A desc limit 5"",0)),0)"),2.0)</f>
        <v>2</v>
      </c>
    </row>
    <row r="109">
      <c r="A109" s="3" t="str">
        <f>IFERROR(__xludf.DUMMYFUNCTION("""COMPUTED_VALUE"""),"John Harrison")</f>
        <v>John Harrison</v>
      </c>
      <c r="B109" s="3">
        <f>IFERROR(__xludf.DUMMYFUNCTION("iferror(sum(query('OTPI Scores'!$A:$AA,""select AA where C = '""&amp;A109&amp;""'  and B!='Friendly' order by A desc limit 5"",0)),0)"),20.0)</f>
        <v>20</v>
      </c>
    </row>
    <row r="110">
      <c r="A110" s="3" t="str">
        <f>IFERROR(__xludf.DUMMYFUNCTION("""COMPUTED_VALUE"""),"Jonny Simmons")</f>
        <v>Jonny Simmons</v>
      </c>
      <c r="B110" s="3">
        <f>IFERROR(__xludf.DUMMYFUNCTION("iferror(sum(query('OTPI Scores'!$A:$AA,""select AA where C = '""&amp;A110&amp;""'  and B!='Friendly' order by A desc limit 5"",0)),0)"),14.0)</f>
        <v>14</v>
      </c>
    </row>
    <row r="111">
      <c r="A111" s="3" t="str">
        <f>IFERROR(__xludf.DUMMYFUNCTION("""COMPUTED_VALUE"""),"Jordan Davis")</f>
        <v>Jordan Davis</v>
      </c>
      <c r="B111" s="3">
        <f>IFERROR(__xludf.DUMMYFUNCTION("iferror(sum(query('OTPI Scores'!$A:$AA,""select AA where C = '""&amp;A111&amp;""'  and B!='Friendly' order by A desc limit 5"",0)),0)"),7.0)</f>
        <v>7</v>
      </c>
    </row>
    <row r="112">
      <c r="A112" s="3" t="str">
        <f>IFERROR(__xludf.DUMMYFUNCTION("""COMPUTED_VALUE"""),"Jose Cortez")</f>
        <v>Jose Cortez</v>
      </c>
      <c r="B112" s="3">
        <f>IFERROR(__xludf.DUMMYFUNCTION("iferror(sum(query('OTPI Scores'!$A:$AA,""select AA where C = '""&amp;A112&amp;""'  and B!='Friendly' order by A desc limit 5"",0)),0)"),0.0)</f>
        <v>0</v>
      </c>
    </row>
    <row r="113">
      <c r="A113" s="3" t="str">
        <f>IFERROR(__xludf.DUMMYFUNCTION("""COMPUTED_VALUE"""),"Joseph Smith")</f>
        <v>Joseph Smith</v>
      </c>
      <c r="B113" s="3">
        <f>IFERROR(__xludf.DUMMYFUNCTION("iferror(sum(query('OTPI Scores'!$A:$AA,""select AA where C = '""&amp;A113&amp;""'  and B!='Friendly' order by A desc limit 5"",0)),0)"),9.0)</f>
        <v>9</v>
      </c>
    </row>
    <row r="114">
      <c r="A114" s="3" t="str">
        <f>IFERROR(__xludf.DUMMYFUNCTION("""COMPUTED_VALUE"""),"Josh Billings")</f>
        <v>Josh Billings</v>
      </c>
      <c r="B114" s="3">
        <f>IFERROR(__xludf.DUMMYFUNCTION("iferror(sum(query('OTPI Scores'!$A:$AA,""select AA where C = '""&amp;A114&amp;""'  and B!='Friendly' order by A desc limit 5"",0)),0)"),22.0)</f>
        <v>22</v>
      </c>
    </row>
    <row r="115">
      <c r="A115" s="3" t="str">
        <f>IFERROR(__xludf.DUMMYFUNCTION("""COMPUTED_VALUE"""),"Josh Sherriff-Jolly")</f>
        <v>Josh Sherriff-Jolly</v>
      </c>
      <c r="B115" s="3">
        <f>IFERROR(__xludf.DUMMYFUNCTION("iferror(sum(query('OTPI Scores'!$A:$AA,""select AA where C = '""&amp;A115&amp;""'  and B!='Friendly' order by A desc limit 5"",0)),0)"),26.0)</f>
        <v>26</v>
      </c>
    </row>
    <row r="116">
      <c r="A116" s="3" t="str">
        <f>IFERROR(__xludf.DUMMYFUNCTION("""COMPUTED_VALUE"""),"Kai Clack")</f>
        <v>Kai Clack</v>
      </c>
      <c r="B116" s="3">
        <f>IFERROR(__xludf.DUMMYFUNCTION("iferror(sum(query('OTPI Scores'!$A:$AA,""select AA where C = '""&amp;A116&amp;""'  and B!='Friendly' order by A desc limit 5"",0)),0)"),22.0)</f>
        <v>22</v>
      </c>
    </row>
    <row r="117">
      <c r="A117" s="3" t="str">
        <f>IFERROR(__xludf.DUMMYFUNCTION("""COMPUTED_VALUE"""),"Keaton Cohen")</f>
        <v>Keaton Cohen</v>
      </c>
      <c r="B117" s="3">
        <f>IFERROR(__xludf.DUMMYFUNCTION("iferror(sum(query('OTPI Scores'!$A:$AA,""select AA where C = '""&amp;A117&amp;""'  and B!='Friendly' order by A desc limit 5"",0)),0)"),27.0)</f>
        <v>27</v>
      </c>
    </row>
    <row r="118">
      <c r="A118" s="3" t="str">
        <f>IFERROR(__xludf.DUMMYFUNCTION("""COMPUTED_VALUE"""),"Kevin Gonzalez")</f>
        <v>Kevin Gonzalez</v>
      </c>
      <c r="B118" s="3">
        <f>IFERROR(__xludf.DUMMYFUNCTION("iferror(sum(query('OTPI Scores'!$A:$AA,""select AA where C = '""&amp;A118&amp;""'  and B!='Friendly' order by A desc limit 5"",0)),0)"),7.0)</f>
        <v>7</v>
      </c>
    </row>
    <row r="119">
      <c r="A119" s="3" t="str">
        <f>IFERROR(__xludf.DUMMYFUNCTION("""COMPUTED_VALUE"""),"Kian Leslie-Bigby")</f>
        <v>Kian Leslie-Bigby</v>
      </c>
      <c r="B119" s="3">
        <f>IFERROR(__xludf.DUMMYFUNCTION("iferror(sum(query('OTPI Scores'!$A:$AA,""select AA where C = '""&amp;A119&amp;""'  and B!='Friendly' order by A desc limit 5"",0)),0)"),0.0)</f>
        <v>0</v>
      </c>
    </row>
    <row r="120">
      <c r="A120" s="3" t="str">
        <f>IFERROR(__xludf.DUMMYFUNCTION("""COMPUTED_VALUE"""),"Kim Jaeyoon")</f>
        <v>Kim Jaeyoon</v>
      </c>
      <c r="B120" s="3">
        <f>IFERROR(__xludf.DUMMYFUNCTION("iferror(sum(query('OTPI Scores'!$A:$AA,""select AA where C = '""&amp;A120&amp;""'  and B!='Friendly' order by A desc limit 5"",0)),0)"),15.0)</f>
        <v>15</v>
      </c>
    </row>
    <row r="121">
      <c r="A121" s="3" t="str">
        <f>IFERROR(__xludf.DUMMYFUNCTION("""COMPUTED_VALUE"""),"Kolawole Kehinde")</f>
        <v>Kolawole Kehinde</v>
      </c>
      <c r="B121" s="3">
        <f>IFERROR(__xludf.DUMMYFUNCTION("iferror(sum(query('OTPI Scores'!$A:$AA,""select AA where C = '""&amp;A121&amp;""'  and B!='Friendly' order by A desc limit 5"",0)),0)"),2.0)</f>
        <v>2</v>
      </c>
    </row>
    <row r="122">
      <c r="A122" s="3" t="str">
        <f>IFERROR(__xludf.DUMMYFUNCTION("""COMPUTED_VALUE"""),"Kye Williams")</f>
        <v>Kye Williams</v>
      </c>
      <c r="B122" s="3">
        <f>IFERROR(__xludf.DUMMYFUNCTION("iferror(sum(query('OTPI Scores'!$A:$AA,""select AA where C = '""&amp;A122&amp;""'  and B!='Friendly' order by A desc limit 5"",0)),0)"),4.0)</f>
        <v>4</v>
      </c>
    </row>
    <row r="123">
      <c r="A123" s="3" t="str">
        <f>IFERROR(__xludf.DUMMYFUNCTION("""COMPUTED_VALUE"""),"Landry Naubo")</f>
        <v>Landry Naubo</v>
      </c>
      <c r="B123" s="3">
        <f>IFERROR(__xludf.DUMMYFUNCTION("iferror(sum(query('OTPI Scores'!$A:$AA,""select AA where C = '""&amp;A123&amp;""'  and B!='Friendly' order by A desc limit 5"",0)),0)"),0.0)</f>
        <v>0</v>
      </c>
    </row>
    <row r="124">
      <c r="A124" s="3" t="str">
        <f>IFERROR(__xludf.DUMMYFUNCTION("""COMPUTED_VALUE"""),"Lawrence Asante")</f>
        <v>Lawrence Asante</v>
      </c>
      <c r="B124" s="3">
        <f>IFERROR(__xludf.DUMMYFUNCTION("iferror(sum(query('OTPI Scores'!$A:$AA,""select AA where C = '""&amp;A124&amp;""'  and B!='Friendly' order by A desc limit 5"",0)),0)"),9.0)</f>
        <v>9</v>
      </c>
    </row>
    <row r="125">
      <c r="A125" s="3" t="str">
        <f>IFERROR(__xludf.DUMMYFUNCTION("""COMPUTED_VALUE"""),"Lee Clark")</f>
        <v>Lee Clark</v>
      </c>
      <c r="B125" s="3">
        <f>IFERROR(__xludf.DUMMYFUNCTION("iferror(sum(query('OTPI Scores'!$A:$AA,""select AA where C = '""&amp;A125&amp;""'  and B!='Friendly' order by A desc limit 5"",0)),0)"),15.0)</f>
        <v>15</v>
      </c>
    </row>
    <row r="126">
      <c r="A126" s="3" t="str">
        <f>IFERROR(__xludf.DUMMYFUNCTION("""COMPUTED_VALUE"""),"Leigh Cremin")</f>
        <v>Leigh Cremin</v>
      </c>
      <c r="B126" s="3">
        <f>IFERROR(__xludf.DUMMYFUNCTION("iferror(sum(query('OTPI Scores'!$A:$AA,""select AA where C = '""&amp;A126&amp;""'  and B!='Friendly' order by A desc limit 5"",0)),0)"),6.0)</f>
        <v>6</v>
      </c>
    </row>
    <row r="127">
      <c r="A127" s="3" t="str">
        <f>IFERROR(__xludf.DUMMYFUNCTION("""COMPUTED_VALUE"""),"Leuman Coronado")</f>
        <v>Leuman Coronado</v>
      </c>
      <c r="B127" s="3">
        <f>IFERROR(__xludf.DUMMYFUNCTION("iferror(sum(query('OTPI Scores'!$A:$AA,""select AA where C = '""&amp;A127&amp;""'  and B!='Friendly' order by A desc limit 5"",0)),0)"),17.0)</f>
        <v>17</v>
      </c>
    </row>
    <row r="128">
      <c r="A128" s="3" t="str">
        <f>IFERROR(__xludf.DUMMYFUNCTION("""COMPUTED_VALUE"""),"Lewis Anderson")</f>
        <v>Lewis Anderson</v>
      </c>
      <c r="B128" s="3">
        <f>IFERROR(__xludf.DUMMYFUNCTION("iferror(sum(query('OTPI Scores'!$A:$AA,""select AA where C = '""&amp;A128&amp;""'  and B!='Friendly' order by A desc limit 5"",0)),0)"),21.0)</f>
        <v>21</v>
      </c>
    </row>
    <row r="129">
      <c r="A129" s="3" t="str">
        <f>IFERROR(__xludf.DUMMYFUNCTION("""COMPUTED_VALUE"""),"Lewis Young")</f>
        <v>Lewis Young</v>
      </c>
      <c r="B129" s="3">
        <f>IFERROR(__xludf.DUMMYFUNCTION("iferror(sum(query('OTPI Scores'!$A:$AA,""select AA where C = '""&amp;A129&amp;""'  and B!='Friendly' order by A desc limit 5"",0)),0)"),0.0)</f>
        <v>0</v>
      </c>
    </row>
    <row r="130">
      <c r="A130" s="3" t="str">
        <f>IFERROR(__xludf.DUMMYFUNCTION("""COMPUTED_VALUE"""),"Liam Gover")</f>
        <v>Liam Gover</v>
      </c>
      <c r="B130" s="3">
        <f>IFERROR(__xludf.DUMMYFUNCTION("iferror(sum(query('OTPI Scores'!$A:$AA,""select AA where C = '""&amp;A130&amp;""'  and B!='Friendly' order by A desc limit 5"",0)),0)"),0.0)</f>
        <v>0</v>
      </c>
    </row>
    <row r="131">
      <c r="A131" s="3" t="str">
        <f>IFERROR(__xludf.DUMMYFUNCTION("""COMPUTED_VALUE"""),"Liam Gunn")</f>
        <v>Liam Gunn</v>
      </c>
      <c r="B131" s="3">
        <f>IFERROR(__xludf.DUMMYFUNCTION("iferror(sum(query('OTPI Scores'!$A:$AA,""select AA where C = '""&amp;A131&amp;""'  and B!='Friendly' order by A desc limit 5"",0)),0)"),2.0)</f>
        <v>2</v>
      </c>
    </row>
    <row r="132">
      <c r="A132" s="3" t="str">
        <f>IFERROR(__xludf.DUMMYFUNCTION("""COMPUTED_VALUE"""),"Luke Dyges")</f>
        <v>Luke Dyges</v>
      </c>
      <c r="B132" s="3">
        <f>IFERROR(__xludf.DUMMYFUNCTION("iferror(sum(query('OTPI Scores'!$A:$AA,""select AA where C = '""&amp;A132&amp;""'  and B!='Friendly' order by A desc limit 5"",0)),0)"),10.0)</f>
        <v>10</v>
      </c>
    </row>
    <row r="133">
      <c r="A133" s="3" t="str">
        <f>IFERROR(__xludf.DUMMYFUNCTION("""COMPUTED_VALUE"""),"Magno Pinto")</f>
        <v>Magno Pinto</v>
      </c>
      <c r="B133" s="3">
        <f>IFERROR(__xludf.DUMMYFUNCTION("iferror(sum(query('OTPI Scores'!$A:$AA,""select AA where C = '""&amp;A133&amp;""'  and B!='Friendly' order by A desc limit 5"",0)),0)"),0.0)</f>
        <v>0</v>
      </c>
    </row>
    <row r="134">
      <c r="A134" s="3" t="str">
        <f>IFERROR(__xludf.DUMMYFUNCTION("""COMPUTED_VALUE"""),"Mark Roberts")</f>
        <v>Mark Roberts</v>
      </c>
      <c r="B134" s="3">
        <f>IFERROR(__xludf.DUMMYFUNCTION("iferror(sum(query('OTPI Scores'!$A:$AA,""select AA where C = '""&amp;A134&amp;""'  and B!='Friendly' order by A desc limit 5"",0)),0)"),14.0)</f>
        <v>14</v>
      </c>
    </row>
    <row r="135">
      <c r="A135" s="3" t="str">
        <f>IFERROR(__xludf.DUMMYFUNCTION("""COMPUTED_VALUE"""),"Mark Rowntree")</f>
        <v>Mark Rowntree</v>
      </c>
      <c r="B135" s="3">
        <f>IFERROR(__xludf.DUMMYFUNCTION("iferror(sum(query('OTPI Scores'!$A:$AA,""select AA where C = '""&amp;A135&amp;""'  and B!='Friendly' order by A desc limit 5"",0)),0)"),2.0)</f>
        <v>2</v>
      </c>
    </row>
    <row r="136">
      <c r="A136" s="3" t="str">
        <f>IFERROR(__xludf.DUMMYFUNCTION("""COMPUTED_VALUE"""),"Martin Goodson")</f>
        <v>Martin Goodson</v>
      </c>
      <c r="B136" s="3">
        <f>IFERROR(__xludf.DUMMYFUNCTION("iferror(sum(query('OTPI Scores'!$A:$AA,""select AA where C = '""&amp;A136&amp;""'  and B!='Friendly' order by A desc limit 5"",0)),0)"),14.0)</f>
        <v>14</v>
      </c>
    </row>
    <row r="137">
      <c r="A137" s="3" t="str">
        <f>IFERROR(__xludf.DUMMYFUNCTION("""COMPUTED_VALUE"""),"Masood Hamidi")</f>
        <v>Masood Hamidi</v>
      </c>
      <c r="B137" s="3">
        <f>IFERROR(__xludf.DUMMYFUNCTION("iferror(sum(query('OTPI Scores'!$A:$AA,""select AA where C = '""&amp;A137&amp;""'  and B!='Friendly' order by A desc limit 5"",0)),0)"),41.0)</f>
        <v>41</v>
      </c>
    </row>
    <row r="138">
      <c r="A138" s="3" t="str">
        <f>IFERROR(__xludf.DUMMYFUNCTION("""COMPUTED_VALUE"""),"Matt Crowe")</f>
        <v>Matt Crowe</v>
      </c>
      <c r="B138" s="3">
        <f>IFERROR(__xludf.DUMMYFUNCTION("iferror(sum(query('OTPI Scores'!$A:$AA,""select AA where C = '""&amp;A138&amp;""'  and B!='Friendly' order by A desc limit 5"",0)),0)"),14.0)</f>
        <v>14</v>
      </c>
    </row>
    <row r="139">
      <c r="A139" s="3" t="str">
        <f>IFERROR(__xludf.DUMMYFUNCTION("""COMPUTED_VALUE"""),"Matt Hope")</f>
        <v>Matt Hope</v>
      </c>
      <c r="B139" s="3">
        <f>IFERROR(__xludf.DUMMYFUNCTION("iferror(sum(query('OTPI Scores'!$A:$AA,""select AA where C = '""&amp;A139&amp;""'  and B!='Friendly' order by A desc limit 5"",0)),0)"),10.0)</f>
        <v>10</v>
      </c>
    </row>
    <row r="140">
      <c r="A140" s="3" t="str">
        <f>IFERROR(__xludf.DUMMYFUNCTION("""COMPUTED_VALUE"""),"Matt Powell")</f>
        <v>Matt Powell</v>
      </c>
      <c r="B140" s="3">
        <f>IFERROR(__xludf.DUMMYFUNCTION("iferror(sum(query('OTPI Scores'!$A:$AA,""select AA where C = '""&amp;A140&amp;""'  and B!='Friendly' order by A desc limit 5"",0)),0)"),9.0)</f>
        <v>9</v>
      </c>
    </row>
    <row r="141">
      <c r="A141" s="3" t="str">
        <f>IFERROR(__xludf.DUMMYFUNCTION("""COMPUTED_VALUE"""),"Matt Price")</f>
        <v>Matt Price</v>
      </c>
      <c r="B141" s="3">
        <f>IFERROR(__xludf.DUMMYFUNCTION("iferror(sum(query('OTPI Scores'!$A:$AA,""select AA where C = '""&amp;A141&amp;""'  and B!='Friendly' order by A desc limit 5"",0)),0)"),10.0)</f>
        <v>10</v>
      </c>
    </row>
    <row r="142">
      <c r="A142" s="3" t="str">
        <f>IFERROR(__xludf.DUMMYFUNCTION("""COMPUTED_VALUE"""),"Matthew Thomas")</f>
        <v>Matthew Thomas</v>
      </c>
      <c r="B142" s="3">
        <f>IFERROR(__xludf.DUMMYFUNCTION("iferror(sum(query('OTPI Scores'!$A:$AA,""select AA where C = '""&amp;A142&amp;""'  and B!='Friendly' order by A desc limit 5"",0)),0)"),13.0)</f>
        <v>13</v>
      </c>
    </row>
    <row r="143">
      <c r="A143" s="3" t="str">
        <f>IFERROR(__xludf.DUMMYFUNCTION("""COMPUTED_VALUE"""),"Max Miles")</f>
        <v>Max Miles</v>
      </c>
      <c r="B143" s="3">
        <f>IFERROR(__xludf.DUMMYFUNCTION("iferror(sum(query('OTPI Scores'!$A:$AA,""select AA where C = '""&amp;A143&amp;""'  and B!='Friendly' order by A desc limit 5"",0)),0)"),22.0)</f>
        <v>22</v>
      </c>
    </row>
    <row r="144">
      <c r="A144" s="3" t="str">
        <f>IFERROR(__xludf.DUMMYFUNCTION("""COMPUTED_VALUE"""),"Max Watson")</f>
        <v>Max Watson</v>
      </c>
      <c r="B144" s="3">
        <f>IFERROR(__xludf.DUMMYFUNCTION("iferror(sum(query('OTPI Scores'!$A:$AA,""select AA where C = '""&amp;A144&amp;""'  and B!='Friendly' order by A desc limit 5"",0)),0)"),22.0)</f>
        <v>22</v>
      </c>
    </row>
    <row r="145">
      <c r="A145" s="3" t="str">
        <f>IFERROR(__xludf.DUMMYFUNCTION("""COMPUTED_VALUE"""),"Micah Pinnock")</f>
        <v>Micah Pinnock</v>
      </c>
      <c r="B145" s="3">
        <f>IFERROR(__xludf.DUMMYFUNCTION("iferror(sum(query('OTPI Scores'!$A:$AA,""select AA where C = '""&amp;A145&amp;""'  and B!='Friendly' order by A desc limit 5"",0)),0)"),22.0)</f>
        <v>22</v>
      </c>
    </row>
    <row r="146">
      <c r="A146" s="3" t="str">
        <f>IFERROR(__xludf.DUMMYFUNCTION("""COMPUTED_VALUE"""),"Michael Dill")</f>
        <v>Michael Dill</v>
      </c>
      <c r="B146" s="3">
        <f>IFERROR(__xludf.DUMMYFUNCTION("iferror(sum(query('OTPI Scores'!$A:$AA,""select AA where C = '""&amp;A146&amp;""'  and B!='Friendly' order by A desc limit 5"",0)),0)"),5.0)</f>
        <v>5</v>
      </c>
    </row>
    <row r="147">
      <c r="A147" s="3" t="str">
        <f>IFERROR(__xludf.DUMMYFUNCTION("""COMPUTED_VALUE"""),"Mike Moon")</f>
        <v>Mike Moon</v>
      </c>
      <c r="B147" s="3">
        <f>IFERROR(__xludf.DUMMYFUNCTION("iferror(sum(query('OTPI Scores'!$A:$AA,""select AA where C = '""&amp;A147&amp;""'  and B!='Friendly' order by A desc limit 5"",0)),0)"),0.0)</f>
        <v>0</v>
      </c>
    </row>
    <row r="148">
      <c r="A148" s="3" t="str">
        <f>IFERROR(__xludf.DUMMYFUNCTION("""COMPUTED_VALUE"""),"Mileek Delisser")</f>
        <v>Mileek Delisser</v>
      </c>
      <c r="B148" s="3">
        <f>IFERROR(__xludf.DUMMYFUNCTION("iferror(sum(query('OTPI Scores'!$A:$AA,""select AA where C = '""&amp;A148&amp;""'  and B!='Friendly' order by A desc limit 5"",0)),0)"),0.0)</f>
        <v>0</v>
      </c>
    </row>
    <row r="149">
      <c r="A149" s="3" t="str">
        <f>IFERROR(__xludf.DUMMYFUNCTION("""COMPUTED_VALUE"""),"Miles Shirtcliffe")</f>
        <v>Miles Shirtcliffe</v>
      </c>
      <c r="B149" s="3">
        <f>IFERROR(__xludf.DUMMYFUNCTION("iferror(sum(query('OTPI Scores'!$A:$AA,""select AA where C = '""&amp;A149&amp;""'  and B!='Friendly' order by A desc limit 5"",0)),0)"),2.0)</f>
        <v>2</v>
      </c>
    </row>
    <row r="150">
      <c r="A150" s="3" t="str">
        <f>IFERROR(__xludf.DUMMYFUNCTION("""COMPUTED_VALUE"""),"Nassim Sandjakeddine")</f>
        <v>Nassim Sandjakeddine</v>
      </c>
      <c r="B150" s="3">
        <f>IFERROR(__xludf.DUMMYFUNCTION("iferror(sum(query('OTPI Scores'!$A:$AA,""select AA where C = '""&amp;A150&amp;""'  and B!='Friendly' order by A desc limit 5"",0)),0)"),0.0)</f>
        <v>0</v>
      </c>
    </row>
    <row r="151">
      <c r="A151" s="3" t="str">
        <f>IFERROR(__xludf.DUMMYFUNCTION("""COMPUTED_VALUE"""),"Nathan Baverstock")</f>
        <v>Nathan Baverstock</v>
      </c>
      <c r="B151" s="3">
        <f>IFERROR(__xludf.DUMMYFUNCTION("iferror(sum(query('OTPI Scores'!$A:$AA,""select AA where C = '""&amp;A151&amp;""'  and B!='Friendly' order by A desc limit 5"",0)),0)"),10.0)</f>
        <v>10</v>
      </c>
    </row>
    <row r="152">
      <c r="A152" s="3" t="str">
        <f>IFERROR(__xludf.DUMMYFUNCTION("""COMPUTED_VALUE"""),"Nathan Davis")</f>
        <v>Nathan Davis</v>
      </c>
      <c r="B152" s="3">
        <f>IFERROR(__xludf.DUMMYFUNCTION("iferror(sum(query('OTPI Scores'!$A:$AA,""select AA where C = '""&amp;A152&amp;""'  and B!='Friendly' order by A desc limit 5"",0)),0)"),0.0)</f>
        <v>0</v>
      </c>
    </row>
    <row r="153">
      <c r="A153" s="3" t="str">
        <f>IFERROR(__xludf.DUMMYFUNCTION("""COMPUTED_VALUE"""),"Nathan Nzau")</f>
        <v>Nathan Nzau</v>
      </c>
      <c r="B153" s="3">
        <f>IFERROR(__xludf.DUMMYFUNCTION("iferror(sum(query('OTPI Scores'!$A:$AA,""select AA where C = '""&amp;A153&amp;""'  and B!='Friendly' order by A desc limit 5"",0)),0)"),13.0)</f>
        <v>13</v>
      </c>
    </row>
    <row r="154">
      <c r="A154" s="3" t="str">
        <f>IFERROR(__xludf.DUMMYFUNCTION("""COMPUTED_VALUE"""),"Niall Wootten")</f>
        <v>Niall Wootten</v>
      </c>
      <c r="B154" s="3">
        <f>IFERROR(__xludf.DUMMYFUNCTION("iferror(sum(query('OTPI Scores'!$A:$AA,""select AA where C = '""&amp;A154&amp;""'  and B!='Friendly' order by A desc limit 5"",0)),0)"),19.0)</f>
        <v>19</v>
      </c>
    </row>
    <row r="155">
      <c r="A155" s="3" t="str">
        <f>IFERROR(__xludf.DUMMYFUNCTION("""COMPUTED_VALUE"""),"Nick Chimonides")</f>
        <v>Nick Chimonides</v>
      </c>
      <c r="B155" s="3">
        <f>IFERROR(__xludf.DUMMYFUNCTION("iferror(sum(query('OTPI Scores'!$A:$AA,""select AA where C = '""&amp;A155&amp;""'  and B!='Friendly' order by A desc limit 5"",0)),0)"),15.0)</f>
        <v>15</v>
      </c>
    </row>
    <row r="156">
      <c r="A156" s="3" t="str">
        <f>IFERROR(__xludf.DUMMYFUNCTION("""COMPUTED_VALUE"""),"Nick Daley")</f>
        <v>Nick Daley</v>
      </c>
      <c r="B156" s="3">
        <f>IFERROR(__xludf.DUMMYFUNCTION("iferror(sum(query('OTPI Scores'!$A:$AA,""select AA where C = '""&amp;A156&amp;""'  and B!='Friendly' order by A desc limit 5"",0)),0)"),0.0)</f>
        <v>0</v>
      </c>
    </row>
    <row r="157">
      <c r="A157" s="3" t="str">
        <f>IFERROR(__xludf.DUMMYFUNCTION("""COMPUTED_VALUE"""),"Nikolay Machev")</f>
        <v>Nikolay Machev</v>
      </c>
      <c r="B157" s="3">
        <f>IFERROR(__xludf.DUMMYFUNCTION("iferror(sum(query('OTPI Scores'!$A:$AA,""select AA where C = '""&amp;A157&amp;""'  and B!='Friendly' order by A desc limit 5"",0)),0)"),0.0)</f>
        <v>0</v>
      </c>
    </row>
    <row r="158">
      <c r="A158" s="3" t="str">
        <f>IFERROR(__xludf.DUMMYFUNCTION("""COMPUTED_VALUE"""),"Nima Naghdi")</f>
        <v>Nima Naghdi</v>
      </c>
      <c r="B158" s="3">
        <f>IFERROR(__xludf.DUMMYFUNCTION("iferror(sum(query('OTPI Scores'!$A:$AA,""select AA where C = '""&amp;A158&amp;""'  and B!='Friendly' order by A desc limit 5"",0)),0)"),8.0)</f>
        <v>8</v>
      </c>
    </row>
    <row r="159">
      <c r="A159" s="3" t="str">
        <f>IFERROR(__xludf.DUMMYFUNCTION("""COMPUTED_VALUE"""),"Oli Barton")</f>
        <v>Oli Barton</v>
      </c>
      <c r="B159" s="3">
        <f>IFERROR(__xludf.DUMMYFUNCTION("iferror(sum(query('OTPI Scores'!$A:$AA,""select AA where C = '""&amp;A159&amp;""'  and B!='Friendly' order by A desc limit 5"",0)),0)"),12.0)</f>
        <v>12</v>
      </c>
    </row>
    <row r="160">
      <c r="A160" s="3" t="str">
        <f>IFERROR(__xludf.DUMMYFUNCTION("""COMPUTED_VALUE"""),"Oliver Golzari")</f>
        <v>Oliver Golzari</v>
      </c>
      <c r="B160" s="3">
        <f>IFERROR(__xludf.DUMMYFUNCTION("iferror(sum(query('OTPI Scores'!$A:$AA,""select AA where C = '""&amp;A160&amp;""'  and B!='Friendly' order by A desc limit 5"",0)),0)"),21.0)</f>
        <v>21</v>
      </c>
    </row>
    <row r="161">
      <c r="A161" s="3" t="str">
        <f>IFERROR(__xludf.DUMMYFUNCTION("""COMPUTED_VALUE"""),"Ollie Eldridge")</f>
        <v>Ollie Eldridge</v>
      </c>
      <c r="B161" s="3">
        <f>IFERROR(__xludf.DUMMYFUNCTION("iferror(sum(query('OTPI Scores'!$A:$AA,""select AA where C = '""&amp;A161&amp;""'  and B!='Friendly' order by A desc limit 5"",0)),0)"),0.0)</f>
        <v>0</v>
      </c>
    </row>
    <row r="162">
      <c r="A162" s="3" t="str">
        <f>IFERROR(__xludf.DUMMYFUNCTION("""COMPUTED_VALUE"""),"Ollie Sewell")</f>
        <v>Ollie Sewell</v>
      </c>
      <c r="B162" s="3">
        <f>IFERROR(__xludf.DUMMYFUNCTION("iferror(sum(query('OTPI Scores'!$A:$AA,""select AA where C = '""&amp;A162&amp;""'  and B!='Friendly' order by A desc limit 5"",0)),0)"),27.0)</f>
        <v>27</v>
      </c>
    </row>
    <row r="163">
      <c r="A163" s="3" t="str">
        <f>IFERROR(__xludf.DUMMYFUNCTION("""COMPUTED_VALUE"""),"Olly Mason")</f>
        <v>Olly Mason</v>
      </c>
      <c r="B163" s="3">
        <f>IFERROR(__xludf.DUMMYFUNCTION("iferror(sum(query('OTPI Scores'!$A:$AA,""select AA where C = '""&amp;A163&amp;""'  and B!='Friendly' order by A desc limit 5"",0)),0)"),6.0)</f>
        <v>6</v>
      </c>
    </row>
    <row r="164">
      <c r="A164" s="3" t="str">
        <f>IFERROR(__xludf.DUMMYFUNCTION("""COMPUTED_VALUE"""),"Paddy Troy")</f>
        <v>Paddy Troy</v>
      </c>
      <c r="B164" s="3">
        <f>IFERROR(__xludf.DUMMYFUNCTION("iferror(sum(query('OTPI Scores'!$A:$AA,""select AA where C = '""&amp;A164&amp;""'  and B!='Friendly' order by A desc limit 5"",0)),0)"),16.0)</f>
        <v>16</v>
      </c>
    </row>
    <row r="165">
      <c r="A165" s="3" t="str">
        <f>IFERROR(__xludf.DUMMYFUNCTION("""COMPUTED_VALUE"""),"Parimal Patel")</f>
        <v>Parimal Patel</v>
      </c>
      <c r="B165" s="3">
        <f>IFERROR(__xludf.DUMMYFUNCTION("iferror(sum(query('OTPI Scores'!$A:$AA,""select AA where C = '""&amp;A165&amp;""'  and B!='Friendly' order by A desc limit 5"",0)),0)"),19.0)</f>
        <v>19</v>
      </c>
    </row>
    <row r="166">
      <c r="A166" s="3" t="str">
        <f>IFERROR(__xludf.DUMMYFUNCTION("""COMPUTED_VALUE"""),"Paul Ball")</f>
        <v>Paul Ball</v>
      </c>
      <c r="B166" s="3">
        <f>IFERROR(__xludf.DUMMYFUNCTION("iferror(sum(query('OTPI Scores'!$A:$AA,""select AA where C = '""&amp;A166&amp;""'  and B!='Friendly' order by A desc limit 5"",0)),0)"),24.0)</f>
        <v>24</v>
      </c>
    </row>
    <row r="167">
      <c r="A167" s="3" t="str">
        <f>IFERROR(__xludf.DUMMYFUNCTION("""COMPUTED_VALUE"""),"Paul Jalil")</f>
        <v>Paul Jalil</v>
      </c>
      <c r="B167" s="3">
        <f>IFERROR(__xludf.DUMMYFUNCTION("iferror(sum(query('OTPI Scores'!$A:$AA,""select AA where C = '""&amp;A167&amp;""'  and B!='Friendly' order by A desc limit 5"",0)),0)"),12.0)</f>
        <v>12</v>
      </c>
    </row>
    <row r="168">
      <c r="A168" s="3" t="str">
        <f>IFERROR(__xludf.DUMMYFUNCTION("""COMPUTED_VALUE"""),"Pearl Bakengela")</f>
        <v>Pearl Bakengela</v>
      </c>
      <c r="B168" s="3">
        <f>IFERROR(__xludf.DUMMYFUNCTION("iferror(sum(query('OTPI Scores'!$A:$AA,""select AA where C = '""&amp;A168&amp;""'  and B!='Friendly' order by A desc limit 5"",0)),0)"),22.0)</f>
        <v>22</v>
      </c>
    </row>
    <row r="169">
      <c r="A169" s="3" t="str">
        <f>IFERROR(__xludf.DUMMYFUNCTION("""COMPUTED_VALUE"""),"Peter Green")</f>
        <v>Peter Green</v>
      </c>
      <c r="B169" s="3">
        <f>IFERROR(__xludf.DUMMYFUNCTION("iferror(sum(query('OTPI Scores'!$A:$AA,""select AA where C = '""&amp;A169&amp;""'  and B!='Friendly' order by A desc limit 5"",0)),0)"),8.0)</f>
        <v>8</v>
      </c>
    </row>
    <row r="170">
      <c r="A170" s="3" t="str">
        <f>IFERROR(__xludf.DUMMYFUNCTION("""COMPUTED_VALUE"""),"Phil Boden")</f>
        <v>Phil Boden</v>
      </c>
      <c r="B170" s="3">
        <f>IFERROR(__xludf.DUMMYFUNCTION("iferror(sum(query('OTPI Scores'!$A:$AA,""select AA where C = '""&amp;A170&amp;""'  and B!='Friendly' order by A desc limit 5"",0)),0)"),8.0)</f>
        <v>8</v>
      </c>
    </row>
    <row r="171">
      <c r="A171" s="3" t="str">
        <f>IFERROR(__xludf.DUMMYFUNCTION("""COMPUTED_VALUE"""),"Pierce Bennett")</f>
        <v>Pierce Bennett</v>
      </c>
      <c r="B171" s="3">
        <f>IFERROR(__xludf.DUMMYFUNCTION("iferror(sum(query('OTPI Scores'!$A:$AA,""select AA where C = '""&amp;A171&amp;""'  and B!='Friendly' order by A desc limit 5"",0)),0)"),24.0)</f>
        <v>24</v>
      </c>
    </row>
    <row r="172">
      <c r="A172" s="3" t="str">
        <f>IFERROR(__xludf.DUMMYFUNCTION("""COMPUTED_VALUE"""),"Player Name")</f>
        <v>Player Name</v>
      </c>
      <c r="B172" s="3">
        <f>IFERROR(__xludf.DUMMYFUNCTION("iferror(sum(query('OTPI Scores'!$A:$AA,""select AA where C = '""&amp;A172&amp;""'  and B!='Friendly' order by A desc limit 5"",0)),0)"),0.0)</f>
        <v>0</v>
      </c>
    </row>
    <row r="173">
      <c r="A173" s="3" t="str">
        <f>IFERROR(__xludf.DUMMYFUNCTION("""COMPUTED_VALUE"""),"Raj Ramful")</f>
        <v>Raj Ramful</v>
      </c>
      <c r="B173" s="3">
        <f>IFERROR(__xludf.DUMMYFUNCTION("iferror(sum(query('OTPI Scores'!$A:$AA,""select AA where C = '""&amp;A173&amp;""'  and B!='Friendly' order by A desc limit 5"",0)),0)"),7.0)</f>
        <v>7</v>
      </c>
    </row>
    <row r="174">
      <c r="A174" s="3" t="str">
        <f>IFERROR(__xludf.DUMMYFUNCTION("""COMPUTED_VALUE"""),"Reiss Hutton")</f>
        <v>Reiss Hutton</v>
      </c>
      <c r="B174" s="3">
        <f>IFERROR(__xludf.DUMMYFUNCTION("iferror(sum(query('OTPI Scores'!$A:$AA,""select AA where C = '""&amp;A174&amp;""'  and B!='Friendly' order by A desc limit 5"",0)),0)"),11.0)</f>
        <v>11</v>
      </c>
    </row>
    <row r="175">
      <c r="A175" s="3" t="str">
        <f>IFERROR(__xludf.DUMMYFUNCTION("""COMPUTED_VALUE"""),"Remi Sellers")</f>
        <v>Remi Sellers</v>
      </c>
      <c r="B175" s="3">
        <f>IFERROR(__xludf.DUMMYFUNCTION("iferror(sum(query('OTPI Scores'!$A:$AA,""select AA where C = '""&amp;A175&amp;""'  and B!='Friendly' order by A desc limit 5"",0)),0)"),12.0)</f>
        <v>12</v>
      </c>
    </row>
    <row r="176">
      <c r="A176" s="3" t="str">
        <f>IFERROR(__xludf.DUMMYFUNCTION("""COMPUTED_VALUE"""),"Rich Lundie")</f>
        <v>Rich Lundie</v>
      </c>
      <c r="B176" s="3">
        <f>IFERROR(__xludf.DUMMYFUNCTION("iferror(sum(query('OTPI Scores'!$A:$AA,""select AA where C = '""&amp;A176&amp;""'  and B!='Friendly' order by A desc limit 5"",0)),0)"),21.0)</f>
        <v>21</v>
      </c>
    </row>
    <row r="177">
      <c r="A177" s="3" t="str">
        <f>IFERROR(__xludf.DUMMYFUNCTION("""COMPUTED_VALUE"""),"Rich Robinson")</f>
        <v>Rich Robinson</v>
      </c>
      <c r="B177" s="3">
        <f>IFERROR(__xludf.DUMMYFUNCTION("iferror(sum(query('OTPI Scores'!$A:$AA,""select AA where C = '""&amp;A177&amp;""'  and B!='Friendly' order by A desc limit 5"",0)),0)"),3.0)</f>
        <v>3</v>
      </c>
    </row>
    <row r="178">
      <c r="A178" s="3" t="str">
        <f>IFERROR(__xludf.DUMMYFUNCTION("""COMPUTED_VALUE"""),"Richard Jones")</f>
        <v>Richard Jones</v>
      </c>
      <c r="B178" s="3">
        <f>IFERROR(__xludf.DUMMYFUNCTION("iferror(sum(query('OTPI Scores'!$A:$AA,""select AA where C = '""&amp;A178&amp;""'  and B!='Friendly' order by A desc limit 5"",0)),0)"),32.0)</f>
        <v>32</v>
      </c>
    </row>
    <row r="179">
      <c r="A179" s="3" t="str">
        <f>IFERROR(__xludf.DUMMYFUNCTION("""COMPUTED_VALUE"""),"Richard Scott")</f>
        <v>Richard Scott</v>
      </c>
      <c r="B179" s="3">
        <f>IFERROR(__xludf.DUMMYFUNCTION("iferror(sum(query('OTPI Scores'!$A:$AA,""select AA where C = '""&amp;A179&amp;""'  and B!='Friendly' order by A desc limit 5"",0)),0)"),41.0)</f>
        <v>41</v>
      </c>
    </row>
    <row r="180">
      <c r="A180" s="3" t="str">
        <f>IFERROR(__xludf.DUMMYFUNCTION("""COMPUTED_VALUE"""),"Rob Edmonds")</f>
        <v>Rob Edmonds</v>
      </c>
      <c r="B180" s="3">
        <f>IFERROR(__xludf.DUMMYFUNCTION("iferror(sum(query('OTPI Scores'!$A:$AA,""select AA where C = '""&amp;A180&amp;""'  and B!='Friendly' order by A desc limit 5"",0)),0)"),30.0)</f>
        <v>30</v>
      </c>
    </row>
    <row r="181">
      <c r="A181" s="3" t="str">
        <f>IFERROR(__xludf.DUMMYFUNCTION("""COMPUTED_VALUE"""),"Rob Pritchard-Jones")</f>
        <v>Rob Pritchard-Jones</v>
      </c>
      <c r="B181" s="3">
        <f>IFERROR(__xludf.DUMMYFUNCTION("iferror(sum(query('OTPI Scores'!$A:$AA,""select AA where C = '""&amp;A181&amp;""'  and B!='Friendly' order by A desc limit 5"",0)),0)"),9.0)</f>
        <v>9</v>
      </c>
    </row>
    <row r="182">
      <c r="A182" s="3" t="str">
        <f>IFERROR(__xludf.DUMMYFUNCTION("""COMPUTED_VALUE"""),"Ryan Cochrane")</f>
        <v>Ryan Cochrane</v>
      </c>
      <c r="B182" s="3">
        <f>IFERROR(__xludf.DUMMYFUNCTION("iferror(sum(query('OTPI Scores'!$A:$AA,""select AA where C = '""&amp;A182&amp;""'  and B!='Friendly' order by A desc limit 5"",0)),0)"),12.0)</f>
        <v>12</v>
      </c>
    </row>
    <row r="183">
      <c r="A183" s="3" t="str">
        <f>IFERROR(__xludf.DUMMYFUNCTION("""COMPUTED_VALUE"""),"Ryan Sketchley")</f>
        <v>Ryan Sketchley</v>
      </c>
      <c r="B183" s="3">
        <f>IFERROR(__xludf.DUMMYFUNCTION("iferror(sum(query('OTPI Scores'!$A:$AA,""select AA where C = '""&amp;A183&amp;""'  and B!='Friendly' order by A desc limit 5"",0)),0)"),0.0)</f>
        <v>0</v>
      </c>
    </row>
    <row r="184">
      <c r="A184" s="3" t="str">
        <f>IFERROR(__xludf.DUMMYFUNCTION("""COMPUTED_VALUE"""),"Sam A'Court")</f>
        <v>Sam A'Court</v>
      </c>
      <c r="B184" s="3">
        <f>IFERROR(__xludf.DUMMYFUNCTION("iferror(sum(query('OTPI Scores'!$A:$AA,""select AA where C = '""&amp;A184&amp;""'  and B!='Friendly' order by A desc limit 5"",0)),0)"),0.0)</f>
        <v>0</v>
      </c>
    </row>
    <row r="185">
      <c r="A185" s="3" t="str">
        <f>IFERROR(__xludf.DUMMYFUNCTION("""COMPUTED_VALUE"""),"Sam Bowen")</f>
        <v>Sam Bowen</v>
      </c>
      <c r="B185" s="3">
        <f>IFERROR(__xludf.DUMMYFUNCTION("iferror(sum(query('OTPI Scores'!$A:$AA,""select AA where C = '""&amp;A185&amp;""'  and B!='Friendly' order by A desc limit 5"",0)),0)"),5.0)</f>
        <v>5</v>
      </c>
    </row>
    <row r="186">
      <c r="A186" s="3" t="str">
        <f>IFERROR(__xludf.DUMMYFUNCTION("""COMPUTED_VALUE"""),"Sam Laidler")</f>
        <v>Sam Laidler</v>
      </c>
      <c r="B186" s="3">
        <f>IFERROR(__xludf.DUMMYFUNCTION("iferror(sum(query('OTPI Scores'!$A:$AA,""select AA where C = '""&amp;A186&amp;""'  and B!='Friendly' order by A desc limit 5"",0)),0)"),12.0)</f>
        <v>12</v>
      </c>
    </row>
    <row r="187">
      <c r="A187" s="3" t="str">
        <f>IFERROR(__xludf.DUMMYFUNCTION("""COMPUTED_VALUE"""),"Samuel Osewa")</f>
        <v>Samuel Osewa</v>
      </c>
      <c r="B187" s="3">
        <f>IFERROR(__xludf.DUMMYFUNCTION("iferror(sum(query('OTPI Scores'!$A:$AA,""select AA where C = '""&amp;A187&amp;""'  and B!='Friendly' order by A desc limit 5"",0)),0)"),5.0)</f>
        <v>5</v>
      </c>
    </row>
    <row r="188">
      <c r="A188" s="3" t="str">
        <f>IFERROR(__xludf.DUMMYFUNCTION("""COMPUTED_VALUE"""),"Sean Rowlett")</f>
        <v>Sean Rowlett</v>
      </c>
      <c r="B188" s="3">
        <f>IFERROR(__xludf.DUMMYFUNCTION("iferror(sum(query('OTPI Scores'!$A:$AA,""select AA where C = '""&amp;A188&amp;""'  and B!='Friendly' order by A desc limit 5"",0)),0)"),24.0)</f>
        <v>24</v>
      </c>
    </row>
    <row r="189">
      <c r="A189" s="3" t="str">
        <f>IFERROR(__xludf.DUMMYFUNCTION("""COMPUTED_VALUE"""),"Sean Staunton")</f>
        <v>Sean Staunton</v>
      </c>
      <c r="B189" s="3">
        <f>IFERROR(__xludf.DUMMYFUNCTION("iferror(sum(query('OTPI Scores'!$A:$AA,""select AA where C = '""&amp;A189&amp;""'  and B!='Friendly' order by A desc limit 5"",0)),0)"),32.0)</f>
        <v>32</v>
      </c>
    </row>
    <row r="190">
      <c r="A190" s="3" t="str">
        <f>IFERROR(__xludf.DUMMYFUNCTION("""COMPUTED_VALUE"""),"Sean Woodhouse")</f>
        <v>Sean Woodhouse</v>
      </c>
      <c r="B190" s="3">
        <f>IFERROR(__xludf.DUMMYFUNCTION("iferror(sum(query('OTPI Scores'!$A:$AA,""select AA where C = '""&amp;A190&amp;""'  and B!='Friendly' order by A desc limit 5"",0)),0)"),2.0)</f>
        <v>2</v>
      </c>
    </row>
    <row r="191">
      <c r="A191" s="3" t="str">
        <f>IFERROR(__xludf.DUMMYFUNCTION("""COMPUTED_VALUE"""),"Seb Curle")</f>
        <v>Seb Curle</v>
      </c>
      <c r="B191" s="3">
        <f>IFERROR(__xludf.DUMMYFUNCTION("iferror(sum(query('OTPI Scores'!$A:$AA,""select AA where C = '""&amp;A191&amp;""'  and B!='Friendly' order by A desc limit 5"",0)),0)"),13.0)</f>
        <v>13</v>
      </c>
    </row>
    <row r="192">
      <c r="A192" s="3" t="str">
        <f>IFERROR(__xludf.DUMMYFUNCTION("""COMPUTED_VALUE"""),"Shavon Muir")</f>
        <v>Shavon Muir</v>
      </c>
      <c r="B192" s="3">
        <f>IFERROR(__xludf.DUMMYFUNCTION("iferror(sum(query('OTPI Scores'!$A:$AA,""select AA where C = '""&amp;A192&amp;""'  and B!='Friendly' order by A desc limit 5"",0)),0)"),11.0)</f>
        <v>11</v>
      </c>
    </row>
    <row r="193">
      <c r="A193" s="3" t="str">
        <f>IFERROR(__xludf.DUMMYFUNCTION("""COMPUTED_VALUE"""),"Si Thomas")</f>
        <v>Si Thomas</v>
      </c>
      <c r="B193" s="3">
        <f>IFERROR(__xludf.DUMMYFUNCTION("iferror(sum(query('OTPI Scores'!$A:$AA,""select AA where C = '""&amp;A193&amp;""'  and B!='Friendly' order by A desc limit 5"",0)),0)"),0.0)</f>
        <v>0</v>
      </c>
    </row>
    <row r="194">
      <c r="A194" s="3" t="str">
        <f>IFERROR(__xludf.DUMMYFUNCTION("""COMPUTED_VALUE"""),"Sid Nayaar")</f>
        <v>Sid Nayaar</v>
      </c>
      <c r="B194" s="3">
        <f>IFERROR(__xludf.DUMMYFUNCTION("iferror(sum(query('OTPI Scores'!$A:$AA,""select AA where C = '""&amp;A194&amp;""'  and B!='Friendly' order by A desc limit 5"",0)),0)"),10.0)</f>
        <v>10</v>
      </c>
    </row>
    <row r="195">
      <c r="A195" s="3" t="str">
        <f>IFERROR(__xludf.DUMMYFUNCTION("""COMPUTED_VALUE"""),"Sidney Hopper-Kelly")</f>
        <v>Sidney Hopper-Kelly</v>
      </c>
      <c r="B195" s="3">
        <f>IFERROR(__xludf.DUMMYFUNCTION("iferror(sum(query('OTPI Scores'!$A:$AA,""select AA where C = '""&amp;A195&amp;""'  and B!='Friendly' order by A desc limit 5"",0)),0)"),30.0)</f>
        <v>30</v>
      </c>
    </row>
    <row r="196">
      <c r="A196" s="3" t="str">
        <f>IFERROR(__xludf.DUMMYFUNCTION("""COMPUTED_VALUE"""),"Sonny Kombo")</f>
        <v>Sonny Kombo</v>
      </c>
      <c r="B196" s="3">
        <f>IFERROR(__xludf.DUMMYFUNCTION("iferror(sum(query('OTPI Scores'!$A:$AA,""select AA where C = '""&amp;A196&amp;""'  and B!='Friendly' order by A desc limit 5"",0)),0)"),3.0)</f>
        <v>3</v>
      </c>
    </row>
    <row r="197">
      <c r="A197" s="3" t="str">
        <f>IFERROR(__xludf.DUMMYFUNCTION("""COMPUTED_VALUE"""),"Stanley Timms")</f>
        <v>Stanley Timms</v>
      </c>
      <c r="B197" s="3">
        <f>IFERROR(__xludf.DUMMYFUNCTION("iferror(sum(query('OTPI Scores'!$A:$AA,""select AA where C = '""&amp;A197&amp;""'  and B!='Friendly' order by A desc limit 5"",0)),0)"),11.0)</f>
        <v>11</v>
      </c>
    </row>
    <row r="198">
      <c r="A198" s="3" t="str">
        <f>IFERROR(__xludf.DUMMYFUNCTION("""COMPUTED_VALUE"""),"Ste Calder")</f>
        <v>Ste Calder</v>
      </c>
      <c r="B198" s="3">
        <f>IFERROR(__xludf.DUMMYFUNCTION("iferror(sum(query('OTPI Scores'!$A:$AA,""select AA where C = '""&amp;A198&amp;""'  and B!='Friendly' order by A desc limit 5"",0)),0)"),24.0)</f>
        <v>24</v>
      </c>
    </row>
    <row r="199">
      <c r="A199" s="3" t="str">
        <f>IFERROR(__xludf.DUMMYFUNCTION("""COMPUTED_VALUE"""),"Steve Francis")</f>
        <v>Steve Francis</v>
      </c>
      <c r="B199" s="3">
        <f>IFERROR(__xludf.DUMMYFUNCTION("iferror(sum(query('OTPI Scores'!$A:$AA,""select AA where C = '""&amp;A199&amp;""'  and B!='Friendly' order by A desc limit 5"",0)),0)"),28.0)</f>
        <v>28</v>
      </c>
    </row>
    <row r="200">
      <c r="A200" s="3" t="str">
        <f>IFERROR(__xludf.DUMMYFUNCTION("""COMPUTED_VALUE"""),"Stevie Wood")</f>
        <v>Stevie Wood</v>
      </c>
      <c r="B200" s="3">
        <f>IFERROR(__xludf.DUMMYFUNCTION("iferror(sum(query('OTPI Scores'!$A:$AA,""select AA where C = '""&amp;A200&amp;""'  and B!='Friendly' order by A desc limit 5"",0)),0)"),2.0)</f>
        <v>2</v>
      </c>
    </row>
    <row r="201">
      <c r="A201" s="3" t="str">
        <f>IFERROR(__xludf.DUMMYFUNCTION("""COMPUTED_VALUE"""),"Stu Halliday")</f>
        <v>Stu Halliday</v>
      </c>
      <c r="B201" s="3">
        <f>IFERROR(__xludf.DUMMYFUNCTION("iferror(sum(query('OTPI Scores'!$A:$AA,""select AA where C = '""&amp;A201&amp;""'  and B!='Friendly' order by A desc limit 5"",0)),0)"),0.0)</f>
        <v>0</v>
      </c>
    </row>
    <row r="202">
      <c r="A202" s="3" t="str">
        <f>IFERROR(__xludf.DUMMYFUNCTION("""COMPUTED_VALUE"""),"Stu Jordan")</f>
        <v>Stu Jordan</v>
      </c>
      <c r="B202" s="3">
        <f>IFERROR(__xludf.DUMMYFUNCTION("iferror(sum(query('OTPI Scores'!$A:$AA,""select AA where C = '""&amp;A202&amp;""'  and B!='Friendly' order by A desc limit 5"",0)),0)"),22.0)</f>
        <v>22</v>
      </c>
    </row>
    <row r="203">
      <c r="A203" s="3" t="str">
        <f>IFERROR(__xludf.DUMMYFUNCTION("""COMPUTED_VALUE"""),"Tali Kiwanuka")</f>
        <v>Tali Kiwanuka</v>
      </c>
      <c r="B203" s="3">
        <f>IFERROR(__xludf.DUMMYFUNCTION("iferror(sum(query('OTPI Scores'!$A:$AA,""select AA where C = '""&amp;A203&amp;""'  and B!='Friendly' order by A desc limit 5"",0)),0)"),24.0)</f>
        <v>24</v>
      </c>
    </row>
    <row r="204">
      <c r="A204" s="3" t="str">
        <f>IFERROR(__xludf.DUMMYFUNCTION("""COMPUTED_VALUE"""),"Tam de Lacey")</f>
        <v>Tam de Lacey</v>
      </c>
      <c r="B204" s="3">
        <f>IFERROR(__xludf.DUMMYFUNCTION("iferror(sum(query('OTPI Scores'!$A:$AA,""select AA where C = '""&amp;A204&amp;""'  and B!='Friendly' order by A desc limit 5"",0)),0)"),16.0)</f>
        <v>16</v>
      </c>
    </row>
    <row r="205">
      <c r="A205" s="3" t="str">
        <f>IFERROR(__xludf.DUMMYFUNCTION("""COMPUTED_VALUE"""),"Theo Horton")</f>
        <v>Theo Horton</v>
      </c>
      <c r="B205" s="3">
        <f>IFERROR(__xludf.DUMMYFUNCTION("iferror(sum(query('OTPI Scores'!$A:$AA,""select AA where C = '""&amp;A205&amp;""'  and B!='Friendly' order by A desc limit 5"",0)),0)"),15.0)</f>
        <v>15</v>
      </c>
    </row>
    <row r="206">
      <c r="A206" s="3" t="str">
        <f>IFERROR(__xludf.DUMMYFUNCTION("""COMPUTED_VALUE"""),"Tim Ward")</f>
        <v>Tim Ward</v>
      </c>
      <c r="B206" s="3">
        <f>IFERROR(__xludf.DUMMYFUNCTION("iferror(sum(query('OTPI Scores'!$A:$AA,""select AA where C = '""&amp;A206&amp;""'  and B!='Friendly' order by A desc limit 5"",0)),0)"),0.0)</f>
        <v>0</v>
      </c>
    </row>
    <row r="207">
      <c r="A207" s="3" t="str">
        <f>IFERROR(__xludf.DUMMYFUNCTION("""COMPUTED_VALUE"""),"Tom Davidson")</f>
        <v>Tom Davidson</v>
      </c>
      <c r="B207" s="3">
        <f>IFERROR(__xludf.DUMMYFUNCTION("iferror(sum(query('OTPI Scores'!$A:$AA,""select AA where C = '""&amp;A207&amp;""'  and B!='Friendly' order by A desc limit 5"",0)),0)"),14.0)</f>
        <v>14</v>
      </c>
    </row>
    <row r="208">
      <c r="A208" s="3" t="str">
        <f>IFERROR(__xludf.DUMMYFUNCTION("""COMPUTED_VALUE"""),"Tom Love")</f>
        <v>Tom Love</v>
      </c>
      <c r="B208" s="3">
        <f>IFERROR(__xludf.DUMMYFUNCTION("iferror(sum(query('OTPI Scores'!$A:$AA,""select AA where C = '""&amp;A208&amp;""'  and B!='Friendly' order by A desc limit 5"",0)),0)"),22.0)</f>
        <v>22</v>
      </c>
    </row>
    <row r="209">
      <c r="A209" s="3" t="str">
        <f>IFERROR(__xludf.DUMMYFUNCTION("""COMPUTED_VALUE"""),"Tom Riley")</f>
        <v>Tom Riley</v>
      </c>
      <c r="B209" s="3">
        <f>IFERROR(__xludf.DUMMYFUNCTION("iferror(sum(query('OTPI Scores'!$A:$AA,""select AA where C = '""&amp;A209&amp;""'  and B!='Friendly' order by A desc limit 5"",0)),0)"),10.0)</f>
        <v>10</v>
      </c>
    </row>
    <row r="210">
      <c r="A210" s="3" t="str">
        <f>IFERROR(__xludf.DUMMYFUNCTION("""COMPUTED_VALUE"""),"Tom Taylor")</f>
        <v>Tom Taylor</v>
      </c>
      <c r="B210" s="3">
        <f>IFERROR(__xludf.DUMMYFUNCTION("iferror(sum(query('OTPI Scores'!$A:$AA,""select AA where C = '""&amp;A210&amp;""'  and B!='Friendly' order by A desc limit 5"",0)),0)"),14.0)</f>
        <v>14</v>
      </c>
    </row>
    <row r="211">
      <c r="A211" s="3" t="str">
        <f>IFERROR(__xludf.DUMMYFUNCTION("""COMPUTED_VALUE"""),"Victor Lemmer")</f>
        <v>Victor Lemmer</v>
      </c>
      <c r="B211" s="3">
        <f>IFERROR(__xludf.DUMMYFUNCTION("iferror(sum(query('OTPI Scores'!$A:$AA,""select AA where C = '""&amp;A211&amp;""'  and B!='Friendly' order by A desc limit 5"",0)),0)"),10.0)</f>
        <v>10</v>
      </c>
    </row>
    <row r="212">
      <c r="A212" s="3" t="str">
        <f>IFERROR(__xludf.DUMMYFUNCTION("""COMPUTED_VALUE"""),"Wayne Ebanks")</f>
        <v>Wayne Ebanks</v>
      </c>
    </row>
    <row r="213">
      <c r="A213" s="3" t="str">
        <f>IFERROR(__xludf.DUMMYFUNCTION("""COMPUTED_VALUE"""),"Will French")</f>
        <v>Will French</v>
      </c>
    </row>
    <row r="214">
      <c r="A214" s="3" t="str">
        <f>IFERROR(__xludf.DUMMYFUNCTION("""COMPUTED_VALUE"""),"Will Sollory")</f>
        <v>Will Sollory</v>
      </c>
    </row>
    <row r="215">
      <c r="A215" s="3" t="str">
        <f>IFERROR(__xludf.DUMMYFUNCTION("""COMPUTED_VALUE"""),"Yemi Oviosu")</f>
        <v>Yemi Oviosu</v>
      </c>
    </row>
    <row r="216">
      <c r="A216" s="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4.5"/>
    <col customWidth="1" min="7" max="7" width="6.88"/>
    <col customWidth="1" min="8" max="8" width="14.13"/>
    <col customWidth="1" min="13" max="13" width="14.38"/>
  </cols>
  <sheetData>
    <row r="1">
      <c r="A1" s="2" t="str">
        <f>IFERROR(__xludf.DUMMYFUNCTION("IMPORTRANGE(B18,B19&amp;address(row(B11),column(B11))&amp;"":""&amp;address(row(B11),column(B11)))"),"Player Name")</f>
        <v>Player Name</v>
      </c>
      <c r="B1" s="2" t="str">
        <f>IFERROR(__xludf.DUMMYFUNCTION("IMPORTRANGE(B18,B19&amp;ADDRESS(row(E11),column(E11))&amp;"":""&amp;address(row(E11),column(E11)))"),"Position")</f>
        <v>Position</v>
      </c>
      <c r="C1" s="1" t="s">
        <v>199</v>
      </c>
      <c r="D1" s="1" t="s">
        <v>200</v>
      </c>
      <c r="E1" s="1" t="s">
        <v>201</v>
      </c>
      <c r="F1" s="63" t="s">
        <v>158</v>
      </c>
      <c r="G1" s="63" t="s">
        <v>159</v>
      </c>
      <c r="H1" s="63" t="s">
        <v>202</v>
      </c>
      <c r="I1" s="63" t="s">
        <v>203</v>
      </c>
      <c r="J1" s="63" t="s">
        <v>185</v>
      </c>
      <c r="K1" s="63" t="s">
        <v>204</v>
      </c>
      <c r="L1" s="63" t="s">
        <v>205</v>
      </c>
      <c r="M1" s="63" t="s">
        <v>206</v>
      </c>
      <c r="N1" s="63" t="s">
        <v>207</v>
      </c>
      <c r="O1" s="63" t="s">
        <v>208</v>
      </c>
      <c r="P1" s="63" t="s">
        <v>209</v>
      </c>
      <c r="Q1" s="61" t="s">
        <v>210</v>
      </c>
      <c r="R1" s="61" t="s">
        <v>211</v>
      </c>
      <c r="S1" s="61" t="s">
        <v>212</v>
      </c>
      <c r="T1" s="61" t="s">
        <v>213</v>
      </c>
      <c r="U1" s="61" t="s">
        <v>214</v>
      </c>
      <c r="V1" s="61" t="s">
        <v>215</v>
      </c>
      <c r="W1" s="65" t="s">
        <v>2254</v>
      </c>
      <c r="X1" s="61" t="s">
        <v>2255</v>
      </c>
      <c r="Y1" s="61" t="s">
        <v>196</v>
      </c>
      <c r="Z1" s="61" t="s">
        <v>2256</v>
      </c>
      <c r="AA1" s="61" t="s">
        <v>2257</v>
      </c>
    </row>
    <row r="2">
      <c r="A2" s="2" t="str">
        <f>IFERROR(__xludf.DUMMYFUNCTION("IMPORTRANGE($B$18,$B$19&amp;address(row(B12),column(B12))&amp;"":""&amp;address(row(B12),column(B12)))"),"James Rodriguez")</f>
        <v>James Rodriguez</v>
      </c>
      <c r="B2" s="2" t="str">
        <f>IFERROR(__xludf.DUMMYFUNCTION("IMPORTRANGE($B$18,$B$19&amp;address(row(E12),column(E12))&amp;"":""&amp;address(row(E12),column(E12)))"),"GK")</f>
        <v>GK</v>
      </c>
      <c r="C2" s="1">
        <f t="shared" ref="C2:C17" si="1">$B$20</f>
        <v>1</v>
      </c>
      <c r="D2" s="86" t="str">
        <f>IFERROR(__xludf.DUMMYFUNCTION("IMPORTRANGE($B$18,$B$19&amp;address(row($I$3),column($I$3))&amp;"":""&amp;address(row($I$3),column($I$3)))"),"Bealonians 1s")</f>
        <v>Bealonians 1s</v>
      </c>
      <c r="E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2" s="2" t="str">
        <f>IFERROR(__xludf.DUMMYFUNCTION("IMPORTRANGE($B$18,$B$19&amp;address(row(I12),column(I12))&amp;"":""&amp;address(row(I12),column(I12)))"),"")</f>
        <v/>
      </c>
      <c r="G2" s="2" t="str">
        <f>IFERROR(__xludf.DUMMYFUNCTION("IMPORTRANGE($B$18,$B$19&amp;address(row(J12),column(J12))&amp;"":""&amp;address(row(J12),column(J12)))"),"")</f>
        <v/>
      </c>
      <c r="H2" s="1">
        <f>IFERROR(__xludf.DUMMYFUNCTION("IMPORTRANGE($B$18,$B$19&amp;address(row($I$7),column($I$7))&amp;"":""&amp;address(row($I$7),column($I$7)))"),0.0)</f>
        <v>0</v>
      </c>
      <c r="I2" s="2" t="str">
        <f>IFERROR(__xludf.DUMMYFUNCTION("IMPORTRANGE($B$18,$B$19&amp;address(row(N12),column(N12))&amp;"":""&amp;address(row(N12),column(N12)))"),"")</f>
        <v/>
      </c>
      <c r="J2" s="2" t="str">
        <f>IFERROR(__xludf.DUMMYFUNCTION("IMPORTRANGE($B$18,$B$19&amp;address(row(O12),column(O12))&amp;"":""&amp;address(row(O12),column(O12)))"),"")</f>
        <v/>
      </c>
      <c r="K2" s="2" t="str">
        <f>IFERROR(__xludf.DUMMYFUNCTION("IMPORTRANGE($B$18,$B$19&amp;address(row(P12),column(P12))&amp;"":""&amp;address(row(P12),column(P12)))"),"")</f>
        <v/>
      </c>
      <c r="L2" s="2" t="b">
        <f t="shared" ref="L2:L17" si="2">H2=0</f>
        <v>1</v>
      </c>
      <c r="M2" s="2" t="str">
        <f>IFERROR(__xludf.DUMMYFUNCTION("IMPORTRANGE($B$18,$B$19&amp;address(row(L12),column(L12))&amp;"":""&amp;address(row(L12),column(L12)))"),"")</f>
        <v/>
      </c>
      <c r="N2" s="2" t="str">
        <f>IFERROR(__xludf.DUMMYFUNCTION("IMPORTRANGE($B$18,$B$19&amp;address(row(K12),column(K12))&amp;"":""&amp;address(row(K12),column(K12)))"),"")</f>
        <v/>
      </c>
      <c r="O2" s="2" t="str">
        <f>IFERROR(__xludf.DUMMYFUNCTION("IMPORTRANGE($B$18,$B$19&amp;address(row(M12),column(M12))&amp;"":""&amp;address(row(M12),column(M12)))"),"")</f>
        <v/>
      </c>
      <c r="P2" s="2">
        <f>IFERROR(__xludf.DUMMYFUNCTION("IF(IMPORTRANGE($B$18,$B$19&amp;address(row($Q$7),column($Q$7))&amp;"":""&amp;address(row($Q$7),column($Q$7)))=A2,1,0)"),1.0)</f>
        <v>1</v>
      </c>
      <c r="Q2" s="2" t="str">
        <f>IFERROR(__xludf.DUMMYFUNCTION("IMPORTRANGE($B$18,$B$19&amp;address(row(G12),column(G12))&amp;"":""&amp;address(row(G12),column(G12)))"),"")</f>
        <v/>
      </c>
      <c r="R2" s="2">
        <f>IFERROR(__xludf.DUMMYFUNCTION("IMPORTRANGE($B$18,$B$19&amp;address(row(H12),column(H12))&amp;"":""&amp;address(row(H12),column(H12)))"),0.0)</f>
        <v>0</v>
      </c>
      <c r="S2" s="2">
        <f>IFERROR(__xludf.DUMMYFUNCTION("IMPORTRANGE($B$18,$B$19&amp;address(row(S12),column(S12))&amp;"":""&amp;address(row(S12),column(S12)))"),9.5)</f>
        <v>9.5</v>
      </c>
      <c r="T2" s="2" t="str">
        <f>IFERROR(__xludf.DUMMYFUNCTION("IMPORTRANGE($B$18,$B$19&amp;address(row(T12),column(T12))&amp;"":""&amp;address(row(T12),column(T12)))"),"Outstanding.  Positioning spot on, distribution as to be expected top nothc.  Dominated on crosses.  Made 2 good saves but comfortable saves. Same he doesn't want to go in goial every week.  ")</f>
        <v>Outstanding.  Positioning spot on, distribution as to be expected top nothc.  Dominated on crosses.  Made 2 good saves but comfortable saves. Same he doesn't want to go in goial every week.  </v>
      </c>
      <c r="U2" s="2" t="str">
        <f>IFERROR(__xludf.DUMMYFUNCTION("IMPORTRANGE($B$18,$B$19&amp;address(row($T$4),column($T$4))&amp;"":""&amp;address(row($T$4),column($T$4)))"),"3-5-2")</f>
        <v>3-5-2</v>
      </c>
      <c r="V2" s="2" t="str">
        <f>IFERROR(__xludf.DUMMYFUNCTION("IMPORTRANGE($B$18,$B$19&amp;address(row($T$7),column($T$7))&amp;"":""&amp;address(row($T$7),column($T$7)))"),"")</f>
        <v/>
      </c>
      <c r="W2" s="2">
        <f>IFERROR(__xludf.DUMMYFUNCTION("IMPORTRANGE($B$18,$B$19&amp;address(row($H$7),column($H$7))&amp;"":""&amp;address(row($H$7),column($H$7)))"),0.0)</f>
        <v>0</v>
      </c>
      <c r="X2" s="2">
        <f>IFERROR(__xludf.DUMMYFUNCTION("IMPORTRANGE($B$18,$B$19&amp;address(row($I$7),column($I$7))&amp;"":""&amp;address(row($I$7),column($I$7)))"),0.0)</f>
        <v>0</v>
      </c>
      <c r="Y2" s="2" t="str">
        <f>IFERROR(__xludf.DUMMYFUNCTION("IMPORTRANGE($B$18,$B$19&amp;address(row($C$5),column($C$5))&amp;"":""&amp;address(row($C$5),column($C$5)))"),"Premier")</f>
        <v>Premier</v>
      </c>
      <c r="Z2" s="86">
        <f>IFERROR(__xludf.DUMMYFUNCTION("IMPORTRANGE($B$18,$B$19&amp;address(row($I$4),column($I$4))&amp;"":""&amp;address(row($I$4),column($I$4)))"),45395.0)</f>
        <v>45395</v>
      </c>
      <c r="AA2" s="2" t="b">
        <f t="shared" ref="AA2:AA17" si="3">NOT(ISBLANK(A2))</f>
        <v>1</v>
      </c>
    </row>
    <row r="3">
      <c r="A3" s="2" t="str">
        <f>IFERROR(__xludf.DUMMYFUNCTION("IMPORTRANGE($B$18,$B$19&amp;address(row(B13),column(B13))&amp;"":""&amp;address(row(B13),column(B13)))"),"Aaron Snelling")</f>
        <v>Aaron Snelling</v>
      </c>
      <c r="B3" s="2" t="str">
        <f>IFERROR(__xludf.DUMMYFUNCTION("IMPORTRANGE($B$18,$B$19&amp;address(row(E13),column(E13))&amp;"":""&amp;address(row(E13),column(E13)))"),"CB")</f>
        <v>CB</v>
      </c>
      <c r="C3" s="1">
        <f t="shared" si="1"/>
        <v>1</v>
      </c>
      <c r="D3" s="86" t="str">
        <f>IFERROR(__xludf.DUMMYFUNCTION("IMPORTRANGE($B$18,$B$19&amp;address(row($I$3),column($I$3))&amp;"":""&amp;address(row($I$3),column($I$3)))"),"Bealonians 1s")</f>
        <v>Bealonians 1s</v>
      </c>
      <c r="E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3" s="2" t="str">
        <f>IFERROR(__xludf.DUMMYFUNCTION("IMPORTRANGE($B$18,$B$19&amp;address(row(I13),column(I13))&amp;"":""&amp;address(row(I13),column(I13)))"),"")</f>
        <v/>
      </c>
      <c r="G3" s="2" t="str">
        <f>IFERROR(__xludf.DUMMYFUNCTION("IMPORTRANGE($B$18,$B$19&amp;address(row(J13),column(J13))&amp;"":""&amp;address(row(J13),column(J13)))"),"")</f>
        <v/>
      </c>
      <c r="H3" s="1">
        <f>IFERROR(__xludf.DUMMYFUNCTION("IMPORTRANGE($B$18,$B$19&amp;address(row($I$7),column($I$7))&amp;"":""&amp;address(row($I$7),column($I$7)))"),0.0)</f>
        <v>0</v>
      </c>
      <c r="I3" s="2" t="str">
        <f>IFERROR(__xludf.DUMMYFUNCTION("IMPORTRANGE($B$18,$B$19&amp;address(row(N13),column(N13))&amp;"":""&amp;address(row(N13),column(N13)))"),"")</f>
        <v/>
      </c>
      <c r="J3" s="2" t="str">
        <f>IFERROR(__xludf.DUMMYFUNCTION("IMPORTRANGE($B$18,$B$19&amp;address(row(O13),column(O13))&amp;"":""&amp;address(row(O13),column(O13)))"),"")</f>
        <v/>
      </c>
      <c r="K3" s="2" t="str">
        <f>IFERROR(__xludf.DUMMYFUNCTION("IMPORTRANGE($B$18,$B$19&amp;address(row(P13),column(P13))&amp;"":""&amp;address(row(P13),column(P13)))"),"")</f>
        <v/>
      </c>
      <c r="L3" s="2" t="b">
        <f t="shared" si="2"/>
        <v>1</v>
      </c>
      <c r="M3" s="2" t="str">
        <f>IFERROR(__xludf.DUMMYFUNCTION("IMPORTRANGE($B$18,$B$19&amp;address(row(L13),column(L13))&amp;"":""&amp;address(row(L13),column(L13)))"),"")</f>
        <v/>
      </c>
      <c r="N3" s="2" t="str">
        <f>IFERROR(__xludf.DUMMYFUNCTION("IMPORTRANGE($B$18,$B$19&amp;address(row(K13),column(K13))&amp;"":""&amp;address(row(K13),column(K13)))"),"")</f>
        <v/>
      </c>
      <c r="O3" s="2" t="str">
        <f>IFERROR(__xludf.DUMMYFUNCTION("IMPORTRANGE($B$18,$B$19&amp;address(row(M13),column(M13))&amp;"":""&amp;address(row(M13),column(M13)))"),"")</f>
        <v/>
      </c>
      <c r="P3" s="2">
        <f>IFERROR(__xludf.DUMMYFUNCTION("IF(IMPORTRANGE($B$18,$B$19&amp;address(row($Q$7),column($Q$7))&amp;"":""&amp;address(row($Q$7),column($Q$7)))=A3,1,0)"),0.0)</f>
        <v>0</v>
      </c>
      <c r="Q3" s="2" t="str">
        <f>IFERROR(__xludf.DUMMYFUNCTION("IMPORTRANGE($B$18,$B$19&amp;address(row(G13),column(G13))&amp;"":""&amp;address(row(G13),column(G13)))"),"")</f>
        <v/>
      </c>
      <c r="R3" s="2">
        <f>IFERROR(__xludf.DUMMYFUNCTION("IMPORTRANGE($B$18,$B$19&amp;address(row(H13),column(H13))&amp;"":""&amp;address(row(H13),column(H13)))"),8.0)</f>
        <v>8</v>
      </c>
      <c r="S3" s="2">
        <f>IFERROR(__xludf.DUMMYFUNCTION("IMPORTRANGE($B$18,$B$19&amp;address(row(S13),column(S13))&amp;"":""&amp;address(row(S13),column(S13)))"),8.5)</f>
        <v>8.5</v>
      </c>
      <c r="T3" s="2" t="str">
        <f>IFERROR(__xludf.DUMMYFUNCTION("IMPORTRANGE($B$18,$B$19&amp;address(row(T13),column(T13))&amp;"":""&amp;address(row(T13),column(T13)))"),"Very good if comfortable game.  Oppo CF is a hold up battler type and got zero out of Aaron.  Still struggling with hip flexor and had to go off")</f>
        <v>Very good if comfortable game.  Oppo CF is a hold up battler type and got zero out of Aaron.  Still struggling with hip flexor and had to go off</v>
      </c>
      <c r="U3" s="2" t="str">
        <f>IFERROR(__xludf.DUMMYFUNCTION("IMPORTRANGE($B$18,$B$19&amp;address(row($T$4),column($T$4))&amp;"":""&amp;address(row($T$4),column($T$4)))"),"3-5-2")</f>
        <v>3-5-2</v>
      </c>
      <c r="V3" s="2" t="str">
        <f>IFERROR(__xludf.DUMMYFUNCTION("IMPORTRANGE($B$18,$B$19&amp;address(row($T$7),column($T$7))&amp;"":""&amp;address(row($T$7),column($T$7)))"),"")</f>
        <v/>
      </c>
      <c r="W3" s="2">
        <f>IFERROR(__xludf.DUMMYFUNCTION("IMPORTRANGE($B$18,$B$19&amp;address(row($H$7),column($H$7))&amp;"":""&amp;address(row($H$7),column($H$7)))"),0.0)</f>
        <v>0</v>
      </c>
      <c r="X3" s="2">
        <f>IFERROR(__xludf.DUMMYFUNCTION("IMPORTRANGE($B$18,$B$19&amp;address(row($I$7),column($I$7))&amp;"":""&amp;address(row($I$7),column($I$7)))"),0.0)</f>
        <v>0</v>
      </c>
      <c r="Y3" s="2" t="str">
        <f>IFERROR(__xludf.DUMMYFUNCTION("IMPORTRANGE($B$18,$B$19&amp;address(row($C$5),column($C$5))&amp;"":""&amp;address(row($C$5),column($C$5)))"),"Premier")</f>
        <v>Premier</v>
      </c>
      <c r="Z3" s="86">
        <f>IFERROR(__xludf.DUMMYFUNCTION("IMPORTRANGE($B$18,$B$19&amp;address(row($I$4),column($I$4))&amp;"":""&amp;address(row($I$4),column($I$4)))"),45395.0)</f>
        <v>45395</v>
      </c>
      <c r="AA3" s="2" t="b">
        <f t="shared" si="3"/>
        <v>1</v>
      </c>
    </row>
    <row r="4">
      <c r="A4" s="2" t="str">
        <f>IFERROR(__xludf.DUMMYFUNCTION("IMPORTRANGE($B$18,$B$19&amp;address(row(B14),column(B14))&amp;"":""&amp;address(row(B14),column(B14)))"),"Theo Horton")</f>
        <v>Theo Horton</v>
      </c>
      <c r="B4" s="2" t="str">
        <f>IFERROR(__xludf.DUMMYFUNCTION("IMPORTRANGE($B$18,$B$19&amp;address(row(E14),column(E14))&amp;"":""&amp;address(row(E14),column(E14)))"),"LCB")</f>
        <v>LCB</v>
      </c>
      <c r="C4" s="1">
        <f t="shared" si="1"/>
        <v>1</v>
      </c>
      <c r="D4" s="86" t="str">
        <f>IFERROR(__xludf.DUMMYFUNCTION("IMPORTRANGE($B$18,$B$19&amp;address(row($I$3),column($I$3))&amp;"":""&amp;address(row($I$3),column($I$3)))"),"Bealonians 1s")</f>
        <v>Bealonians 1s</v>
      </c>
      <c r="E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4" s="2" t="str">
        <f>IFERROR(__xludf.DUMMYFUNCTION("IMPORTRANGE($B$18,$B$19&amp;address(row(I14),column(I14))&amp;"":""&amp;address(row(I14),column(I14)))"),"")</f>
        <v/>
      </c>
      <c r="G4" s="2" t="str">
        <f>IFERROR(__xludf.DUMMYFUNCTION("IMPORTRANGE($B$18,$B$19&amp;address(row(J14),column(J14))&amp;"":""&amp;address(row(J14),column(J14)))"),"")</f>
        <v/>
      </c>
      <c r="H4" s="1">
        <f>IFERROR(__xludf.DUMMYFUNCTION("IMPORTRANGE($B$18,$B$19&amp;address(row($I$7),column($I$7))&amp;"":""&amp;address(row($I$7),column($I$7)))"),0.0)</f>
        <v>0</v>
      </c>
      <c r="I4" s="2" t="str">
        <f>IFERROR(__xludf.DUMMYFUNCTION("IMPORTRANGE($B$18,$B$19&amp;address(row(N14),column(N14))&amp;"":""&amp;address(row(N14),column(N14)))"),"")</f>
        <v/>
      </c>
      <c r="J4" s="2" t="str">
        <f>IFERROR(__xludf.DUMMYFUNCTION("IMPORTRANGE($B$18,$B$19&amp;address(row(O14),column(O14))&amp;"":""&amp;address(row(O14),column(O14)))"),"")</f>
        <v/>
      </c>
      <c r="K4" s="2" t="str">
        <f>IFERROR(__xludf.DUMMYFUNCTION("IMPORTRANGE($B$18,$B$19&amp;address(row(P14),column(P14))&amp;"":""&amp;address(row(P14),column(P14)))"),"")</f>
        <v/>
      </c>
      <c r="L4" s="2" t="b">
        <f t="shared" si="2"/>
        <v>1</v>
      </c>
      <c r="M4" s="2" t="str">
        <f>IFERROR(__xludf.DUMMYFUNCTION("IMPORTRANGE($B$18,$B$19&amp;address(row(L14),column(L14))&amp;"":""&amp;address(row(L14),column(L14)))"),"")</f>
        <v/>
      </c>
      <c r="N4" s="2" t="str">
        <f>IFERROR(__xludf.DUMMYFUNCTION("IMPORTRANGE($B$18,$B$19&amp;address(row(K14),column(K14))&amp;"":""&amp;address(row(K14),column(K14)))"),"")</f>
        <v/>
      </c>
      <c r="O4" s="2" t="str">
        <f>IFERROR(__xludf.DUMMYFUNCTION("IMPORTRANGE($B$18,$B$19&amp;address(row(M14),column(M14))&amp;"":""&amp;address(row(M14),column(M14)))"),"")</f>
        <v/>
      </c>
      <c r="P4" s="2">
        <f>IFERROR(__xludf.DUMMYFUNCTION("IF(IMPORTRANGE($B$18,$B$19&amp;address(row($Q$7),column($Q$7))&amp;"":""&amp;address(row($Q$7),column($Q$7)))=A4,1,0)"),0.0)</f>
        <v>0</v>
      </c>
      <c r="Q4" s="2" t="str">
        <f>IFERROR(__xludf.DUMMYFUNCTION("IMPORTRANGE($B$18,$B$19&amp;address(row(G14),column(G14))&amp;"":""&amp;address(row(G14),column(G14)))"),"")</f>
        <v/>
      </c>
      <c r="R4" s="2">
        <f>IFERROR(__xludf.DUMMYFUNCTION("IMPORTRANGE($B$18,$B$19&amp;address(row(H14),column(H14))&amp;"":""&amp;address(row(H14),column(H14)))"),8.0)</f>
        <v>8</v>
      </c>
      <c r="S4" s="2">
        <f>IFERROR(__xludf.DUMMYFUNCTION("IMPORTRANGE($B$18,$B$19&amp;address(row(S14),column(S14))&amp;"":""&amp;address(row(S14),column(S14)))"),8.0)</f>
        <v>8</v>
      </c>
      <c r="T4" s="2" t="str">
        <f>IFERROR(__xludf.DUMMYFUNCTION("IMPORTRANGE($B$18,$B$19&amp;address(row(T14),column(T14))&amp;"":""&amp;address(row(T14),column(T14)))"),"Very good, subbed for Jamie but did little wrong.  Surpeb in tieing up the left side of the pitch by himself allowing Ollie to be higher up the pitch. ")</f>
        <v>Very good, subbed for Jamie but did little wrong.  Surpeb in tieing up the left side of the pitch by himself allowing Ollie to be higher up the pitch. </v>
      </c>
      <c r="U4" s="2" t="str">
        <f>IFERROR(__xludf.DUMMYFUNCTION("IMPORTRANGE($B$18,$B$19&amp;address(row($T$4),column($T$4))&amp;"":""&amp;address(row($T$4),column($T$4)))"),"3-5-2")</f>
        <v>3-5-2</v>
      </c>
      <c r="V4" s="2" t="str">
        <f>IFERROR(__xludf.DUMMYFUNCTION("IMPORTRANGE($B$18,$B$19&amp;address(row($T$7),column($T$7))&amp;"":""&amp;address(row($T$7),column($T$7)))"),"")</f>
        <v/>
      </c>
      <c r="W4" s="2">
        <f>IFERROR(__xludf.DUMMYFUNCTION("IMPORTRANGE($B$18,$B$19&amp;address(row($H$7),column($H$7))&amp;"":""&amp;address(row($H$7),column($H$7)))"),0.0)</f>
        <v>0</v>
      </c>
      <c r="X4" s="2">
        <f>IFERROR(__xludf.DUMMYFUNCTION("IMPORTRANGE($B$18,$B$19&amp;address(row($I$7),column($I$7))&amp;"":""&amp;address(row($I$7),column($I$7)))"),0.0)</f>
        <v>0</v>
      </c>
      <c r="Y4" s="2" t="str">
        <f>IFERROR(__xludf.DUMMYFUNCTION("IMPORTRANGE($B$18,$B$19&amp;address(row($C$5),column($C$5))&amp;"":""&amp;address(row($C$5),column($C$5)))"),"Premier")</f>
        <v>Premier</v>
      </c>
      <c r="Z4" s="86">
        <f>IFERROR(__xludf.DUMMYFUNCTION("IMPORTRANGE($B$18,$B$19&amp;address(row($I$4),column($I$4))&amp;"":""&amp;address(row($I$4),column($I$4)))"),45395.0)</f>
        <v>45395</v>
      </c>
      <c r="AA4" s="2" t="b">
        <f t="shared" si="3"/>
        <v>1</v>
      </c>
    </row>
    <row r="5">
      <c r="A5" s="2" t="str">
        <f>IFERROR(__xludf.DUMMYFUNCTION("IMPORTRANGE($B$18,$B$19&amp;address(row(B15),column(B15))&amp;"":""&amp;address(row(B15),column(B15)))"),"Matt Crowe")</f>
        <v>Matt Crowe</v>
      </c>
      <c r="B5" s="2" t="str">
        <f>IFERROR(__xludf.DUMMYFUNCTION("IMPORTRANGE($B$18,$B$19&amp;address(row(E15),column(E15))&amp;"":""&amp;address(row(E15),column(E15)))"),"RCB")</f>
        <v>RCB</v>
      </c>
      <c r="C5" s="1">
        <f t="shared" si="1"/>
        <v>1</v>
      </c>
      <c r="D5" s="86" t="str">
        <f>IFERROR(__xludf.DUMMYFUNCTION("IMPORTRANGE($B$18,$B$19&amp;address(row($I$3),column($I$3))&amp;"":""&amp;address(row($I$3),column($I$3)))"),"Bealonians 1s")</f>
        <v>Bealonians 1s</v>
      </c>
      <c r="E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5" s="2" t="str">
        <f>IFERROR(__xludf.DUMMYFUNCTION("IMPORTRANGE($B$18,$B$19&amp;address(row(I15),column(I15))&amp;"":""&amp;address(row(I15),column(I15)))"),"")</f>
        <v/>
      </c>
      <c r="G5" s="2" t="str">
        <f>IFERROR(__xludf.DUMMYFUNCTION("IMPORTRANGE($B$18,$B$19&amp;address(row(J15),column(J15))&amp;"":""&amp;address(row(J15),column(J15)))"),"")</f>
        <v/>
      </c>
      <c r="H5" s="1">
        <f>IFERROR(__xludf.DUMMYFUNCTION("IMPORTRANGE($B$18,$B$19&amp;address(row($I$7),column($I$7))&amp;"":""&amp;address(row($I$7),column($I$7)))"),0.0)</f>
        <v>0</v>
      </c>
      <c r="I5" s="2" t="str">
        <f>IFERROR(__xludf.DUMMYFUNCTION("IMPORTRANGE($B$18,$B$19&amp;address(row(N15),column(N15))&amp;"":""&amp;address(row(N15),column(N15)))"),"")</f>
        <v/>
      </c>
      <c r="J5" s="2" t="str">
        <f>IFERROR(__xludf.DUMMYFUNCTION("IMPORTRANGE($B$18,$B$19&amp;address(row(O15),column(O15))&amp;"":""&amp;address(row(O15),column(O15)))"),"")</f>
        <v/>
      </c>
      <c r="K5" s="2" t="str">
        <f>IFERROR(__xludf.DUMMYFUNCTION("IMPORTRANGE($B$18,$B$19&amp;address(row(P15),column(P15))&amp;"":""&amp;address(row(P15),column(P15)))"),"")</f>
        <v/>
      </c>
      <c r="L5" s="2" t="b">
        <f t="shared" si="2"/>
        <v>1</v>
      </c>
      <c r="M5" s="2" t="str">
        <f>IFERROR(__xludf.DUMMYFUNCTION("IMPORTRANGE($B$18,$B$19&amp;address(row(L15),column(L15))&amp;"":""&amp;address(row(L15),column(L15)))"),"")</f>
        <v/>
      </c>
      <c r="N5" s="2" t="str">
        <f>IFERROR(__xludf.DUMMYFUNCTION("IMPORTRANGE($B$18,$B$19&amp;address(row(K15),column(K15))&amp;"":""&amp;address(row(K15),column(K15)))"),"")</f>
        <v/>
      </c>
      <c r="O5" s="2" t="str">
        <f>IFERROR(__xludf.DUMMYFUNCTION("IMPORTRANGE($B$18,$B$19&amp;address(row(M15),column(M15))&amp;"":""&amp;address(row(M15),column(M15)))"),"")</f>
        <v/>
      </c>
      <c r="P5" s="2">
        <f>IFERROR(__xludf.DUMMYFUNCTION("IF(IMPORTRANGE($B$18,$B$19&amp;address(row($Q$7),column($Q$7))&amp;"":""&amp;address(row($Q$7),column($Q$7)))=A5,1,0)"),0.0)</f>
        <v>0</v>
      </c>
      <c r="Q5" s="2" t="str">
        <f>IFERROR(__xludf.DUMMYFUNCTION("IMPORTRANGE($B$18,$B$19&amp;address(row(G15),column(G15))&amp;"":""&amp;address(row(G15),column(G15)))"),"")</f>
        <v/>
      </c>
      <c r="R5" s="2">
        <f>IFERROR(__xludf.DUMMYFUNCTION("IMPORTRANGE($B$18,$B$19&amp;address(row(H15),column(H15))&amp;"":""&amp;address(row(H15),column(H15)))"),10.0)</f>
        <v>10</v>
      </c>
      <c r="S5" s="2">
        <f>IFERROR(__xludf.DUMMYFUNCTION("IMPORTRANGE($B$18,$B$19&amp;address(row(S15),column(S15))&amp;"":""&amp;address(row(S15),column(S15)))"),8.0)</f>
        <v>8</v>
      </c>
      <c r="T5" s="2" t="str">
        <f>IFERROR(__xludf.DUMMYFUNCTION("IMPORTRANGE($B$18,$B$19&amp;address(row(T15),column(T15))&amp;"":""&amp;address(row(T15),column(T15)))"),"Decent, in periods of domination stepped into CM")</f>
        <v>Decent, in periods of domination stepped into CM</v>
      </c>
      <c r="U5" s="2" t="str">
        <f>IFERROR(__xludf.DUMMYFUNCTION("IMPORTRANGE($B$18,$B$19&amp;address(row($T$4),column($T$4))&amp;"":""&amp;address(row($T$4),column($T$4)))"),"3-5-2")</f>
        <v>3-5-2</v>
      </c>
      <c r="V5" s="2" t="str">
        <f>IFERROR(__xludf.DUMMYFUNCTION("IMPORTRANGE($B$18,$B$19&amp;address(row($T$7),column($T$7))&amp;"":""&amp;address(row($T$7),column($T$7)))"),"")</f>
        <v/>
      </c>
      <c r="W5" s="2">
        <f>IFERROR(__xludf.DUMMYFUNCTION("IMPORTRANGE($B$18,$B$19&amp;address(row($H$7),column($H$7))&amp;"":""&amp;address(row($H$7),column($H$7)))"),0.0)</f>
        <v>0</v>
      </c>
      <c r="X5" s="2">
        <f>IFERROR(__xludf.DUMMYFUNCTION("IMPORTRANGE($B$18,$B$19&amp;address(row($I$7),column($I$7))&amp;"":""&amp;address(row($I$7),column($I$7)))"),0.0)</f>
        <v>0</v>
      </c>
      <c r="Y5" s="2" t="str">
        <f>IFERROR(__xludf.DUMMYFUNCTION("IMPORTRANGE($B$18,$B$19&amp;address(row($C$5),column($C$5))&amp;"":""&amp;address(row($C$5),column($C$5)))"),"Premier")</f>
        <v>Premier</v>
      </c>
      <c r="Z5" s="86">
        <f>IFERROR(__xludf.DUMMYFUNCTION("IMPORTRANGE($B$18,$B$19&amp;address(row($I$4),column($I$4))&amp;"":""&amp;address(row($I$4),column($I$4)))"),45395.0)</f>
        <v>45395</v>
      </c>
      <c r="AA5" s="2" t="b">
        <f t="shared" si="3"/>
        <v>1</v>
      </c>
    </row>
    <row r="6">
      <c r="A6" s="2" t="str">
        <f>IFERROR(__xludf.DUMMYFUNCTION("IMPORTRANGE($B$18,$B$19&amp;address(row(B16),column(B16))&amp;"":""&amp;address(row(B16),column(B16)))"),"Parimal Patel")</f>
        <v>Parimal Patel</v>
      </c>
      <c r="B6" s="2" t="str">
        <f>IFERROR(__xludf.DUMMYFUNCTION("IMPORTRANGE($B$18,$B$19&amp;address(row(E16),column(E16))&amp;"":""&amp;address(row(E16),column(E16)))"),"RWB")</f>
        <v>RWB</v>
      </c>
      <c r="C6" s="1">
        <f t="shared" si="1"/>
        <v>1</v>
      </c>
      <c r="D6" s="86" t="str">
        <f>IFERROR(__xludf.DUMMYFUNCTION("IMPORTRANGE($B$18,$B$19&amp;address(row($I$3),column($I$3))&amp;"":""&amp;address(row($I$3),column($I$3)))"),"Bealonians 1s")</f>
        <v>Bealonians 1s</v>
      </c>
      <c r="E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6" s="2" t="str">
        <f>IFERROR(__xludf.DUMMYFUNCTION("IMPORTRANGE($B$18,$B$19&amp;address(row(I16),column(I16))&amp;"":""&amp;address(row(I16),column(I16)))"),"")</f>
        <v/>
      </c>
      <c r="G6" s="2" t="str">
        <f>IFERROR(__xludf.DUMMYFUNCTION("IMPORTRANGE($B$18,$B$19&amp;address(row(J16),column(J16))&amp;"":""&amp;address(row(J16),column(J16)))"),"")</f>
        <v/>
      </c>
      <c r="H6" s="1">
        <f>IFERROR(__xludf.DUMMYFUNCTION("IMPORTRANGE($B$18,$B$19&amp;address(row($I$7),column($I$7))&amp;"":""&amp;address(row($I$7),column($I$7)))"),0.0)</f>
        <v>0</v>
      </c>
      <c r="I6" s="2" t="str">
        <f>IFERROR(__xludf.DUMMYFUNCTION("IMPORTRANGE($B$18,$B$19&amp;address(row(N16),column(N16))&amp;"":""&amp;address(row(N16),column(N16)))"),"")</f>
        <v/>
      </c>
      <c r="J6" s="2" t="str">
        <f>IFERROR(__xludf.DUMMYFUNCTION("IMPORTRANGE($B$18,$B$19&amp;address(row(O16),column(O16))&amp;"":""&amp;address(row(O16),column(O16)))"),"")</f>
        <v/>
      </c>
      <c r="K6" s="2" t="str">
        <f>IFERROR(__xludf.DUMMYFUNCTION("IMPORTRANGE($B$18,$B$19&amp;address(row(P16),column(P16))&amp;"":""&amp;address(row(P16),column(P16)))"),"")</f>
        <v/>
      </c>
      <c r="L6" s="2" t="b">
        <f t="shared" si="2"/>
        <v>1</v>
      </c>
      <c r="M6" s="2" t="str">
        <f>IFERROR(__xludf.DUMMYFUNCTION("IMPORTRANGE($B$18,$B$19&amp;address(row(L16),column(L16))&amp;"":""&amp;address(row(L16),column(L16)))"),"")</f>
        <v/>
      </c>
      <c r="N6" s="2" t="str">
        <f>IFERROR(__xludf.DUMMYFUNCTION("IMPORTRANGE($B$18,$B$19&amp;address(row(K16),column(K16))&amp;"":""&amp;address(row(K16),column(K16)))"),"")</f>
        <v/>
      </c>
      <c r="O6" s="2" t="str">
        <f>IFERROR(__xludf.DUMMYFUNCTION("IMPORTRANGE($B$18,$B$19&amp;address(row(M16),column(M16))&amp;"":""&amp;address(row(M16),column(M16)))"),"")</f>
        <v/>
      </c>
      <c r="P6" s="2">
        <f>IFERROR(__xludf.DUMMYFUNCTION("IF(IMPORTRANGE($B$18,$B$19&amp;address(row($Q$7),column($Q$7))&amp;"":""&amp;address(row($Q$7),column($Q$7)))=A6,1,0)"),0.0)</f>
        <v>0</v>
      </c>
      <c r="Q6" s="2" t="str">
        <f>IFERROR(__xludf.DUMMYFUNCTION("IMPORTRANGE($B$18,$B$19&amp;address(row(G16),column(G16))&amp;"":""&amp;address(row(G16),column(G16)))"),"")</f>
        <v/>
      </c>
      <c r="R6" s="2">
        <f>IFERROR(__xludf.DUMMYFUNCTION("IMPORTRANGE($B$18,$B$19&amp;address(row(H16),column(H16))&amp;"":""&amp;address(row(H16),column(H16)))"),5.0)</f>
        <v>5</v>
      </c>
      <c r="S6" s="2">
        <f>IFERROR(__xludf.DUMMYFUNCTION("IMPORTRANGE($B$18,$B$19&amp;address(row(S16),column(S16))&amp;"":""&amp;address(row(S16),column(S16)))"),8.0)</f>
        <v>8</v>
      </c>
      <c r="T6" s="2" t="str">
        <f>IFERROR(__xludf.DUMMYFUNCTION("IMPORTRANGE($B$18,$B$19&amp;address(row(T16),column(T16))&amp;"":""&amp;address(row(T16),column(T16)))"),"Decent retun from Paz.  Very good at wing back, stayed high up the pitch, worked back well on transitions. Came back on CM and was decent.")</f>
        <v>Decent retun from Paz.  Very good at wing back, stayed high up the pitch, worked back well on transitions. Came back on CM and was decent.</v>
      </c>
      <c r="U6" s="2" t="str">
        <f>IFERROR(__xludf.DUMMYFUNCTION("IMPORTRANGE($B$18,$B$19&amp;address(row($T$4),column($T$4))&amp;"":""&amp;address(row($T$4),column($T$4)))"),"3-5-2")</f>
        <v>3-5-2</v>
      </c>
      <c r="V6" s="2" t="str">
        <f>IFERROR(__xludf.DUMMYFUNCTION("IMPORTRANGE($B$18,$B$19&amp;address(row($T$7),column($T$7))&amp;"":""&amp;address(row($T$7),column($T$7)))"),"")</f>
        <v/>
      </c>
      <c r="W6" s="2">
        <f>IFERROR(__xludf.DUMMYFUNCTION("IMPORTRANGE($B$18,$B$19&amp;address(row($H$7),column($H$7))&amp;"":""&amp;address(row($H$7),column($H$7)))"),0.0)</f>
        <v>0</v>
      </c>
      <c r="X6" s="2">
        <f>IFERROR(__xludf.DUMMYFUNCTION("IMPORTRANGE($B$18,$B$19&amp;address(row($I$7),column($I$7))&amp;"":""&amp;address(row($I$7),column($I$7)))"),0.0)</f>
        <v>0</v>
      </c>
      <c r="Y6" s="2" t="str">
        <f>IFERROR(__xludf.DUMMYFUNCTION("IMPORTRANGE($B$18,$B$19&amp;address(row($C$5),column($C$5))&amp;"":""&amp;address(row($C$5),column($C$5)))"),"Premier")</f>
        <v>Premier</v>
      </c>
      <c r="Z6" s="86">
        <f>IFERROR(__xludf.DUMMYFUNCTION("IMPORTRANGE($B$18,$B$19&amp;address(row($I$4),column($I$4))&amp;"":""&amp;address(row($I$4),column($I$4)))"),45395.0)</f>
        <v>45395</v>
      </c>
      <c r="AA6" s="2" t="b">
        <f t="shared" si="3"/>
        <v>1</v>
      </c>
    </row>
    <row r="7">
      <c r="A7" s="2" t="str">
        <f>IFERROR(__xludf.DUMMYFUNCTION("IMPORTRANGE($B$18,$B$19&amp;address(row(B17),column(B17))&amp;"":""&amp;address(row(B17),column(B17)))"),"Ollie Sewell")</f>
        <v>Ollie Sewell</v>
      </c>
      <c r="B7" s="2" t="str">
        <f>IFERROR(__xludf.DUMMYFUNCTION("IMPORTRANGE($B$18,$B$19&amp;address(row(E17),column(E17))&amp;"":""&amp;address(row(E17),column(E17)))"),"LWB")</f>
        <v>LWB</v>
      </c>
      <c r="C7" s="1">
        <f t="shared" si="1"/>
        <v>1</v>
      </c>
      <c r="D7" s="86" t="str">
        <f>IFERROR(__xludf.DUMMYFUNCTION("IMPORTRANGE($B$18,$B$19&amp;address(row($I$3),column($I$3))&amp;"":""&amp;address(row($I$3),column($I$3)))"),"Bealonians 1s")</f>
        <v>Bealonians 1s</v>
      </c>
      <c r="E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7" s="2" t="str">
        <f>IFERROR(__xludf.DUMMYFUNCTION("IMPORTRANGE($B$18,$B$19&amp;address(row(I17),column(I17))&amp;"":""&amp;address(row(I17),column(I17)))"),"")</f>
        <v/>
      </c>
      <c r="G7" s="2" t="str">
        <f>IFERROR(__xludf.DUMMYFUNCTION("IMPORTRANGE($B$18,$B$19&amp;address(row(J17),column(J17))&amp;"":""&amp;address(row(J17),column(J17)))"),"")</f>
        <v/>
      </c>
      <c r="H7" s="1">
        <f>IFERROR(__xludf.DUMMYFUNCTION("IMPORTRANGE($B$18,$B$19&amp;address(row($I$7),column($I$7))&amp;"":""&amp;address(row($I$7),column($I$7)))"),0.0)</f>
        <v>0</v>
      </c>
      <c r="I7" s="2" t="str">
        <f>IFERROR(__xludf.DUMMYFUNCTION("IMPORTRANGE($B$18,$B$19&amp;address(row(N17),column(N17))&amp;"":""&amp;address(row(N17),column(N17)))"),"")</f>
        <v/>
      </c>
      <c r="J7" s="2" t="str">
        <f>IFERROR(__xludf.DUMMYFUNCTION("IMPORTRANGE($B$18,$B$19&amp;address(row(O17),column(O17))&amp;"":""&amp;address(row(O17),column(O17)))"),"")</f>
        <v/>
      </c>
      <c r="K7" s="2" t="str">
        <f>IFERROR(__xludf.DUMMYFUNCTION("IMPORTRANGE($B$18,$B$19&amp;address(row(P17),column(P17))&amp;"":""&amp;address(row(P17),column(P17)))"),"")</f>
        <v/>
      </c>
      <c r="L7" s="2" t="b">
        <f t="shared" si="2"/>
        <v>1</v>
      </c>
      <c r="M7" s="2" t="str">
        <f>IFERROR(__xludf.DUMMYFUNCTION("IMPORTRANGE($B$18,$B$19&amp;address(row(L17),column(L17))&amp;"":""&amp;address(row(L17),column(L17)))"),"")</f>
        <v/>
      </c>
      <c r="N7" s="2" t="str">
        <f>IFERROR(__xludf.DUMMYFUNCTION("IMPORTRANGE($B$18,$B$19&amp;address(row(K17),column(K17))&amp;"":""&amp;address(row(K17),column(K17)))"),"")</f>
        <v/>
      </c>
      <c r="O7" s="2" t="str">
        <f>IFERROR(__xludf.DUMMYFUNCTION("IMPORTRANGE($B$18,$B$19&amp;address(row(M17),column(M17))&amp;"":""&amp;address(row(M17),column(M17)))"),"")</f>
        <v/>
      </c>
      <c r="P7" s="2">
        <f>IFERROR(__xludf.DUMMYFUNCTION("IF(IMPORTRANGE($B$18,$B$19&amp;address(row($Q$7),column($Q$7))&amp;"":""&amp;address(row($Q$7),column($Q$7)))=A7,1,0)"),0.0)</f>
        <v>0</v>
      </c>
      <c r="Q7" s="2" t="str">
        <f>IFERROR(__xludf.DUMMYFUNCTION("IMPORTRANGE($B$18,$B$19&amp;address(row(G17),column(G17))&amp;"":""&amp;address(row(G17),column(G17)))"),"")</f>
        <v/>
      </c>
      <c r="R7" s="2">
        <f>IFERROR(__xludf.DUMMYFUNCTION("IMPORTRANGE($B$18,$B$19&amp;address(row(H17),column(H17))&amp;"":""&amp;address(row(H17),column(H17)))"),5.0)</f>
        <v>5</v>
      </c>
      <c r="S7" s="2">
        <f>IFERROR(__xludf.DUMMYFUNCTION("IMPORTRANGE($B$18,$B$19&amp;address(row(S17),column(S17))&amp;"":""&amp;address(row(S17),column(S17)))"),8.5)</f>
        <v>8.5</v>
      </c>
      <c r="T7" s="2" t="str">
        <f>IFERROR(__xludf.DUMMYFUNCTION("IMPORTRANGE($B$18,$B$19&amp;address(row(T17),column(T17))&amp;"":""&amp;address(row(T17),column(T17)))"),"Form continues, ball carrying superb.  Oppo could not get to grips with him.  Missed a relativley simple chance in second half, on left foot but his left foot is so good expected to hit the target. ")</f>
        <v>Form continues, ball carrying superb.  Oppo could not get to grips with him.  Missed a relativley simple chance in second half, on left foot but his left foot is so good expected to hit the target. </v>
      </c>
      <c r="U7" s="2" t="str">
        <f>IFERROR(__xludf.DUMMYFUNCTION("IMPORTRANGE($B$18,$B$19&amp;address(row($T$4),column($T$4))&amp;"":""&amp;address(row($T$4),column($T$4)))"),"3-5-2")</f>
        <v>3-5-2</v>
      </c>
      <c r="V7" s="2" t="str">
        <f>IFERROR(__xludf.DUMMYFUNCTION("IMPORTRANGE($B$18,$B$19&amp;address(row($T$7),column($T$7))&amp;"":""&amp;address(row($T$7),column($T$7)))"),"")</f>
        <v/>
      </c>
      <c r="W7" s="2">
        <f>IFERROR(__xludf.DUMMYFUNCTION("IMPORTRANGE($B$18,$B$19&amp;address(row($H$7),column($H$7))&amp;"":""&amp;address(row($H$7),column($H$7)))"),0.0)</f>
        <v>0</v>
      </c>
      <c r="X7" s="2">
        <f>IFERROR(__xludf.DUMMYFUNCTION("IMPORTRANGE($B$18,$B$19&amp;address(row($I$7),column($I$7))&amp;"":""&amp;address(row($I$7),column($I$7)))"),0.0)</f>
        <v>0</v>
      </c>
      <c r="Y7" s="2" t="str">
        <f>IFERROR(__xludf.DUMMYFUNCTION("IMPORTRANGE($B$18,$B$19&amp;address(row($C$5),column($C$5))&amp;"":""&amp;address(row($C$5),column($C$5)))"),"Premier")</f>
        <v>Premier</v>
      </c>
      <c r="Z7" s="86">
        <f>IFERROR(__xludf.DUMMYFUNCTION("IMPORTRANGE($B$18,$B$19&amp;address(row($I$4),column($I$4))&amp;"":""&amp;address(row($I$4),column($I$4)))"),45395.0)</f>
        <v>45395</v>
      </c>
      <c r="AA7" s="2" t="b">
        <f t="shared" si="3"/>
        <v>1</v>
      </c>
    </row>
    <row r="8">
      <c r="A8" s="2" t="str">
        <f>IFERROR(__xludf.DUMMYFUNCTION("IMPORTRANGE($B$18,$B$19&amp;address(row(B18),column(B18))&amp;"":""&amp;address(row(B18),column(B18)))"),"Matthew Thomas")</f>
        <v>Matthew Thomas</v>
      </c>
      <c r="B8" s="2" t="str">
        <f>IFERROR(__xludf.DUMMYFUNCTION("IMPORTRANGE($B$18,$B$19&amp;address(row(E18),column(E18))&amp;"":""&amp;address(row(E18),column(E18)))"),"CM")</f>
        <v>CM</v>
      </c>
      <c r="C8" s="1">
        <f t="shared" si="1"/>
        <v>1</v>
      </c>
      <c r="D8" s="86" t="str">
        <f>IFERROR(__xludf.DUMMYFUNCTION("IMPORTRANGE($B$18,$B$19&amp;address(row($I$3),column($I$3))&amp;"":""&amp;address(row($I$3),column($I$3)))"),"Bealonians 1s")</f>
        <v>Bealonians 1s</v>
      </c>
      <c r="E8"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8" s="2" t="str">
        <f>IFERROR(__xludf.DUMMYFUNCTION("IMPORTRANGE($B$18,$B$19&amp;address(row(I18),column(I18))&amp;"":""&amp;address(row(I18),column(I18)))"),"")</f>
        <v/>
      </c>
      <c r="G8" s="2" t="str">
        <f>IFERROR(__xludf.DUMMYFUNCTION("IMPORTRANGE($B$18,$B$19&amp;address(row(J18),column(J18))&amp;"":""&amp;address(row(J18),column(J18)))"),"")</f>
        <v/>
      </c>
      <c r="H8" s="1">
        <f>IFERROR(__xludf.DUMMYFUNCTION("IMPORTRANGE($B$18,$B$19&amp;address(row($I$7),column($I$7))&amp;"":""&amp;address(row($I$7),column($I$7)))"),0.0)</f>
        <v>0</v>
      </c>
      <c r="I8" s="2" t="str">
        <f>IFERROR(__xludf.DUMMYFUNCTION("IMPORTRANGE($B$18,$B$19&amp;address(row(N18),column(N18))&amp;"":""&amp;address(row(N18),column(N18)))"),"")</f>
        <v/>
      </c>
      <c r="J8" s="2" t="str">
        <f>IFERROR(__xludf.DUMMYFUNCTION("IMPORTRANGE($B$18,$B$19&amp;address(row(O18),column(O18))&amp;"":""&amp;address(row(O18),column(O18)))"),"")</f>
        <v/>
      </c>
      <c r="K8" s="2" t="str">
        <f>IFERROR(__xludf.DUMMYFUNCTION("IMPORTRANGE($B$18,$B$19&amp;address(row(P18),column(P18))&amp;"":""&amp;address(row(P18),column(P18)))"),"")</f>
        <v/>
      </c>
      <c r="L8" s="2" t="b">
        <f t="shared" si="2"/>
        <v>1</v>
      </c>
      <c r="M8" s="2" t="str">
        <f>IFERROR(__xludf.DUMMYFUNCTION("IMPORTRANGE($B$18,$B$19&amp;address(row(L18),column(L18))&amp;"":""&amp;address(row(L18),column(L18)))"),"")</f>
        <v/>
      </c>
      <c r="N8" s="2" t="str">
        <f>IFERROR(__xludf.DUMMYFUNCTION("IMPORTRANGE($B$18,$B$19&amp;address(row(K18),column(K18))&amp;"":""&amp;address(row(K18),column(K18)))"),"")</f>
        <v/>
      </c>
      <c r="O8" s="2" t="str">
        <f>IFERROR(__xludf.DUMMYFUNCTION("IMPORTRANGE($B$18,$B$19&amp;address(row(M18),column(M18))&amp;"":""&amp;address(row(M18),column(M18)))"),"")</f>
        <v/>
      </c>
      <c r="P8" s="2">
        <f>IFERROR(__xludf.DUMMYFUNCTION("IF(IMPORTRANGE($B$18,$B$19&amp;address(row($Q$7),column($Q$7))&amp;"":""&amp;address(row($Q$7),column($Q$7)))=A8,1,0)"),0.0)</f>
        <v>0</v>
      </c>
      <c r="Q8" s="2" t="str">
        <f>IFERROR(__xludf.DUMMYFUNCTION("IMPORTRANGE($B$18,$B$19&amp;address(row(G18),column(G18))&amp;"":""&amp;address(row(G18),column(G18)))"),"")</f>
        <v/>
      </c>
      <c r="R8" s="2">
        <f>IFERROR(__xludf.DUMMYFUNCTION("IMPORTRANGE($B$18,$B$19&amp;address(row(H18),column(H18))&amp;"":""&amp;address(row(H18),column(H18)))"),10.0)</f>
        <v>10</v>
      </c>
      <c r="S8" s="2">
        <f>IFERROR(__xludf.DUMMYFUNCTION("IMPORTRANGE($B$18,$B$19&amp;address(row(S18),column(S18))&amp;"":""&amp;address(row(S18),column(S18)))"),8.0)</f>
        <v>8</v>
      </c>
      <c r="T8" s="2" t="str">
        <f>IFERROR(__xludf.DUMMYFUNCTION("IMPORTRANGE($B$18,$B$19&amp;address(row(T18),column(T18))&amp;"":""&amp;address(row(T18),column(T18)))"),"Pretty good, lost the ball once in dangerous area.  Rest of the game distribution was very good.")</f>
        <v>Pretty good, lost the ball once in dangerous area.  Rest of the game distribution was very good.</v>
      </c>
      <c r="U8" s="2" t="str">
        <f>IFERROR(__xludf.DUMMYFUNCTION("IMPORTRANGE($B$18,$B$19&amp;address(row($T$4),column($T$4))&amp;"":""&amp;address(row($T$4),column($T$4)))"),"3-5-2")</f>
        <v>3-5-2</v>
      </c>
      <c r="V8" s="2" t="str">
        <f>IFERROR(__xludf.DUMMYFUNCTION("IMPORTRANGE($B$18,$B$19&amp;address(row($T$7),column($T$7))&amp;"":""&amp;address(row($T$7),column($T$7)))"),"")</f>
        <v/>
      </c>
      <c r="W8" s="2">
        <f>IFERROR(__xludf.DUMMYFUNCTION("IMPORTRANGE($B$18,$B$19&amp;address(row($H$7),column($H$7))&amp;"":""&amp;address(row($H$7),column($H$7)))"),0.0)</f>
        <v>0</v>
      </c>
      <c r="X8" s="2">
        <f>IFERROR(__xludf.DUMMYFUNCTION("IMPORTRANGE($B$18,$B$19&amp;address(row($I$7),column($I$7))&amp;"":""&amp;address(row($I$7),column($I$7)))"),0.0)</f>
        <v>0</v>
      </c>
      <c r="Y8" s="2" t="str">
        <f>IFERROR(__xludf.DUMMYFUNCTION("IMPORTRANGE($B$18,$B$19&amp;address(row($C$5),column($C$5))&amp;"":""&amp;address(row($C$5),column($C$5)))"),"Premier")</f>
        <v>Premier</v>
      </c>
      <c r="Z8" s="86">
        <f>IFERROR(__xludf.DUMMYFUNCTION("IMPORTRANGE($B$18,$B$19&amp;address(row($I$4),column($I$4))&amp;"":""&amp;address(row($I$4),column($I$4)))"),45395.0)</f>
        <v>45395</v>
      </c>
      <c r="AA8" s="2" t="b">
        <f t="shared" si="3"/>
        <v>1</v>
      </c>
    </row>
    <row r="9">
      <c r="A9" s="2" t="str">
        <f>IFERROR(__xludf.DUMMYFUNCTION("IMPORTRANGE($B$18,$B$19&amp;address(row(B19),column(B19))&amp;"":""&amp;address(row(B19),column(B19)))"),"Ben Dockerill")</f>
        <v>Ben Dockerill</v>
      </c>
      <c r="B9" s="2" t="str">
        <f>IFERROR(__xludf.DUMMYFUNCTION("IMPORTRANGE($B$18,$B$19&amp;address(row(E19),column(E19))&amp;"":""&amp;address(row(E19),column(E19)))"),"CM")</f>
        <v>CM</v>
      </c>
      <c r="C9" s="1">
        <f t="shared" si="1"/>
        <v>1</v>
      </c>
      <c r="D9" s="86" t="str">
        <f>IFERROR(__xludf.DUMMYFUNCTION("IMPORTRANGE($B$18,$B$19&amp;address(row($I$3),column($I$3))&amp;"":""&amp;address(row($I$3),column($I$3)))"),"Bealonians 1s")</f>
        <v>Bealonians 1s</v>
      </c>
      <c r="E9"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9" s="2" t="str">
        <f>IFERROR(__xludf.DUMMYFUNCTION("IMPORTRANGE($B$18,$B$19&amp;address(row(I19),column(I19))&amp;"":""&amp;address(row(I19),column(I19)))"),"")</f>
        <v/>
      </c>
      <c r="G9" s="2" t="str">
        <f>IFERROR(__xludf.DUMMYFUNCTION("IMPORTRANGE($B$18,$B$19&amp;address(row(J19),column(J19))&amp;"":""&amp;address(row(J19),column(J19)))"),"")</f>
        <v/>
      </c>
      <c r="H9" s="1">
        <f>IFERROR(__xludf.DUMMYFUNCTION("IMPORTRANGE($B$18,$B$19&amp;address(row($I$7),column($I$7))&amp;"":""&amp;address(row($I$7),column($I$7)))"),0.0)</f>
        <v>0</v>
      </c>
      <c r="I9" s="2" t="str">
        <f>IFERROR(__xludf.DUMMYFUNCTION("IMPORTRANGE($B$18,$B$19&amp;address(row(N19),column(N19))&amp;"":""&amp;address(row(N19),column(N19)))"),"")</f>
        <v/>
      </c>
      <c r="J9" s="2" t="str">
        <f>IFERROR(__xludf.DUMMYFUNCTION("IMPORTRANGE($B$18,$B$19&amp;address(row(O19),column(O19))&amp;"":""&amp;address(row(O19),column(O19)))"),"")</f>
        <v/>
      </c>
      <c r="K9" s="2" t="str">
        <f>IFERROR(__xludf.DUMMYFUNCTION("IMPORTRANGE($B$18,$B$19&amp;address(row(P19),column(P19))&amp;"":""&amp;address(row(P19),column(P19)))"),"")</f>
        <v/>
      </c>
      <c r="L9" s="2" t="b">
        <f t="shared" si="2"/>
        <v>1</v>
      </c>
      <c r="M9" s="2" t="str">
        <f>IFERROR(__xludf.DUMMYFUNCTION("IMPORTRANGE($B$18,$B$19&amp;address(row(L19),column(L19))&amp;"":""&amp;address(row(L19),column(L19)))"),"")</f>
        <v/>
      </c>
      <c r="N9" s="2" t="str">
        <f>IFERROR(__xludf.DUMMYFUNCTION("IMPORTRANGE($B$18,$B$19&amp;address(row(K19),column(K19))&amp;"":""&amp;address(row(K19),column(K19)))"),"")</f>
        <v/>
      </c>
      <c r="O9" s="2" t="str">
        <f>IFERROR(__xludf.DUMMYFUNCTION("IMPORTRANGE($B$18,$B$19&amp;address(row(M19),column(M19))&amp;"":""&amp;address(row(M19),column(M19)))"),"")</f>
        <v/>
      </c>
      <c r="P9" s="2">
        <f>IFERROR(__xludf.DUMMYFUNCTION("IF(IMPORTRANGE($B$18,$B$19&amp;address(row($Q$7),column($Q$7))&amp;"":""&amp;address(row($Q$7),column($Q$7)))=A9,1,0)"),0.0)</f>
        <v>0</v>
      </c>
      <c r="Q9" s="2" t="str">
        <f>IFERROR(__xludf.DUMMYFUNCTION("IMPORTRANGE($B$18,$B$19&amp;address(row(G19),column(G19))&amp;"":""&amp;address(row(G19),column(G19)))"),"")</f>
        <v/>
      </c>
      <c r="R9" s="2">
        <f>IFERROR(__xludf.DUMMYFUNCTION("IMPORTRANGE($B$18,$B$19&amp;address(row(H19),column(H19))&amp;"":""&amp;address(row(H19),column(H19)))"),10.0)</f>
        <v>10</v>
      </c>
      <c r="S9" s="2">
        <f>IFERROR(__xludf.DUMMYFUNCTION("IMPORTRANGE($B$18,$B$19&amp;address(row(S19),column(S19))&amp;"":""&amp;address(row(S19),column(S19)))"),7.0)</f>
        <v>7</v>
      </c>
      <c r="T9" s="2" t="str">
        <f>IFERROR(__xludf.DUMMYFUNCTION("IMPORTRANGE($B$18,$B$19&amp;address(row(T19),column(T19))&amp;"":""&amp;address(row(T19),column(T19)))"),"Mixed bag from Dockers.  Started in CM, having to put Yemi on bench easy decision was to start Keats or Paz in there.  We tend to struggle without Yemis energy and need a set of legs covering yards to compliment Matt Thomas.  Dockers did this superbly wel"&amp;"l and had us on the dront foot leading the counter press. With Yemi on at HT he went to RWB and didnt have the best second half, misplaced a lot of passes. ")</f>
        <v>Mixed bag from Dockers.  Started in CM, having to put Yemi on bench easy decision was to start Keats or Paz in there.  We tend to struggle without Yemis energy and need a set of legs covering yards to compliment Matt Thomas.  Dockers did this superbly well and had us on the dront foot leading the counter press. With Yemi on at HT he went to RWB and didnt have the best second half, misplaced a lot of passes. </v>
      </c>
      <c r="U9" s="2" t="str">
        <f>IFERROR(__xludf.DUMMYFUNCTION("IMPORTRANGE($B$18,$B$19&amp;address(row($T$4),column($T$4))&amp;"":""&amp;address(row($T$4),column($T$4)))"),"3-5-2")</f>
        <v>3-5-2</v>
      </c>
      <c r="V9" s="2" t="str">
        <f>IFERROR(__xludf.DUMMYFUNCTION("IMPORTRANGE($B$18,$B$19&amp;address(row($T$7),column($T$7))&amp;"":""&amp;address(row($T$7),column($T$7)))"),"")</f>
        <v/>
      </c>
      <c r="W9" s="2">
        <f>IFERROR(__xludf.DUMMYFUNCTION("IMPORTRANGE($B$18,$B$19&amp;address(row($H$7),column($H$7))&amp;"":""&amp;address(row($H$7),column($H$7)))"),0.0)</f>
        <v>0</v>
      </c>
      <c r="X9" s="2">
        <f>IFERROR(__xludf.DUMMYFUNCTION("IMPORTRANGE($B$18,$B$19&amp;address(row($I$7),column($I$7))&amp;"":""&amp;address(row($I$7),column($I$7)))"),0.0)</f>
        <v>0</v>
      </c>
      <c r="Y9" s="2" t="str">
        <f>IFERROR(__xludf.DUMMYFUNCTION("IMPORTRANGE($B$18,$B$19&amp;address(row($C$5),column($C$5))&amp;"":""&amp;address(row($C$5),column($C$5)))"),"Premier")</f>
        <v>Premier</v>
      </c>
      <c r="Z9" s="86">
        <f>IFERROR(__xludf.DUMMYFUNCTION("IMPORTRANGE($B$18,$B$19&amp;address(row($I$4),column($I$4))&amp;"":""&amp;address(row($I$4),column($I$4)))"),45395.0)</f>
        <v>45395</v>
      </c>
      <c r="AA9" s="2" t="b">
        <f t="shared" si="3"/>
        <v>1</v>
      </c>
    </row>
    <row r="10">
      <c r="A10" s="2" t="str">
        <f>IFERROR(__xludf.DUMMYFUNCTION("IMPORTRANGE($B$18,$B$19&amp;address(row(B20),column(B20))&amp;"":""&amp;address(row(B20),column(B20)))"),"Josh Sherriff-Jolly")</f>
        <v>Josh Sherriff-Jolly</v>
      </c>
      <c r="B10" s="2" t="str">
        <f>IFERROR(__xludf.DUMMYFUNCTION("IMPORTRANGE($B$18,$B$19&amp;address(row(E20),column(E20))&amp;"":""&amp;address(row(E20),column(E20)))"),"ACM")</f>
        <v>ACM</v>
      </c>
      <c r="C10" s="1">
        <f t="shared" si="1"/>
        <v>1</v>
      </c>
      <c r="D10" s="86" t="str">
        <f>IFERROR(__xludf.DUMMYFUNCTION("IMPORTRANGE($B$18,$B$19&amp;address(row($I$3),column($I$3))&amp;"":""&amp;address(row($I$3),column($I$3)))"),"Bealonians 1s")</f>
        <v>Bealonians 1s</v>
      </c>
      <c r="E10"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0" s="2" t="str">
        <f>IFERROR(__xludf.DUMMYFUNCTION("IMPORTRANGE($B$18,$B$19&amp;address(row(I20),column(I20))&amp;"":""&amp;address(row(I20),column(I20)))"),"")</f>
        <v/>
      </c>
      <c r="G10" s="2" t="str">
        <f>IFERROR(__xludf.DUMMYFUNCTION("IMPORTRANGE($B$18,$B$19&amp;address(row(J20),column(J20))&amp;"":""&amp;address(row(J20),column(J20)))"),"")</f>
        <v/>
      </c>
      <c r="H10" s="1">
        <f>IFERROR(__xludf.DUMMYFUNCTION("IMPORTRANGE($B$18,$B$19&amp;address(row($I$7),column($I$7))&amp;"":""&amp;address(row($I$7),column($I$7)))"),0.0)</f>
        <v>0</v>
      </c>
      <c r="I10" s="2" t="str">
        <f>IFERROR(__xludf.DUMMYFUNCTION("IMPORTRANGE($B$18,$B$19&amp;address(row(N20),column(N20))&amp;"":""&amp;address(row(N20),column(N20)))"),"")</f>
        <v/>
      </c>
      <c r="J10" s="2" t="str">
        <f>IFERROR(__xludf.DUMMYFUNCTION("IMPORTRANGE($B$18,$B$19&amp;address(row(O20),column(O20))&amp;"":""&amp;address(row(O20),column(O20)))"),"")</f>
        <v/>
      </c>
      <c r="K10" s="2" t="str">
        <f>IFERROR(__xludf.DUMMYFUNCTION("IMPORTRANGE($B$18,$B$19&amp;address(row(P20),column(P20))&amp;"":""&amp;address(row(P20),column(P20)))"),"")</f>
        <v/>
      </c>
      <c r="L10" s="2" t="b">
        <f t="shared" si="2"/>
        <v>1</v>
      </c>
      <c r="M10" s="2" t="str">
        <f>IFERROR(__xludf.DUMMYFUNCTION("IMPORTRANGE($B$18,$B$19&amp;address(row(L20),column(L20))&amp;"":""&amp;address(row(L20),column(L20)))"),"")</f>
        <v/>
      </c>
      <c r="N10" s="2" t="str">
        <f>IFERROR(__xludf.DUMMYFUNCTION("IMPORTRANGE($B$18,$B$19&amp;address(row(K20),column(K20))&amp;"":""&amp;address(row(K20),column(K20)))"),"")</f>
        <v/>
      </c>
      <c r="O10" s="2" t="str">
        <f>IFERROR(__xludf.DUMMYFUNCTION("IMPORTRANGE($B$18,$B$19&amp;address(row(M20),column(M20))&amp;"":""&amp;address(row(M20),column(M20)))"),"")</f>
        <v/>
      </c>
      <c r="P10" s="2">
        <f>IFERROR(__xludf.DUMMYFUNCTION("IF(IMPORTRANGE($B$18,$B$19&amp;address(row($Q$7),column($Q$7))&amp;"":""&amp;address(row($Q$7),column($Q$7)))=A10,1,0)"),0.0)</f>
        <v>0</v>
      </c>
      <c r="Q10" s="2" t="str">
        <f>IFERROR(__xludf.DUMMYFUNCTION("IMPORTRANGE($B$18,$B$19&amp;address(row(G20),column(G20))&amp;"":""&amp;address(row(G20),column(G20)))"),"")</f>
        <v/>
      </c>
      <c r="R10" s="2">
        <f>IFERROR(__xludf.DUMMYFUNCTION("IMPORTRANGE($B$18,$B$19&amp;address(row(H20),column(H20))&amp;"":""&amp;address(row(H20),column(H20)))"),10.0)</f>
        <v>10</v>
      </c>
      <c r="S10" s="2">
        <f>IFERROR(__xludf.DUMMYFUNCTION("IMPORTRANGE($B$18,$B$19&amp;address(row(S20),column(S20))&amp;"":""&amp;address(row(S20),column(S20)))"),6.5)</f>
        <v>6.5</v>
      </c>
      <c r="T10" s="2" t="str">
        <f>IFERROR(__xludf.DUMMYFUNCTION("IMPORTRANGE($B$18,$B$19&amp;address(row(T20),column(T20))&amp;"":""&amp;address(row(T20),column(T20)))"),"Bit of a non event in this game.  Hes taken the 10 role into a free role, this is fine when the trade off is goals and assists, that has dried up and his positioning both on and off the ball is questionable at best.  In possession he tends to drift to a w"&amp;"ing, this is not exactly where I want him (instruction is an inside chanel with Jarvis on the other, split 10s),  on the wing is fine though especially the left as Ollie tends to react go infield.  Its his postioning off the ball or on transitions that is"&amp;" the concern.  He stops playing and seems to take every pass not going his way as a personal insult.  Kills our counter press.  Missed an easy header 5 yards out, was unlucky with one shot that was going in but hit Paz.  Is still a threat and remains one "&amp;"of the best players in the league, just seems to be hitting a wobble.")</f>
        <v>Bit of a non event in this game.  Hes taken the 10 role into a free role, this is fine when the trade off is goals and assists, that has dried up and his positioning both on and off the ball is questionable at best.  In possession he tends to drift to a wing, this is not exactly where I want him (instruction is an inside chanel with Jarvis on the other, split 10s),  on the wing is fine though especially the left as Ollie tends to react go infield.  Its his postioning off the ball or on transitions that is the concern.  He stops playing and seems to take every pass not going his way as a personal insult.  Kills our counter press.  Missed an easy header 5 yards out, was unlucky with one shot that was going in but hit Paz.  Is still a threat and remains one of the best players in the league, just seems to be hitting a wobble.</v>
      </c>
      <c r="U10" s="2" t="str">
        <f>IFERROR(__xludf.DUMMYFUNCTION("IMPORTRANGE($B$18,$B$19&amp;address(row($T$4),column($T$4))&amp;"":""&amp;address(row($T$4),column($T$4)))"),"3-5-2")</f>
        <v>3-5-2</v>
      </c>
      <c r="V10" s="2" t="str">
        <f>IFERROR(__xludf.DUMMYFUNCTION("IMPORTRANGE($B$18,$B$19&amp;address(row($T$7),column($T$7))&amp;"":""&amp;address(row($T$7),column($T$7)))"),"")</f>
        <v/>
      </c>
      <c r="W10" s="2">
        <f>IFERROR(__xludf.DUMMYFUNCTION("IMPORTRANGE($B$18,$B$19&amp;address(row($H$7),column($H$7))&amp;"":""&amp;address(row($H$7),column($H$7)))"),0.0)</f>
        <v>0</v>
      </c>
      <c r="X10" s="2">
        <f>IFERROR(__xludf.DUMMYFUNCTION("IMPORTRANGE($B$18,$B$19&amp;address(row($I$7),column($I$7))&amp;"":""&amp;address(row($I$7),column($I$7)))"),0.0)</f>
        <v>0</v>
      </c>
      <c r="Y10" s="2" t="str">
        <f>IFERROR(__xludf.DUMMYFUNCTION("IMPORTRANGE($B$18,$B$19&amp;address(row($C$5),column($C$5))&amp;"":""&amp;address(row($C$5),column($C$5)))"),"Premier")</f>
        <v>Premier</v>
      </c>
      <c r="Z10" s="86">
        <f>IFERROR(__xludf.DUMMYFUNCTION("IMPORTRANGE($B$18,$B$19&amp;address(row($I$4),column($I$4))&amp;"":""&amp;address(row($I$4),column($I$4)))"),45395.0)</f>
        <v>45395</v>
      </c>
      <c r="AA10" s="2" t="b">
        <f t="shared" si="3"/>
        <v>1</v>
      </c>
    </row>
    <row r="11">
      <c r="A11" s="2" t="str">
        <f>IFERROR(__xludf.DUMMYFUNCTION("IMPORTRANGE($B$18,$B$19&amp;address(row(B21),column(B21))&amp;"":""&amp;address(row(B21),column(B21)))"),"Jarvis Cheek")</f>
        <v>Jarvis Cheek</v>
      </c>
      <c r="B11" s="2" t="str">
        <f>IFERROR(__xludf.DUMMYFUNCTION("IMPORTRANGE($B$18,$B$19&amp;address(row(E21),column(E21))&amp;"":""&amp;address(row(E21),column(E21)))"),"CF")</f>
        <v>CF</v>
      </c>
      <c r="C11" s="1">
        <f t="shared" si="1"/>
        <v>1</v>
      </c>
      <c r="D11" s="86" t="str">
        <f>IFERROR(__xludf.DUMMYFUNCTION("IMPORTRANGE($B$18,$B$19&amp;address(row($I$3),column($I$3))&amp;"":""&amp;address(row($I$3),column($I$3)))"),"Bealonians 1s")</f>
        <v>Bealonians 1s</v>
      </c>
      <c r="E11"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1" s="2" t="str">
        <f>IFERROR(__xludf.DUMMYFUNCTION("IMPORTRANGE($B$18,$B$19&amp;address(row(I21),column(I21))&amp;"":""&amp;address(row(I21),column(I21)))"),"")</f>
        <v/>
      </c>
      <c r="G11" s="2" t="str">
        <f>IFERROR(__xludf.DUMMYFUNCTION("IMPORTRANGE($B$18,$B$19&amp;address(row(J21),column(J21))&amp;"":""&amp;address(row(J21),column(J21)))"),"")</f>
        <v/>
      </c>
      <c r="H11" s="1">
        <f>IFERROR(__xludf.DUMMYFUNCTION("IMPORTRANGE($B$18,$B$19&amp;address(row($I$7),column($I$7))&amp;"":""&amp;address(row($I$7),column($I$7)))"),0.0)</f>
        <v>0</v>
      </c>
      <c r="I11" s="2" t="str">
        <f>IFERROR(__xludf.DUMMYFUNCTION("IMPORTRANGE($B$18,$B$19&amp;address(row(N21),column(N21))&amp;"":""&amp;address(row(N21),column(N21)))"),"")</f>
        <v/>
      </c>
      <c r="J11" s="2" t="str">
        <f>IFERROR(__xludf.DUMMYFUNCTION("IMPORTRANGE($B$18,$B$19&amp;address(row(O21),column(O21))&amp;"":""&amp;address(row(O21),column(O21)))"),"")</f>
        <v/>
      </c>
      <c r="K11" s="2" t="str">
        <f>IFERROR(__xludf.DUMMYFUNCTION("IMPORTRANGE($B$18,$B$19&amp;address(row(P21),column(P21))&amp;"":""&amp;address(row(P21),column(P21)))"),"")</f>
        <v/>
      </c>
      <c r="L11" s="2" t="b">
        <f t="shared" si="2"/>
        <v>1</v>
      </c>
      <c r="M11" s="2" t="str">
        <f>IFERROR(__xludf.DUMMYFUNCTION("IMPORTRANGE($B$18,$B$19&amp;address(row(L21),column(L21))&amp;"":""&amp;address(row(L21),column(L21)))"),"")</f>
        <v/>
      </c>
      <c r="N11" s="2" t="str">
        <f>IFERROR(__xludf.DUMMYFUNCTION("IMPORTRANGE($B$18,$B$19&amp;address(row(K21),column(K21))&amp;"":""&amp;address(row(K21),column(K21)))"),"")</f>
        <v/>
      </c>
      <c r="O11" s="2" t="str">
        <f>IFERROR(__xludf.DUMMYFUNCTION("IMPORTRANGE($B$18,$B$19&amp;address(row(M21),column(M21))&amp;"":""&amp;address(row(M21),column(M21)))"),"")</f>
        <v/>
      </c>
      <c r="P11" s="2">
        <f>IFERROR(__xludf.DUMMYFUNCTION("IF(IMPORTRANGE($B$18,$B$19&amp;address(row($Q$7),column($Q$7))&amp;"":""&amp;address(row($Q$7),column($Q$7)))=A11,1,0)"),0.0)</f>
        <v>0</v>
      </c>
      <c r="Q11" s="2" t="str">
        <f>IFERROR(__xludf.DUMMYFUNCTION("IMPORTRANGE($B$18,$B$19&amp;address(row(G21),column(G21))&amp;"":""&amp;address(row(G21),column(G21)))"),"")</f>
        <v/>
      </c>
      <c r="R11" s="2">
        <f>IFERROR(__xludf.DUMMYFUNCTION("IMPORTRANGE($B$18,$B$19&amp;address(row(H21),column(H21))&amp;"":""&amp;address(row(H21),column(H21)))"),10.0)</f>
        <v>10</v>
      </c>
      <c r="S11" s="2">
        <f>IFERROR(__xludf.DUMMYFUNCTION("IMPORTRANGE($B$18,$B$19&amp;address(row(S21),column(S21))&amp;"":""&amp;address(row(S21),column(S21)))"),7.0)</f>
        <v>7</v>
      </c>
      <c r="T11" s="2" t="str">
        <f>IFERROR(__xludf.DUMMYFUNCTION("IMPORTRANGE($B$18,$B$19&amp;address(row(T21),column(T21))&amp;"":""&amp;address(row(T21),column(T21)))"),"So so game.  Moments in build up but couldn't crave out a clear cut chance for himself.  If one of our clear cut chances fall to him the game would have been won")</f>
        <v>So so game.  Moments in build up but couldn't crave out a clear cut chance for himself.  If one of our clear cut chances fall to him the game would have been won</v>
      </c>
      <c r="U11" s="2" t="str">
        <f>IFERROR(__xludf.DUMMYFUNCTION("IMPORTRANGE($B$18,$B$19&amp;address(row($T$4),column($T$4))&amp;"":""&amp;address(row($T$4),column($T$4)))"),"3-5-2")</f>
        <v>3-5-2</v>
      </c>
      <c r="V11" s="2" t="str">
        <f>IFERROR(__xludf.DUMMYFUNCTION("IMPORTRANGE($B$18,$B$19&amp;address(row($T$7),column($T$7))&amp;"":""&amp;address(row($T$7),column($T$7)))"),"")</f>
        <v/>
      </c>
      <c r="W11" s="2">
        <f>IFERROR(__xludf.DUMMYFUNCTION("IMPORTRANGE($B$18,$B$19&amp;address(row($H$7),column($H$7))&amp;"":""&amp;address(row($H$7),column($H$7)))"),0.0)</f>
        <v>0</v>
      </c>
      <c r="X11" s="2">
        <f>IFERROR(__xludf.DUMMYFUNCTION("IMPORTRANGE($B$18,$B$19&amp;address(row($I$7),column($I$7))&amp;"":""&amp;address(row($I$7),column($I$7)))"),0.0)</f>
        <v>0</v>
      </c>
      <c r="Y11" s="2" t="str">
        <f>IFERROR(__xludf.DUMMYFUNCTION("IMPORTRANGE($B$18,$B$19&amp;address(row($C$5),column($C$5))&amp;"":""&amp;address(row($C$5),column($C$5)))"),"Premier")</f>
        <v>Premier</v>
      </c>
      <c r="Z11" s="86">
        <f>IFERROR(__xludf.DUMMYFUNCTION("IMPORTRANGE($B$18,$B$19&amp;address(row($I$4),column($I$4))&amp;"":""&amp;address(row($I$4),column($I$4)))"),45395.0)</f>
        <v>45395</v>
      </c>
      <c r="AA11" s="2" t="b">
        <f t="shared" si="3"/>
        <v>1</v>
      </c>
    </row>
    <row r="12">
      <c r="A12" s="2" t="str">
        <f>IFERROR(__xludf.DUMMYFUNCTION("IMPORTRANGE($B$18,$B$19&amp;address(row(B22),column(B22))&amp;"":""&amp;address(row(B22),column(B22)))"),"Luke Dyges")</f>
        <v>Luke Dyges</v>
      </c>
      <c r="B12" s="2" t="str">
        <f>IFERROR(__xludf.DUMMYFUNCTION("IMPORTRANGE($B$18,$B$19&amp;address(row(E22),column(E22))&amp;"":""&amp;address(row(E22),column(E22)))"),"CF")</f>
        <v>CF</v>
      </c>
      <c r="C12" s="1">
        <f t="shared" si="1"/>
        <v>1</v>
      </c>
      <c r="D12" s="86" t="str">
        <f>IFERROR(__xludf.DUMMYFUNCTION("IMPORTRANGE($B$18,$B$19&amp;address(row($I$3),column($I$3))&amp;"":""&amp;address(row($I$3),column($I$3)))"),"Bealonians 1s")</f>
        <v>Bealonians 1s</v>
      </c>
      <c r="E1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2" s="2" t="str">
        <f>IFERROR(__xludf.DUMMYFUNCTION("IMPORTRANGE($B$18,$B$19&amp;address(row(I22),column(I22))&amp;"":""&amp;address(row(I22),column(I22)))"),"")</f>
        <v/>
      </c>
      <c r="G12" s="2" t="str">
        <f>IFERROR(__xludf.DUMMYFUNCTION("IMPORTRANGE($B$18,$B$19&amp;address(row(J22),column(J22))&amp;"":""&amp;address(row(J22),column(J22)))"),"")</f>
        <v/>
      </c>
      <c r="H12" s="1">
        <f>IFERROR(__xludf.DUMMYFUNCTION("IMPORTRANGE($B$18,$B$19&amp;address(row($I$7),column($I$7))&amp;"":""&amp;address(row($I$7),column($I$7)))"),0.0)</f>
        <v>0</v>
      </c>
      <c r="I12" s="2" t="str">
        <f>IFERROR(__xludf.DUMMYFUNCTION("IMPORTRANGE($B$18,$B$19&amp;address(row(N22),column(N22))&amp;"":""&amp;address(row(N22),column(N22)))"),"")</f>
        <v/>
      </c>
      <c r="J12" s="2" t="str">
        <f>IFERROR(__xludf.DUMMYFUNCTION("IMPORTRANGE($B$18,$B$19&amp;address(row(O22),column(O22))&amp;"":""&amp;address(row(O22),column(O22)))"),"")</f>
        <v/>
      </c>
      <c r="K12" s="2" t="str">
        <f>IFERROR(__xludf.DUMMYFUNCTION("IMPORTRANGE($B$18,$B$19&amp;address(row(P22),column(P22))&amp;"":""&amp;address(row(P22),column(P22)))"),"")</f>
        <v/>
      </c>
      <c r="L12" s="2" t="b">
        <f t="shared" si="2"/>
        <v>1</v>
      </c>
      <c r="M12" s="2" t="str">
        <f>IFERROR(__xludf.DUMMYFUNCTION("IMPORTRANGE($B$18,$B$19&amp;address(row(L22),column(L22))&amp;"":""&amp;address(row(L22),column(L22)))"),"")</f>
        <v/>
      </c>
      <c r="N12" s="2" t="str">
        <f>IFERROR(__xludf.DUMMYFUNCTION("IMPORTRANGE($B$18,$B$19&amp;address(row(K22),column(K22))&amp;"":""&amp;address(row(K22),column(K22)))"),"")</f>
        <v/>
      </c>
      <c r="O12" s="2" t="str">
        <f>IFERROR(__xludf.DUMMYFUNCTION("IMPORTRANGE($B$18,$B$19&amp;address(row(M22),column(M22))&amp;"":""&amp;address(row(M22),column(M22)))"),"")</f>
        <v/>
      </c>
      <c r="P12" s="2">
        <f>IFERROR(__xludf.DUMMYFUNCTION("IF(IMPORTRANGE($B$18,$B$19&amp;address(row($Q$7),column($Q$7))&amp;"":""&amp;address(row($Q$7),column($Q$7)))=A12,1,0)"),0.0)</f>
        <v>0</v>
      </c>
      <c r="Q12" s="2" t="str">
        <f>IFERROR(__xludf.DUMMYFUNCTION("IMPORTRANGE($B$18,$B$19&amp;address(row(G22),column(G22))&amp;"":""&amp;address(row(G22),column(G22)))"),"")</f>
        <v/>
      </c>
      <c r="R12" s="2">
        <f>IFERROR(__xludf.DUMMYFUNCTION("IMPORTRANGE($B$18,$B$19&amp;address(row(H22),column(H22))&amp;"":""&amp;address(row(H22),column(H22)))"),10.0)</f>
        <v>10</v>
      </c>
      <c r="S12" s="2">
        <f>IFERROR(__xludf.DUMMYFUNCTION("IMPORTRANGE($B$18,$B$19&amp;address(row(S22),column(S22))&amp;"":""&amp;address(row(S22),column(S22)))"),7.5)</f>
        <v>7.5</v>
      </c>
      <c r="T12" s="2" t="str">
        <f>IFERROR(__xludf.DUMMYFUNCTION("IMPORTRANGE($B$18,$B$19&amp;address(row(T22),column(T22))&amp;"":""&amp;address(row(T22),column(T22)))"),"Looked rusty first 20 mins. Grew into game and towards the end demonstrated excellent hold up and link up play.  ")</f>
        <v>Looked rusty first 20 mins. Grew into game and towards the end demonstrated excellent hold up and link up play.  </v>
      </c>
      <c r="U12" s="2" t="str">
        <f>IFERROR(__xludf.DUMMYFUNCTION("IMPORTRANGE($B$18,$B$19&amp;address(row($T$4),column($T$4))&amp;"":""&amp;address(row($T$4),column($T$4)))"),"3-5-2")</f>
        <v>3-5-2</v>
      </c>
      <c r="V12" s="2" t="str">
        <f>IFERROR(__xludf.DUMMYFUNCTION("IMPORTRANGE($B$18,$B$19&amp;address(row($T$7),column($T$7))&amp;"":""&amp;address(row($T$7),column($T$7)))"),"")</f>
        <v/>
      </c>
      <c r="W12" s="2">
        <f>IFERROR(__xludf.DUMMYFUNCTION("IMPORTRANGE($B$18,$B$19&amp;address(row($H$7),column($H$7))&amp;"":""&amp;address(row($H$7),column($H$7)))"),0.0)</f>
        <v>0</v>
      </c>
      <c r="X12" s="2">
        <f>IFERROR(__xludf.DUMMYFUNCTION("IMPORTRANGE($B$18,$B$19&amp;address(row($I$7),column($I$7))&amp;"":""&amp;address(row($I$7),column($I$7)))"),0.0)</f>
        <v>0</v>
      </c>
      <c r="Y12" s="2" t="str">
        <f>IFERROR(__xludf.DUMMYFUNCTION("IMPORTRANGE($B$18,$B$19&amp;address(row($C$5),column($C$5))&amp;"":""&amp;address(row($C$5),column($C$5)))"),"Premier")</f>
        <v>Premier</v>
      </c>
      <c r="Z12" s="86">
        <f>IFERROR(__xludf.DUMMYFUNCTION("IMPORTRANGE($B$18,$B$19&amp;address(row($I$4),column($I$4))&amp;"":""&amp;address(row($I$4),column($I$4)))"),45395.0)</f>
        <v>45395</v>
      </c>
      <c r="AA12" s="2" t="b">
        <f t="shared" si="3"/>
        <v>1</v>
      </c>
    </row>
    <row r="13">
      <c r="A13" s="2" t="str">
        <f>IFERROR(__xludf.DUMMYFUNCTION("IMPORTRANGE($B$18,$B$19&amp;address(row(B23),column(B23))&amp;"":""&amp;address(row(B23),column(B23)))"),"Jamie Wood")</f>
        <v>Jamie Wood</v>
      </c>
      <c r="B13" s="2" t="str">
        <f>IFERROR(__xludf.DUMMYFUNCTION("IMPORTRANGE($B$18,$B$19&amp;address(row(E23),column(E23))&amp;"":""&amp;address(row(E23),column(E23)))"),"LCB")</f>
        <v>LCB</v>
      </c>
      <c r="C13" s="1">
        <f t="shared" si="1"/>
        <v>1</v>
      </c>
      <c r="D13" s="86" t="str">
        <f>IFERROR(__xludf.DUMMYFUNCTION("IMPORTRANGE($B$18,$B$19&amp;address(row($I$3),column($I$3))&amp;"":""&amp;address(row($I$3),column($I$3)))"),"Bealonians 1s")</f>
        <v>Bealonians 1s</v>
      </c>
      <c r="E1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3" s="2" t="str">
        <f>IFERROR(__xludf.DUMMYFUNCTION("IMPORTRANGE($B$18,$B$19&amp;address(row(I23),column(I23))&amp;"":""&amp;address(row(I23),column(I23)))"),"")</f>
        <v/>
      </c>
      <c r="G13" s="2" t="str">
        <f>IFERROR(__xludf.DUMMYFUNCTION("IMPORTRANGE($B$18,$B$19&amp;address(row(J23),column(J23))&amp;"":""&amp;address(row(J23),column(J23)))"),"")</f>
        <v/>
      </c>
      <c r="H13" s="1">
        <f>IFERROR(__xludf.DUMMYFUNCTION("IMPORTRANGE($B$18,$B$19&amp;address(row($I$7),column($I$7))&amp;"":""&amp;address(row($I$7),column($I$7)))"),0.0)</f>
        <v>0</v>
      </c>
      <c r="I13" s="2" t="str">
        <f>IFERROR(__xludf.DUMMYFUNCTION("IMPORTRANGE($B$18,$B$19&amp;address(row(N23),column(N23))&amp;"":""&amp;address(row(N23),column(N23)))"),"")</f>
        <v/>
      </c>
      <c r="J13" s="2" t="str">
        <f>IFERROR(__xludf.DUMMYFUNCTION("IMPORTRANGE($B$18,$B$19&amp;address(row(O23),column(O23))&amp;"":""&amp;address(row(O23),column(O23)))"),"")</f>
        <v/>
      </c>
      <c r="K13" s="2" t="str">
        <f>IFERROR(__xludf.DUMMYFUNCTION("IMPORTRANGE($B$18,$B$19&amp;address(row(P23),column(P23))&amp;"":""&amp;address(row(P23),column(P23)))"),"")</f>
        <v/>
      </c>
      <c r="L13" s="2" t="b">
        <f t="shared" si="2"/>
        <v>1</v>
      </c>
      <c r="M13" s="2" t="str">
        <f>IFERROR(__xludf.DUMMYFUNCTION("IMPORTRANGE($B$18,$B$19&amp;address(row(L23),column(L23))&amp;"":""&amp;address(row(L23),column(L23)))"),"")</f>
        <v/>
      </c>
      <c r="N13" s="2" t="str">
        <f>IFERROR(__xludf.DUMMYFUNCTION("IMPORTRANGE($B$18,$B$19&amp;address(row(K23),column(K23))&amp;"":""&amp;address(row(K23),column(K23)))"),"")</f>
        <v/>
      </c>
      <c r="O13" s="2" t="str">
        <f>IFERROR(__xludf.DUMMYFUNCTION("IMPORTRANGE($B$18,$B$19&amp;address(row(M23),column(M23))&amp;"":""&amp;address(row(M23),column(M23)))"),"")</f>
        <v/>
      </c>
      <c r="P13" s="2">
        <f>IFERROR(__xludf.DUMMYFUNCTION("IF(IMPORTRANGE($B$18,$B$19&amp;address(row($Q$7),column($Q$7))&amp;"":""&amp;address(row($Q$7),column($Q$7)))=A13,1,0)"),0.0)</f>
        <v>0</v>
      </c>
      <c r="Q13" s="2" t="str">
        <f>IFERROR(__xludf.DUMMYFUNCTION("IMPORTRANGE($B$18,$B$19&amp;address(row(G23),column(G23))&amp;"":""&amp;address(row(G23),column(G23)))"),"")</f>
        <v/>
      </c>
      <c r="R13" s="2">
        <f>IFERROR(__xludf.DUMMYFUNCTION("IMPORTRANGE($B$18,$B$19&amp;address(row(H23),column(H23))&amp;"":""&amp;address(row(H23),column(H23)))"),4.0)</f>
        <v>4</v>
      </c>
      <c r="S13" s="2">
        <f>IFERROR(__xludf.DUMMYFUNCTION("IMPORTRANGE($B$18,$B$19&amp;address(row(S23),column(S23))&amp;"":""&amp;address(row(S23),column(S23)))"),7.0)</f>
        <v>7</v>
      </c>
      <c r="T13" s="2" t="str">
        <f>IFERROR(__xludf.DUMMYFUNCTION("IMPORTRANGE($B$18,$B$19&amp;address(row(T23),column(T23))&amp;"":""&amp;address(row(T23),column(T23)))"),"Unfortunate to have lost starting spot with the form of Ollie.  Came on LCB and did well.  Almost cost us the game with a moment of madness final 10 seconds trying to take a player on in the box and was robbed.  Fortubaltey their player was isolated and C"&amp;"rowe / Yemi their on the cover. ")</f>
        <v>Unfortunate to have lost starting spot with the form of Ollie.  Came on LCB and did well.  Almost cost us the game with a moment of madness final 10 seconds trying to take a player on in the box and was robbed.  Fortubaltey their player was isolated and Crowe / Yemi their on the cover. </v>
      </c>
      <c r="U13" s="2" t="str">
        <f>IFERROR(__xludf.DUMMYFUNCTION("IMPORTRANGE($B$18,$B$19&amp;address(row($T$4),column($T$4))&amp;"":""&amp;address(row($T$4),column($T$4)))"),"3-5-2")</f>
        <v>3-5-2</v>
      </c>
      <c r="V13" s="2" t="str">
        <f>IFERROR(__xludf.DUMMYFUNCTION("IMPORTRANGE($B$18,$B$19&amp;address(row($T$7),column($T$7))&amp;"":""&amp;address(row($T$7),column($T$7)))"),"")</f>
        <v/>
      </c>
      <c r="W13" s="2">
        <f>IFERROR(__xludf.DUMMYFUNCTION("IMPORTRANGE($B$18,$B$19&amp;address(row($H$7),column($H$7))&amp;"":""&amp;address(row($H$7),column($H$7)))"),0.0)</f>
        <v>0</v>
      </c>
      <c r="X13" s="2">
        <f>IFERROR(__xludf.DUMMYFUNCTION("IMPORTRANGE($B$18,$B$19&amp;address(row($I$7),column($I$7))&amp;"":""&amp;address(row($I$7),column($I$7)))"),0.0)</f>
        <v>0</v>
      </c>
      <c r="Y13" s="2" t="str">
        <f>IFERROR(__xludf.DUMMYFUNCTION("IMPORTRANGE($B$18,$B$19&amp;address(row($C$5),column($C$5))&amp;"":""&amp;address(row($C$5),column($C$5)))"),"Premier")</f>
        <v>Premier</v>
      </c>
      <c r="Z13" s="86">
        <f>IFERROR(__xludf.DUMMYFUNCTION("IMPORTRANGE($B$18,$B$19&amp;address(row($I$4),column($I$4))&amp;"":""&amp;address(row($I$4),column($I$4)))"),45395.0)</f>
        <v>45395</v>
      </c>
      <c r="AA13" s="2" t="b">
        <f t="shared" si="3"/>
        <v>1</v>
      </c>
    </row>
    <row r="14">
      <c r="A14" s="2" t="str">
        <f>IFERROR(__xludf.DUMMYFUNCTION("IMPORTRANGE($B$18,$B$19&amp;address(row(B24),column(B24))&amp;"":""&amp;address(row(B24),column(B24)))"),"Yemi Oviosu")</f>
        <v>Yemi Oviosu</v>
      </c>
      <c r="B14" s="2" t="str">
        <f>IFERROR(__xludf.DUMMYFUNCTION("IMPORTRANGE($B$18,$B$19&amp;address(row(E24),column(E24))&amp;"":""&amp;address(row(E24),column(E24)))"),"CM")</f>
        <v>CM</v>
      </c>
      <c r="C14" s="1">
        <f t="shared" si="1"/>
        <v>1</v>
      </c>
      <c r="D14" s="86" t="str">
        <f>IFERROR(__xludf.DUMMYFUNCTION("IMPORTRANGE($B$18,$B$19&amp;address(row($I$3),column($I$3))&amp;"":""&amp;address(row($I$3),column($I$3)))"),"Bealonians 1s")</f>
        <v>Bealonians 1s</v>
      </c>
      <c r="E1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4" s="2" t="str">
        <f>IFERROR(__xludf.DUMMYFUNCTION("IMPORTRANGE($B$18,$B$19&amp;address(row(I24),column(I24))&amp;"":""&amp;address(row(I24),column(I24)))"),"")</f>
        <v/>
      </c>
      <c r="G14" s="2" t="str">
        <f>IFERROR(__xludf.DUMMYFUNCTION("IMPORTRANGE($B$18,$B$19&amp;address(row(J24),column(J24))&amp;"":""&amp;address(row(J24),column(J24)))"),"")</f>
        <v/>
      </c>
      <c r="H14" s="1">
        <f>IFERROR(__xludf.DUMMYFUNCTION("IMPORTRANGE($B$18,$B$19&amp;address(row($I$7),column($I$7))&amp;"":""&amp;address(row($I$7),column($I$7)))"),0.0)</f>
        <v>0</v>
      </c>
      <c r="I14" s="2" t="str">
        <f>IFERROR(__xludf.DUMMYFUNCTION("IMPORTRANGE($B$18,$B$19&amp;address(row(N24),column(N24))&amp;"":""&amp;address(row(N24),column(N24)))"),"")</f>
        <v/>
      </c>
      <c r="J14" s="2" t="str">
        <f>IFERROR(__xludf.DUMMYFUNCTION("IMPORTRANGE($B$18,$B$19&amp;address(row(O24),column(O24))&amp;"":""&amp;address(row(O24),column(O24)))"),"")</f>
        <v/>
      </c>
      <c r="K14" s="2" t="str">
        <f>IFERROR(__xludf.DUMMYFUNCTION("IMPORTRANGE($B$18,$B$19&amp;address(row(P24),column(P24))&amp;"":""&amp;address(row(P24),column(P24)))"),"")</f>
        <v/>
      </c>
      <c r="L14" s="2" t="b">
        <f t="shared" si="2"/>
        <v>1</v>
      </c>
      <c r="M14" s="2" t="str">
        <f>IFERROR(__xludf.DUMMYFUNCTION("IMPORTRANGE($B$18,$B$19&amp;address(row(L24),column(L24))&amp;"":""&amp;address(row(L24),column(L24)))"),"")</f>
        <v/>
      </c>
      <c r="N14" s="2" t="str">
        <f>IFERROR(__xludf.DUMMYFUNCTION("IMPORTRANGE($B$18,$B$19&amp;address(row(K24),column(K24))&amp;"":""&amp;address(row(K24),column(K24)))"),"")</f>
        <v/>
      </c>
      <c r="O14" s="2" t="str">
        <f>IFERROR(__xludf.DUMMYFUNCTION("IMPORTRANGE($B$18,$B$19&amp;address(row(M24),column(M24))&amp;"":""&amp;address(row(M24),column(M24)))"),"")</f>
        <v/>
      </c>
      <c r="P14" s="2">
        <f>IFERROR(__xludf.DUMMYFUNCTION("IF(IMPORTRANGE($B$18,$B$19&amp;address(row($Q$7),column($Q$7))&amp;"":""&amp;address(row($Q$7),column($Q$7)))=A14,1,0)"),0.0)</f>
        <v>0</v>
      </c>
      <c r="Q14" s="2" t="str">
        <f>IFERROR(__xludf.DUMMYFUNCTION("IMPORTRANGE($B$18,$B$19&amp;address(row(G24),column(G24))&amp;"":""&amp;address(row(G24),column(G24)))"),"")</f>
        <v/>
      </c>
      <c r="R14" s="2">
        <f>IFERROR(__xludf.DUMMYFUNCTION("IMPORTRANGE($B$18,$B$19&amp;address(row(H24),column(H24))&amp;"":""&amp;address(row(H24),column(H24)))"),5.0)</f>
        <v>5</v>
      </c>
      <c r="S14" s="2">
        <f>IFERROR(__xludf.DUMMYFUNCTION("IMPORTRANGE($B$18,$B$19&amp;address(row(S24),column(S24))&amp;"":""&amp;address(row(S24),column(S24)))"),7.0)</f>
        <v>7</v>
      </c>
      <c r="T14" s="2" t="str">
        <f>IFERROR(__xludf.DUMMYFUNCTION("IMPORTRANGE($B$18,$B$19&amp;address(row(T24),column(T24))&amp;"":""&amp;address(row(T24),column(T24)))"),"I needed him to take / set up training session on Thursday due to my toe, turned up 10 mins late and I had already set up.  Turned up 45 mins late for this game,gave me no choice but to put on bench.  Really poor however sadly not a new issue. On and HT a"&amp;"nd was decent CM.  Moved to back line when Aaron off injured and wanted to get Keaton on.  ")</f>
        <v>I needed him to take / set up training session on Thursday due to my toe, turned up 10 mins late and I had already set up.  Turned up 45 mins late for this game,gave me no choice but to put on bench.  Really poor however sadly not a new issue. On and HT and was decent CM.  Moved to back line when Aaron off injured and wanted to get Keaton on.  </v>
      </c>
      <c r="U14" s="2" t="str">
        <f>IFERROR(__xludf.DUMMYFUNCTION("IMPORTRANGE($B$18,$B$19&amp;address(row($T$4),column($T$4))&amp;"":""&amp;address(row($T$4),column($T$4)))"),"3-5-2")</f>
        <v>3-5-2</v>
      </c>
      <c r="V14" s="2" t="str">
        <f>IFERROR(__xludf.DUMMYFUNCTION("IMPORTRANGE($B$18,$B$19&amp;address(row($T$7),column($T$7))&amp;"":""&amp;address(row($T$7),column($T$7)))"),"")</f>
        <v/>
      </c>
      <c r="W14" s="2">
        <f>IFERROR(__xludf.DUMMYFUNCTION("IMPORTRANGE($B$18,$B$19&amp;address(row($H$7),column($H$7))&amp;"":""&amp;address(row($H$7),column($H$7)))"),0.0)</f>
        <v>0</v>
      </c>
      <c r="X14" s="2">
        <f>IFERROR(__xludf.DUMMYFUNCTION("IMPORTRANGE($B$18,$B$19&amp;address(row($I$7),column($I$7))&amp;"":""&amp;address(row($I$7),column($I$7)))"),0.0)</f>
        <v>0</v>
      </c>
      <c r="Y14" s="2" t="str">
        <f>IFERROR(__xludf.DUMMYFUNCTION("IMPORTRANGE($B$18,$B$19&amp;address(row($C$5),column($C$5))&amp;"":""&amp;address(row($C$5),column($C$5)))"),"Premier")</f>
        <v>Premier</v>
      </c>
      <c r="Z14" s="86">
        <f>IFERROR(__xludf.DUMMYFUNCTION("IMPORTRANGE($B$18,$B$19&amp;address(row($I$4),column($I$4))&amp;"":""&amp;address(row($I$4),column($I$4)))"),45395.0)</f>
        <v>45395</v>
      </c>
      <c r="AA14" s="2" t="b">
        <f t="shared" si="3"/>
        <v>1</v>
      </c>
    </row>
    <row r="15" ht="15.0" customHeight="1">
      <c r="A15" s="2" t="str">
        <f>IFERROR(__xludf.DUMMYFUNCTION("IMPORTRANGE($B$18,$B$19&amp;address(row(B25),column(B25))&amp;"":""&amp;address(row(B25),column(B25)))"),"Keaton Cohen")</f>
        <v>Keaton Cohen</v>
      </c>
      <c r="B15" s="2" t="str">
        <f>IFERROR(__xludf.DUMMYFUNCTION("IMPORTRANGE($B$18,$B$19&amp;address(row(E25),column(E25))&amp;"":""&amp;address(row(E25),column(E25)))"),"CM")</f>
        <v>CM</v>
      </c>
      <c r="C15" s="1">
        <f t="shared" si="1"/>
        <v>1</v>
      </c>
      <c r="D15" s="86" t="str">
        <f>IFERROR(__xludf.DUMMYFUNCTION("IMPORTRANGE($B$18,$B$19&amp;address(row($I$3),column($I$3))&amp;"":""&amp;address(row($I$3),column($I$3)))"),"Bealonians 1s")</f>
        <v>Bealonians 1s</v>
      </c>
      <c r="E1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5" s="2" t="str">
        <f>IFERROR(__xludf.DUMMYFUNCTION("IMPORTRANGE($B$18,$B$19&amp;address(row(I25),column(I25))&amp;"":""&amp;address(row(I25),column(I25)))"),"")</f>
        <v/>
      </c>
      <c r="G15" s="2" t="str">
        <f>IFERROR(__xludf.DUMMYFUNCTION("IMPORTRANGE($B$18,$B$19&amp;address(row(J25),column(J25))&amp;"":""&amp;address(row(J25),column(J25)))"),"")</f>
        <v/>
      </c>
      <c r="H15" s="1">
        <f>IFERROR(__xludf.DUMMYFUNCTION("IMPORTRANGE($B$18,$B$19&amp;address(row($I$7),column($I$7))&amp;"":""&amp;address(row($I$7),column($I$7)))"),0.0)</f>
        <v>0</v>
      </c>
      <c r="I15" s="2" t="str">
        <f>IFERROR(__xludf.DUMMYFUNCTION("IMPORTRANGE($B$18,$B$19&amp;address(row(N25),column(N25))&amp;"":""&amp;address(row(N25),column(N25)))"),"")</f>
        <v/>
      </c>
      <c r="J15" s="2" t="str">
        <f>IFERROR(__xludf.DUMMYFUNCTION("IMPORTRANGE($B$18,$B$19&amp;address(row(O25),column(O25))&amp;"":""&amp;address(row(O25),column(O25)))"),"")</f>
        <v/>
      </c>
      <c r="K15" s="2" t="str">
        <f>IFERROR(__xludf.DUMMYFUNCTION("IMPORTRANGE($B$18,$B$19&amp;address(row(P25),column(P25))&amp;"":""&amp;address(row(P25),column(P25)))"),"")</f>
        <v/>
      </c>
      <c r="L15" s="2" t="b">
        <f t="shared" si="2"/>
        <v>1</v>
      </c>
      <c r="M15" s="2" t="str">
        <f>IFERROR(__xludf.DUMMYFUNCTION("IMPORTRANGE($B$18,$B$19&amp;address(row(L25),column(L25))&amp;"":""&amp;address(row(L25),column(L25)))"),"")</f>
        <v/>
      </c>
      <c r="N15" s="2" t="str">
        <f>IFERROR(__xludf.DUMMYFUNCTION("IMPORTRANGE($B$18,$B$19&amp;address(row(K25),column(K25))&amp;"":""&amp;address(row(K25),column(K25)))"),"")</f>
        <v/>
      </c>
      <c r="O15" s="2" t="str">
        <f>IFERROR(__xludf.DUMMYFUNCTION("IMPORTRANGE($B$18,$B$19&amp;address(row(M25),column(M25))&amp;"":""&amp;address(row(M25),column(M25)))"),"")</f>
        <v/>
      </c>
      <c r="P15" s="2">
        <f>IFERROR(__xludf.DUMMYFUNCTION("IF(IMPORTRANGE($B$18,$B$19&amp;address(row($Q$7),column($Q$7))&amp;"":""&amp;address(row($Q$7),column($Q$7)))=A15,1,0)"),0.0)</f>
        <v>0</v>
      </c>
      <c r="Q15" s="2" t="str">
        <f>IFERROR(__xludf.DUMMYFUNCTION("IMPORTRANGE($B$18,$B$19&amp;address(row(G25),column(G25))&amp;"":""&amp;address(row(G25),column(G25)))"),"")</f>
        <v/>
      </c>
      <c r="R15" s="2">
        <f>IFERROR(__xludf.DUMMYFUNCTION("IMPORTRANGE($B$18,$B$19&amp;address(row(H25),column(H25))&amp;"":""&amp;address(row(H25),column(H25)))"),0.0)</f>
        <v>0</v>
      </c>
      <c r="S15" s="2">
        <f>IFERROR(__xludf.DUMMYFUNCTION("IMPORTRANGE($B$18,$B$19&amp;address(row(S25),column(S25))&amp;"":""&amp;address(row(S25),column(S25)))"),8.0)</f>
        <v>8</v>
      </c>
      <c r="T15" s="2" t="str">
        <f>IFERROR(__xludf.DUMMYFUNCTION("IMPORTRANGE($B$18,$B$19&amp;address(row(T25),column(T25))&amp;"":""&amp;address(row(T25),column(T25)))"),"Did OK for the breif time he was on.  Had chance on the cut back, stumlbed on massive divit, dislocated knee cap, fractured knee cap, snapped platella tendon - out 6 months min. ")</f>
        <v>Did OK for the breif time he was on.  Had chance on the cut back, stumlbed on massive divit, dislocated knee cap, fractured knee cap, snapped platella tendon - out 6 months min. </v>
      </c>
      <c r="U15" s="2" t="str">
        <f>IFERROR(__xludf.DUMMYFUNCTION("IMPORTRANGE($B$18,$B$19&amp;address(row($T$4),column($T$4))&amp;"":""&amp;address(row($T$4),column($T$4)))"),"3-5-2")</f>
        <v>3-5-2</v>
      </c>
      <c r="V15" s="2" t="str">
        <f>IFERROR(__xludf.DUMMYFUNCTION("IMPORTRANGE($B$18,$B$19&amp;address(row($T$7),column($T$7))&amp;"":""&amp;address(row($T$7),column($T$7)))"),"")</f>
        <v/>
      </c>
      <c r="W15" s="2">
        <f>IFERROR(__xludf.DUMMYFUNCTION("IMPORTRANGE($B$18,$B$19&amp;address(row($H$7),column($H$7))&amp;"":""&amp;address(row($H$7),column($H$7)))"),0.0)</f>
        <v>0</v>
      </c>
      <c r="X15" s="2">
        <f>IFERROR(__xludf.DUMMYFUNCTION("IMPORTRANGE($B$18,$B$19&amp;address(row($I$7),column($I$7))&amp;"":""&amp;address(row($I$7),column($I$7)))"),0.0)</f>
        <v>0</v>
      </c>
      <c r="Y15" s="2" t="str">
        <f>IFERROR(__xludf.DUMMYFUNCTION("IMPORTRANGE($B$18,$B$19&amp;address(row($C$5),column($C$5))&amp;"":""&amp;address(row($C$5),column($C$5)))"),"Premier")</f>
        <v>Premier</v>
      </c>
      <c r="Z15" s="86">
        <f>IFERROR(__xludf.DUMMYFUNCTION("IMPORTRANGE($B$18,$B$19&amp;address(row($I$4),column($I$4))&amp;"":""&amp;address(row($I$4),column($I$4)))"),45395.0)</f>
        <v>45395</v>
      </c>
      <c r="AA15" s="2" t="b">
        <f t="shared" si="3"/>
        <v>1</v>
      </c>
    </row>
    <row r="16">
      <c r="A16" s="2" t="str">
        <f>IFERROR(__xludf.DUMMYFUNCTION("IMPORTRANGE($B$18,$B$19&amp;address(row(B26),column(B26))&amp;"":""&amp;address(row(B26),column(B26)))"),"")</f>
        <v/>
      </c>
      <c r="B16" s="2" t="str">
        <f>IFERROR(__xludf.DUMMYFUNCTION("IMPORTRANGE($B$18,$B$19&amp;address(row(E26),column(E26))&amp;"":""&amp;address(row(E26),column(E26)))"),"")</f>
        <v/>
      </c>
      <c r="C16" s="1">
        <f t="shared" si="1"/>
        <v>1</v>
      </c>
      <c r="D16" s="86" t="str">
        <f>IFERROR(__xludf.DUMMYFUNCTION("IMPORTRANGE($B$18,$B$19&amp;address(row($I$3),column($I$3))&amp;"":""&amp;address(row($I$3),column($I$3)))"),"Bealonians 1s")</f>
        <v>Bealonians 1s</v>
      </c>
      <c r="E1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6" s="2" t="str">
        <f>IFERROR(__xludf.DUMMYFUNCTION("IMPORTRANGE($B$18,$B$19&amp;address(row(I26),column(I26))&amp;"":""&amp;address(row(I26),column(I26)))"),"")</f>
        <v/>
      </c>
      <c r="G16" s="2" t="str">
        <f>IFERROR(__xludf.DUMMYFUNCTION("IMPORTRANGE($B$18,$B$19&amp;address(row(J26),column(J26))&amp;"":""&amp;address(row(J26),column(J26)))"),"")</f>
        <v/>
      </c>
      <c r="H16" s="1">
        <f>IFERROR(__xludf.DUMMYFUNCTION("IMPORTRANGE($B$18,$B$19&amp;address(row($I$7),column($I$7))&amp;"":""&amp;address(row($I$7),column($I$7)))"),0.0)</f>
        <v>0</v>
      </c>
      <c r="I16" s="2" t="str">
        <f>IFERROR(__xludf.DUMMYFUNCTION("IMPORTRANGE($B$18,$B$19&amp;address(row(N26),column(N26))&amp;"":""&amp;address(row(N26),column(N26)))"),"")</f>
        <v/>
      </c>
      <c r="J16" s="2" t="str">
        <f>IFERROR(__xludf.DUMMYFUNCTION("IMPORTRANGE($B$18,$B$19&amp;address(row(O26),column(O26))&amp;"":""&amp;address(row(O26),column(O26)))"),"")</f>
        <v/>
      </c>
      <c r="K16" s="2" t="str">
        <f>IFERROR(__xludf.DUMMYFUNCTION("IMPORTRANGE($B$18,$B$19&amp;address(row(P26),column(P26))&amp;"":""&amp;address(row(P26),column(P26)))"),"")</f>
        <v/>
      </c>
      <c r="L16" s="2" t="b">
        <f t="shared" si="2"/>
        <v>1</v>
      </c>
      <c r="M16" s="2" t="str">
        <f>IFERROR(__xludf.DUMMYFUNCTION("IMPORTRANGE($B$18,$B$19&amp;address(row(L26),column(L26))&amp;"":""&amp;address(row(L26),column(L26)))"),"")</f>
        <v/>
      </c>
      <c r="N16" s="2" t="str">
        <f>IFERROR(__xludf.DUMMYFUNCTION("IMPORTRANGE($B$18,$B$19&amp;address(row(K26),column(K26))&amp;"":""&amp;address(row(K26),column(K26)))"),"")</f>
        <v/>
      </c>
      <c r="O16" s="2" t="str">
        <f>IFERROR(__xludf.DUMMYFUNCTION("IMPORTRANGE($B$18,$B$19&amp;address(row(M26),column(M26))&amp;"":""&amp;address(row(M26),column(M26)))"),"")</f>
        <v/>
      </c>
      <c r="P16" s="2">
        <f>IFERROR(__xludf.DUMMYFUNCTION("IF(IMPORTRANGE($B$18,$B$19&amp;address(row($Q$7),column($Q$7))&amp;"":""&amp;address(row($Q$7),column($Q$7)))=A16,1,0)"),0.0)</f>
        <v>0</v>
      </c>
      <c r="Q16" s="2" t="str">
        <f>IFERROR(__xludf.DUMMYFUNCTION("IMPORTRANGE($B$18,$B$19&amp;address(row(G26),column(G26))&amp;"":""&amp;address(row(G26),column(G26)))"),"")</f>
        <v/>
      </c>
      <c r="R16" s="2" t="str">
        <f>IFERROR(__xludf.DUMMYFUNCTION("IMPORTRANGE($B$18,$B$19&amp;address(row(H26),column(H26))&amp;"":""&amp;address(row(H26),column(H26)))"),"")</f>
        <v/>
      </c>
      <c r="S16" s="2" t="str">
        <f>IFERROR(__xludf.DUMMYFUNCTION("IMPORTRANGE($B$18,$B$19&amp;address(row(S26),column(S26))&amp;"":""&amp;address(row(S26),column(S26)))"),"")</f>
        <v/>
      </c>
      <c r="T16" s="2" t="str">
        <f>IFERROR(__xludf.DUMMYFUNCTION("IMPORTRANGE($B$18,$B$19&amp;address(row(T26),column(T26))&amp;"":""&amp;address(row(T26),column(T26)))"),"")</f>
        <v/>
      </c>
      <c r="U16" s="2" t="str">
        <f>IFERROR(__xludf.DUMMYFUNCTION("IMPORTRANGE($B$18,$B$19&amp;address(row($T$4),column($T$4))&amp;"":""&amp;address(row($T$4),column($T$4)))"),"3-5-2")</f>
        <v>3-5-2</v>
      </c>
      <c r="V16" s="2" t="str">
        <f>IFERROR(__xludf.DUMMYFUNCTION("IMPORTRANGE($B$18,$B$19&amp;address(row($T$7),column($T$7))&amp;"":""&amp;address(row($T$7),column($T$7)))"),"")</f>
        <v/>
      </c>
      <c r="W16" s="2">
        <f>IFERROR(__xludf.DUMMYFUNCTION("IMPORTRANGE($B$18,$B$19&amp;address(row($H$7),column($H$7))&amp;"":""&amp;address(row($H$7),column($H$7)))"),0.0)</f>
        <v>0</v>
      </c>
      <c r="X16" s="2">
        <f>IFERROR(__xludf.DUMMYFUNCTION("IMPORTRANGE($B$18,$B$19&amp;address(row($I$7),column($I$7))&amp;"":""&amp;address(row($I$7),column($I$7)))"),0.0)</f>
        <v>0</v>
      </c>
      <c r="Y16" s="2" t="str">
        <f>IFERROR(__xludf.DUMMYFUNCTION("IMPORTRANGE($B$18,$B$19&amp;address(row($C$5),column($C$5))&amp;"":""&amp;address(row($C$5),column($C$5)))"),"Premier")</f>
        <v>Premier</v>
      </c>
      <c r="Z16" s="86">
        <f>IFERROR(__xludf.DUMMYFUNCTION("IMPORTRANGE($B$18,$B$19&amp;address(row($I$4),column($I$4))&amp;"":""&amp;address(row($I$4),column($I$4)))"),45395.0)</f>
        <v>45395</v>
      </c>
      <c r="AA16" s="2" t="b">
        <f t="shared" si="3"/>
        <v>0</v>
      </c>
    </row>
    <row r="17">
      <c r="A17" s="2" t="str">
        <f>IFERROR(__xludf.DUMMYFUNCTION("IMPORTRANGE($B$18,$B$19&amp;address(row(B27),column(B27))&amp;"":""&amp;address(row(B27),column(B27)))"),"")</f>
        <v/>
      </c>
      <c r="B17" s="2" t="str">
        <f>IFERROR(__xludf.DUMMYFUNCTION("IMPORTRANGE($B$18,$B$19&amp;address(row(E27),column(E27))&amp;"":""&amp;address(row(E27),column(E27)))"),"")</f>
        <v/>
      </c>
      <c r="C17" s="1">
        <f t="shared" si="1"/>
        <v>1</v>
      </c>
      <c r="D17" s="86" t="str">
        <f>IFERROR(__xludf.DUMMYFUNCTION("IMPORTRANGE($B$18,$B$19&amp;address(row($I$3),column($I$3))&amp;"":""&amp;address(row($I$3),column($I$3)))"),"Bealonians 1s")</f>
        <v>Bealonians 1s</v>
      </c>
      <c r="E1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7" s="2" t="str">
        <f>IFERROR(__xludf.DUMMYFUNCTION("IMPORTRANGE($B$18,$B$19&amp;address(row(I27),column(I27))&amp;"":""&amp;address(row(I27),column(I27)))"),"")</f>
        <v/>
      </c>
      <c r="G17" s="2" t="str">
        <f>IFERROR(__xludf.DUMMYFUNCTION("IMPORTRANGE($B$18,$B$19&amp;address(row(J27),column(J27))&amp;"":""&amp;address(row(J27),column(J27)))"),"")</f>
        <v/>
      </c>
      <c r="H17" s="1">
        <f>IFERROR(__xludf.DUMMYFUNCTION("IMPORTRANGE($B$18,$B$19&amp;address(row($I$7),column($I$7))&amp;"":""&amp;address(row($I$7),column($I$7)))"),0.0)</f>
        <v>0</v>
      </c>
      <c r="I17" s="2" t="str">
        <f>IFERROR(__xludf.DUMMYFUNCTION("IMPORTRANGE($B$18,$B$19&amp;address(row(N27),column(N27))&amp;"":""&amp;address(row(N27),column(N27)))"),"")</f>
        <v/>
      </c>
      <c r="J17" s="2" t="str">
        <f>IFERROR(__xludf.DUMMYFUNCTION("IMPORTRANGE($B$18,$B$19&amp;address(row(O27),column(O27))&amp;"":""&amp;address(row(O27),column(O27)))"),"")</f>
        <v/>
      </c>
      <c r="K17" s="2" t="str">
        <f>IFERROR(__xludf.DUMMYFUNCTION("IMPORTRANGE($B$18,$B$19&amp;address(row(P27),column(P27))&amp;"":""&amp;address(row(P27),column(P27)))"),"")</f>
        <v/>
      </c>
      <c r="L17" s="2" t="b">
        <f t="shared" si="2"/>
        <v>1</v>
      </c>
      <c r="M17" s="2" t="str">
        <f>IFERROR(__xludf.DUMMYFUNCTION("IMPORTRANGE($B$18,$B$19&amp;address(row(L27),column(L27))&amp;"":""&amp;address(row(L27),column(L27)))"),"")</f>
        <v/>
      </c>
      <c r="N17" s="2" t="str">
        <f>IFERROR(__xludf.DUMMYFUNCTION("IMPORTRANGE($B$18,$B$19&amp;address(row(K27),column(K27))&amp;"":""&amp;address(row(K27),column(K27)))"),"")</f>
        <v/>
      </c>
      <c r="O17" s="2" t="str">
        <f>IFERROR(__xludf.DUMMYFUNCTION("IMPORTRANGE($B$18,$B$19&amp;address(row(M27),column(M27))&amp;"":""&amp;address(row(M27),column(M27)))"),"")</f>
        <v/>
      </c>
      <c r="P17" s="2">
        <f>IFERROR(__xludf.DUMMYFUNCTION("IF(IMPORTRANGE($B$18,$B$19&amp;address(row($Q$7),column($Q$7))&amp;"":""&amp;address(row($Q$7),column($Q$7)))=A17,1,0)"),0.0)</f>
        <v>0</v>
      </c>
      <c r="Q17" s="2" t="str">
        <f>IFERROR(__xludf.DUMMYFUNCTION("IMPORTRANGE($B$18,$B$19&amp;address(row(G27),column(G27))&amp;"":""&amp;address(row(G27),column(G27)))"),"")</f>
        <v/>
      </c>
      <c r="R17" s="2" t="str">
        <f>IFERROR(__xludf.DUMMYFUNCTION("IMPORTRANGE($B$18,$B$19&amp;address(row(H27),column(H27))&amp;"":""&amp;address(row(H27),column(H27)))"),"")</f>
        <v/>
      </c>
      <c r="S17" s="2" t="str">
        <f>IFERROR(__xludf.DUMMYFUNCTION("IMPORTRANGE($B$18,$B$19&amp;address(row(S27),column(S27))&amp;"":""&amp;address(row(S27),column(S27)))"),"")</f>
        <v/>
      </c>
      <c r="T17" s="2" t="str">
        <f>IFERROR(__xludf.DUMMYFUNCTION("IMPORTRANGE($B$18,$B$19&amp;address(row(T27),column(T27))&amp;"":""&amp;address(row(T27),column(T27)))"),"")</f>
        <v/>
      </c>
      <c r="U17" s="2" t="str">
        <f>IFERROR(__xludf.DUMMYFUNCTION("IMPORTRANGE($B$18,$B$19&amp;address(row($T$4),column($T$4))&amp;"":""&amp;address(row($T$4),column($T$4)))"),"3-5-2")</f>
        <v>3-5-2</v>
      </c>
      <c r="V17" s="2" t="str">
        <f>IFERROR(__xludf.DUMMYFUNCTION("IMPORTRANGE($B$18,$B$19&amp;address(row($T$7),column($T$7))&amp;"":""&amp;address(row($T$7),column($T$7)))"),"")</f>
        <v/>
      </c>
      <c r="W17" s="2">
        <f>IFERROR(__xludf.DUMMYFUNCTION("IMPORTRANGE($B$18,$B$19&amp;address(row($H$7),column($H$7))&amp;"":""&amp;address(row($H$7),column($H$7)))"),0.0)</f>
        <v>0</v>
      </c>
      <c r="X17" s="2">
        <f>IFERROR(__xludf.DUMMYFUNCTION("IMPORTRANGE($B$18,$B$19&amp;address(row($I$7),column($I$7))&amp;"":""&amp;address(row($I$7),column($I$7)))"),0.0)</f>
        <v>0</v>
      </c>
      <c r="Y17" s="2" t="str">
        <f>IFERROR(__xludf.DUMMYFUNCTION("IMPORTRANGE($B$18,$B$19&amp;address(row($C$5),column($C$5))&amp;"":""&amp;address(row($C$5),column($C$5)))"),"Premier")</f>
        <v>Premier</v>
      </c>
      <c r="Z17" s="86">
        <f>IFERROR(__xludf.DUMMYFUNCTION("IMPORTRANGE($B$18,$B$19&amp;address(row($I$4),column($I$4))&amp;"":""&amp;address(row($I$4),column($I$4)))"),45395.0)</f>
        <v>45395</v>
      </c>
      <c r="AA17" s="2" t="b">
        <f t="shared" si="3"/>
        <v>0</v>
      </c>
    </row>
    <row r="18">
      <c r="A18" s="1" t="s">
        <v>2258</v>
      </c>
      <c r="B18" s="87" t="s">
        <v>2259</v>
      </c>
      <c r="D18" s="2"/>
      <c r="E18" s="2"/>
      <c r="F18" s="2"/>
      <c r="G18" s="2"/>
      <c r="H18" s="2"/>
      <c r="I18" s="2"/>
      <c r="J18" s="2"/>
      <c r="K18" s="2"/>
      <c r="L18" s="2"/>
      <c r="M18" s="2"/>
      <c r="N18" s="2"/>
      <c r="O18" s="2"/>
      <c r="P18" s="2"/>
      <c r="Q18" s="2"/>
      <c r="R18" s="2"/>
      <c r="S18" s="2"/>
      <c r="T18" s="2"/>
      <c r="U18" s="2"/>
      <c r="V18" s="2"/>
      <c r="W18" s="2"/>
      <c r="X18" s="2"/>
      <c r="Y18" s="2"/>
    </row>
    <row r="19">
      <c r="A19" s="1" t="s">
        <v>2260</v>
      </c>
      <c r="B19" s="88" t="s">
        <v>2261</v>
      </c>
      <c r="C19" s="2"/>
      <c r="D19" s="2"/>
      <c r="E19" s="2"/>
      <c r="F19" s="2"/>
      <c r="G19" s="2"/>
      <c r="H19" s="2"/>
      <c r="I19" s="2"/>
      <c r="J19" s="2"/>
      <c r="K19" s="2"/>
      <c r="L19" s="2"/>
      <c r="M19" s="2"/>
      <c r="N19" s="2"/>
      <c r="O19" s="2"/>
      <c r="P19" s="2"/>
      <c r="Q19" s="2"/>
      <c r="R19" s="2"/>
      <c r="S19" s="2"/>
      <c r="T19" s="2"/>
      <c r="U19" s="2"/>
      <c r="V19" s="2"/>
      <c r="W19" s="2"/>
      <c r="X19" s="2"/>
      <c r="Y19" s="2"/>
    </row>
    <row r="20">
      <c r="A20" s="1" t="s">
        <v>32</v>
      </c>
      <c r="B20" s="1">
        <v>1.0</v>
      </c>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sheetData>
  <hyperlinks>
    <hyperlink r:id="rId1" location="gid=1128867548" ref="B18"/>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25"/>
    <col customWidth="1" min="7" max="7" width="6.88"/>
    <col customWidth="1" min="8" max="8" width="14.13"/>
  </cols>
  <sheetData>
    <row r="1">
      <c r="A1" s="2" t="str">
        <f>IFERROR(__xludf.DUMMYFUNCTION("IMPORTRANGE(B18,B19&amp;address(row(B11),column(B11))&amp;"":""&amp;address(row(B11),column(B11)))"),"Player Name")</f>
        <v>Player Name</v>
      </c>
      <c r="B1" s="2" t="str">
        <f>IFERROR(__xludf.DUMMYFUNCTION("IMPORTRANGE(B18,B19&amp;ADDRESS(row(E11),column(E11))&amp;"":""&amp;address(row(E11),column(E11)))"),"Position")</f>
        <v>Position</v>
      </c>
      <c r="C1" s="1" t="s">
        <v>199</v>
      </c>
      <c r="D1" s="1" t="s">
        <v>200</v>
      </c>
      <c r="E1" s="1" t="s">
        <v>201</v>
      </c>
      <c r="F1" s="63" t="s">
        <v>158</v>
      </c>
      <c r="G1" s="63" t="s">
        <v>159</v>
      </c>
      <c r="H1" s="63" t="s">
        <v>202</v>
      </c>
      <c r="I1" s="63" t="s">
        <v>203</v>
      </c>
      <c r="J1" s="63" t="s">
        <v>185</v>
      </c>
      <c r="K1" s="63" t="s">
        <v>204</v>
      </c>
      <c r="L1" s="63" t="s">
        <v>205</v>
      </c>
      <c r="M1" s="63" t="s">
        <v>206</v>
      </c>
      <c r="N1" s="63" t="s">
        <v>207</v>
      </c>
      <c r="O1" s="63" t="s">
        <v>208</v>
      </c>
      <c r="P1" s="63" t="s">
        <v>209</v>
      </c>
      <c r="Q1" s="61" t="s">
        <v>210</v>
      </c>
      <c r="R1" s="61" t="s">
        <v>211</v>
      </c>
      <c r="S1" s="61" t="s">
        <v>212</v>
      </c>
      <c r="T1" s="61" t="s">
        <v>213</v>
      </c>
      <c r="U1" s="61" t="s">
        <v>214</v>
      </c>
      <c r="V1" s="61" t="s">
        <v>215</v>
      </c>
      <c r="W1" s="65" t="s">
        <v>2254</v>
      </c>
      <c r="X1" s="61" t="s">
        <v>2255</v>
      </c>
      <c r="Y1" s="61" t="s">
        <v>196</v>
      </c>
      <c r="Z1" s="61" t="s">
        <v>2256</v>
      </c>
      <c r="AA1" s="61" t="s">
        <v>2257</v>
      </c>
    </row>
    <row r="2">
      <c r="A2" s="2" t="str">
        <f>IFERROR(__xludf.DUMMYFUNCTION("IMPORTRANGE($B$18,$B$19&amp;address(row(B12),column(B12))&amp;"":""&amp;address(row(B12),column(B12)))"),"")</f>
        <v/>
      </c>
      <c r="B2" s="2" t="str">
        <f>IFERROR(__xludf.DUMMYFUNCTION("IMPORTRANGE($B$18,$B$19&amp;address(row(E12),column(E12))&amp;"":""&amp;address(row(E12),column(E12)))"),"")</f>
        <v/>
      </c>
      <c r="C2" s="1">
        <f t="shared" ref="C2:C17" si="1">$B$20</f>
        <v>2</v>
      </c>
      <c r="D2" s="2" t="str">
        <f>IFERROR(__xludf.DUMMYFUNCTION("IMPORTRANGE($B$18,$B$19&amp;address(row($I$3),column($I$3))&amp;"":""&amp;address(row($I$3),column($I$3)))"),"Economicals 2s")</f>
        <v>Economicals 2s</v>
      </c>
      <c r="E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2" s="2" t="str">
        <f>IFERROR(__xludf.DUMMYFUNCTION("IMPORTRANGE($B$18,$B$19&amp;address(row(I12),column(I12))&amp;"":""&amp;address(row(I12),column(I12)))"),"")</f>
        <v/>
      </c>
      <c r="G2" s="2" t="str">
        <f>IFERROR(__xludf.DUMMYFUNCTION("IMPORTRANGE($B$18,$B$19&amp;address(row(J12),column(J12))&amp;"":""&amp;address(row(J12),column(J12)))"),"")</f>
        <v/>
      </c>
      <c r="H2" s="1" t="str">
        <f>IFERROR(__xludf.DUMMYFUNCTION("IMPORTRANGE($B$18,$B$19&amp;address(row($I$7),column($I$7))&amp;"":""&amp;address(row($I$7),column($I$7)))"),"")</f>
        <v/>
      </c>
      <c r="I2" s="2" t="str">
        <f>IFERROR(__xludf.DUMMYFUNCTION("IMPORTRANGE($B$18,$B$19&amp;address(row(N12),column(N12))&amp;"":""&amp;address(row(N12),column(N12)))"),"")</f>
        <v/>
      </c>
      <c r="J2" s="2" t="str">
        <f>IFERROR(__xludf.DUMMYFUNCTION("IMPORTRANGE($B$18,$B$19&amp;address(row(O12),column(O12))&amp;"":""&amp;address(row(O12),column(O12)))"),"")</f>
        <v/>
      </c>
      <c r="K2" s="2" t="str">
        <f>IFERROR(__xludf.DUMMYFUNCTION("IMPORTRANGE($B$18,$B$19&amp;address(row(P12),column(P12))&amp;"":""&amp;address(row(P12),column(P12)))"),"")</f>
        <v/>
      </c>
      <c r="L2" s="2" t="b">
        <f t="shared" ref="L2:L17" si="2">H2=0</f>
        <v>1</v>
      </c>
      <c r="M2" s="2" t="str">
        <f>IFERROR(__xludf.DUMMYFUNCTION("IMPORTRANGE($B$18,$B$19&amp;address(row(L12),column(L12))&amp;"":""&amp;address(row(L12),column(L12)))"),"")</f>
        <v/>
      </c>
      <c r="N2" s="2" t="str">
        <f>IFERROR(__xludf.DUMMYFUNCTION("IMPORTRANGE($B$18,$B$19&amp;address(row(K12),column(K12))&amp;"":""&amp;address(row(K12),column(K12)))"),"")</f>
        <v/>
      </c>
      <c r="O2" s="2" t="str">
        <f>IFERROR(__xludf.DUMMYFUNCTION("IMPORTRANGE($B$18,$B$19&amp;address(row(M12),column(M12))&amp;"":""&amp;address(row(M12),column(M12)))"),"")</f>
        <v/>
      </c>
      <c r="P2" s="2">
        <f>IFERROR(__xludf.DUMMYFUNCTION("IF(IMPORTRANGE($B$18,$B$19&amp;address(row($Q$7),column($Q$7))&amp;"":""&amp;address(row($Q$7),column($Q$7)))=A2,1,0)"),1.0)</f>
        <v>1</v>
      </c>
      <c r="Q2" s="2" t="str">
        <f>IFERROR(__xludf.DUMMYFUNCTION("IMPORTRANGE($B$18,$B$19&amp;address(row(G12),column(G12))&amp;"":""&amp;address(row(G12),column(G12)))"),"")</f>
        <v/>
      </c>
      <c r="R2" s="2" t="str">
        <f>IFERROR(__xludf.DUMMYFUNCTION("IMPORTRANGE($B$18,$B$19&amp;address(row(H12),column(H12))&amp;"":""&amp;address(row(H12),column(H12)))"),"")</f>
        <v/>
      </c>
      <c r="S2" s="2" t="str">
        <f>IFERROR(__xludf.DUMMYFUNCTION("IMPORTRANGE($B$18,$B$19&amp;address(row(S12),column(S12))&amp;"":""&amp;address(row(S12),column(S12)))"),"")</f>
        <v/>
      </c>
      <c r="T2" s="2" t="str">
        <f>IFERROR(__xludf.DUMMYFUNCTION("IMPORTRANGE($B$18,$B$19&amp;address(row(T12),column(T12))&amp;"":""&amp;address(row(T12),column(T12)))"),"")</f>
        <v/>
      </c>
      <c r="U2" s="2" t="str">
        <f>IFERROR(__xludf.DUMMYFUNCTION("IMPORTRANGE($B$18,$B$19&amp;address(row($T$4),column($T$4))&amp;"":""&amp;address(row($T$4),column($T$4)))"),"")</f>
        <v/>
      </c>
      <c r="V2" s="2" t="str">
        <f>IFERROR(__xludf.DUMMYFUNCTION("IMPORTRANGE($B$18,$B$19&amp;address(row($T$7),column($T$7))&amp;"":""&amp;address(row($T$7),column($T$7)))"),"")</f>
        <v/>
      </c>
      <c r="W2" s="2" t="str">
        <f>IFERROR(__xludf.DUMMYFUNCTION("IMPORTRANGE($B$18,$B$19&amp;address(row($H$7),column($H$7))&amp;"":""&amp;address(row($H$7),column($H$7)))"),"")</f>
        <v/>
      </c>
      <c r="X2" s="2" t="str">
        <f>IFERROR(__xludf.DUMMYFUNCTION("IMPORTRANGE($B$18,$B$19&amp;address(row($I$7),column($I$7))&amp;"":""&amp;address(row($I$7),column($I$7)))"),"")</f>
        <v/>
      </c>
      <c r="Y2" s="2" t="str">
        <f>IFERROR(__xludf.DUMMYFUNCTION("IMPORTRANGE($B$18,$B$19&amp;address(row($C$5),column($C$5))&amp;"":""&amp;address(row($C$5),column($C$5)))"),"League")</f>
        <v>League</v>
      </c>
      <c r="Z2" s="86">
        <f>IFERROR(__xludf.DUMMYFUNCTION("IMPORTRANGE($B$18,$B$19&amp;address(row($I$4),column($I$4))&amp;"":""&amp;address(row($I$4),column($I$4)))"),45395.0)</f>
        <v>45395</v>
      </c>
      <c r="AA2" s="2" t="b">
        <f t="shared" ref="AA2:AA17" si="3">NOT(ISBLANK(A2))</f>
        <v>0</v>
      </c>
    </row>
    <row r="3">
      <c r="A3" s="2" t="str">
        <f>IFERROR(__xludf.DUMMYFUNCTION("IMPORTRANGE($B$18,$B$19&amp;address(row(B13),column(B13))&amp;"":""&amp;address(row(B13),column(B13)))"),"Nick Chimonides")</f>
        <v>Nick Chimonides</v>
      </c>
      <c r="B3" s="2" t="str">
        <f>IFERROR(__xludf.DUMMYFUNCTION("IMPORTRANGE($B$18,$B$19&amp;address(row(E13),column(E13))&amp;"":""&amp;address(row(E13),column(E13)))"),"")</f>
        <v/>
      </c>
      <c r="C3" s="1">
        <f t="shared" si="1"/>
        <v>2</v>
      </c>
      <c r="D3" s="2" t="str">
        <f>IFERROR(__xludf.DUMMYFUNCTION("IMPORTRANGE($B$18,$B$19&amp;address(row($I$3),column($I$3))&amp;"":""&amp;address(row($I$3),column($I$3)))"),"Economicals 2s")</f>
        <v>Economicals 2s</v>
      </c>
      <c r="E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3" s="2" t="str">
        <f>IFERROR(__xludf.DUMMYFUNCTION("IMPORTRANGE($B$18,$B$19&amp;address(row(I13),column(I13))&amp;"":""&amp;address(row(I13),column(I13)))"),"")</f>
        <v/>
      </c>
      <c r="G3" s="2" t="str">
        <f>IFERROR(__xludf.DUMMYFUNCTION("IMPORTRANGE($B$18,$B$19&amp;address(row(J13),column(J13))&amp;"":""&amp;address(row(J13),column(J13)))"),"")</f>
        <v/>
      </c>
      <c r="H3" s="1" t="str">
        <f>IFERROR(__xludf.DUMMYFUNCTION("IMPORTRANGE($B$18,$B$19&amp;address(row($I$7),column($I$7))&amp;"":""&amp;address(row($I$7),column($I$7)))"),"")</f>
        <v/>
      </c>
      <c r="I3" s="2" t="str">
        <f>IFERROR(__xludf.DUMMYFUNCTION("IMPORTRANGE($B$18,$B$19&amp;address(row(N13),column(N13))&amp;"":""&amp;address(row(N13),column(N13)))"),"")</f>
        <v/>
      </c>
      <c r="J3" s="2" t="str">
        <f>IFERROR(__xludf.DUMMYFUNCTION("IMPORTRANGE($B$18,$B$19&amp;address(row(O13),column(O13))&amp;"":""&amp;address(row(O13),column(O13)))"),"")</f>
        <v/>
      </c>
      <c r="K3" s="2" t="str">
        <f>IFERROR(__xludf.DUMMYFUNCTION("IMPORTRANGE($B$18,$B$19&amp;address(row(P13),column(P13))&amp;"":""&amp;address(row(P13),column(P13)))"),"")</f>
        <v/>
      </c>
      <c r="L3" s="2" t="b">
        <f t="shared" si="2"/>
        <v>1</v>
      </c>
      <c r="M3" s="2" t="str">
        <f>IFERROR(__xludf.DUMMYFUNCTION("IMPORTRANGE($B$18,$B$19&amp;address(row(L13),column(L13))&amp;"":""&amp;address(row(L13),column(L13)))"),"")</f>
        <v/>
      </c>
      <c r="N3" s="2" t="str">
        <f>IFERROR(__xludf.DUMMYFUNCTION("IMPORTRANGE($B$18,$B$19&amp;address(row(K13),column(K13))&amp;"":""&amp;address(row(K13),column(K13)))"),"")</f>
        <v/>
      </c>
      <c r="O3" s="2" t="str">
        <f>IFERROR(__xludf.DUMMYFUNCTION("IMPORTRANGE($B$18,$B$19&amp;address(row(M13),column(M13))&amp;"":""&amp;address(row(M13),column(M13)))"),"")</f>
        <v/>
      </c>
      <c r="P3" s="2">
        <f>IFERROR(__xludf.DUMMYFUNCTION("IF(IMPORTRANGE($B$18,$B$19&amp;address(row($Q$7),column($Q$7))&amp;"":""&amp;address(row($Q$7),column($Q$7)))=A3,1,0)"),0.0)</f>
        <v>0</v>
      </c>
      <c r="Q3" s="2" t="str">
        <f>IFERROR(__xludf.DUMMYFUNCTION("IMPORTRANGE($B$18,$B$19&amp;address(row(G13),column(G13))&amp;"":""&amp;address(row(G13),column(G13)))"),"")</f>
        <v/>
      </c>
      <c r="R3" s="2" t="str">
        <f>IFERROR(__xludf.DUMMYFUNCTION("IMPORTRANGE($B$18,$B$19&amp;address(row(H13),column(H13))&amp;"":""&amp;address(row(H13),column(H13)))"),"")</f>
        <v/>
      </c>
      <c r="S3" s="2" t="str">
        <f>IFERROR(__xludf.DUMMYFUNCTION("IMPORTRANGE($B$18,$B$19&amp;address(row(S13),column(S13))&amp;"":""&amp;address(row(S13),column(S13)))"),"")</f>
        <v/>
      </c>
      <c r="T3" s="2" t="str">
        <f>IFERROR(__xludf.DUMMYFUNCTION("IMPORTRANGE($B$18,$B$19&amp;address(row(T13),column(T13))&amp;"":""&amp;address(row(T13),column(T13)))"),"")</f>
        <v/>
      </c>
      <c r="U3" s="2" t="str">
        <f>IFERROR(__xludf.DUMMYFUNCTION("IMPORTRANGE($B$18,$B$19&amp;address(row($T$4),column($T$4))&amp;"":""&amp;address(row($T$4),column($T$4)))"),"")</f>
        <v/>
      </c>
      <c r="V3" s="2" t="str">
        <f>IFERROR(__xludf.DUMMYFUNCTION("IMPORTRANGE($B$18,$B$19&amp;address(row($T$7),column($T$7))&amp;"":""&amp;address(row($T$7),column($T$7)))"),"")</f>
        <v/>
      </c>
      <c r="W3" s="2" t="str">
        <f>IFERROR(__xludf.DUMMYFUNCTION("IMPORTRANGE($B$18,$B$19&amp;address(row($H$7),column($H$7))&amp;"":""&amp;address(row($H$7),column($H$7)))"),"")</f>
        <v/>
      </c>
      <c r="X3" s="2" t="str">
        <f>IFERROR(__xludf.DUMMYFUNCTION("IMPORTRANGE($B$18,$B$19&amp;address(row($I$7),column($I$7))&amp;"":""&amp;address(row($I$7),column($I$7)))"),"")</f>
        <v/>
      </c>
      <c r="Y3" s="2" t="str">
        <f>IFERROR(__xludf.DUMMYFUNCTION("IMPORTRANGE($B$18,$B$19&amp;address(row($C$5),column($C$5))&amp;"":""&amp;address(row($C$5),column($C$5)))"),"League")</f>
        <v>League</v>
      </c>
      <c r="Z3" s="86">
        <f>IFERROR(__xludf.DUMMYFUNCTION("IMPORTRANGE($B$18,$B$19&amp;address(row($I$4),column($I$4))&amp;"":""&amp;address(row($I$4),column($I$4)))"),45395.0)</f>
        <v>45395</v>
      </c>
      <c r="AA3" s="2" t="b">
        <f t="shared" si="3"/>
        <v>1</v>
      </c>
    </row>
    <row r="4">
      <c r="A4" s="2" t="str">
        <f>IFERROR(__xludf.DUMMYFUNCTION("IMPORTRANGE($B$18,$B$19&amp;address(row(B14),column(B14))&amp;"":""&amp;address(row(B14),column(B14)))"),"Max Watson")</f>
        <v>Max Watson</v>
      </c>
      <c r="B4" s="2" t="str">
        <f>IFERROR(__xludf.DUMMYFUNCTION("IMPORTRANGE($B$18,$B$19&amp;address(row(E14),column(E14))&amp;"":""&amp;address(row(E14),column(E14)))"),"")</f>
        <v/>
      </c>
      <c r="C4" s="1">
        <f t="shared" si="1"/>
        <v>2</v>
      </c>
      <c r="D4" s="2" t="str">
        <f>IFERROR(__xludf.DUMMYFUNCTION("IMPORTRANGE($B$18,$B$19&amp;address(row($I$3),column($I$3))&amp;"":""&amp;address(row($I$3),column($I$3)))"),"Economicals 2s")</f>
        <v>Economicals 2s</v>
      </c>
      <c r="E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4" s="2" t="str">
        <f>IFERROR(__xludf.DUMMYFUNCTION("IMPORTRANGE($B$18,$B$19&amp;address(row(I14),column(I14))&amp;"":""&amp;address(row(I14),column(I14)))"),"")</f>
        <v/>
      </c>
      <c r="G4" s="2" t="str">
        <f>IFERROR(__xludf.DUMMYFUNCTION("IMPORTRANGE($B$18,$B$19&amp;address(row(J14),column(J14))&amp;"":""&amp;address(row(J14),column(J14)))"),"")</f>
        <v/>
      </c>
      <c r="H4" s="1" t="str">
        <f>IFERROR(__xludf.DUMMYFUNCTION("IMPORTRANGE($B$18,$B$19&amp;address(row($I$7),column($I$7))&amp;"":""&amp;address(row($I$7),column($I$7)))"),"")</f>
        <v/>
      </c>
      <c r="I4" s="2" t="str">
        <f>IFERROR(__xludf.DUMMYFUNCTION("IMPORTRANGE($B$18,$B$19&amp;address(row(N14),column(N14))&amp;"":""&amp;address(row(N14),column(N14)))"),"")</f>
        <v/>
      </c>
      <c r="J4" s="2" t="str">
        <f>IFERROR(__xludf.DUMMYFUNCTION("IMPORTRANGE($B$18,$B$19&amp;address(row(O14),column(O14))&amp;"":""&amp;address(row(O14),column(O14)))"),"")</f>
        <v/>
      </c>
      <c r="K4" s="2" t="str">
        <f>IFERROR(__xludf.DUMMYFUNCTION("IMPORTRANGE($B$18,$B$19&amp;address(row(P14),column(P14))&amp;"":""&amp;address(row(P14),column(P14)))"),"")</f>
        <v/>
      </c>
      <c r="L4" s="2" t="b">
        <f t="shared" si="2"/>
        <v>1</v>
      </c>
      <c r="M4" s="2" t="str">
        <f>IFERROR(__xludf.DUMMYFUNCTION("IMPORTRANGE($B$18,$B$19&amp;address(row(L14),column(L14))&amp;"":""&amp;address(row(L14),column(L14)))"),"")</f>
        <v/>
      </c>
      <c r="N4" s="2" t="str">
        <f>IFERROR(__xludf.DUMMYFUNCTION("IMPORTRANGE($B$18,$B$19&amp;address(row(K14),column(K14))&amp;"":""&amp;address(row(K14),column(K14)))"),"")</f>
        <v/>
      </c>
      <c r="O4" s="2" t="str">
        <f>IFERROR(__xludf.DUMMYFUNCTION("IMPORTRANGE($B$18,$B$19&amp;address(row(M14),column(M14))&amp;"":""&amp;address(row(M14),column(M14)))"),"")</f>
        <v/>
      </c>
      <c r="P4" s="2">
        <f>IFERROR(__xludf.DUMMYFUNCTION("IF(IMPORTRANGE($B$18,$B$19&amp;address(row($Q$7),column($Q$7))&amp;"":""&amp;address(row($Q$7),column($Q$7)))=A4,1,0)"),0.0)</f>
        <v>0</v>
      </c>
      <c r="Q4" s="2" t="str">
        <f>IFERROR(__xludf.DUMMYFUNCTION("IMPORTRANGE($B$18,$B$19&amp;address(row(G14),column(G14))&amp;"":""&amp;address(row(G14),column(G14)))"),"")</f>
        <v/>
      </c>
      <c r="R4" s="2" t="str">
        <f>IFERROR(__xludf.DUMMYFUNCTION("IMPORTRANGE($B$18,$B$19&amp;address(row(H14),column(H14))&amp;"":""&amp;address(row(H14),column(H14)))"),"")</f>
        <v/>
      </c>
      <c r="S4" s="2" t="str">
        <f>IFERROR(__xludf.DUMMYFUNCTION("IMPORTRANGE($B$18,$B$19&amp;address(row(S14),column(S14))&amp;"":""&amp;address(row(S14),column(S14)))"),"")</f>
        <v/>
      </c>
      <c r="T4" s="2" t="str">
        <f>IFERROR(__xludf.DUMMYFUNCTION("IMPORTRANGE($B$18,$B$19&amp;address(row(T14),column(T14))&amp;"":""&amp;address(row(T14),column(T14)))"),"")</f>
        <v/>
      </c>
      <c r="U4" s="2" t="str">
        <f>IFERROR(__xludf.DUMMYFUNCTION("IMPORTRANGE($B$18,$B$19&amp;address(row($T$4),column($T$4))&amp;"":""&amp;address(row($T$4),column($T$4)))"),"")</f>
        <v/>
      </c>
      <c r="V4" s="2" t="str">
        <f>IFERROR(__xludf.DUMMYFUNCTION("IMPORTRANGE($B$18,$B$19&amp;address(row($T$7),column($T$7))&amp;"":""&amp;address(row($T$7),column($T$7)))"),"")</f>
        <v/>
      </c>
      <c r="W4" s="2" t="str">
        <f>IFERROR(__xludf.DUMMYFUNCTION("IMPORTRANGE($B$18,$B$19&amp;address(row($H$7),column($H$7))&amp;"":""&amp;address(row($H$7),column($H$7)))"),"")</f>
        <v/>
      </c>
      <c r="X4" s="2" t="str">
        <f>IFERROR(__xludf.DUMMYFUNCTION("IMPORTRANGE($B$18,$B$19&amp;address(row($I$7),column($I$7))&amp;"":""&amp;address(row($I$7),column($I$7)))"),"")</f>
        <v/>
      </c>
      <c r="Y4" s="2" t="str">
        <f>IFERROR(__xludf.DUMMYFUNCTION("IMPORTRANGE($B$18,$B$19&amp;address(row($C$5),column($C$5))&amp;"":""&amp;address(row($C$5),column($C$5)))"),"League")</f>
        <v>League</v>
      </c>
      <c r="Z4" s="86">
        <f>IFERROR(__xludf.DUMMYFUNCTION("IMPORTRANGE($B$18,$B$19&amp;address(row($I$4),column($I$4))&amp;"":""&amp;address(row($I$4),column($I$4)))"),45395.0)</f>
        <v>45395</v>
      </c>
      <c r="AA4" s="2" t="b">
        <f t="shared" si="3"/>
        <v>1</v>
      </c>
    </row>
    <row r="5">
      <c r="A5" s="2" t="str">
        <f>IFERROR(__xludf.DUMMYFUNCTION("IMPORTRANGE($B$18,$B$19&amp;address(row(B15),column(B15))&amp;"":""&amp;address(row(B15),column(B15)))"),"Seb Curle")</f>
        <v>Seb Curle</v>
      </c>
      <c r="B5" s="2" t="str">
        <f>IFERROR(__xludf.DUMMYFUNCTION("IMPORTRANGE($B$18,$B$19&amp;address(row(E15),column(E15))&amp;"":""&amp;address(row(E15),column(E15)))"),"")</f>
        <v/>
      </c>
      <c r="C5" s="1">
        <f t="shared" si="1"/>
        <v>2</v>
      </c>
      <c r="D5" s="2" t="str">
        <f>IFERROR(__xludf.DUMMYFUNCTION("IMPORTRANGE($B$18,$B$19&amp;address(row($I$3),column($I$3))&amp;"":""&amp;address(row($I$3),column($I$3)))"),"Economicals 2s")</f>
        <v>Economicals 2s</v>
      </c>
      <c r="E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5" s="2" t="str">
        <f>IFERROR(__xludf.DUMMYFUNCTION("IMPORTRANGE($B$18,$B$19&amp;address(row(I15),column(I15))&amp;"":""&amp;address(row(I15),column(I15)))"),"")</f>
        <v/>
      </c>
      <c r="G5" s="2" t="str">
        <f>IFERROR(__xludf.DUMMYFUNCTION("IMPORTRANGE($B$18,$B$19&amp;address(row(J15),column(J15))&amp;"":""&amp;address(row(J15),column(J15)))"),"")</f>
        <v/>
      </c>
      <c r="H5" s="1" t="str">
        <f>IFERROR(__xludf.DUMMYFUNCTION("IMPORTRANGE($B$18,$B$19&amp;address(row($I$7),column($I$7))&amp;"":""&amp;address(row($I$7),column($I$7)))"),"")</f>
        <v/>
      </c>
      <c r="I5" s="2" t="str">
        <f>IFERROR(__xludf.DUMMYFUNCTION("IMPORTRANGE($B$18,$B$19&amp;address(row(N15),column(N15))&amp;"":""&amp;address(row(N15),column(N15)))"),"")</f>
        <v/>
      </c>
      <c r="J5" s="2" t="str">
        <f>IFERROR(__xludf.DUMMYFUNCTION("IMPORTRANGE($B$18,$B$19&amp;address(row(O15),column(O15))&amp;"":""&amp;address(row(O15),column(O15)))"),"")</f>
        <v/>
      </c>
      <c r="K5" s="2" t="str">
        <f>IFERROR(__xludf.DUMMYFUNCTION("IMPORTRANGE($B$18,$B$19&amp;address(row(P15),column(P15))&amp;"":""&amp;address(row(P15),column(P15)))"),"")</f>
        <v/>
      </c>
      <c r="L5" s="2" t="b">
        <f t="shared" si="2"/>
        <v>1</v>
      </c>
      <c r="M5" s="2" t="str">
        <f>IFERROR(__xludf.DUMMYFUNCTION("IMPORTRANGE($B$18,$B$19&amp;address(row(L15),column(L15))&amp;"":""&amp;address(row(L15),column(L15)))"),"")</f>
        <v/>
      </c>
      <c r="N5" s="2" t="str">
        <f>IFERROR(__xludf.DUMMYFUNCTION("IMPORTRANGE($B$18,$B$19&amp;address(row(K15),column(K15))&amp;"":""&amp;address(row(K15),column(K15)))"),"")</f>
        <v/>
      </c>
      <c r="O5" s="2" t="str">
        <f>IFERROR(__xludf.DUMMYFUNCTION("IMPORTRANGE($B$18,$B$19&amp;address(row(M15),column(M15))&amp;"":""&amp;address(row(M15),column(M15)))"),"")</f>
        <v/>
      </c>
      <c r="P5" s="2">
        <f>IFERROR(__xludf.DUMMYFUNCTION("IF(IMPORTRANGE($B$18,$B$19&amp;address(row($Q$7),column($Q$7))&amp;"":""&amp;address(row($Q$7),column($Q$7)))=A5,1,0)"),0.0)</f>
        <v>0</v>
      </c>
      <c r="Q5" s="2" t="str">
        <f>IFERROR(__xludf.DUMMYFUNCTION("IMPORTRANGE($B$18,$B$19&amp;address(row(G15),column(G15))&amp;"":""&amp;address(row(G15),column(G15)))"),"")</f>
        <v/>
      </c>
      <c r="R5" s="2" t="str">
        <f>IFERROR(__xludf.DUMMYFUNCTION("IMPORTRANGE($B$18,$B$19&amp;address(row(H15),column(H15))&amp;"":""&amp;address(row(H15),column(H15)))"),"")</f>
        <v/>
      </c>
      <c r="S5" s="2" t="str">
        <f>IFERROR(__xludf.DUMMYFUNCTION("IMPORTRANGE($B$18,$B$19&amp;address(row(S15),column(S15))&amp;"":""&amp;address(row(S15),column(S15)))"),"")</f>
        <v/>
      </c>
      <c r="T5" s="2" t="str">
        <f>IFERROR(__xludf.DUMMYFUNCTION("IMPORTRANGE($B$18,$B$19&amp;address(row(T15),column(T15))&amp;"":""&amp;address(row(T15),column(T15)))"),"")</f>
        <v/>
      </c>
      <c r="U5" s="2" t="str">
        <f>IFERROR(__xludf.DUMMYFUNCTION("IMPORTRANGE($B$18,$B$19&amp;address(row($T$4),column($T$4))&amp;"":""&amp;address(row($T$4),column($T$4)))"),"")</f>
        <v/>
      </c>
      <c r="V5" s="2" t="str">
        <f>IFERROR(__xludf.DUMMYFUNCTION("IMPORTRANGE($B$18,$B$19&amp;address(row($T$7),column($T$7))&amp;"":""&amp;address(row($T$7),column($T$7)))"),"")</f>
        <v/>
      </c>
      <c r="W5" s="2" t="str">
        <f>IFERROR(__xludf.DUMMYFUNCTION("IMPORTRANGE($B$18,$B$19&amp;address(row($H$7),column($H$7))&amp;"":""&amp;address(row($H$7),column($H$7)))"),"")</f>
        <v/>
      </c>
      <c r="X5" s="2" t="str">
        <f>IFERROR(__xludf.DUMMYFUNCTION("IMPORTRANGE($B$18,$B$19&amp;address(row($I$7),column($I$7))&amp;"":""&amp;address(row($I$7),column($I$7)))"),"")</f>
        <v/>
      </c>
      <c r="Y5" s="2" t="str">
        <f>IFERROR(__xludf.DUMMYFUNCTION("IMPORTRANGE($B$18,$B$19&amp;address(row($C$5),column($C$5))&amp;"":""&amp;address(row($C$5),column($C$5)))"),"League")</f>
        <v>League</v>
      </c>
      <c r="Z5" s="86">
        <f>IFERROR(__xludf.DUMMYFUNCTION("IMPORTRANGE($B$18,$B$19&amp;address(row($I$4),column($I$4))&amp;"":""&amp;address(row($I$4),column($I$4)))"),45395.0)</f>
        <v>45395</v>
      </c>
      <c r="AA5" s="2" t="b">
        <f t="shared" si="3"/>
        <v>1</v>
      </c>
    </row>
    <row r="6">
      <c r="A6" s="2" t="str">
        <f>IFERROR(__xludf.DUMMYFUNCTION("IMPORTRANGE($B$18,$B$19&amp;address(row(B16),column(B16))&amp;"":""&amp;address(row(B16),column(B16)))"),"Henry Pepperell")</f>
        <v>Henry Pepperell</v>
      </c>
      <c r="B6" s="2" t="str">
        <f>IFERROR(__xludf.DUMMYFUNCTION("IMPORTRANGE($B$18,$B$19&amp;address(row(E16),column(E16))&amp;"":""&amp;address(row(E16),column(E16)))"),"")</f>
        <v/>
      </c>
      <c r="C6" s="1">
        <f t="shared" si="1"/>
        <v>2</v>
      </c>
      <c r="D6" s="2" t="str">
        <f>IFERROR(__xludf.DUMMYFUNCTION("IMPORTRANGE($B$18,$B$19&amp;address(row($I$3),column($I$3))&amp;"":""&amp;address(row($I$3),column($I$3)))"),"Economicals 2s")</f>
        <v>Economicals 2s</v>
      </c>
      <c r="E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6" s="2" t="str">
        <f>IFERROR(__xludf.DUMMYFUNCTION("IMPORTRANGE($B$18,$B$19&amp;address(row(I16),column(I16))&amp;"":""&amp;address(row(I16),column(I16)))"),"")</f>
        <v/>
      </c>
      <c r="G6" s="2" t="str">
        <f>IFERROR(__xludf.DUMMYFUNCTION("IMPORTRANGE($B$18,$B$19&amp;address(row(J16),column(J16))&amp;"":""&amp;address(row(J16),column(J16)))"),"")</f>
        <v/>
      </c>
      <c r="H6" s="1" t="str">
        <f>IFERROR(__xludf.DUMMYFUNCTION("IMPORTRANGE($B$18,$B$19&amp;address(row($I$7),column($I$7))&amp;"":""&amp;address(row($I$7),column($I$7)))"),"")</f>
        <v/>
      </c>
      <c r="I6" s="2" t="str">
        <f>IFERROR(__xludf.DUMMYFUNCTION("IMPORTRANGE($B$18,$B$19&amp;address(row(N16),column(N16))&amp;"":""&amp;address(row(N16),column(N16)))"),"")</f>
        <v/>
      </c>
      <c r="J6" s="2" t="str">
        <f>IFERROR(__xludf.DUMMYFUNCTION("IMPORTRANGE($B$18,$B$19&amp;address(row(O16),column(O16))&amp;"":""&amp;address(row(O16),column(O16)))"),"")</f>
        <v/>
      </c>
      <c r="K6" s="2" t="str">
        <f>IFERROR(__xludf.DUMMYFUNCTION("IMPORTRANGE($B$18,$B$19&amp;address(row(P16),column(P16))&amp;"":""&amp;address(row(P16),column(P16)))"),"")</f>
        <v/>
      </c>
      <c r="L6" s="2" t="b">
        <f t="shared" si="2"/>
        <v>1</v>
      </c>
      <c r="M6" s="2" t="str">
        <f>IFERROR(__xludf.DUMMYFUNCTION("IMPORTRANGE($B$18,$B$19&amp;address(row(L16),column(L16))&amp;"":""&amp;address(row(L16),column(L16)))"),"")</f>
        <v/>
      </c>
      <c r="N6" s="2" t="str">
        <f>IFERROR(__xludf.DUMMYFUNCTION("IMPORTRANGE($B$18,$B$19&amp;address(row(K16),column(K16))&amp;"":""&amp;address(row(K16),column(K16)))"),"")</f>
        <v/>
      </c>
      <c r="O6" s="2" t="str">
        <f>IFERROR(__xludf.DUMMYFUNCTION("IMPORTRANGE($B$18,$B$19&amp;address(row(M16),column(M16))&amp;"":""&amp;address(row(M16),column(M16)))"),"")</f>
        <v/>
      </c>
      <c r="P6" s="2">
        <f>IFERROR(__xludf.DUMMYFUNCTION("IF(IMPORTRANGE($B$18,$B$19&amp;address(row($Q$7),column($Q$7))&amp;"":""&amp;address(row($Q$7),column($Q$7)))=A6,1,0)"),0.0)</f>
        <v>0</v>
      </c>
      <c r="Q6" s="2" t="str">
        <f>IFERROR(__xludf.DUMMYFUNCTION("IMPORTRANGE($B$18,$B$19&amp;address(row(G16),column(G16))&amp;"":""&amp;address(row(G16),column(G16)))"),"")</f>
        <v/>
      </c>
      <c r="R6" s="2" t="str">
        <f>IFERROR(__xludf.DUMMYFUNCTION("IMPORTRANGE($B$18,$B$19&amp;address(row(H16),column(H16))&amp;"":""&amp;address(row(H16),column(H16)))"),"")</f>
        <v/>
      </c>
      <c r="S6" s="2" t="str">
        <f>IFERROR(__xludf.DUMMYFUNCTION("IMPORTRANGE($B$18,$B$19&amp;address(row(S16),column(S16))&amp;"":""&amp;address(row(S16),column(S16)))"),"")</f>
        <v/>
      </c>
      <c r="T6" s="2" t="str">
        <f>IFERROR(__xludf.DUMMYFUNCTION("IMPORTRANGE($B$18,$B$19&amp;address(row(T16),column(T16))&amp;"":""&amp;address(row(T16),column(T16)))"),"")</f>
        <v/>
      </c>
      <c r="U6" s="2" t="str">
        <f>IFERROR(__xludf.DUMMYFUNCTION("IMPORTRANGE($B$18,$B$19&amp;address(row($T$4),column($T$4))&amp;"":""&amp;address(row($T$4),column($T$4)))"),"")</f>
        <v/>
      </c>
      <c r="V6" s="2" t="str">
        <f>IFERROR(__xludf.DUMMYFUNCTION("IMPORTRANGE($B$18,$B$19&amp;address(row($T$7),column($T$7))&amp;"":""&amp;address(row($T$7),column($T$7)))"),"")</f>
        <v/>
      </c>
      <c r="W6" s="2" t="str">
        <f>IFERROR(__xludf.DUMMYFUNCTION("IMPORTRANGE($B$18,$B$19&amp;address(row($H$7),column($H$7))&amp;"":""&amp;address(row($H$7),column($H$7)))"),"")</f>
        <v/>
      </c>
      <c r="X6" s="2" t="str">
        <f>IFERROR(__xludf.DUMMYFUNCTION("IMPORTRANGE($B$18,$B$19&amp;address(row($I$7),column($I$7))&amp;"":""&amp;address(row($I$7),column($I$7)))"),"")</f>
        <v/>
      </c>
      <c r="Y6" s="2" t="str">
        <f>IFERROR(__xludf.DUMMYFUNCTION("IMPORTRANGE($B$18,$B$19&amp;address(row($C$5),column($C$5))&amp;"":""&amp;address(row($C$5),column($C$5)))"),"League")</f>
        <v>League</v>
      </c>
      <c r="Z6" s="86">
        <f>IFERROR(__xludf.DUMMYFUNCTION("IMPORTRANGE($B$18,$B$19&amp;address(row($I$4),column($I$4))&amp;"":""&amp;address(row($I$4),column($I$4)))"),45395.0)</f>
        <v>45395</v>
      </c>
      <c r="AA6" s="2" t="b">
        <f t="shared" si="3"/>
        <v>1</v>
      </c>
    </row>
    <row r="7">
      <c r="A7" s="2" t="str">
        <f>IFERROR(__xludf.DUMMYFUNCTION("IMPORTRANGE($B$18,$B$19&amp;address(row(B17),column(B17))&amp;"":""&amp;address(row(B17),column(B17)))"),"Tam de Lacey")</f>
        <v>Tam de Lacey</v>
      </c>
      <c r="B7" s="2" t="str">
        <f>IFERROR(__xludf.DUMMYFUNCTION("IMPORTRANGE($B$18,$B$19&amp;address(row(E17),column(E17))&amp;"":""&amp;address(row(E17),column(E17)))"),"")</f>
        <v/>
      </c>
      <c r="C7" s="1">
        <f t="shared" si="1"/>
        <v>2</v>
      </c>
      <c r="D7" s="2" t="str">
        <f>IFERROR(__xludf.DUMMYFUNCTION("IMPORTRANGE($B$18,$B$19&amp;address(row($I$3),column($I$3))&amp;"":""&amp;address(row($I$3),column($I$3)))"),"Economicals 2s")</f>
        <v>Economicals 2s</v>
      </c>
      <c r="E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7" s="2" t="str">
        <f>IFERROR(__xludf.DUMMYFUNCTION("IMPORTRANGE($B$18,$B$19&amp;address(row(I17),column(I17))&amp;"":""&amp;address(row(I17),column(I17)))"),"")</f>
        <v/>
      </c>
      <c r="G7" s="2" t="str">
        <f>IFERROR(__xludf.DUMMYFUNCTION("IMPORTRANGE($B$18,$B$19&amp;address(row(J17),column(J17))&amp;"":""&amp;address(row(J17),column(J17)))"),"")</f>
        <v/>
      </c>
      <c r="H7" s="1" t="str">
        <f>IFERROR(__xludf.DUMMYFUNCTION("IMPORTRANGE($B$18,$B$19&amp;address(row($I$7),column($I$7))&amp;"":""&amp;address(row($I$7),column($I$7)))"),"")</f>
        <v/>
      </c>
      <c r="I7" s="2" t="str">
        <f>IFERROR(__xludf.DUMMYFUNCTION("IMPORTRANGE($B$18,$B$19&amp;address(row(N17),column(N17))&amp;"":""&amp;address(row(N17),column(N17)))"),"")</f>
        <v/>
      </c>
      <c r="J7" s="2" t="str">
        <f>IFERROR(__xludf.DUMMYFUNCTION("IMPORTRANGE($B$18,$B$19&amp;address(row(O17),column(O17))&amp;"":""&amp;address(row(O17),column(O17)))"),"")</f>
        <v/>
      </c>
      <c r="K7" s="2" t="str">
        <f>IFERROR(__xludf.DUMMYFUNCTION("IMPORTRANGE($B$18,$B$19&amp;address(row(P17),column(P17))&amp;"":""&amp;address(row(P17),column(P17)))"),"")</f>
        <v/>
      </c>
      <c r="L7" s="2" t="b">
        <f t="shared" si="2"/>
        <v>1</v>
      </c>
      <c r="M7" s="2" t="str">
        <f>IFERROR(__xludf.DUMMYFUNCTION("IMPORTRANGE($B$18,$B$19&amp;address(row(L17),column(L17))&amp;"":""&amp;address(row(L17),column(L17)))"),"")</f>
        <v/>
      </c>
      <c r="N7" s="2" t="str">
        <f>IFERROR(__xludf.DUMMYFUNCTION("IMPORTRANGE($B$18,$B$19&amp;address(row(K17),column(K17))&amp;"":""&amp;address(row(K17),column(K17)))"),"")</f>
        <v/>
      </c>
      <c r="O7" s="2" t="str">
        <f>IFERROR(__xludf.DUMMYFUNCTION("IMPORTRANGE($B$18,$B$19&amp;address(row(M17),column(M17))&amp;"":""&amp;address(row(M17),column(M17)))"),"")</f>
        <v/>
      </c>
      <c r="P7" s="2">
        <f>IFERROR(__xludf.DUMMYFUNCTION("IF(IMPORTRANGE($B$18,$B$19&amp;address(row($Q$7),column($Q$7))&amp;"":""&amp;address(row($Q$7),column($Q$7)))=A7,1,0)"),0.0)</f>
        <v>0</v>
      </c>
      <c r="Q7" s="2" t="str">
        <f>IFERROR(__xludf.DUMMYFUNCTION("IMPORTRANGE($B$18,$B$19&amp;address(row(G17),column(G17))&amp;"":""&amp;address(row(G17),column(G17)))"),"")</f>
        <v/>
      </c>
      <c r="R7" s="2" t="str">
        <f>IFERROR(__xludf.DUMMYFUNCTION("IMPORTRANGE($B$18,$B$19&amp;address(row(H17),column(H17))&amp;"":""&amp;address(row(H17),column(H17)))"),"")</f>
        <v/>
      </c>
      <c r="S7" s="2" t="str">
        <f>IFERROR(__xludf.DUMMYFUNCTION("IMPORTRANGE($B$18,$B$19&amp;address(row(S17),column(S17))&amp;"":""&amp;address(row(S17),column(S17)))"),"")</f>
        <v/>
      </c>
      <c r="T7" s="2" t="str">
        <f>IFERROR(__xludf.DUMMYFUNCTION("IMPORTRANGE($B$18,$B$19&amp;address(row(T17),column(T17))&amp;"":""&amp;address(row(T17),column(T17)))"),"")</f>
        <v/>
      </c>
      <c r="U7" s="2" t="str">
        <f>IFERROR(__xludf.DUMMYFUNCTION("IMPORTRANGE($B$18,$B$19&amp;address(row($T$4),column($T$4))&amp;"":""&amp;address(row($T$4),column($T$4)))"),"")</f>
        <v/>
      </c>
      <c r="V7" s="2" t="str">
        <f>IFERROR(__xludf.DUMMYFUNCTION("IMPORTRANGE($B$18,$B$19&amp;address(row($T$7),column($T$7))&amp;"":""&amp;address(row($T$7),column($T$7)))"),"")</f>
        <v/>
      </c>
      <c r="W7" s="2" t="str">
        <f>IFERROR(__xludf.DUMMYFUNCTION("IMPORTRANGE($B$18,$B$19&amp;address(row($H$7),column($H$7))&amp;"":""&amp;address(row($H$7),column($H$7)))"),"")</f>
        <v/>
      </c>
      <c r="X7" s="2" t="str">
        <f>IFERROR(__xludf.DUMMYFUNCTION("IMPORTRANGE($B$18,$B$19&amp;address(row($I$7),column($I$7))&amp;"":""&amp;address(row($I$7),column($I$7)))"),"")</f>
        <v/>
      </c>
      <c r="Y7" s="2" t="str">
        <f>IFERROR(__xludf.DUMMYFUNCTION("IMPORTRANGE($B$18,$B$19&amp;address(row($C$5),column($C$5))&amp;"":""&amp;address(row($C$5),column($C$5)))"),"League")</f>
        <v>League</v>
      </c>
      <c r="Z7" s="86">
        <f>IFERROR(__xludf.DUMMYFUNCTION("IMPORTRANGE($B$18,$B$19&amp;address(row($I$4),column($I$4))&amp;"":""&amp;address(row($I$4),column($I$4)))"),45395.0)</f>
        <v>45395</v>
      </c>
      <c r="AA7" s="2" t="b">
        <f t="shared" si="3"/>
        <v>1</v>
      </c>
    </row>
    <row r="8">
      <c r="A8" s="2" t="str">
        <f>IFERROR(__xludf.DUMMYFUNCTION("IMPORTRANGE($B$18,$B$19&amp;address(row(B18),column(B18))&amp;"":""&amp;address(row(B18),column(B18)))"),"Billy Mclean")</f>
        <v>Billy Mclean</v>
      </c>
      <c r="B8" s="2" t="str">
        <f>IFERROR(__xludf.DUMMYFUNCTION("IMPORTRANGE($B$18,$B$19&amp;address(row(E18),column(E18))&amp;"":""&amp;address(row(E18),column(E18)))"),"")</f>
        <v/>
      </c>
      <c r="C8" s="1">
        <f t="shared" si="1"/>
        <v>2</v>
      </c>
      <c r="D8" s="2" t="str">
        <f>IFERROR(__xludf.DUMMYFUNCTION("IMPORTRANGE($B$18,$B$19&amp;address(row($I$3),column($I$3))&amp;"":""&amp;address(row($I$3),column($I$3)))"),"Economicals 2s")</f>
        <v>Economicals 2s</v>
      </c>
      <c r="E8"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8" s="2" t="str">
        <f>IFERROR(__xludf.DUMMYFUNCTION("IMPORTRANGE($B$18,$B$19&amp;address(row(I18),column(I18))&amp;"":""&amp;address(row(I18),column(I18)))"),"")</f>
        <v/>
      </c>
      <c r="G8" s="2" t="str">
        <f>IFERROR(__xludf.DUMMYFUNCTION("IMPORTRANGE($B$18,$B$19&amp;address(row(J18),column(J18))&amp;"":""&amp;address(row(J18),column(J18)))"),"")</f>
        <v/>
      </c>
      <c r="H8" s="1" t="str">
        <f>IFERROR(__xludf.DUMMYFUNCTION("IMPORTRANGE($B$18,$B$19&amp;address(row($I$7),column($I$7))&amp;"":""&amp;address(row($I$7),column($I$7)))"),"")</f>
        <v/>
      </c>
      <c r="I8" s="2" t="str">
        <f>IFERROR(__xludf.DUMMYFUNCTION("IMPORTRANGE($B$18,$B$19&amp;address(row(N18),column(N18))&amp;"":""&amp;address(row(N18),column(N18)))"),"")</f>
        <v/>
      </c>
      <c r="J8" s="2" t="str">
        <f>IFERROR(__xludf.DUMMYFUNCTION("IMPORTRANGE($B$18,$B$19&amp;address(row(O18),column(O18))&amp;"":""&amp;address(row(O18),column(O18)))"),"")</f>
        <v/>
      </c>
      <c r="K8" s="2" t="str">
        <f>IFERROR(__xludf.DUMMYFUNCTION("IMPORTRANGE($B$18,$B$19&amp;address(row(P18),column(P18))&amp;"":""&amp;address(row(P18),column(P18)))"),"")</f>
        <v/>
      </c>
      <c r="L8" s="2" t="b">
        <f t="shared" si="2"/>
        <v>1</v>
      </c>
      <c r="M8" s="2" t="str">
        <f>IFERROR(__xludf.DUMMYFUNCTION("IMPORTRANGE($B$18,$B$19&amp;address(row(L18),column(L18))&amp;"":""&amp;address(row(L18),column(L18)))"),"")</f>
        <v/>
      </c>
      <c r="N8" s="2" t="str">
        <f>IFERROR(__xludf.DUMMYFUNCTION("IMPORTRANGE($B$18,$B$19&amp;address(row(K18),column(K18))&amp;"":""&amp;address(row(K18),column(K18)))"),"")</f>
        <v/>
      </c>
      <c r="O8" s="2" t="str">
        <f>IFERROR(__xludf.DUMMYFUNCTION("IMPORTRANGE($B$18,$B$19&amp;address(row(M18),column(M18))&amp;"":""&amp;address(row(M18),column(M18)))"),"")</f>
        <v/>
      </c>
      <c r="P8" s="2">
        <f>IFERROR(__xludf.DUMMYFUNCTION("IF(IMPORTRANGE($B$18,$B$19&amp;address(row($Q$7),column($Q$7))&amp;"":""&amp;address(row($Q$7),column($Q$7)))=A8,1,0)"),0.0)</f>
        <v>0</v>
      </c>
      <c r="Q8" s="2" t="str">
        <f>IFERROR(__xludf.DUMMYFUNCTION("IMPORTRANGE($B$18,$B$19&amp;address(row(G18),column(G18))&amp;"":""&amp;address(row(G18),column(G18)))"),"")</f>
        <v/>
      </c>
      <c r="R8" s="2" t="str">
        <f>IFERROR(__xludf.DUMMYFUNCTION("IMPORTRANGE($B$18,$B$19&amp;address(row(H18),column(H18))&amp;"":""&amp;address(row(H18),column(H18)))"),"")</f>
        <v/>
      </c>
      <c r="S8" s="2" t="str">
        <f>IFERROR(__xludf.DUMMYFUNCTION("IMPORTRANGE($B$18,$B$19&amp;address(row(S18),column(S18))&amp;"":""&amp;address(row(S18),column(S18)))"),"")</f>
        <v/>
      </c>
      <c r="T8" s="2" t="str">
        <f>IFERROR(__xludf.DUMMYFUNCTION("IMPORTRANGE($B$18,$B$19&amp;address(row(T18),column(T18))&amp;"":""&amp;address(row(T18),column(T18)))"),"")</f>
        <v/>
      </c>
      <c r="U8" s="2" t="str">
        <f>IFERROR(__xludf.DUMMYFUNCTION("IMPORTRANGE($B$18,$B$19&amp;address(row($T$4),column($T$4))&amp;"":""&amp;address(row($T$4),column($T$4)))"),"")</f>
        <v/>
      </c>
      <c r="V8" s="2" t="str">
        <f>IFERROR(__xludf.DUMMYFUNCTION("IMPORTRANGE($B$18,$B$19&amp;address(row($T$7),column($T$7))&amp;"":""&amp;address(row($T$7),column($T$7)))"),"")</f>
        <v/>
      </c>
      <c r="W8" s="2" t="str">
        <f>IFERROR(__xludf.DUMMYFUNCTION("IMPORTRANGE($B$18,$B$19&amp;address(row($H$7),column($H$7))&amp;"":""&amp;address(row($H$7),column($H$7)))"),"")</f>
        <v/>
      </c>
      <c r="X8" s="2" t="str">
        <f>IFERROR(__xludf.DUMMYFUNCTION("IMPORTRANGE($B$18,$B$19&amp;address(row($I$7),column($I$7))&amp;"":""&amp;address(row($I$7),column($I$7)))"),"")</f>
        <v/>
      </c>
      <c r="Y8" s="2" t="str">
        <f>IFERROR(__xludf.DUMMYFUNCTION("IMPORTRANGE($B$18,$B$19&amp;address(row($C$5),column($C$5))&amp;"":""&amp;address(row($C$5),column($C$5)))"),"League")</f>
        <v>League</v>
      </c>
      <c r="Z8" s="86">
        <f>IFERROR(__xludf.DUMMYFUNCTION("IMPORTRANGE($B$18,$B$19&amp;address(row($I$4),column($I$4))&amp;"":""&amp;address(row($I$4),column($I$4)))"),45395.0)</f>
        <v>45395</v>
      </c>
      <c r="AA8" s="2" t="b">
        <f t="shared" si="3"/>
        <v>1</v>
      </c>
    </row>
    <row r="9">
      <c r="A9" s="2" t="str">
        <f>IFERROR(__xludf.DUMMYFUNCTION("IMPORTRANGE($B$18,$B$19&amp;address(row(B19),column(B19))&amp;"":""&amp;address(row(B19),column(B19)))"),"Ewan Harris")</f>
        <v>Ewan Harris</v>
      </c>
      <c r="B9" s="2" t="str">
        <f>IFERROR(__xludf.DUMMYFUNCTION("IMPORTRANGE($B$18,$B$19&amp;address(row(E19),column(E19))&amp;"":""&amp;address(row(E19),column(E19)))"),"")</f>
        <v/>
      </c>
      <c r="C9" s="1">
        <f t="shared" si="1"/>
        <v>2</v>
      </c>
      <c r="D9" s="2" t="str">
        <f>IFERROR(__xludf.DUMMYFUNCTION("IMPORTRANGE($B$18,$B$19&amp;address(row($I$3),column($I$3))&amp;"":""&amp;address(row($I$3),column($I$3)))"),"Economicals 2s")</f>
        <v>Economicals 2s</v>
      </c>
      <c r="E9"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9" s="2" t="str">
        <f>IFERROR(__xludf.DUMMYFUNCTION("IMPORTRANGE($B$18,$B$19&amp;address(row(I19),column(I19))&amp;"":""&amp;address(row(I19),column(I19)))"),"")</f>
        <v/>
      </c>
      <c r="G9" s="2" t="str">
        <f>IFERROR(__xludf.DUMMYFUNCTION("IMPORTRANGE($B$18,$B$19&amp;address(row(J19),column(J19))&amp;"":""&amp;address(row(J19),column(J19)))"),"")</f>
        <v/>
      </c>
      <c r="H9" s="1" t="str">
        <f>IFERROR(__xludf.DUMMYFUNCTION("IMPORTRANGE($B$18,$B$19&amp;address(row($I$7),column($I$7))&amp;"":""&amp;address(row($I$7),column($I$7)))"),"")</f>
        <v/>
      </c>
      <c r="I9" s="2" t="str">
        <f>IFERROR(__xludf.DUMMYFUNCTION("IMPORTRANGE($B$18,$B$19&amp;address(row(N19),column(N19))&amp;"":""&amp;address(row(N19),column(N19)))"),"")</f>
        <v/>
      </c>
      <c r="J9" s="2" t="str">
        <f>IFERROR(__xludf.DUMMYFUNCTION("IMPORTRANGE($B$18,$B$19&amp;address(row(O19),column(O19))&amp;"":""&amp;address(row(O19),column(O19)))"),"")</f>
        <v/>
      </c>
      <c r="K9" s="2" t="str">
        <f>IFERROR(__xludf.DUMMYFUNCTION("IMPORTRANGE($B$18,$B$19&amp;address(row(P19),column(P19))&amp;"":""&amp;address(row(P19),column(P19)))"),"")</f>
        <v/>
      </c>
      <c r="L9" s="2" t="b">
        <f t="shared" si="2"/>
        <v>1</v>
      </c>
      <c r="M9" s="2" t="str">
        <f>IFERROR(__xludf.DUMMYFUNCTION("IMPORTRANGE($B$18,$B$19&amp;address(row(L19),column(L19))&amp;"":""&amp;address(row(L19),column(L19)))"),"")</f>
        <v/>
      </c>
      <c r="N9" s="2" t="str">
        <f>IFERROR(__xludf.DUMMYFUNCTION("IMPORTRANGE($B$18,$B$19&amp;address(row(K19),column(K19))&amp;"":""&amp;address(row(K19),column(K19)))"),"")</f>
        <v/>
      </c>
      <c r="O9" s="2" t="str">
        <f>IFERROR(__xludf.DUMMYFUNCTION("IMPORTRANGE($B$18,$B$19&amp;address(row(M19),column(M19))&amp;"":""&amp;address(row(M19),column(M19)))"),"")</f>
        <v/>
      </c>
      <c r="P9" s="2">
        <f>IFERROR(__xludf.DUMMYFUNCTION("IF(IMPORTRANGE($B$18,$B$19&amp;address(row($Q$7),column($Q$7))&amp;"":""&amp;address(row($Q$7),column($Q$7)))=A9,1,0)"),0.0)</f>
        <v>0</v>
      </c>
      <c r="Q9" s="2" t="str">
        <f>IFERROR(__xludf.DUMMYFUNCTION("IMPORTRANGE($B$18,$B$19&amp;address(row(G19),column(G19))&amp;"":""&amp;address(row(G19),column(G19)))"),"")</f>
        <v/>
      </c>
      <c r="R9" s="2" t="str">
        <f>IFERROR(__xludf.DUMMYFUNCTION("IMPORTRANGE($B$18,$B$19&amp;address(row(H19),column(H19))&amp;"":""&amp;address(row(H19),column(H19)))"),"")</f>
        <v/>
      </c>
      <c r="S9" s="2" t="str">
        <f>IFERROR(__xludf.DUMMYFUNCTION("IMPORTRANGE($B$18,$B$19&amp;address(row(S19),column(S19))&amp;"":""&amp;address(row(S19),column(S19)))"),"")</f>
        <v/>
      </c>
      <c r="T9" s="2" t="str">
        <f>IFERROR(__xludf.DUMMYFUNCTION("IMPORTRANGE($B$18,$B$19&amp;address(row(T19),column(T19))&amp;"":""&amp;address(row(T19),column(T19)))"),"")</f>
        <v/>
      </c>
      <c r="U9" s="2" t="str">
        <f>IFERROR(__xludf.DUMMYFUNCTION("IMPORTRANGE($B$18,$B$19&amp;address(row($T$4),column($T$4))&amp;"":""&amp;address(row($T$4),column($T$4)))"),"")</f>
        <v/>
      </c>
      <c r="V9" s="2" t="str">
        <f>IFERROR(__xludf.DUMMYFUNCTION("IMPORTRANGE($B$18,$B$19&amp;address(row($T$7),column($T$7))&amp;"":""&amp;address(row($T$7),column($T$7)))"),"")</f>
        <v/>
      </c>
      <c r="W9" s="2" t="str">
        <f>IFERROR(__xludf.DUMMYFUNCTION("IMPORTRANGE($B$18,$B$19&amp;address(row($H$7),column($H$7))&amp;"":""&amp;address(row($H$7),column($H$7)))"),"")</f>
        <v/>
      </c>
      <c r="X9" s="2" t="str">
        <f>IFERROR(__xludf.DUMMYFUNCTION("IMPORTRANGE($B$18,$B$19&amp;address(row($I$7),column($I$7))&amp;"":""&amp;address(row($I$7),column($I$7)))"),"")</f>
        <v/>
      </c>
      <c r="Y9" s="2" t="str">
        <f>IFERROR(__xludf.DUMMYFUNCTION("IMPORTRANGE($B$18,$B$19&amp;address(row($C$5),column($C$5))&amp;"":""&amp;address(row($C$5),column($C$5)))"),"League")</f>
        <v>League</v>
      </c>
      <c r="Z9" s="86">
        <f>IFERROR(__xludf.DUMMYFUNCTION("IMPORTRANGE($B$18,$B$19&amp;address(row($I$4),column($I$4))&amp;"":""&amp;address(row($I$4),column($I$4)))"),45395.0)</f>
        <v>45395</v>
      </c>
      <c r="AA9" s="2" t="b">
        <f t="shared" si="3"/>
        <v>1</v>
      </c>
    </row>
    <row r="10">
      <c r="A10" s="2" t="str">
        <f>IFERROR(__xludf.DUMMYFUNCTION("IMPORTRANGE($B$18,$B$19&amp;address(row(B20),column(B20))&amp;"":""&amp;address(row(B20),column(B20)))"),"Paul Ball")</f>
        <v>Paul Ball</v>
      </c>
      <c r="B10" s="2" t="str">
        <f>IFERROR(__xludf.DUMMYFUNCTION("IMPORTRANGE($B$18,$B$19&amp;address(row(E20),column(E20))&amp;"":""&amp;address(row(E20),column(E20)))"),"")</f>
        <v/>
      </c>
      <c r="C10" s="1">
        <f t="shared" si="1"/>
        <v>2</v>
      </c>
      <c r="D10" s="2" t="str">
        <f>IFERROR(__xludf.DUMMYFUNCTION("IMPORTRANGE($B$18,$B$19&amp;address(row($I$3),column($I$3))&amp;"":""&amp;address(row($I$3),column($I$3)))"),"Economicals 2s")</f>
        <v>Economicals 2s</v>
      </c>
      <c r="E10"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0" s="2" t="str">
        <f>IFERROR(__xludf.DUMMYFUNCTION("IMPORTRANGE($B$18,$B$19&amp;address(row(I20),column(I20))&amp;"":""&amp;address(row(I20),column(I20)))"),"")</f>
        <v/>
      </c>
      <c r="G10" s="2" t="str">
        <f>IFERROR(__xludf.DUMMYFUNCTION("IMPORTRANGE($B$18,$B$19&amp;address(row(J20),column(J20))&amp;"":""&amp;address(row(J20),column(J20)))"),"")</f>
        <v/>
      </c>
      <c r="H10" s="1" t="str">
        <f>IFERROR(__xludf.DUMMYFUNCTION("IMPORTRANGE($B$18,$B$19&amp;address(row($I$7),column($I$7))&amp;"":""&amp;address(row($I$7),column($I$7)))"),"")</f>
        <v/>
      </c>
      <c r="I10" s="2" t="str">
        <f>IFERROR(__xludf.DUMMYFUNCTION("IMPORTRANGE($B$18,$B$19&amp;address(row(N20),column(N20))&amp;"":""&amp;address(row(N20),column(N20)))"),"")</f>
        <v/>
      </c>
      <c r="J10" s="2" t="str">
        <f>IFERROR(__xludf.DUMMYFUNCTION("IMPORTRANGE($B$18,$B$19&amp;address(row(O20),column(O20))&amp;"":""&amp;address(row(O20),column(O20)))"),"")</f>
        <v/>
      </c>
      <c r="K10" s="2" t="str">
        <f>IFERROR(__xludf.DUMMYFUNCTION("IMPORTRANGE($B$18,$B$19&amp;address(row(P20),column(P20))&amp;"":""&amp;address(row(P20),column(P20)))"),"")</f>
        <v/>
      </c>
      <c r="L10" s="2" t="b">
        <f t="shared" si="2"/>
        <v>1</v>
      </c>
      <c r="M10" s="2" t="str">
        <f>IFERROR(__xludf.DUMMYFUNCTION("IMPORTRANGE($B$18,$B$19&amp;address(row(L20),column(L20))&amp;"":""&amp;address(row(L20),column(L20)))"),"")</f>
        <v/>
      </c>
      <c r="N10" s="2" t="str">
        <f>IFERROR(__xludf.DUMMYFUNCTION("IMPORTRANGE($B$18,$B$19&amp;address(row(K20),column(K20))&amp;"":""&amp;address(row(K20),column(K20)))"),"")</f>
        <v/>
      </c>
      <c r="O10" s="2" t="str">
        <f>IFERROR(__xludf.DUMMYFUNCTION("IMPORTRANGE($B$18,$B$19&amp;address(row(M20),column(M20))&amp;"":""&amp;address(row(M20),column(M20)))"),"")</f>
        <v/>
      </c>
      <c r="P10" s="2">
        <f>IFERROR(__xludf.DUMMYFUNCTION("IF(IMPORTRANGE($B$18,$B$19&amp;address(row($Q$7),column($Q$7))&amp;"":""&amp;address(row($Q$7),column($Q$7)))=A10,1,0)"),0.0)</f>
        <v>0</v>
      </c>
      <c r="Q10" s="2" t="str">
        <f>IFERROR(__xludf.DUMMYFUNCTION("IMPORTRANGE($B$18,$B$19&amp;address(row(G20),column(G20))&amp;"":""&amp;address(row(G20),column(G20)))"),"")</f>
        <v/>
      </c>
      <c r="R10" s="2" t="str">
        <f>IFERROR(__xludf.DUMMYFUNCTION("IMPORTRANGE($B$18,$B$19&amp;address(row(H20),column(H20))&amp;"":""&amp;address(row(H20),column(H20)))"),"")</f>
        <v/>
      </c>
      <c r="S10" s="2" t="str">
        <f>IFERROR(__xludf.DUMMYFUNCTION("IMPORTRANGE($B$18,$B$19&amp;address(row(S20),column(S20))&amp;"":""&amp;address(row(S20),column(S20)))"),"")</f>
        <v/>
      </c>
      <c r="T10" s="2" t="str">
        <f>IFERROR(__xludf.DUMMYFUNCTION("IMPORTRANGE($B$18,$B$19&amp;address(row(T20),column(T20))&amp;"":""&amp;address(row(T20),column(T20)))"),"")</f>
        <v/>
      </c>
      <c r="U10" s="2" t="str">
        <f>IFERROR(__xludf.DUMMYFUNCTION("IMPORTRANGE($B$18,$B$19&amp;address(row($T$4),column($T$4))&amp;"":""&amp;address(row($T$4),column($T$4)))"),"")</f>
        <v/>
      </c>
      <c r="V10" s="2" t="str">
        <f>IFERROR(__xludf.DUMMYFUNCTION("IMPORTRANGE($B$18,$B$19&amp;address(row($T$7),column($T$7))&amp;"":""&amp;address(row($T$7),column($T$7)))"),"")</f>
        <v/>
      </c>
      <c r="W10" s="2" t="str">
        <f>IFERROR(__xludf.DUMMYFUNCTION("IMPORTRANGE($B$18,$B$19&amp;address(row($H$7),column($H$7))&amp;"":""&amp;address(row($H$7),column($H$7)))"),"")</f>
        <v/>
      </c>
      <c r="X10" s="2" t="str">
        <f>IFERROR(__xludf.DUMMYFUNCTION("IMPORTRANGE($B$18,$B$19&amp;address(row($I$7),column($I$7))&amp;"":""&amp;address(row($I$7),column($I$7)))"),"")</f>
        <v/>
      </c>
      <c r="Y10" s="2" t="str">
        <f>IFERROR(__xludf.DUMMYFUNCTION("IMPORTRANGE($B$18,$B$19&amp;address(row($C$5),column($C$5))&amp;"":""&amp;address(row($C$5),column($C$5)))"),"League")</f>
        <v>League</v>
      </c>
      <c r="Z10" s="86">
        <f>IFERROR(__xludf.DUMMYFUNCTION("IMPORTRANGE($B$18,$B$19&amp;address(row($I$4),column($I$4))&amp;"":""&amp;address(row($I$4),column($I$4)))"),45395.0)</f>
        <v>45395</v>
      </c>
      <c r="AA10" s="2" t="b">
        <f t="shared" si="3"/>
        <v>1</v>
      </c>
    </row>
    <row r="11">
      <c r="A11" s="2" t="str">
        <f>IFERROR(__xludf.DUMMYFUNCTION("IMPORTRANGE($B$18,$B$19&amp;address(row(B21),column(B21))&amp;"":""&amp;address(row(B21),column(B21)))"),"Corey Cleave")</f>
        <v>Corey Cleave</v>
      </c>
      <c r="B11" s="2" t="str">
        <f>IFERROR(__xludf.DUMMYFUNCTION("IMPORTRANGE($B$18,$B$19&amp;address(row(E21),column(E21))&amp;"":""&amp;address(row(E21),column(E21)))"),"")</f>
        <v/>
      </c>
      <c r="C11" s="1">
        <f t="shared" si="1"/>
        <v>2</v>
      </c>
      <c r="D11" s="2" t="str">
        <f>IFERROR(__xludf.DUMMYFUNCTION("IMPORTRANGE($B$18,$B$19&amp;address(row($I$3),column($I$3))&amp;"":""&amp;address(row($I$3),column($I$3)))"),"Economicals 2s")</f>
        <v>Economicals 2s</v>
      </c>
      <c r="E11"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1" s="2" t="str">
        <f>IFERROR(__xludf.DUMMYFUNCTION("IMPORTRANGE($B$18,$B$19&amp;address(row(I21),column(I21))&amp;"":""&amp;address(row(I21),column(I21)))"),"")</f>
        <v/>
      </c>
      <c r="G11" s="2" t="str">
        <f>IFERROR(__xludf.DUMMYFUNCTION("IMPORTRANGE($B$18,$B$19&amp;address(row(J21),column(J21))&amp;"":""&amp;address(row(J21),column(J21)))"),"")</f>
        <v/>
      </c>
      <c r="H11" s="1" t="str">
        <f>IFERROR(__xludf.DUMMYFUNCTION("IMPORTRANGE($B$18,$B$19&amp;address(row($I$7),column($I$7))&amp;"":""&amp;address(row($I$7),column($I$7)))"),"")</f>
        <v/>
      </c>
      <c r="I11" s="2" t="str">
        <f>IFERROR(__xludf.DUMMYFUNCTION("IMPORTRANGE($B$18,$B$19&amp;address(row(N21),column(N21))&amp;"":""&amp;address(row(N21),column(N21)))"),"")</f>
        <v/>
      </c>
      <c r="J11" s="2" t="str">
        <f>IFERROR(__xludf.DUMMYFUNCTION("IMPORTRANGE($B$18,$B$19&amp;address(row(O21),column(O21))&amp;"":""&amp;address(row(O21),column(O21)))"),"")</f>
        <v/>
      </c>
      <c r="K11" s="2" t="str">
        <f>IFERROR(__xludf.DUMMYFUNCTION("IMPORTRANGE($B$18,$B$19&amp;address(row(P21),column(P21))&amp;"":""&amp;address(row(P21),column(P21)))"),"")</f>
        <v/>
      </c>
      <c r="L11" s="2" t="b">
        <f t="shared" si="2"/>
        <v>1</v>
      </c>
      <c r="M11" s="2" t="str">
        <f>IFERROR(__xludf.DUMMYFUNCTION("IMPORTRANGE($B$18,$B$19&amp;address(row(L21),column(L21))&amp;"":""&amp;address(row(L21),column(L21)))"),"")</f>
        <v/>
      </c>
      <c r="N11" s="2" t="str">
        <f>IFERROR(__xludf.DUMMYFUNCTION("IMPORTRANGE($B$18,$B$19&amp;address(row(K21),column(K21))&amp;"":""&amp;address(row(K21),column(K21)))"),"")</f>
        <v/>
      </c>
      <c r="O11" s="2" t="str">
        <f>IFERROR(__xludf.DUMMYFUNCTION("IMPORTRANGE($B$18,$B$19&amp;address(row(M21),column(M21))&amp;"":""&amp;address(row(M21),column(M21)))"),"")</f>
        <v/>
      </c>
      <c r="P11" s="2">
        <f>IFERROR(__xludf.DUMMYFUNCTION("IF(IMPORTRANGE($B$18,$B$19&amp;address(row($Q$7),column($Q$7))&amp;"":""&amp;address(row($Q$7),column($Q$7)))=A11,1,0)"),0.0)</f>
        <v>0</v>
      </c>
      <c r="Q11" s="2" t="str">
        <f>IFERROR(__xludf.DUMMYFUNCTION("IMPORTRANGE($B$18,$B$19&amp;address(row(G21),column(G21))&amp;"":""&amp;address(row(G21),column(G21)))"),"")</f>
        <v/>
      </c>
      <c r="R11" s="2" t="str">
        <f>IFERROR(__xludf.DUMMYFUNCTION("IMPORTRANGE($B$18,$B$19&amp;address(row(H21),column(H21))&amp;"":""&amp;address(row(H21),column(H21)))"),"")</f>
        <v/>
      </c>
      <c r="S11" s="2" t="str">
        <f>IFERROR(__xludf.DUMMYFUNCTION("IMPORTRANGE($B$18,$B$19&amp;address(row(S21),column(S21))&amp;"":""&amp;address(row(S21),column(S21)))"),"")</f>
        <v/>
      </c>
      <c r="T11" s="2" t="str">
        <f>IFERROR(__xludf.DUMMYFUNCTION("IMPORTRANGE($B$18,$B$19&amp;address(row(T21),column(T21))&amp;"":""&amp;address(row(T21),column(T21)))"),"")</f>
        <v/>
      </c>
      <c r="U11" s="2" t="str">
        <f>IFERROR(__xludf.DUMMYFUNCTION("IMPORTRANGE($B$18,$B$19&amp;address(row($T$4),column($T$4))&amp;"":""&amp;address(row($T$4),column($T$4)))"),"")</f>
        <v/>
      </c>
      <c r="V11" s="2" t="str">
        <f>IFERROR(__xludf.DUMMYFUNCTION("IMPORTRANGE($B$18,$B$19&amp;address(row($T$7),column($T$7))&amp;"":""&amp;address(row($T$7),column($T$7)))"),"")</f>
        <v/>
      </c>
      <c r="W11" s="2" t="str">
        <f>IFERROR(__xludf.DUMMYFUNCTION("IMPORTRANGE($B$18,$B$19&amp;address(row($H$7),column($H$7))&amp;"":""&amp;address(row($H$7),column($H$7)))"),"")</f>
        <v/>
      </c>
      <c r="X11" s="2" t="str">
        <f>IFERROR(__xludf.DUMMYFUNCTION("IMPORTRANGE($B$18,$B$19&amp;address(row($I$7),column($I$7))&amp;"":""&amp;address(row($I$7),column($I$7)))"),"")</f>
        <v/>
      </c>
      <c r="Y11" s="2" t="str">
        <f>IFERROR(__xludf.DUMMYFUNCTION("IMPORTRANGE($B$18,$B$19&amp;address(row($C$5),column($C$5))&amp;"":""&amp;address(row($C$5),column($C$5)))"),"League")</f>
        <v>League</v>
      </c>
      <c r="Z11" s="86">
        <f>IFERROR(__xludf.DUMMYFUNCTION("IMPORTRANGE($B$18,$B$19&amp;address(row($I$4),column($I$4))&amp;"":""&amp;address(row($I$4),column($I$4)))"),45395.0)</f>
        <v>45395</v>
      </c>
      <c r="AA11" s="2" t="b">
        <f t="shared" si="3"/>
        <v>1</v>
      </c>
    </row>
    <row r="12">
      <c r="A12" s="2" t="str">
        <f>IFERROR(__xludf.DUMMYFUNCTION("IMPORTRANGE($B$18,$B$19&amp;address(row(B22),column(B22))&amp;"":""&amp;address(row(B22),column(B22)))"),"Alex Dockerill")</f>
        <v>Alex Dockerill</v>
      </c>
      <c r="B12" s="2" t="str">
        <f>IFERROR(__xludf.DUMMYFUNCTION("IMPORTRANGE($B$18,$B$19&amp;address(row(E22),column(E22))&amp;"":""&amp;address(row(E22),column(E22)))"),"")</f>
        <v/>
      </c>
      <c r="C12" s="1">
        <f t="shared" si="1"/>
        <v>2</v>
      </c>
      <c r="D12" s="2" t="str">
        <f>IFERROR(__xludf.DUMMYFUNCTION("IMPORTRANGE($B$18,$B$19&amp;address(row($I$3),column($I$3))&amp;"":""&amp;address(row($I$3),column($I$3)))"),"Economicals 2s")</f>
        <v>Economicals 2s</v>
      </c>
      <c r="E1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2" s="2" t="str">
        <f>IFERROR(__xludf.DUMMYFUNCTION("IMPORTRANGE($B$18,$B$19&amp;address(row(I22),column(I22))&amp;"":""&amp;address(row(I22),column(I22)))"),"")</f>
        <v/>
      </c>
      <c r="G12" s="2" t="str">
        <f>IFERROR(__xludf.DUMMYFUNCTION("IMPORTRANGE($B$18,$B$19&amp;address(row(J22),column(J22))&amp;"":""&amp;address(row(J22),column(J22)))"),"")</f>
        <v/>
      </c>
      <c r="H12" s="1" t="str">
        <f>IFERROR(__xludf.DUMMYFUNCTION("IMPORTRANGE($B$18,$B$19&amp;address(row($I$7),column($I$7))&amp;"":""&amp;address(row($I$7),column($I$7)))"),"")</f>
        <v/>
      </c>
      <c r="I12" s="2" t="str">
        <f>IFERROR(__xludf.DUMMYFUNCTION("IMPORTRANGE($B$18,$B$19&amp;address(row(N22),column(N22))&amp;"":""&amp;address(row(N22),column(N22)))"),"")</f>
        <v/>
      </c>
      <c r="J12" s="2" t="str">
        <f>IFERROR(__xludf.DUMMYFUNCTION("IMPORTRANGE($B$18,$B$19&amp;address(row(O22),column(O22))&amp;"":""&amp;address(row(O22),column(O22)))"),"")</f>
        <v/>
      </c>
      <c r="K12" s="2" t="str">
        <f>IFERROR(__xludf.DUMMYFUNCTION("IMPORTRANGE($B$18,$B$19&amp;address(row(P22),column(P22))&amp;"":""&amp;address(row(P22),column(P22)))"),"")</f>
        <v/>
      </c>
      <c r="L12" s="2" t="b">
        <f t="shared" si="2"/>
        <v>1</v>
      </c>
      <c r="M12" s="2" t="str">
        <f>IFERROR(__xludf.DUMMYFUNCTION("IMPORTRANGE($B$18,$B$19&amp;address(row(L22),column(L22))&amp;"":""&amp;address(row(L22),column(L22)))"),"")</f>
        <v/>
      </c>
      <c r="N12" s="2" t="str">
        <f>IFERROR(__xludf.DUMMYFUNCTION("IMPORTRANGE($B$18,$B$19&amp;address(row(K22),column(K22))&amp;"":""&amp;address(row(K22),column(K22)))"),"")</f>
        <v/>
      </c>
      <c r="O12" s="2" t="str">
        <f>IFERROR(__xludf.DUMMYFUNCTION("IMPORTRANGE($B$18,$B$19&amp;address(row(M22),column(M22))&amp;"":""&amp;address(row(M22),column(M22)))"),"")</f>
        <v/>
      </c>
      <c r="P12" s="2">
        <f>IFERROR(__xludf.DUMMYFUNCTION("IF(IMPORTRANGE($B$18,$B$19&amp;address(row($Q$7),column($Q$7))&amp;"":""&amp;address(row($Q$7),column($Q$7)))=A12,1,0)"),0.0)</f>
        <v>0</v>
      </c>
      <c r="Q12" s="2" t="str">
        <f>IFERROR(__xludf.DUMMYFUNCTION("IMPORTRANGE($B$18,$B$19&amp;address(row(G22),column(G22))&amp;"":""&amp;address(row(G22),column(G22)))"),"")</f>
        <v/>
      </c>
      <c r="R12" s="2" t="str">
        <f>IFERROR(__xludf.DUMMYFUNCTION("IMPORTRANGE($B$18,$B$19&amp;address(row(H22),column(H22))&amp;"":""&amp;address(row(H22),column(H22)))"),"")</f>
        <v/>
      </c>
      <c r="S12" s="2" t="str">
        <f>IFERROR(__xludf.DUMMYFUNCTION("IMPORTRANGE($B$18,$B$19&amp;address(row(S22),column(S22))&amp;"":""&amp;address(row(S22),column(S22)))"),"")</f>
        <v/>
      </c>
      <c r="T12" s="2" t="str">
        <f>IFERROR(__xludf.DUMMYFUNCTION("IMPORTRANGE($B$18,$B$19&amp;address(row(T22),column(T22))&amp;"":""&amp;address(row(T22),column(T22)))"),"")</f>
        <v/>
      </c>
      <c r="U12" s="2" t="str">
        <f>IFERROR(__xludf.DUMMYFUNCTION("IMPORTRANGE($B$18,$B$19&amp;address(row($T$4),column($T$4))&amp;"":""&amp;address(row($T$4),column($T$4)))"),"")</f>
        <v/>
      </c>
      <c r="V12" s="2" t="str">
        <f>IFERROR(__xludf.DUMMYFUNCTION("IMPORTRANGE($B$18,$B$19&amp;address(row($T$7),column($T$7))&amp;"":""&amp;address(row($T$7),column($T$7)))"),"")</f>
        <v/>
      </c>
      <c r="W12" s="2" t="str">
        <f>IFERROR(__xludf.DUMMYFUNCTION("IMPORTRANGE($B$18,$B$19&amp;address(row($H$7),column($H$7))&amp;"":""&amp;address(row($H$7),column($H$7)))"),"")</f>
        <v/>
      </c>
      <c r="X12" s="2" t="str">
        <f>IFERROR(__xludf.DUMMYFUNCTION("IMPORTRANGE($B$18,$B$19&amp;address(row($I$7),column($I$7))&amp;"":""&amp;address(row($I$7),column($I$7)))"),"")</f>
        <v/>
      </c>
      <c r="Y12" s="2" t="str">
        <f>IFERROR(__xludf.DUMMYFUNCTION("IMPORTRANGE($B$18,$B$19&amp;address(row($C$5),column($C$5))&amp;"":""&amp;address(row($C$5),column($C$5)))"),"League")</f>
        <v>League</v>
      </c>
      <c r="Z12" s="86">
        <f>IFERROR(__xludf.DUMMYFUNCTION("IMPORTRANGE($B$18,$B$19&amp;address(row($I$4),column($I$4))&amp;"":""&amp;address(row($I$4),column($I$4)))"),45395.0)</f>
        <v>45395</v>
      </c>
      <c r="AA12" s="2" t="b">
        <f t="shared" si="3"/>
        <v>1</v>
      </c>
    </row>
    <row r="13">
      <c r="A13" s="2" t="str">
        <f>IFERROR(__xludf.DUMMYFUNCTION("IMPORTRANGE($B$18,$B$19&amp;address(row(B23),column(B23))&amp;"":""&amp;address(row(B23),column(B23)))"),"Claudien Mwalimu")</f>
        <v>Claudien Mwalimu</v>
      </c>
      <c r="B13" s="2" t="str">
        <f>IFERROR(__xludf.DUMMYFUNCTION("IMPORTRANGE($B$18,$B$19&amp;address(row(E23),column(E23))&amp;"":""&amp;address(row(E23),column(E23)))"),"")</f>
        <v/>
      </c>
      <c r="C13" s="1">
        <f t="shared" si="1"/>
        <v>2</v>
      </c>
      <c r="D13" s="2" t="str">
        <f>IFERROR(__xludf.DUMMYFUNCTION("IMPORTRANGE($B$18,$B$19&amp;address(row($I$3),column($I$3))&amp;"":""&amp;address(row($I$3),column($I$3)))"),"Economicals 2s")</f>
        <v>Economicals 2s</v>
      </c>
      <c r="E1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3" s="2" t="str">
        <f>IFERROR(__xludf.DUMMYFUNCTION("IMPORTRANGE($B$18,$B$19&amp;address(row(I23),column(I23))&amp;"":""&amp;address(row(I23),column(I23)))"),"")</f>
        <v/>
      </c>
      <c r="G13" s="2" t="str">
        <f>IFERROR(__xludf.DUMMYFUNCTION("IMPORTRANGE($B$18,$B$19&amp;address(row(J23),column(J23))&amp;"":""&amp;address(row(J23),column(J23)))"),"")</f>
        <v/>
      </c>
      <c r="H13" s="1" t="str">
        <f>IFERROR(__xludf.DUMMYFUNCTION("IMPORTRANGE($B$18,$B$19&amp;address(row($I$7),column($I$7))&amp;"":""&amp;address(row($I$7),column($I$7)))"),"")</f>
        <v/>
      </c>
      <c r="I13" s="2" t="str">
        <f>IFERROR(__xludf.DUMMYFUNCTION("IMPORTRANGE($B$18,$B$19&amp;address(row(N23),column(N23))&amp;"":""&amp;address(row(N23),column(N23)))"),"")</f>
        <v/>
      </c>
      <c r="J13" s="2" t="str">
        <f>IFERROR(__xludf.DUMMYFUNCTION("IMPORTRANGE($B$18,$B$19&amp;address(row(O23),column(O23))&amp;"":""&amp;address(row(O23),column(O23)))"),"")</f>
        <v/>
      </c>
      <c r="K13" s="2" t="str">
        <f>IFERROR(__xludf.DUMMYFUNCTION("IMPORTRANGE($B$18,$B$19&amp;address(row(P23),column(P23))&amp;"":""&amp;address(row(P23),column(P23)))"),"")</f>
        <v/>
      </c>
      <c r="L13" s="2" t="b">
        <f t="shared" si="2"/>
        <v>1</v>
      </c>
      <c r="M13" s="2" t="str">
        <f>IFERROR(__xludf.DUMMYFUNCTION("IMPORTRANGE($B$18,$B$19&amp;address(row(L23),column(L23))&amp;"":""&amp;address(row(L23),column(L23)))"),"")</f>
        <v/>
      </c>
      <c r="N13" s="2" t="str">
        <f>IFERROR(__xludf.DUMMYFUNCTION("IMPORTRANGE($B$18,$B$19&amp;address(row(K23),column(K23))&amp;"":""&amp;address(row(K23),column(K23)))"),"")</f>
        <v/>
      </c>
      <c r="O13" s="2" t="str">
        <f>IFERROR(__xludf.DUMMYFUNCTION("IMPORTRANGE($B$18,$B$19&amp;address(row(M23),column(M23))&amp;"":""&amp;address(row(M23),column(M23)))"),"")</f>
        <v/>
      </c>
      <c r="P13" s="2">
        <f>IFERROR(__xludf.DUMMYFUNCTION("IF(IMPORTRANGE($B$18,$B$19&amp;address(row($Q$7),column($Q$7))&amp;"":""&amp;address(row($Q$7),column($Q$7)))=A13,1,0)"),0.0)</f>
        <v>0</v>
      </c>
      <c r="Q13" s="2" t="str">
        <f>IFERROR(__xludf.DUMMYFUNCTION("IMPORTRANGE($B$18,$B$19&amp;address(row(G23),column(G23))&amp;"":""&amp;address(row(G23),column(G23)))"),"")</f>
        <v/>
      </c>
      <c r="R13" s="2" t="str">
        <f>IFERROR(__xludf.DUMMYFUNCTION("IMPORTRANGE($B$18,$B$19&amp;address(row(H23),column(H23))&amp;"":""&amp;address(row(H23),column(H23)))"),"")</f>
        <v/>
      </c>
      <c r="S13" s="2" t="str">
        <f>IFERROR(__xludf.DUMMYFUNCTION("IMPORTRANGE($B$18,$B$19&amp;address(row(S23),column(S23))&amp;"":""&amp;address(row(S23),column(S23)))"),"")</f>
        <v/>
      </c>
      <c r="T13" s="2" t="str">
        <f>IFERROR(__xludf.DUMMYFUNCTION("IMPORTRANGE($B$18,$B$19&amp;address(row(T23),column(T23))&amp;"":""&amp;address(row(T23),column(T23)))"),"")</f>
        <v/>
      </c>
      <c r="U13" s="2" t="str">
        <f>IFERROR(__xludf.DUMMYFUNCTION("IMPORTRANGE($B$18,$B$19&amp;address(row($T$4),column($T$4))&amp;"":""&amp;address(row($T$4),column($T$4)))"),"")</f>
        <v/>
      </c>
      <c r="V13" s="2" t="str">
        <f>IFERROR(__xludf.DUMMYFUNCTION("IMPORTRANGE($B$18,$B$19&amp;address(row($T$7),column($T$7))&amp;"":""&amp;address(row($T$7),column($T$7)))"),"")</f>
        <v/>
      </c>
      <c r="W13" s="2" t="str">
        <f>IFERROR(__xludf.DUMMYFUNCTION("IMPORTRANGE($B$18,$B$19&amp;address(row($H$7),column($H$7))&amp;"":""&amp;address(row($H$7),column($H$7)))"),"")</f>
        <v/>
      </c>
      <c r="X13" s="2" t="str">
        <f>IFERROR(__xludf.DUMMYFUNCTION("IMPORTRANGE($B$18,$B$19&amp;address(row($I$7),column($I$7))&amp;"":""&amp;address(row($I$7),column($I$7)))"),"")</f>
        <v/>
      </c>
      <c r="Y13" s="2" t="str">
        <f>IFERROR(__xludf.DUMMYFUNCTION("IMPORTRANGE($B$18,$B$19&amp;address(row($C$5),column($C$5))&amp;"":""&amp;address(row($C$5),column($C$5)))"),"League")</f>
        <v>League</v>
      </c>
      <c r="Z13" s="86">
        <f>IFERROR(__xludf.DUMMYFUNCTION("IMPORTRANGE($B$18,$B$19&amp;address(row($I$4),column($I$4))&amp;"":""&amp;address(row($I$4),column($I$4)))"),45395.0)</f>
        <v>45395</v>
      </c>
      <c r="AA13" s="2" t="b">
        <f t="shared" si="3"/>
        <v>1</v>
      </c>
    </row>
    <row r="14">
      <c r="A14" s="2" t="str">
        <f>IFERROR(__xludf.DUMMYFUNCTION("IMPORTRANGE($B$18,$B$19&amp;address(row(B24),column(B24))&amp;"":""&amp;address(row(B24),column(B24)))"),"Connor White")</f>
        <v>Connor White</v>
      </c>
      <c r="B14" s="2" t="str">
        <f>IFERROR(__xludf.DUMMYFUNCTION("IMPORTRANGE($B$18,$B$19&amp;address(row(E24),column(E24))&amp;"":""&amp;address(row(E24),column(E24)))"),"")</f>
        <v/>
      </c>
      <c r="C14" s="1">
        <f t="shared" si="1"/>
        <v>2</v>
      </c>
      <c r="D14" s="2" t="str">
        <f>IFERROR(__xludf.DUMMYFUNCTION("IMPORTRANGE($B$18,$B$19&amp;address(row($I$3),column($I$3))&amp;"":""&amp;address(row($I$3),column($I$3)))"),"Economicals 2s")</f>
        <v>Economicals 2s</v>
      </c>
      <c r="E1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4" s="2" t="str">
        <f>IFERROR(__xludf.DUMMYFUNCTION("IMPORTRANGE($B$18,$B$19&amp;address(row(I24),column(I24))&amp;"":""&amp;address(row(I24),column(I24)))"),"")</f>
        <v/>
      </c>
      <c r="G14" s="2" t="str">
        <f>IFERROR(__xludf.DUMMYFUNCTION("IMPORTRANGE($B$18,$B$19&amp;address(row(J24),column(J24))&amp;"":""&amp;address(row(J24),column(J24)))"),"")</f>
        <v/>
      </c>
      <c r="H14" s="1" t="str">
        <f>IFERROR(__xludf.DUMMYFUNCTION("IMPORTRANGE($B$18,$B$19&amp;address(row($I$7),column($I$7))&amp;"":""&amp;address(row($I$7),column($I$7)))"),"")</f>
        <v/>
      </c>
      <c r="I14" s="2" t="str">
        <f>IFERROR(__xludf.DUMMYFUNCTION("IMPORTRANGE($B$18,$B$19&amp;address(row(N24),column(N24))&amp;"":""&amp;address(row(N24),column(N24)))"),"")</f>
        <v/>
      </c>
      <c r="J14" s="2" t="str">
        <f>IFERROR(__xludf.DUMMYFUNCTION("IMPORTRANGE($B$18,$B$19&amp;address(row(O24),column(O24))&amp;"":""&amp;address(row(O24),column(O24)))"),"")</f>
        <v/>
      </c>
      <c r="K14" s="2" t="str">
        <f>IFERROR(__xludf.DUMMYFUNCTION("IMPORTRANGE($B$18,$B$19&amp;address(row(P24),column(P24))&amp;"":""&amp;address(row(P24),column(P24)))"),"")</f>
        <v/>
      </c>
      <c r="L14" s="2" t="b">
        <f t="shared" si="2"/>
        <v>1</v>
      </c>
      <c r="M14" s="2" t="str">
        <f>IFERROR(__xludf.DUMMYFUNCTION("IMPORTRANGE($B$18,$B$19&amp;address(row(L24),column(L24))&amp;"":""&amp;address(row(L24),column(L24)))"),"")</f>
        <v/>
      </c>
      <c r="N14" s="2" t="str">
        <f>IFERROR(__xludf.DUMMYFUNCTION("IMPORTRANGE($B$18,$B$19&amp;address(row(K24),column(K24))&amp;"":""&amp;address(row(K24),column(K24)))"),"")</f>
        <v/>
      </c>
      <c r="O14" s="2" t="str">
        <f>IFERROR(__xludf.DUMMYFUNCTION("IMPORTRANGE($B$18,$B$19&amp;address(row(M24),column(M24))&amp;"":""&amp;address(row(M24),column(M24)))"),"")</f>
        <v/>
      </c>
      <c r="P14" s="2">
        <f>IFERROR(__xludf.DUMMYFUNCTION("IF(IMPORTRANGE($B$18,$B$19&amp;address(row($Q$7),column($Q$7))&amp;"":""&amp;address(row($Q$7),column($Q$7)))=A14,1,0)"),0.0)</f>
        <v>0</v>
      </c>
      <c r="Q14" s="2" t="str">
        <f>IFERROR(__xludf.DUMMYFUNCTION("IMPORTRANGE($B$18,$B$19&amp;address(row(G24),column(G24))&amp;"":""&amp;address(row(G24),column(G24)))"),"")</f>
        <v/>
      </c>
      <c r="R14" s="2" t="str">
        <f>IFERROR(__xludf.DUMMYFUNCTION("IMPORTRANGE($B$18,$B$19&amp;address(row(H24),column(H24))&amp;"":""&amp;address(row(H24),column(H24)))"),"")</f>
        <v/>
      </c>
      <c r="S14" s="2" t="str">
        <f>IFERROR(__xludf.DUMMYFUNCTION("IMPORTRANGE($B$18,$B$19&amp;address(row(S24),column(S24))&amp;"":""&amp;address(row(S24),column(S24)))"),"")</f>
        <v/>
      </c>
      <c r="T14" s="2" t="str">
        <f>IFERROR(__xludf.DUMMYFUNCTION("IMPORTRANGE($B$18,$B$19&amp;address(row(T24),column(T24))&amp;"":""&amp;address(row(T24),column(T24)))"),"")</f>
        <v/>
      </c>
      <c r="U14" s="2" t="str">
        <f>IFERROR(__xludf.DUMMYFUNCTION("IMPORTRANGE($B$18,$B$19&amp;address(row($T$4),column($T$4))&amp;"":""&amp;address(row($T$4),column($T$4)))"),"")</f>
        <v/>
      </c>
      <c r="V14" s="2" t="str">
        <f>IFERROR(__xludf.DUMMYFUNCTION("IMPORTRANGE($B$18,$B$19&amp;address(row($T$7),column($T$7))&amp;"":""&amp;address(row($T$7),column($T$7)))"),"")</f>
        <v/>
      </c>
      <c r="W14" s="2" t="str">
        <f>IFERROR(__xludf.DUMMYFUNCTION("IMPORTRANGE($B$18,$B$19&amp;address(row($H$7),column($H$7))&amp;"":""&amp;address(row($H$7),column($H$7)))"),"")</f>
        <v/>
      </c>
      <c r="X14" s="2" t="str">
        <f>IFERROR(__xludf.DUMMYFUNCTION("IMPORTRANGE($B$18,$B$19&amp;address(row($I$7),column($I$7))&amp;"":""&amp;address(row($I$7),column($I$7)))"),"")</f>
        <v/>
      </c>
      <c r="Y14" s="2" t="str">
        <f>IFERROR(__xludf.DUMMYFUNCTION("IMPORTRANGE($B$18,$B$19&amp;address(row($C$5),column($C$5))&amp;"":""&amp;address(row($C$5),column($C$5)))"),"League")</f>
        <v>League</v>
      </c>
      <c r="Z14" s="86">
        <f>IFERROR(__xludf.DUMMYFUNCTION("IMPORTRANGE($B$18,$B$19&amp;address(row($I$4),column($I$4))&amp;"":""&amp;address(row($I$4),column($I$4)))"),45395.0)</f>
        <v>45395</v>
      </c>
      <c r="AA14" s="2" t="b">
        <f t="shared" si="3"/>
        <v>1</v>
      </c>
    </row>
    <row r="15" ht="15.0" customHeight="1">
      <c r="A15" s="2" t="str">
        <f>IFERROR(__xludf.DUMMYFUNCTION("IMPORTRANGE($B$18,$B$19&amp;address(row(B25),column(B25))&amp;"":""&amp;address(row(B25),column(B25)))"),"")</f>
        <v/>
      </c>
      <c r="B15" s="2" t="str">
        <f>IFERROR(__xludf.DUMMYFUNCTION("IMPORTRANGE($B$18,$B$19&amp;address(row(E25),column(E25))&amp;"":""&amp;address(row(E25),column(E25)))"),"")</f>
        <v/>
      </c>
      <c r="C15" s="1">
        <f t="shared" si="1"/>
        <v>2</v>
      </c>
      <c r="D15" s="2" t="str">
        <f>IFERROR(__xludf.DUMMYFUNCTION("IMPORTRANGE($B$18,$B$19&amp;address(row($I$3),column($I$3))&amp;"":""&amp;address(row($I$3),column($I$3)))"),"Economicals 2s")</f>
        <v>Economicals 2s</v>
      </c>
      <c r="E1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5" s="2" t="str">
        <f>IFERROR(__xludf.DUMMYFUNCTION("IMPORTRANGE($B$18,$B$19&amp;address(row(I25),column(I25))&amp;"":""&amp;address(row(I25),column(I25)))"),"")</f>
        <v/>
      </c>
      <c r="G15" s="2" t="str">
        <f>IFERROR(__xludf.DUMMYFUNCTION("IMPORTRANGE($B$18,$B$19&amp;address(row(J25),column(J25))&amp;"":""&amp;address(row(J25),column(J25)))"),"")</f>
        <v/>
      </c>
      <c r="H15" s="1" t="str">
        <f>IFERROR(__xludf.DUMMYFUNCTION("IMPORTRANGE($B$18,$B$19&amp;address(row($I$7),column($I$7))&amp;"":""&amp;address(row($I$7),column($I$7)))"),"")</f>
        <v/>
      </c>
      <c r="I15" s="2" t="str">
        <f>IFERROR(__xludf.DUMMYFUNCTION("IMPORTRANGE($B$18,$B$19&amp;address(row(N25),column(N25))&amp;"":""&amp;address(row(N25),column(N25)))"),"")</f>
        <v/>
      </c>
      <c r="J15" s="2" t="str">
        <f>IFERROR(__xludf.DUMMYFUNCTION("IMPORTRANGE($B$18,$B$19&amp;address(row(O25),column(O25))&amp;"":""&amp;address(row(O25),column(O25)))"),"")</f>
        <v/>
      </c>
      <c r="K15" s="2" t="str">
        <f>IFERROR(__xludf.DUMMYFUNCTION("IMPORTRANGE($B$18,$B$19&amp;address(row(P25),column(P25))&amp;"":""&amp;address(row(P25),column(P25)))"),"")</f>
        <v/>
      </c>
      <c r="L15" s="2" t="b">
        <f t="shared" si="2"/>
        <v>1</v>
      </c>
      <c r="M15" s="2" t="str">
        <f>IFERROR(__xludf.DUMMYFUNCTION("IMPORTRANGE($B$18,$B$19&amp;address(row(L25),column(L25))&amp;"":""&amp;address(row(L25),column(L25)))"),"")</f>
        <v/>
      </c>
      <c r="N15" s="2" t="str">
        <f>IFERROR(__xludf.DUMMYFUNCTION("IMPORTRANGE($B$18,$B$19&amp;address(row(K25),column(K25))&amp;"":""&amp;address(row(K25),column(K25)))"),"")</f>
        <v/>
      </c>
      <c r="O15" s="2" t="str">
        <f>IFERROR(__xludf.DUMMYFUNCTION("IMPORTRANGE($B$18,$B$19&amp;address(row(M25),column(M25))&amp;"":""&amp;address(row(M25),column(M25)))"),"")</f>
        <v/>
      </c>
      <c r="P15" s="2">
        <f>IFERROR(__xludf.DUMMYFUNCTION("IF(IMPORTRANGE($B$18,$B$19&amp;address(row($Q$7),column($Q$7))&amp;"":""&amp;address(row($Q$7),column($Q$7)))=A15,1,0)"),1.0)</f>
        <v>1</v>
      </c>
      <c r="Q15" s="2" t="str">
        <f>IFERROR(__xludf.DUMMYFUNCTION("IMPORTRANGE($B$18,$B$19&amp;address(row(G25),column(G25))&amp;"":""&amp;address(row(G25),column(G25)))"),"")</f>
        <v/>
      </c>
      <c r="R15" s="2" t="str">
        <f>IFERROR(__xludf.DUMMYFUNCTION("IMPORTRANGE($B$18,$B$19&amp;address(row(H25),column(H25))&amp;"":""&amp;address(row(H25),column(H25)))"),"")</f>
        <v/>
      </c>
      <c r="S15" s="2" t="str">
        <f>IFERROR(__xludf.DUMMYFUNCTION("IMPORTRANGE($B$18,$B$19&amp;address(row(S25),column(S25))&amp;"":""&amp;address(row(S25),column(S25)))"),"")</f>
        <v/>
      </c>
      <c r="T15" s="2" t="str">
        <f>IFERROR(__xludf.DUMMYFUNCTION("IMPORTRANGE($B$18,$B$19&amp;address(row(T25),column(T25))&amp;"":""&amp;address(row(T25),column(T25)))"),"")</f>
        <v/>
      </c>
      <c r="U15" s="2" t="str">
        <f>IFERROR(__xludf.DUMMYFUNCTION("IMPORTRANGE($B$18,$B$19&amp;address(row($T$4),column($T$4))&amp;"":""&amp;address(row($T$4),column($T$4)))"),"")</f>
        <v/>
      </c>
      <c r="V15" s="2" t="str">
        <f>IFERROR(__xludf.DUMMYFUNCTION("IMPORTRANGE($B$18,$B$19&amp;address(row($T$7),column($T$7))&amp;"":""&amp;address(row($T$7),column($T$7)))"),"")</f>
        <v/>
      </c>
      <c r="W15" s="2" t="str">
        <f>IFERROR(__xludf.DUMMYFUNCTION("IMPORTRANGE($B$18,$B$19&amp;address(row($H$7),column($H$7))&amp;"":""&amp;address(row($H$7),column($H$7)))"),"")</f>
        <v/>
      </c>
      <c r="X15" s="2" t="str">
        <f>IFERROR(__xludf.DUMMYFUNCTION("IMPORTRANGE($B$18,$B$19&amp;address(row($I$7),column($I$7))&amp;"":""&amp;address(row($I$7),column($I$7)))"),"")</f>
        <v/>
      </c>
      <c r="Y15" s="2" t="str">
        <f>IFERROR(__xludf.DUMMYFUNCTION("IMPORTRANGE($B$18,$B$19&amp;address(row($C$5),column($C$5))&amp;"":""&amp;address(row($C$5),column($C$5)))"),"League")</f>
        <v>League</v>
      </c>
      <c r="Z15" s="86">
        <f>IFERROR(__xludf.DUMMYFUNCTION("IMPORTRANGE($B$18,$B$19&amp;address(row($I$4),column($I$4))&amp;"":""&amp;address(row($I$4),column($I$4)))"),45395.0)</f>
        <v>45395</v>
      </c>
      <c r="AA15" s="2" t="b">
        <f t="shared" si="3"/>
        <v>0</v>
      </c>
    </row>
    <row r="16">
      <c r="A16" s="2" t="str">
        <f>IFERROR(__xludf.DUMMYFUNCTION("IMPORTRANGE($B$18,$B$19&amp;address(row(B26),column(B26))&amp;"":""&amp;address(row(B26),column(B26)))"),"")</f>
        <v/>
      </c>
      <c r="B16" s="2" t="str">
        <f>IFERROR(__xludf.DUMMYFUNCTION("IMPORTRANGE($B$18,$B$19&amp;address(row(E26),column(E26))&amp;"":""&amp;address(row(E26),column(E26)))"),"")</f>
        <v/>
      </c>
      <c r="C16" s="1">
        <f t="shared" si="1"/>
        <v>2</v>
      </c>
      <c r="D16" s="2" t="str">
        <f>IFERROR(__xludf.DUMMYFUNCTION("IMPORTRANGE($B$18,$B$19&amp;address(row($I$3),column($I$3))&amp;"":""&amp;address(row($I$3),column($I$3)))"),"Economicals 2s")</f>
        <v>Economicals 2s</v>
      </c>
      <c r="E1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6" s="2" t="str">
        <f>IFERROR(__xludf.DUMMYFUNCTION("IMPORTRANGE($B$18,$B$19&amp;address(row(I26),column(I26))&amp;"":""&amp;address(row(I26),column(I26)))"),"")</f>
        <v/>
      </c>
      <c r="G16" s="2" t="str">
        <f>IFERROR(__xludf.DUMMYFUNCTION("IMPORTRANGE($B$18,$B$19&amp;address(row(J26),column(J26))&amp;"":""&amp;address(row(J26),column(J26)))"),"")</f>
        <v/>
      </c>
      <c r="H16" s="1" t="str">
        <f>IFERROR(__xludf.DUMMYFUNCTION("IMPORTRANGE($B$18,$B$19&amp;address(row($I$7),column($I$7))&amp;"":""&amp;address(row($I$7),column($I$7)))"),"")</f>
        <v/>
      </c>
      <c r="I16" s="2" t="str">
        <f>IFERROR(__xludf.DUMMYFUNCTION("IMPORTRANGE($B$18,$B$19&amp;address(row(N26),column(N26))&amp;"":""&amp;address(row(N26),column(N26)))"),"")</f>
        <v/>
      </c>
      <c r="J16" s="2" t="str">
        <f>IFERROR(__xludf.DUMMYFUNCTION("IMPORTRANGE($B$18,$B$19&amp;address(row(O26),column(O26))&amp;"":""&amp;address(row(O26),column(O26)))"),"")</f>
        <v/>
      </c>
      <c r="K16" s="2" t="str">
        <f>IFERROR(__xludf.DUMMYFUNCTION("IMPORTRANGE($B$18,$B$19&amp;address(row(P26),column(P26))&amp;"":""&amp;address(row(P26),column(P26)))"),"")</f>
        <v/>
      </c>
      <c r="L16" s="2" t="b">
        <f t="shared" si="2"/>
        <v>1</v>
      </c>
      <c r="M16" s="2" t="str">
        <f>IFERROR(__xludf.DUMMYFUNCTION("IMPORTRANGE($B$18,$B$19&amp;address(row(L26),column(L26))&amp;"":""&amp;address(row(L26),column(L26)))"),"")</f>
        <v/>
      </c>
      <c r="N16" s="2" t="str">
        <f>IFERROR(__xludf.DUMMYFUNCTION("IMPORTRANGE($B$18,$B$19&amp;address(row(K26),column(K26))&amp;"":""&amp;address(row(K26),column(K26)))"),"")</f>
        <v/>
      </c>
      <c r="O16" s="2" t="str">
        <f>IFERROR(__xludf.DUMMYFUNCTION("IMPORTRANGE($B$18,$B$19&amp;address(row(M26),column(M26))&amp;"":""&amp;address(row(M26),column(M26)))"),"")</f>
        <v/>
      </c>
      <c r="P16" s="2">
        <f>IFERROR(__xludf.DUMMYFUNCTION("IF(IMPORTRANGE($B$18,$B$19&amp;address(row($Q$7),column($Q$7))&amp;"":""&amp;address(row($Q$7),column($Q$7)))=A16,1,0)"),1.0)</f>
        <v>1</v>
      </c>
      <c r="Q16" s="2" t="str">
        <f>IFERROR(__xludf.DUMMYFUNCTION("IMPORTRANGE($B$18,$B$19&amp;address(row(G26),column(G26))&amp;"":""&amp;address(row(G26),column(G26)))"),"")</f>
        <v/>
      </c>
      <c r="R16" s="2" t="str">
        <f>IFERROR(__xludf.DUMMYFUNCTION("IMPORTRANGE($B$18,$B$19&amp;address(row(H26),column(H26))&amp;"":""&amp;address(row(H26),column(H26)))"),"")</f>
        <v/>
      </c>
      <c r="S16" s="2" t="str">
        <f>IFERROR(__xludf.DUMMYFUNCTION("IMPORTRANGE($B$18,$B$19&amp;address(row(S26),column(S26))&amp;"":""&amp;address(row(S26),column(S26)))"),"")</f>
        <v/>
      </c>
      <c r="T16" s="2" t="str">
        <f>IFERROR(__xludf.DUMMYFUNCTION("IMPORTRANGE($B$18,$B$19&amp;address(row(T26),column(T26))&amp;"":""&amp;address(row(T26),column(T26)))"),"")</f>
        <v/>
      </c>
      <c r="U16" s="2" t="str">
        <f>IFERROR(__xludf.DUMMYFUNCTION("IMPORTRANGE($B$18,$B$19&amp;address(row($T$4),column($T$4))&amp;"":""&amp;address(row($T$4),column($T$4)))"),"")</f>
        <v/>
      </c>
      <c r="V16" s="2" t="str">
        <f>IFERROR(__xludf.DUMMYFUNCTION("IMPORTRANGE($B$18,$B$19&amp;address(row($T$7),column($T$7))&amp;"":""&amp;address(row($T$7),column($T$7)))"),"")</f>
        <v/>
      </c>
      <c r="W16" s="2" t="str">
        <f>IFERROR(__xludf.DUMMYFUNCTION("IMPORTRANGE($B$18,$B$19&amp;address(row($H$7),column($H$7))&amp;"":""&amp;address(row($H$7),column($H$7)))"),"")</f>
        <v/>
      </c>
      <c r="X16" s="2" t="str">
        <f>IFERROR(__xludf.DUMMYFUNCTION("IMPORTRANGE($B$18,$B$19&amp;address(row($I$7),column($I$7))&amp;"":""&amp;address(row($I$7),column($I$7)))"),"")</f>
        <v/>
      </c>
      <c r="Y16" s="2" t="str">
        <f>IFERROR(__xludf.DUMMYFUNCTION("IMPORTRANGE($B$18,$B$19&amp;address(row($C$5),column($C$5))&amp;"":""&amp;address(row($C$5),column($C$5)))"),"League")</f>
        <v>League</v>
      </c>
      <c r="Z16" s="86">
        <f>IFERROR(__xludf.DUMMYFUNCTION("IMPORTRANGE($B$18,$B$19&amp;address(row($I$4),column($I$4))&amp;"":""&amp;address(row($I$4),column($I$4)))"),45395.0)</f>
        <v>45395</v>
      </c>
      <c r="AA16" s="2" t="b">
        <f t="shared" si="3"/>
        <v>0</v>
      </c>
    </row>
    <row r="17">
      <c r="A17" s="2" t="str">
        <f>IFERROR(__xludf.DUMMYFUNCTION("IMPORTRANGE($B$18,$B$19&amp;address(row(B27),column(B27))&amp;"":""&amp;address(row(B27),column(B27)))"),"")</f>
        <v/>
      </c>
      <c r="B17" s="2" t="str">
        <f>IFERROR(__xludf.DUMMYFUNCTION("IMPORTRANGE($B$18,$B$19&amp;address(row(E27),column(E27))&amp;"":""&amp;address(row(E27),column(E27)))"),"")</f>
        <v/>
      </c>
      <c r="C17" s="1">
        <f t="shared" si="1"/>
        <v>2</v>
      </c>
      <c r="D17" s="2" t="str">
        <f>IFERROR(__xludf.DUMMYFUNCTION("IMPORTRANGE($B$18,$B$19&amp;address(row($I$3),column($I$3))&amp;"":""&amp;address(row($I$3),column($I$3)))"),"Economicals 2s")</f>
        <v>Economicals 2s</v>
      </c>
      <c r="E1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7" s="2" t="str">
        <f>IFERROR(__xludf.DUMMYFUNCTION("IMPORTRANGE($B$18,$B$19&amp;address(row(I27),column(I27))&amp;"":""&amp;address(row(I27),column(I27)))"),"")</f>
        <v/>
      </c>
      <c r="G17" s="2" t="str">
        <f>IFERROR(__xludf.DUMMYFUNCTION("IMPORTRANGE($B$18,$B$19&amp;address(row(J27),column(J27))&amp;"":""&amp;address(row(J27),column(J27)))"),"")</f>
        <v/>
      </c>
      <c r="H17" s="1" t="str">
        <f>IFERROR(__xludf.DUMMYFUNCTION("IMPORTRANGE($B$18,$B$19&amp;address(row($I$7),column($I$7))&amp;"":""&amp;address(row($I$7),column($I$7)))"),"")</f>
        <v/>
      </c>
      <c r="I17" s="2" t="str">
        <f>IFERROR(__xludf.DUMMYFUNCTION("IMPORTRANGE($B$18,$B$19&amp;address(row(N27),column(N27))&amp;"":""&amp;address(row(N27),column(N27)))"),"")</f>
        <v/>
      </c>
      <c r="J17" s="2" t="str">
        <f>IFERROR(__xludf.DUMMYFUNCTION("IMPORTRANGE($B$18,$B$19&amp;address(row(O27),column(O27))&amp;"":""&amp;address(row(O27),column(O27)))"),"")</f>
        <v/>
      </c>
      <c r="K17" s="2" t="str">
        <f>IFERROR(__xludf.DUMMYFUNCTION("IMPORTRANGE($B$18,$B$19&amp;address(row(P27),column(P27))&amp;"":""&amp;address(row(P27),column(P27)))"),"")</f>
        <v/>
      </c>
      <c r="L17" s="2" t="b">
        <f t="shared" si="2"/>
        <v>1</v>
      </c>
      <c r="M17" s="2" t="str">
        <f>IFERROR(__xludf.DUMMYFUNCTION("IMPORTRANGE($B$18,$B$19&amp;address(row(L27),column(L27))&amp;"":""&amp;address(row(L27),column(L27)))"),"")</f>
        <v/>
      </c>
      <c r="N17" s="2" t="str">
        <f>IFERROR(__xludf.DUMMYFUNCTION("IMPORTRANGE($B$18,$B$19&amp;address(row(K27),column(K27))&amp;"":""&amp;address(row(K27),column(K27)))"),"")</f>
        <v/>
      </c>
      <c r="O17" s="2" t="str">
        <f>IFERROR(__xludf.DUMMYFUNCTION("IMPORTRANGE($B$18,$B$19&amp;address(row(M27),column(M27))&amp;"":""&amp;address(row(M27),column(M27)))"),"")</f>
        <v/>
      </c>
      <c r="P17" s="2">
        <f>IFERROR(__xludf.DUMMYFUNCTION("IF(IMPORTRANGE($B$18,$B$19&amp;address(row($Q$7),column($Q$7))&amp;"":""&amp;address(row($Q$7),column($Q$7)))=A17,1,0)"),1.0)</f>
        <v>1</v>
      </c>
      <c r="Q17" s="2" t="str">
        <f>IFERROR(__xludf.DUMMYFUNCTION("IMPORTRANGE($B$18,$B$19&amp;address(row(G27),column(G27))&amp;"":""&amp;address(row(G27),column(G27)))"),"")</f>
        <v/>
      </c>
      <c r="R17" s="2" t="str">
        <f>IFERROR(__xludf.DUMMYFUNCTION("IMPORTRANGE($B$18,$B$19&amp;address(row(H27),column(H27))&amp;"":""&amp;address(row(H27),column(H27)))"),"")</f>
        <v/>
      </c>
      <c r="S17" s="2" t="str">
        <f>IFERROR(__xludf.DUMMYFUNCTION("IMPORTRANGE($B$18,$B$19&amp;address(row(S27),column(S27))&amp;"":""&amp;address(row(S27),column(S27)))"),"")</f>
        <v/>
      </c>
      <c r="T17" s="2" t="str">
        <f>IFERROR(__xludf.DUMMYFUNCTION("IMPORTRANGE($B$18,$B$19&amp;address(row(T27),column(T27))&amp;"":""&amp;address(row(T27),column(T27)))"),"")</f>
        <v/>
      </c>
      <c r="U17" s="2" t="str">
        <f>IFERROR(__xludf.DUMMYFUNCTION("IMPORTRANGE($B$18,$B$19&amp;address(row($T$4),column($T$4))&amp;"":""&amp;address(row($T$4),column($T$4)))"),"")</f>
        <v/>
      </c>
      <c r="V17" s="2" t="str">
        <f>IFERROR(__xludf.DUMMYFUNCTION("IMPORTRANGE($B$18,$B$19&amp;address(row($T$7),column($T$7))&amp;"":""&amp;address(row($T$7),column($T$7)))"),"")</f>
        <v/>
      </c>
      <c r="W17" s="2" t="str">
        <f>IFERROR(__xludf.DUMMYFUNCTION("IMPORTRANGE($B$18,$B$19&amp;address(row($H$7),column($H$7))&amp;"":""&amp;address(row($H$7),column($H$7)))"),"")</f>
        <v/>
      </c>
      <c r="X17" s="2" t="str">
        <f>IFERROR(__xludf.DUMMYFUNCTION("IMPORTRANGE($B$18,$B$19&amp;address(row($I$7),column($I$7))&amp;"":""&amp;address(row($I$7),column($I$7)))"),"")</f>
        <v/>
      </c>
      <c r="Y17" s="2" t="str">
        <f>IFERROR(__xludf.DUMMYFUNCTION("IMPORTRANGE($B$18,$B$19&amp;address(row($C$5),column($C$5))&amp;"":""&amp;address(row($C$5),column($C$5)))"),"League")</f>
        <v>League</v>
      </c>
      <c r="Z17" s="86">
        <f>IFERROR(__xludf.DUMMYFUNCTION("IMPORTRANGE($B$18,$B$19&amp;address(row($I$4),column($I$4))&amp;"":""&amp;address(row($I$4),column($I$4)))"),45395.0)</f>
        <v>45395</v>
      </c>
      <c r="AA17" s="2" t="b">
        <f t="shared" si="3"/>
        <v>0</v>
      </c>
    </row>
    <row r="18">
      <c r="A18" s="1" t="s">
        <v>2258</v>
      </c>
      <c r="B18" s="87" t="s">
        <v>2262</v>
      </c>
      <c r="D18" s="2"/>
      <c r="E18" s="2"/>
      <c r="F18" s="2"/>
      <c r="G18" s="2"/>
      <c r="H18" s="2"/>
      <c r="I18" s="2"/>
      <c r="J18" s="2"/>
      <c r="K18" s="2"/>
      <c r="L18" s="2"/>
      <c r="M18" s="2"/>
      <c r="N18" s="2"/>
      <c r="O18" s="2"/>
      <c r="P18" s="2"/>
      <c r="Q18" s="2"/>
      <c r="R18" s="2"/>
      <c r="S18" s="2"/>
      <c r="T18" s="2"/>
      <c r="U18" s="2"/>
      <c r="V18" s="2"/>
      <c r="W18" s="2"/>
      <c r="X18" s="2"/>
    </row>
    <row r="19">
      <c r="A19" s="1" t="s">
        <v>2260</v>
      </c>
      <c r="B19" s="88" t="s">
        <v>2263</v>
      </c>
      <c r="C19" s="2"/>
      <c r="D19" s="2"/>
      <c r="E19" s="2"/>
      <c r="F19" s="2"/>
      <c r="G19" s="2"/>
      <c r="H19" s="2"/>
      <c r="I19" s="2"/>
      <c r="J19" s="2"/>
      <c r="K19" s="2"/>
      <c r="L19" s="2"/>
      <c r="M19" s="2"/>
      <c r="N19" s="2"/>
      <c r="O19" s="2"/>
      <c r="P19" s="2"/>
      <c r="Q19" s="2"/>
      <c r="R19" s="2"/>
      <c r="S19" s="2"/>
      <c r="T19" s="2"/>
      <c r="U19" s="2"/>
      <c r="V19" s="2"/>
      <c r="W19" s="2"/>
      <c r="X19" s="2"/>
    </row>
    <row r="20">
      <c r="A20" s="1" t="s">
        <v>32</v>
      </c>
      <c r="B20" s="1">
        <v>2.0</v>
      </c>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sheetData>
  <hyperlinks>
    <hyperlink r:id="rId1" location="gid=1926124634" ref="B18"/>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6.88"/>
    <col customWidth="1" min="8" max="8" width="14.13"/>
  </cols>
  <sheetData>
    <row r="1">
      <c r="A1" s="2" t="str">
        <f>IFERROR(__xludf.DUMMYFUNCTION("IMPORTRANGE(B18,B19&amp;address(row(B11),column(B11))&amp;"":""&amp;address(row(B11),column(B11)))"),"Player Name")</f>
        <v>Player Name</v>
      </c>
      <c r="B1" s="2" t="str">
        <f>IFERROR(__xludf.DUMMYFUNCTION("IMPORTRANGE(B18,B19&amp;ADDRESS(row(E11),column(E11))&amp;"":""&amp;address(row(E11),column(E11)))"),"Position")</f>
        <v>Position</v>
      </c>
      <c r="C1" s="1" t="s">
        <v>199</v>
      </c>
      <c r="D1" s="1" t="s">
        <v>200</v>
      </c>
      <c r="E1" s="1" t="s">
        <v>201</v>
      </c>
      <c r="F1" s="63" t="s">
        <v>158</v>
      </c>
      <c r="G1" s="63" t="s">
        <v>159</v>
      </c>
      <c r="H1" s="63" t="s">
        <v>202</v>
      </c>
      <c r="I1" s="63" t="s">
        <v>203</v>
      </c>
      <c r="J1" s="63" t="s">
        <v>185</v>
      </c>
      <c r="K1" s="63" t="s">
        <v>204</v>
      </c>
      <c r="L1" s="63" t="s">
        <v>205</v>
      </c>
      <c r="M1" s="63" t="s">
        <v>206</v>
      </c>
      <c r="N1" s="63" t="s">
        <v>207</v>
      </c>
      <c r="O1" s="63" t="s">
        <v>208</v>
      </c>
      <c r="P1" s="63" t="s">
        <v>209</v>
      </c>
      <c r="Q1" s="61" t="s">
        <v>210</v>
      </c>
      <c r="R1" s="61" t="s">
        <v>211</v>
      </c>
      <c r="S1" s="61" t="s">
        <v>212</v>
      </c>
      <c r="T1" s="61" t="s">
        <v>213</v>
      </c>
      <c r="U1" s="61" t="s">
        <v>214</v>
      </c>
      <c r="V1" s="61" t="s">
        <v>215</v>
      </c>
      <c r="W1" s="65" t="s">
        <v>2254</v>
      </c>
      <c r="X1" s="61" t="s">
        <v>2255</v>
      </c>
      <c r="Y1" s="61" t="s">
        <v>196</v>
      </c>
      <c r="Z1" s="61" t="s">
        <v>2256</v>
      </c>
      <c r="AA1" s="61" t="s">
        <v>2257</v>
      </c>
    </row>
    <row r="2">
      <c r="A2" s="2" t="str">
        <f>IFERROR(__xludf.DUMMYFUNCTION("IMPORTRANGE($B$18,$B$19&amp;address(row(B12),column(B12))&amp;"":""&amp;address(row(B12),column(B12)))"),"Nick Chimonides")</f>
        <v>Nick Chimonides</v>
      </c>
      <c r="B2" s="2" t="str">
        <f>IFERROR(__xludf.DUMMYFUNCTION("IMPORTRANGE($B$18,$B$19&amp;address(row(E12),column(E12))&amp;"":""&amp;address(row(E12),column(E12)))"),"GK")</f>
        <v>GK</v>
      </c>
      <c r="C2" s="1">
        <f t="shared" ref="C2:C17" si="1">$B$20</f>
        <v>3</v>
      </c>
      <c r="D2" s="2" t="str">
        <f>IFERROR(__xludf.DUMMYFUNCTION("IMPORTRANGE($B$18,$B$19&amp;address(row($I$3),column($I$3))&amp;"":""&amp;address(row($I$3),column($I$3)))"),"Fulham Compton Old Boys 2s")</f>
        <v>Fulham Compton Old Boys 2s</v>
      </c>
      <c r="E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2" s="2" t="str">
        <f>IFERROR(__xludf.DUMMYFUNCTION("IMPORTRANGE($B$18,$B$19&amp;address(row(I12),column(I12))&amp;"":""&amp;address(row(I12),column(I12)))"),"")</f>
        <v/>
      </c>
      <c r="G2" s="2" t="str">
        <f>IFERROR(__xludf.DUMMYFUNCTION("IMPORTRANGE($B$18,$B$19&amp;address(row(J12),column(J12))&amp;"":""&amp;address(row(J12),column(J12)))"),"")</f>
        <v/>
      </c>
      <c r="H2" s="1">
        <f>IFERROR(__xludf.DUMMYFUNCTION("IMPORTRANGE($B$18,$B$19&amp;address(row($I$7),column($I$7))&amp;"":""&amp;address(row($I$7),column($I$7)))"),1.0)</f>
        <v>1</v>
      </c>
      <c r="I2" s="2" t="str">
        <f>IFERROR(__xludf.DUMMYFUNCTION("IMPORTRANGE($B$18,$B$19&amp;address(row(N12),column(N12))&amp;"":""&amp;address(row(N12),column(N12)))"),"")</f>
        <v/>
      </c>
      <c r="J2" s="2" t="str">
        <f>IFERROR(__xludf.DUMMYFUNCTION("IMPORTRANGE($B$18,$B$19&amp;address(row(O12),column(O12))&amp;"":""&amp;address(row(O12),column(O12)))"),"")</f>
        <v/>
      </c>
      <c r="K2" s="2" t="str">
        <f>IFERROR(__xludf.DUMMYFUNCTION("IMPORTRANGE($B$18,$B$19&amp;address(row(P12),column(P12))&amp;"":""&amp;address(row(P12),column(P12)))"),"")</f>
        <v/>
      </c>
      <c r="L2" s="2" t="b">
        <f t="shared" ref="L2:L17" si="2">H2=0</f>
        <v>0</v>
      </c>
      <c r="M2" s="2" t="str">
        <f>IFERROR(__xludf.DUMMYFUNCTION("IMPORTRANGE($B$18,$B$19&amp;address(row(L12),column(L12))&amp;"":""&amp;address(row(L12),column(L12)))"),"")</f>
        <v/>
      </c>
      <c r="N2" s="2" t="str">
        <f>IFERROR(__xludf.DUMMYFUNCTION("IMPORTRANGE($B$18,$B$19&amp;address(row(K12),column(K12))&amp;"":""&amp;address(row(K12),column(K12)))"),"")</f>
        <v/>
      </c>
      <c r="O2" s="2" t="str">
        <f>IFERROR(__xludf.DUMMYFUNCTION("IMPORTRANGE($B$18,$B$19&amp;address(row(M12),column(M12))&amp;"":""&amp;address(row(M12),column(M12)))"),"")</f>
        <v/>
      </c>
      <c r="P2" s="2">
        <f>IFERROR(__xludf.DUMMYFUNCTION("IF(IMPORTRANGE($B$18,$B$19&amp;address(row($Q$7),column($Q$7))&amp;"":""&amp;address(row($Q$7),column($Q$7)))=A2,1,0)"),0.0)</f>
        <v>0</v>
      </c>
      <c r="Q2" s="2" t="b">
        <f>IFERROR(__xludf.DUMMYFUNCTION("IMPORTRANGE($B$18,$B$19&amp;address(row(G12),column(G12))&amp;"":""&amp;address(row(G12),column(G12)))"),FALSE)</f>
        <v>0</v>
      </c>
      <c r="R2" s="2">
        <f>IFERROR(__xludf.DUMMYFUNCTION("IMPORTRANGE($B$18,$B$19&amp;address(row(H12),column(H12))&amp;"":""&amp;address(row(H12),column(H12)))"),0.0)</f>
        <v>0</v>
      </c>
      <c r="S2" s="2">
        <f>IFERROR(__xludf.DUMMYFUNCTION("IMPORTRANGE($B$18,$B$19&amp;address(row(S12),column(S12))&amp;"":""&amp;address(row(S12),column(S12)))"),7.0)</f>
        <v>7</v>
      </c>
      <c r="T2" s="2" t="str">
        <f>IFERROR(__xludf.DUMMYFUNCTION("IMPORTRANGE($B$18,$B$19&amp;address(row(T12),column(T12))&amp;"":""&amp;address(row(T12),column(T12)))"),"Clean sheet for when he was in goal and all round good showing. Very nervous when he has the ball sometimes but only one mistake in palming the ball down to the striker but made up for it with incredible save.")</f>
        <v>Clean sheet for when he was in goal and all round good showing. Very nervous when he has the ball sometimes but only one mistake in palming the ball down to the striker but made up for it with incredible save.</v>
      </c>
      <c r="U2" s="2" t="str">
        <f>IFERROR(__xludf.DUMMYFUNCTION("IMPORTRANGE($B$18,$B$19&amp;address(row($T$4),column($T$4))&amp;"":""&amp;address(row($T$4),column($T$4)))"),"4-3-3")</f>
        <v>4-3-3</v>
      </c>
      <c r="V2"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2" s="2">
        <f>IFERROR(__xludf.DUMMYFUNCTION("IMPORTRANGE($B$18,$B$19&amp;address(row($H$7),column($H$7))&amp;"":""&amp;address(row($H$7),column($H$7)))"),2.0)</f>
        <v>2</v>
      </c>
      <c r="X2" s="2">
        <f>IFERROR(__xludf.DUMMYFUNCTION("IMPORTRANGE($B$18,$B$19&amp;address(row($I$7),column($I$7))&amp;"":""&amp;address(row($I$7),column($I$7)))"),1.0)</f>
        <v>1</v>
      </c>
      <c r="Y2" s="2" t="str">
        <f>IFERROR(__xludf.DUMMYFUNCTION("IMPORTRANGE($B$18,$B$19&amp;address(row($C$5),column($C$5))&amp;"":""&amp;address(row($C$5),column($C$5)))"),"-")</f>
        <v>-</v>
      </c>
      <c r="Z2" s="86">
        <f>IFERROR(__xludf.DUMMYFUNCTION("IMPORTRANGE($B$18,$B$19&amp;address(row($I$4),column($I$4))&amp;"":""&amp;address(row($I$4),column($I$4)))"),45395.0)</f>
        <v>45395</v>
      </c>
      <c r="AA2" s="2" t="b">
        <f t="shared" ref="AA2:AA17" si="3">NOT(ISBLANK(A2))</f>
        <v>1</v>
      </c>
    </row>
    <row r="3">
      <c r="A3" s="2" t="str">
        <f>IFERROR(__xludf.DUMMYFUNCTION("IMPORTRANGE($B$18,$B$19&amp;address(row(B13),column(B13))&amp;"":""&amp;address(row(B13),column(B13)))"),"Joe Vincent")</f>
        <v>Joe Vincent</v>
      </c>
      <c r="B3" s="2" t="str">
        <f>IFERROR(__xludf.DUMMYFUNCTION("IMPORTRANGE($B$18,$B$19&amp;address(row(E13),column(E13))&amp;"":""&amp;address(row(E13),column(E13)))"),"CB")</f>
        <v>CB</v>
      </c>
      <c r="C3" s="1">
        <f t="shared" si="1"/>
        <v>3</v>
      </c>
      <c r="D3" s="2" t="str">
        <f>IFERROR(__xludf.DUMMYFUNCTION("IMPORTRANGE($B$18,$B$19&amp;address(row($I$3),column($I$3))&amp;"":""&amp;address(row($I$3),column($I$3)))"),"Fulham Compton Old Boys 2s")</f>
        <v>Fulham Compton Old Boys 2s</v>
      </c>
      <c r="E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3" s="2" t="str">
        <f>IFERROR(__xludf.DUMMYFUNCTION("IMPORTRANGE($B$18,$B$19&amp;address(row(I13),column(I13))&amp;"":""&amp;address(row(I13),column(I13)))"),"")</f>
        <v/>
      </c>
      <c r="G3" s="2" t="str">
        <f>IFERROR(__xludf.DUMMYFUNCTION("IMPORTRANGE($B$18,$B$19&amp;address(row(J13),column(J13))&amp;"":""&amp;address(row(J13),column(J13)))"),"")</f>
        <v/>
      </c>
      <c r="H3" s="1">
        <f>IFERROR(__xludf.DUMMYFUNCTION("IMPORTRANGE($B$18,$B$19&amp;address(row($I$7),column($I$7))&amp;"":""&amp;address(row($I$7),column($I$7)))"),1.0)</f>
        <v>1</v>
      </c>
      <c r="I3" s="2" t="str">
        <f>IFERROR(__xludf.DUMMYFUNCTION("IMPORTRANGE($B$18,$B$19&amp;address(row(N13),column(N13))&amp;"":""&amp;address(row(N13),column(N13)))"),"")</f>
        <v/>
      </c>
      <c r="J3" s="2" t="str">
        <f>IFERROR(__xludf.DUMMYFUNCTION("IMPORTRANGE($B$18,$B$19&amp;address(row(O13),column(O13))&amp;"":""&amp;address(row(O13),column(O13)))"),"")</f>
        <v/>
      </c>
      <c r="K3" s="2" t="str">
        <f>IFERROR(__xludf.DUMMYFUNCTION("IMPORTRANGE($B$18,$B$19&amp;address(row(P13),column(P13))&amp;"":""&amp;address(row(P13),column(P13)))"),"")</f>
        <v/>
      </c>
      <c r="L3" s="2" t="b">
        <f t="shared" si="2"/>
        <v>0</v>
      </c>
      <c r="M3" s="2" t="str">
        <f>IFERROR(__xludf.DUMMYFUNCTION("IMPORTRANGE($B$18,$B$19&amp;address(row(L13),column(L13))&amp;"":""&amp;address(row(L13),column(L13)))"),"")</f>
        <v/>
      </c>
      <c r="N3" s="2" t="str">
        <f>IFERROR(__xludf.DUMMYFUNCTION("IMPORTRANGE($B$18,$B$19&amp;address(row(K13),column(K13))&amp;"":""&amp;address(row(K13),column(K13)))"),"")</f>
        <v/>
      </c>
      <c r="O3" s="2" t="str">
        <f>IFERROR(__xludf.DUMMYFUNCTION("IMPORTRANGE($B$18,$B$19&amp;address(row(M13),column(M13))&amp;"":""&amp;address(row(M13),column(M13)))"),"")</f>
        <v/>
      </c>
      <c r="P3" s="2">
        <f>IFERROR(__xludf.DUMMYFUNCTION("IF(IMPORTRANGE($B$18,$B$19&amp;address(row($Q$7),column($Q$7))&amp;"":""&amp;address(row($Q$7),column($Q$7)))=A3,1,0)"),0.0)</f>
        <v>0</v>
      </c>
      <c r="Q3" s="2" t="str">
        <f>IFERROR(__xludf.DUMMYFUNCTION("IMPORTRANGE($B$18,$B$19&amp;address(row(G13),column(G13))&amp;"":""&amp;address(row(G13),column(G13)))"),"")</f>
        <v/>
      </c>
      <c r="R3" s="2">
        <f>IFERROR(__xludf.DUMMYFUNCTION("IMPORTRANGE($B$18,$B$19&amp;address(row(H13),column(H13))&amp;"":""&amp;address(row(H13),column(H13)))"),10.0)</f>
        <v>10</v>
      </c>
      <c r="S3" s="2">
        <f>IFERROR(__xludf.DUMMYFUNCTION("IMPORTRANGE($B$18,$B$19&amp;address(row(S13),column(S13))&amp;"":""&amp;address(row(S13),column(S13)))"),7.0)</f>
        <v>7</v>
      </c>
      <c r="T3" s="2" t="str">
        <f>IFERROR(__xludf.DUMMYFUNCTION("IMPORTRANGE($B$18,$B$19&amp;address(row(T13),column(T13))&amp;"":""&amp;address(row(T13),column(T13)))"),"typical Joe V showing. Nothing too extraordinary but solid and dealt with a lot of long ball.")</f>
        <v>typical Joe V showing. Nothing too extraordinary but solid and dealt with a lot of long ball.</v>
      </c>
      <c r="U3" s="2" t="str">
        <f>IFERROR(__xludf.DUMMYFUNCTION("IMPORTRANGE($B$18,$B$19&amp;address(row($T$4),column($T$4))&amp;"":""&amp;address(row($T$4),column($T$4)))"),"4-3-3")</f>
        <v>4-3-3</v>
      </c>
      <c r="V3"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3" s="2">
        <f>IFERROR(__xludf.DUMMYFUNCTION("IMPORTRANGE($B$18,$B$19&amp;address(row($H$7),column($H$7))&amp;"":""&amp;address(row($H$7),column($H$7)))"),2.0)</f>
        <v>2</v>
      </c>
      <c r="X3" s="2">
        <f>IFERROR(__xludf.DUMMYFUNCTION("IMPORTRANGE($B$18,$B$19&amp;address(row($I$7),column($I$7))&amp;"":""&amp;address(row($I$7),column($I$7)))"),1.0)</f>
        <v>1</v>
      </c>
      <c r="Y3" s="2" t="str">
        <f>IFERROR(__xludf.DUMMYFUNCTION("IMPORTRANGE($B$18,$B$19&amp;address(row($C$5),column($C$5))&amp;"":""&amp;address(row($C$5),column($C$5)))"),"-")</f>
        <v>-</v>
      </c>
      <c r="Z3" s="86">
        <f>IFERROR(__xludf.DUMMYFUNCTION("IMPORTRANGE($B$18,$B$19&amp;address(row($I$4),column($I$4))&amp;"":""&amp;address(row($I$4),column($I$4)))"),45395.0)</f>
        <v>45395</v>
      </c>
      <c r="AA3" s="2" t="b">
        <f t="shared" si="3"/>
        <v>1</v>
      </c>
    </row>
    <row r="4">
      <c r="A4" s="2" t="str">
        <f>IFERROR(__xludf.DUMMYFUNCTION("IMPORTRANGE($B$18,$B$19&amp;address(row(B14),column(B14))&amp;"":""&amp;address(row(B14),column(B14)))"),"Chris Douthwaite")</f>
        <v>Chris Douthwaite</v>
      </c>
      <c r="B4" s="2" t="str">
        <f>IFERROR(__xludf.DUMMYFUNCTION("IMPORTRANGE($B$18,$B$19&amp;address(row(E14),column(E14))&amp;"":""&amp;address(row(E14),column(E14)))"),"CB")</f>
        <v>CB</v>
      </c>
      <c r="C4" s="1">
        <f t="shared" si="1"/>
        <v>3</v>
      </c>
      <c r="D4" s="2" t="str">
        <f>IFERROR(__xludf.DUMMYFUNCTION("IMPORTRANGE($B$18,$B$19&amp;address(row($I$3),column($I$3))&amp;"":""&amp;address(row($I$3),column($I$3)))"),"Fulham Compton Old Boys 2s")</f>
        <v>Fulham Compton Old Boys 2s</v>
      </c>
      <c r="E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4" s="2" t="str">
        <f>IFERROR(__xludf.DUMMYFUNCTION("IMPORTRANGE($B$18,$B$19&amp;address(row(I14),column(I14))&amp;"":""&amp;address(row(I14),column(I14)))"),"")</f>
        <v/>
      </c>
      <c r="G4" s="2" t="str">
        <f>IFERROR(__xludf.DUMMYFUNCTION("IMPORTRANGE($B$18,$B$19&amp;address(row(J14),column(J14))&amp;"":""&amp;address(row(J14),column(J14)))"),"")</f>
        <v/>
      </c>
      <c r="H4" s="1">
        <f>IFERROR(__xludf.DUMMYFUNCTION("IMPORTRANGE($B$18,$B$19&amp;address(row($I$7),column($I$7))&amp;"":""&amp;address(row($I$7),column($I$7)))"),1.0)</f>
        <v>1</v>
      </c>
      <c r="I4" s="2" t="str">
        <f>IFERROR(__xludf.DUMMYFUNCTION("IMPORTRANGE($B$18,$B$19&amp;address(row(N14),column(N14))&amp;"":""&amp;address(row(N14),column(N14)))"),"")</f>
        <v/>
      </c>
      <c r="J4" s="2" t="str">
        <f>IFERROR(__xludf.DUMMYFUNCTION("IMPORTRANGE($B$18,$B$19&amp;address(row(O14),column(O14))&amp;"":""&amp;address(row(O14),column(O14)))"),"")</f>
        <v/>
      </c>
      <c r="K4" s="2" t="str">
        <f>IFERROR(__xludf.DUMMYFUNCTION("IMPORTRANGE($B$18,$B$19&amp;address(row(P14),column(P14))&amp;"":""&amp;address(row(P14),column(P14)))"),"")</f>
        <v/>
      </c>
      <c r="L4" s="2" t="b">
        <f t="shared" si="2"/>
        <v>0</v>
      </c>
      <c r="M4" s="2" t="str">
        <f>IFERROR(__xludf.DUMMYFUNCTION("IMPORTRANGE($B$18,$B$19&amp;address(row(L14),column(L14))&amp;"":""&amp;address(row(L14),column(L14)))"),"")</f>
        <v/>
      </c>
      <c r="N4" s="2" t="str">
        <f>IFERROR(__xludf.DUMMYFUNCTION("IMPORTRANGE($B$18,$B$19&amp;address(row(K14),column(K14))&amp;"":""&amp;address(row(K14),column(K14)))"),"")</f>
        <v/>
      </c>
      <c r="O4" s="2" t="str">
        <f>IFERROR(__xludf.DUMMYFUNCTION("IMPORTRANGE($B$18,$B$19&amp;address(row(M14),column(M14))&amp;"":""&amp;address(row(M14),column(M14)))"),"")</f>
        <v/>
      </c>
      <c r="P4" s="2">
        <f>IFERROR(__xludf.DUMMYFUNCTION("IF(IMPORTRANGE($B$18,$B$19&amp;address(row($Q$7),column($Q$7))&amp;"":""&amp;address(row($Q$7),column($Q$7)))=A4,1,0)"),0.0)</f>
        <v>0</v>
      </c>
      <c r="Q4" s="2" t="str">
        <f>IFERROR(__xludf.DUMMYFUNCTION("IMPORTRANGE($B$18,$B$19&amp;address(row(G14),column(G14))&amp;"":""&amp;address(row(G14),column(G14)))"),"")</f>
        <v/>
      </c>
      <c r="R4" s="2">
        <f>IFERROR(__xludf.DUMMYFUNCTION("IMPORTRANGE($B$18,$B$19&amp;address(row(H14),column(H14))&amp;"":""&amp;address(row(H14),column(H14)))"),10.0)</f>
        <v>10</v>
      </c>
      <c r="S4" s="2">
        <f>IFERROR(__xludf.DUMMYFUNCTION("IMPORTRANGE($B$18,$B$19&amp;address(row(S14),column(S14))&amp;"":""&amp;address(row(S14),column(S14)))"),8.0)</f>
        <v>8</v>
      </c>
      <c r="T4" s="2" t="str">
        <f>IFERROR(__xludf.DUMMYFUNCTION("IMPORTRANGE($B$18,$B$19&amp;address(row(T14),column(T14))&amp;"":""&amp;address(row(T14),column(T14)))"),"Chris has been vital to this season. So instrumental to the success of 3s. Calm on the ball and popped the ball around the team.")</f>
        <v>Chris has been vital to this season. So instrumental to the success of 3s. Calm on the ball and popped the ball around the team.</v>
      </c>
      <c r="U4" s="2" t="str">
        <f>IFERROR(__xludf.DUMMYFUNCTION("IMPORTRANGE($B$18,$B$19&amp;address(row($T$4),column($T$4))&amp;"":""&amp;address(row($T$4),column($T$4)))"),"4-3-3")</f>
        <v>4-3-3</v>
      </c>
      <c r="V4"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4" s="2">
        <f>IFERROR(__xludf.DUMMYFUNCTION("IMPORTRANGE($B$18,$B$19&amp;address(row($H$7),column($H$7))&amp;"":""&amp;address(row($H$7),column($H$7)))"),2.0)</f>
        <v>2</v>
      </c>
      <c r="X4" s="2">
        <f>IFERROR(__xludf.DUMMYFUNCTION("IMPORTRANGE($B$18,$B$19&amp;address(row($I$7),column($I$7))&amp;"":""&amp;address(row($I$7),column($I$7)))"),1.0)</f>
        <v>1</v>
      </c>
      <c r="Y4" s="2" t="str">
        <f>IFERROR(__xludf.DUMMYFUNCTION("IMPORTRANGE($B$18,$B$19&amp;address(row($C$5),column($C$5))&amp;"":""&amp;address(row($C$5),column($C$5)))"),"-")</f>
        <v>-</v>
      </c>
      <c r="Z4" s="86">
        <f>IFERROR(__xludf.DUMMYFUNCTION("IMPORTRANGE($B$18,$B$19&amp;address(row($I$4),column($I$4))&amp;"":""&amp;address(row($I$4),column($I$4)))"),45395.0)</f>
        <v>45395</v>
      </c>
      <c r="AA4" s="2" t="b">
        <f t="shared" si="3"/>
        <v>1</v>
      </c>
    </row>
    <row r="5">
      <c r="A5" s="2" t="str">
        <f>IFERROR(__xludf.DUMMYFUNCTION("IMPORTRANGE($B$18,$B$19&amp;address(row(B15),column(B15))&amp;"":""&amp;address(row(B15),column(B15)))"),"Alex Mansfield")</f>
        <v>Alex Mansfield</v>
      </c>
      <c r="B5" s="2" t="str">
        <f>IFERROR(__xludf.DUMMYFUNCTION("IMPORTRANGE($B$18,$B$19&amp;address(row(E15),column(E15))&amp;"":""&amp;address(row(E15),column(E15)))"),"LW")</f>
        <v>LW</v>
      </c>
      <c r="C5" s="1">
        <f t="shared" si="1"/>
        <v>3</v>
      </c>
      <c r="D5" s="2" t="str">
        <f>IFERROR(__xludf.DUMMYFUNCTION("IMPORTRANGE($B$18,$B$19&amp;address(row($I$3),column($I$3))&amp;"":""&amp;address(row($I$3),column($I$3)))"),"Fulham Compton Old Boys 2s")</f>
        <v>Fulham Compton Old Boys 2s</v>
      </c>
      <c r="E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5" s="2" t="str">
        <f>IFERROR(__xludf.DUMMYFUNCTION("IMPORTRANGE($B$18,$B$19&amp;address(row(I15),column(I15))&amp;"":""&amp;address(row(I15),column(I15)))"),"")</f>
        <v/>
      </c>
      <c r="G5" s="2" t="str">
        <f>IFERROR(__xludf.DUMMYFUNCTION("IMPORTRANGE($B$18,$B$19&amp;address(row(J15),column(J15))&amp;"":""&amp;address(row(J15),column(J15)))"),"")</f>
        <v/>
      </c>
      <c r="H5" s="1">
        <f>IFERROR(__xludf.DUMMYFUNCTION("IMPORTRANGE($B$18,$B$19&amp;address(row($I$7),column($I$7))&amp;"":""&amp;address(row($I$7),column($I$7)))"),1.0)</f>
        <v>1</v>
      </c>
      <c r="I5" s="2" t="str">
        <f>IFERROR(__xludf.DUMMYFUNCTION("IMPORTRANGE($B$18,$B$19&amp;address(row(N15),column(N15))&amp;"":""&amp;address(row(N15),column(N15)))"),"")</f>
        <v/>
      </c>
      <c r="J5" s="2" t="str">
        <f>IFERROR(__xludf.DUMMYFUNCTION("IMPORTRANGE($B$18,$B$19&amp;address(row(O15),column(O15))&amp;"":""&amp;address(row(O15),column(O15)))"),"")</f>
        <v/>
      </c>
      <c r="K5" s="2" t="str">
        <f>IFERROR(__xludf.DUMMYFUNCTION("IMPORTRANGE($B$18,$B$19&amp;address(row(P15),column(P15))&amp;"":""&amp;address(row(P15),column(P15)))"),"")</f>
        <v/>
      </c>
      <c r="L5" s="2" t="b">
        <f t="shared" si="2"/>
        <v>0</v>
      </c>
      <c r="M5" s="2" t="str">
        <f>IFERROR(__xludf.DUMMYFUNCTION("IMPORTRANGE($B$18,$B$19&amp;address(row(L15),column(L15))&amp;"":""&amp;address(row(L15),column(L15)))"),"")</f>
        <v/>
      </c>
      <c r="N5" s="2" t="str">
        <f>IFERROR(__xludf.DUMMYFUNCTION("IMPORTRANGE($B$18,$B$19&amp;address(row(K15),column(K15))&amp;"":""&amp;address(row(K15),column(K15)))"),"")</f>
        <v/>
      </c>
      <c r="O5" s="2" t="str">
        <f>IFERROR(__xludf.DUMMYFUNCTION("IMPORTRANGE($B$18,$B$19&amp;address(row(M15),column(M15))&amp;"":""&amp;address(row(M15),column(M15)))"),"")</f>
        <v/>
      </c>
      <c r="P5" s="2">
        <f>IFERROR(__xludf.DUMMYFUNCTION("IF(IMPORTRANGE($B$18,$B$19&amp;address(row($Q$7),column($Q$7))&amp;"":""&amp;address(row($Q$7),column($Q$7)))=A5,1,0)"),0.0)</f>
        <v>0</v>
      </c>
      <c r="Q5" s="2" t="str">
        <f>IFERROR(__xludf.DUMMYFUNCTION("IMPORTRANGE($B$18,$B$19&amp;address(row(G15),column(G15))&amp;"":""&amp;address(row(G15),column(G15)))"),"")</f>
        <v/>
      </c>
      <c r="R5" s="2">
        <f>IFERROR(__xludf.DUMMYFUNCTION("IMPORTRANGE($B$18,$B$19&amp;address(row(H15),column(H15))&amp;"":""&amp;address(row(H15),column(H15)))"),10.0)</f>
        <v>10</v>
      </c>
      <c r="S5" s="2">
        <f>IFERROR(__xludf.DUMMYFUNCTION("IMPORTRANGE($B$18,$B$19&amp;address(row(S15),column(S15))&amp;"":""&amp;address(row(S15),column(S15)))"),8.0)</f>
        <v>8</v>
      </c>
      <c r="T5" s="2" t="str">
        <f>IFERROR(__xludf.DUMMYFUNCTION("IMPORTRANGE($B$18,$B$19&amp;address(row(T15),column(T15))&amp;"":""&amp;address(row(T15),column(T15)))"),"Did a solid dropping to the 3s and at times was devastating. Running and breaking lines. I think he is much better suited to 3s based on reviews but can see why he's in the 2s.")</f>
        <v>Did a solid dropping to the 3s and at times was devastating. Running and breaking lines. I think he is much better suited to 3s based on reviews but can see why he's in the 2s.</v>
      </c>
      <c r="U5" s="2" t="str">
        <f>IFERROR(__xludf.DUMMYFUNCTION("IMPORTRANGE($B$18,$B$19&amp;address(row($T$4),column($T$4))&amp;"":""&amp;address(row($T$4),column($T$4)))"),"4-3-3")</f>
        <v>4-3-3</v>
      </c>
      <c r="V5"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5" s="2">
        <f>IFERROR(__xludf.DUMMYFUNCTION("IMPORTRANGE($B$18,$B$19&amp;address(row($H$7),column($H$7))&amp;"":""&amp;address(row($H$7),column($H$7)))"),2.0)</f>
        <v>2</v>
      </c>
      <c r="X5" s="2">
        <f>IFERROR(__xludf.DUMMYFUNCTION("IMPORTRANGE($B$18,$B$19&amp;address(row($I$7),column($I$7))&amp;"":""&amp;address(row($I$7),column($I$7)))"),1.0)</f>
        <v>1</v>
      </c>
      <c r="Y5" s="2" t="str">
        <f>IFERROR(__xludf.DUMMYFUNCTION("IMPORTRANGE($B$18,$B$19&amp;address(row($C$5),column($C$5))&amp;"":""&amp;address(row($C$5),column($C$5)))"),"-")</f>
        <v>-</v>
      </c>
      <c r="Z5" s="86">
        <f>IFERROR(__xludf.DUMMYFUNCTION("IMPORTRANGE($B$18,$B$19&amp;address(row($I$4),column($I$4))&amp;"":""&amp;address(row($I$4),column($I$4)))"),45395.0)</f>
        <v>45395</v>
      </c>
      <c r="AA5" s="2" t="b">
        <f t="shared" si="3"/>
        <v>1</v>
      </c>
    </row>
    <row r="6">
      <c r="A6" s="2" t="str">
        <f>IFERROR(__xludf.DUMMYFUNCTION("IMPORTRANGE($B$18,$B$19&amp;address(row(B16),column(B16))&amp;"":""&amp;address(row(B16),column(B16)))"),"Ismail Wall")</f>
        <v>Ismail Wall</v>
      </c>
      <c r="B6" s="2" t="str">
        <f>IFERROR(__xludf.DUMMYFUNCTION("IMPORTRANGE($B$18,$B$19&amp;address(row(E16),column(E16))&amp;"":""&amp;address(row(E16),column(E16)))"),"RB")</f>
        <v>RB</v>
      </c>
      <c r="C6" s="1">
        <f t="shared" si="1"/>
        <v>3</v>
      </c>
      <c r="D6" s="2" t="str">
        <f>IFERROR(__xludf.DUMMYFUNCTION("IMPORTRANGE($B$18,$B$19&amp;address(row($I$3),column($I$3))&amp;"":""&amp;address(row($I$3),column($I$3)))"),"Fulham Compton Old Boys 2s")</f>
        <v>Fulham Compton Old Boys 2s</v>
      </c>
      <c r="E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6" s="2" t="str">
        <f>IFERROR(__xludf.DUMMYFUNCTION("IMPORTRANGE($B$18,$B$19&amp;address(row(I16),column(I16))&amp;"":""&amp;address(row(I16),column(I16)))"),"")</f>
        <v/>
      </c>
      <c r="G6" s="2" t="str">
        <f>IFERROR(__xludf.DUMMYFUNCTION("IMPORTRANGE($B$18,$B$19&amp;address(row(J16),column(J16))&amp;"":""&amp;address(row(J16),column(J16)))"),"")</f>
        <v/>
      </c>
      <c r="H6" s="1">
        <f>IFERROR(__xludf.DUMMYFUNCTION("IMPORTRANGE($B$18,$B$19&amp;address(row($I$7),column($I$7))&amp;"":""&amp;address(row($I$7),column($I$7)))"),1.0)</f>
        <v>1</v>
      </c>
      <c r="I6" s="2" t="str">
        <f>IFERROR(__xludf.DUMMYFUNCTION("IMPORTRANGE($B$18,$B$19&amp;address(row(N16),column(N16))&amp;"":""&amp;address(row(N16),column(N16)))"),"")</f>
        <v/>
      </c>
      <c r="J6" s="2" t="str">
        <f>IFERROR(__xludf.DUMMYFUNCTION("IMPORTRANGE($B$18,$B$19&amp;address(row(O16),column(O16))&amp;"":""&amp;address(row(O16),column(O16)))"),"")</f>
        <v/>
      </c>
      <c r="K6" s="2" t="str">
        <f>IFERROR(__xludf.DUMMYFUNCTION("IMPORTRANGE($B$18,$B$19&amp;address(row(P16),column(P16))&amp;"":""&amp;address(row(P16),column(P16)))"),"")</f>
        <v/>
      </c>
      <c r="L6" s="2" t="b">
        <f t="shared" si="2"/>
        <v>0</v>
      </c>
      <c r="M6" s="2" t="str">
        <f>IFERROR(__xludf.DUMMYFUNCTION("IMPORTRANGE($B$18,$B$19&amp;address(row(L16),column(L16))&amp;"":""&amp;address(row(L16),column(L16)))"),"")</f>
        <v/>
      </c>
      <c r="N6" s="2" t="str">
        <f>IFERROR(__xludf.DUMMYFUNCTION("IMPORTRANGE($B$18,$B$19&amp;address(row(K16),column(K16))&amp;"":""&amp;address(row(K16),column(K16)))"),"")</f>
        <v/>
      </c>
      <c r="O6" s="2" t="str">
        <f>IFERROR(__xludf.DUMMYFUNCTION("IMPORTRANGE($B$18,$B$19&amp;address(row(M16),column(M16))&amp;"":""&amp;address(row(M16),column(M16)))"),"")</f>
        <v/>
      </c>
      <c r="P6" s="2">
        <f>IFERROR(__xludf.DUMMYFUNCTION("IF(IMPORTRANGE($B$18,$B$19&amp;address(row($Q$7),column($Q$7))&amp;"":""&amp;address(row($Q$7),column($Q$7)))=A6,1,0)"),0.0)</f>
        <v>0</v>
      </c>
      <c r="Q6" s="2" t="str">
        <f>IFERROR(__xludf.DUMMYFUNCTION("IMPORTRANGE($B$18,$B$19&amp;address(row(G16),column(G16))&amp;"":""&amp;address(row(G16),column(G16)))"),"")</f>
        <v/>
      </c>
      <c r="R6" s="2">
        <f>IFERROR(__xludf.DUMMYFUNCTION("IMPORTRANGE($B$18,$B$19&amp;address(row(H16),column(H16))&amp;"":""&amp;address(row(H16),column(H16)))"),5.0)</f>
        <v>5</v>
      </c>
      <c r="S6" s="2">
        <f>IFERROR(__xludf.DUMMYFUNCTION("IMPORTRANGE($B$18,$B$19&amp;address(row(S16),column(S16))&amp;"":""&amp;address(row(S16),column(S16)))"),8.0)</f>
        <v>8</v>
      </c>
      <c r="T6" s="2" t="str">
        <f>IFERROR(__xludf.DUMMYFUNCTION("IMPORTRANGE($B$18,$B$19&amp;address(row(T16),column(T16))&amp;"":""&amp;address(row(T16),column(T16)))"),"Such a better performance this week than last. again played against Mo Kennou and pocketed him for 90 mins.")</f>
        <v>Such a better performance this week than last. again played against Mo Kennou and pocketed him for 90 mins.</v>
      </c>
      <c r="U6" s="2" t="str">
        <f>IFERROR(__xludf.DUMMYFUNCTION("IMPORTRANGE($B$18,$B$19&amp;address(row($T$4),column($T$4))&amp;"":""&amp;address(row($T$4),column($T$4)))"),"4-3-3")</f>
        <v>4-3-3</v>
      </c>
      <c r="V6"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6" s="2">
        <f>IFERROR(__xludf.DUMMYFUNCTION("IMPORTRANGE($B$18,$B$19&amp;address(row($H$7),column($H$7))&amp;"":""&amp;address(row($H$7),column($H$7)))"),2.0)</f>
        <v>2</v>
      </c>
      <c r="X6" s="2">
        <f>IFERROR(__xludf.DUMMYFUNCTION("IMPORTRANGE($B$18,$B$19&amp;address(row($I$7),column($I$7))&amp;"":""&amp;address(row($I$7),column($I$7)))"),1.0)</f>
        <v>1</v>
      </c>
      <c r="Y6" s="2" t="str">
        <f>IFERROR(__xludf.DUMMYFUNCTION("IMPORTRANGE($B$18,$B$19&amp;address(row($C$5),column($C$5))&amp;"":""&amp;address(row($C$5),column($C$5)))"),"-")</f>
        <v>-</v>
      </c>
      <c r="Z6" s="86">
        <f>IFERROR(__xludf.DUMMYFUNCTION("IMPORTRANGE($B$18,$B$19&amp;address(row($I$4),column($I$4))&amp;"":""&amp;address(row($I$4),column($I$4)))"),45395.0)</f>
        <v>45395</v>
      </c>
      <c r="AA6" s="2" t="b">
        <f t="shared" si="3"/>
        <v>1</v>
      </c>
    </row>
    <row r="7">
      <c r="A7" s="2" t="str">
        <f>IFERROR(__xludf.DUMMYFUNCTION("IMPORTRANGE($B$18,$B$19&amp;address(row(B17),column(B17))&amp;"":""&amp;address(row(B17),column(B17)))"),"Dan Russell")</f>
        <v>Dan Russell</v>
      </c>
      <c r="B7" s="2" t="str">
        <f>IFERROR(__xludf.DUMMYFUNCTION("IMPORTRANGE($B$18,$B$19&amp;address(row(E17),column(E17))&amp;"":""&amp;address(row(E17),column(E17)))"),"CM")</f>
        <v>CM</v>
      </c>
      <c r="C7" s="1">
        <f t="shared" si="1"/>
        <v>3</v>
      </c>
      <c r="D7" s="2" t="str">
        <f>IFERROR(__xludf.DUMMYFUNCTION("IMPORTRANGE($B$18,$B$19&amp;address(row($I$3),column($I$3))&amp;"":""&amp;address(row($I$3),column($I$3)))"),"Fulham Compton Old Boys 2s")</f>
        <v>Fulham Compton Old Boys 2s</v>
      </c>
      <c r="E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7" s="2" t="str">
        <f>IFERROR(__xludf.DUMMYFUNCTION("IMPORTRANGE($B$18,$B$19&amp;address(row(I17),column(I17))&amp;"":""&amp;address(row(I17),column(I17)))"),"")</f>
        <v/>
      </c>
      <c r="G7" s="2" t="str">
        <f>IFERROR(__xludf.DUMMYFUNCTION("IMPORTRANGE($B$18,$B$19&amp;address(row(J17),column(J17))&amp;"":""&amp;address(row(J17),column(J17)))"),"")</f>
        <v/>
      </c>
      <c r="H7" s="1">
        <f>IFERROR(__xludf.DUMMYFUNCTION("IMPORTRANGE($B$18,$B$19&amp;address(row($I$7),column($I$7))&amp;"":""&amp;address(row($I$7),column($I$7)))"),1.0)</f>
        <v>1</v>
      </c>
      <c r="I7" s="2" t="str">
        <f>IFERROR(__xludf.DUMMYFUNCTION("IMPORTRANGE($B$18,$B$19&amp;address(row(N17),column(N17))&amp;"":""&amp;address(row(N17),column(N17)))"),"")</f>
        <v/>
      </c>
      <c r="J7" s="2" t="str">
        <f>IFERROR(__xludf.DUMMYFUNCTION("IMPORTRANGE($B$18,$B$19&amp;address(row(O17),column(O17))&amp;"":""&amp;address(row(O17),column(O17)))"),"")</f>
        <v/>
      </c>
      <c r="K7" s="2" t="str">
        <f>IFERROR(__xludf.DUMMYFUNCTION("IMPORTRANGE($B$18,$B$19&amp;address(row(P17),column(P17))&amp;"":""&amp;address(row(P17),column(P17)))"),"")</f>
        <v/>
      </c>
      <c r="L7" s="2" t="b">
        <f t="shared" si="2"/>
        <v>0</v>
      </c>
      <c r="M7" s="2" t="str">
        <f>IFERROR(__xludf.DUMMYFUNCTION("IMPORTRANGE($B$18,$B$19&amp;address(row(L17),column(L17))&amp;"":""&amp;address(row(L17),column(L17)))"),"")</f>
        <v/>
      </c>
      <c r="N7" s="2" t="str">
        <f>IFERROR(__xludf.DUMMYFUNCTION("IMPORTRANGE($B$18,$B$19&amp;address(row(K17),column(K17))&amp;"":""&amp;address(row(K17),column(K17)))"),"")</f>
        <v/>
      </c>
      <c r="O7" s="2" t="str">
        <f>IFERROR(__xludf.DUMMYFUNCTION("IMPORTRANGE($B$18,$B$19&amp;address(row(M17),column(M17))&amp;"":""&amp;address(row(M17),column(M17)))"),"")</f>
        <v/>
      </c>
      <c r="P7" s="2">
        <f>IFERROR(__xludf.DUMMYFUNCTION("IF(IMPORTRANGE($B$18,$B$19&amp;address(row($Q$7),column($Q$7))&amp;"":""&amp;address(row($Q$7),column($Q$7)))=A7,1,0)"),0.0)</f>
        <v>0</v>
      </c>
      <c r="Q7" s="2" t="str">
        <f>IFERROR(__xludf.DUMMYFUNCTION("IMPORTRANGE($B$18,$B$19&amp;address(row(G17),column(G17))&amp;"":""&amp;address(row(G17),column(G17)))"),"")</f>
        <v/>
      </c>
      <c r="R7" s="2">
        <f>IFERROR(__xludf.DUMMYFUNCTION("IMPORTRANGE($B$18,$B$19&amp;address(row(H17),column(H17))&amp;"":""&amp;address(row(H17),column(H17)))"),5.0)</f>
        <v>5</v>
      </c>
      <c r="S7" s="2">
        <f>IFERROR(__xludf.DUMMYFUNCTION("IMPORTRANGE($B$18,$B$19&amp;address(row(S17),column(S17))&amp;"":""&amp;address(row(S17),column(S17)))"),8.0)</f>
        <v>8</v>
      </c>
      <c r="T7" s="2" t="str">
        <f>IFERROR(__xludf.DUMMYFUNCTION("IMPORTRANGE($B$18,$B$19&amp;address(row(T17),column(T17))&amp;"":""&amp;address(row(T17),column(T17)))"),"Similar to Alex M and having them both is chaos. Broke lines played incisive passing.")</f>
        <v>Similar to Alex M and having them both is chaos. Broke lines played incisive passing.</v>
      </c>
      <c r="U7" s="2" t="str">
        <f>IFERROR(__xludf.DUMMYFUNCTION("IMPORTRANGE($B$18,$B$19&amp;address(row($T$4),column($T$4))&amp;"":""&amp;address(row($T$4),column($T$4)))"),"4-3-3")</f>
        <v>4-3-3</v>
      </c>
      <c r="V7"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7" s="2">
        <f>IFERROR(__xludf.DUMMYFUNCTION("IMPORTRANGE($B$18,$B$19&amp;address(row($H$7),column($H$7))&amp;"":""&amp;address(row($H$7),column($H$7)))"),2.0)</f>
        <v>2</v>
      </c>
      <c r="X7" s="2">
        <f>IFERROR(__xludf.DUMMYFUNCTION("IMPORTRANGE($B$18,$B$19&amp;address(row($I$7),column($I$7))&amp;"":""&amp;address(row($I$7),column($I$7)))"),1.0)</f>
        <v>1</v>
      </c>
      <c r="Y7" s="2" t="str">
        <f>IFERROR(__xludf.DUMMYFUNCTION("IMPORTRANGE($B$18,$B$19&amp;address(row($C$5),column($C$5))&amp;"":""&amp;address(row($C$5),column($C$5)))"),"-")</f>
        <v>-</v>
      </c>
      <c r="Z7" s="86">
        <f>IFERROR(__xludf.DUMMYFUNCTION("IMPORTRANGE($B$18,$B$19&amp;address(row($I$4),column($I$4))&amp;"":""&amp;address(row($I$4),column($I$4)))"),45395.0)</f>
        <v>45395</v>
      </c>
      <c r="AA7" s="2" t="b">
        <f t="shared" si="3"/>
        <v>1</v>
      </c>
    </row>
    <row r="8">
      <c r="A8" s="2" t="str">
        <f>IFERROR(__xludf.DUMMYFUNCTION("IMPORTRANGE($B$18,$B$19&amp;address(row(B18),column(B18))&amp;"":""&amp;address(row(B18),column(B18)))"),"Nathan Baverstock")</f>
        <v>Nathan Baverstock</v>
      </c>
      <c r="B8" s="2" t="str">
        <f>IFERROR(__xludf.DUMMYFUNCTION("IMPORTRANGE($B$18,$B$19&amp;address(row(E18),column(E18))&amp;"":""&amp;address(row(E18),column(E18)))"),"Cm")</f>
        <v>Cm</v>
      </c>
      <c r="C8" s="1">
        <f t="shared" si="1"/>
        <v>3</v>
      </c>
      <c r="D8" s="2" t="str">
        <f>IFERROR(__xludf.DUMMYFUNCTION("IMPORTRANGE($B$18,$B$19&amp;address(row($I$3),column($I$3))&amp;"":""&amp;address(row($I$3),column($I$3)))"),"Fulham Compton Old Boys 2s")</f>
        <v>Fulham Compton Old Boys 2s</v>
      </c>
      <c r="E8"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8" s="2" t="str">
        <f>IFERROR(__xludf.DUMMYFUNCTION("IMPORTRANGE($B$18,$B$19&amp;address(row(I18),column(I18))&amp;"":""&amp;address(row(I18),column(I18)))"),"")</f>
        <v/>
      </c>
      <c r="G8" s="2" t="str">
        <f>IFERROR(__xludf.DUMMYFUNCTION("IMPORTRANGE($B$18,$B$19&amp;address(row(J18),column(J18))&amp;"":""&amp;address(row(J18),column(J18)))"),"")</f>
        <v/>
      </c>
      <c r="H8" s="1">
        <f>IFERROR(__xludf.DUMMYFUNCTION("IMPORTRANGE($B$18,$B$19&amp;address(row($I$7),column($I$7))&amp;"":""&amp;address(row($I$7),column($I$7)))"),1.0)</f>
        <v>1</v>
      </c>
      <c r="I8" s="2" t="str">
        <f>IFERROR(__xludf.DUMMYFUNCTION("IMPORTRANGE($B$18,$B$19&amp;address(row(N18),column(N18))&amp;"":""&amp;address(row(N18),column(N18)))"),"")</f>
        <v/>
      </c>
      <c r="J8" s="2" t="str">
        <f>IFERROR(__xludf.DUMMYFUNCTION("IMPORTRANGE($B$18,$B$19&amp;address(row(O18),column(O18))&amp;"":""&amp;address(row(O18),column(O18)))"),"")</f>
        <v/>
      </c>
      <c r="K8" s="2" t="str">
        <f>IFERROR(__xludf.DUMMYFUNCTION("IMPORTRANGE($B$18,$B$19&amp;address(row(P18),column(P18))&amp;"":""&amp;address(row(P18),column(P18)))"),"")</f>
        <v/>
      </c>
      <c r="L8" s="2" t="b">
        <f t="shared" si="2"/>
        <v>0</v>
      </c>
      <c r="M8" s="2" t="str">
        <f>IFERROR(__xludf.DUMMYFUNCTION("IMPORTRANGE($B$18,$B$19&amp;address(row(L18),column(L18))&amp;"":""&amp;address(row(L18),column(L18)))"),"")</f>
        <v/>
      </c>
      <c r="N8" s="2" t="str">
        <f>IFERROR(__xludf.DUMMYFUNCTION("IMPORTRANGE($B$18,$B$19&amp;address(row(K18),column(K18))&amp;"":""&amp;address(row(K18),column(K18)))"),"")</f>
        <v/>
      </c>
      <c r="O8" s="2" t="str">
        <f>IFERROR(__xludf.DUMMYFUNCTION("IMPORTRANGE($B$18,$B$19&amp;address(row(M18),column(M18))&amp;"":""&amp;address(row(M18),column(M18)))"),"")</f>
        <v/>
      </c>
      <c r="P8" s="2">
        <f>IFERROR(__xludf.DUMMYFUNCTION("IF(IMPORTRANGE($B$18,$B$19&amp;address(row($Q$7),column($Q$7))&amp;"":""&amp;address(row($Q$7),column($Q$7)))=A8,1,0)"),0.0)</f>
        <v>0</v>
      </c>
      <c r="Q8" s="2" t="str">
        <f>IFERROR(__xludf.DUMMYFUNCTION("IMPORTRANGE($B$18,$B$19&amp;address(row(G18),column(G18))&amp;"":""&amp;address(row(G18),column(G18)))"),"")</f>
        <v/>
      </c>
      <c r="R8" s="2">
        <f>IFERROR(__xludf.DUMMYFUNCTION("IMPORTRANGE($B$18,$B$19&amp;address(row(H18),column(H18))&amp;"":""&amp;address(row(H18),column(H18)))"),3.0)</f>
        <v>3</v>
      </c>
      <c r="S8" s="2">
        <f>IFERROR(__xludf.DUMMYFUNCTION("IMPORTRANGE($B$18,$B$19&amp;address(row(S18),column(S18))&amp;"":""&amp;address(row(S18),column(S18)))"),6.0)</f>
        <v>6</v>
      </c>
      <c r="T8" s="2" t="str">
        <f>IFERROR(__xludf.DUMMYFUNCTION("IMPORTRANGE($B$18,$B$19&amp;address(row(T18),column(T18))&amp;"":""&amp;address(row(T18),column(T18)))"),"Got injured at 30 mins mark, hopefully back for Woking.")</f>
        <v>Got injured at 30 mins mark, hopefully back for Woking.</v>
      </c>
      <c r="U8" s="2" t="str">
        <f>IFERROR(__xludf.DUMMYFUNCTION("IMPORTRANGE($B$18,$B$19&amp;address(row($T$4),column($T$4))&amp;"":""&amp;address(row($T$4),column($T$4)))"),"4-3-3")</f>
        <v>4-3-3</v>
      </c>
      <c r="V8"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8" s="2">
        <f>IFERROR(__xludf.DUMMYFUNCTION("IMPORTRANGE($B$18,$B$19&amp;address(row($H$7),column($H$7))&amp;"":""&amp;address(row($H$7),column($H$7)))"),2.0)</f>
        <v>2</v>
      </c>
      <c r="X8" s="2">
        <f>IFERROR(__xludf.DUMMYFUNCTION("IMPORTRANGE($B$18,$B$19&amp;address(row($I$7),column($I$7))&amp;"":""&amp;address(row($I$7),column($I$7)))"),1.0)</f>
        <v>1</v>
      </c>
      <c r="Y8" s="2" t="str">
        <f>IFERROR(__xludf.DUMMYFUNCTION("IMPORTRANGE($B$18,$B$19&amp;address(row($C$5),column($C$5))&amp;"":""&amp;address(row($C$5),column($C$5)))"),"-")</f>
        <v>-</v>
      </c>
      <c r="Z8" s="86">
        <f>IFERROR(__xludf.DUMMYFUNCTION("IMPORTRANGE($B$18,$B$19&amp;address(row($I$4),column($I$4))&amp;"":""&amp;address(row($I$4),column($I$4)))"),45395.0)</f>
        <v>45395</v>
      </c>
      <c r="AA8" s="2" t="b">
        <f t="shared" si="3"/>
        <v>1</v>
      </c>
    </row>
    <row r="9">
      <c r="A9" s="2" t="str">
        <f>IFERROR(__xludf.DUMMYFUNCTION("IMPORTRANGE($B$18,$B$19&amp;address(row(B19),column(B19))&amp;"":""&amp;address(row(B19),column(B19)))"),"Will French")</f>
        <v>Will French</v>
      </c>
      <c r="B9" s="2" t="str">
        <f>IFERROR(__xludf.DUMMYFUNCTION("IMPORTRANGE($B$18,$B$19&amp;address(row(E19),column(E19))&amp;"":""&amp;address(row(E19),column(E19)))"),"CM")</f>
        <v>CM</v>
      </c>
      <c r="C9" s="1">
        <f t="shared" si="1"/>
        <v>3</v>
      </c>
      <c r="D9" s="2" t="str">
        <f>IFERROR(__xludf.DUMMYFUNCTION("IMPORTRANGE($B$18,$B$19&amp;address(row($I$3),column($I$3))&amp;"":""&amp;address(row($I$3),column($I$3)))"),"Fulham Compton Old Boys 2s")</f>
        <v>Fulham Compton Old Boys 2s</v>
      </c>
      <c r="E9"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9" s="2" t="str">
        <f>IFERROR(__xludf.DUMMYFUNCTION("IMPORTRANGE($B$18,$B$19&amp;address(row(I19),column(I19))&amp;"":""&amp;address(row(I19),column(I19)))"),"")</f>
        <v/>
      </c>
      <c r="G9" s="2">
        <f>IFERROR(__xludf.DUMMYFUNCTION("IMPORTRANGE($B$18,$B$19&amp;address(row(J19),column(J19))&amp;"":""&amp;address(row(J19),column(J19)))"),2.0)</f>
        <v>2</v>
      </c>
      <c r="H9" s="1">
        <f>IFERROR(__xludf.DUMMYFUNCTION("IMPORTRANGE($B$18,$B$19&amp;address(row($I$7),column($I$7))&amp;"":""&amp;address(row($I$7),column($I$7)))"),1.0)</f>
        <v>1</v>
      </c>
      <c r="I9" s="2" t="str">
        <f>IFERROR(__xludf.DUMMYFUNCTION("IMPORTRANGE($B$18,$B$19&amp;address(row(N19),column(N19))&amp;"":""&amp;address(row(N19),column(N19)))"),"")</f>
        <v/>
      </c>
      <c r="J9" s="2" t="str">
        <f>IFERROR(__xludf.DUMMYFUNCTION("IMPORTRANGE($B$18,$B$19&amp;address(row(O19),column(O19))&amp;"":""&amp;address(row(O19),column(O19)))"),"")</f>
        <v/>
      </c>
      <c r="K9" s="2" t="str">
        <f>IFERROR(__xludf.DUMMYFUNCTION("IMPORTRANGE($B$18,$B$19&amp;address(row(P19),column(P19))&amp;"":""&amp;address(row(P19),column(P19)))"),"")</f>
        <v/>
      </c>
      <c r="L9" s="2" t="b">
        <f t="shared" si="2"/>
        <v>0</v>
      </c>
      <c r="M9" s="2" t="str">
        <f>IFERROR(__xludf.DUMMYFUNCTION("IMPORTRANGE($B$18,$B$19&amp;address(row(L19),column(L19))&amp;"":""&amp;address(row(L19),column(L19)))"),"")</f>
        <v/>
      </c>
      <c r="N9" s="2" t="str">
        <f>IFERROR(__xludf.DUMMYFUNCTION("IMPORTRANGE($B$18,$B$19&amp;address(row(K19),column(K19))&amp;"":""&amp;address(row(K19),column(K19)))"),"")</f>
        <v/>
      </c>
      <c r="O9" s="2" t="str">
        <f>IFERROR(__xludf.DUMMYFUNCTION("IMPORTRANGE($B$18,$B$19&amp;address(row(M19),column(M19))&amp;"":""&amp;address(row(M19),column(M19)))"),"")</f>
        <v/>
      </c>
      <c r="P9" s="2">
        <f>IFERROR(__xludf.DUMMYFUNCTION("IF(IMPORTRANGE($B$18,$B$19&amp;address(row($Q$7),column($Q$7))&amp;"":""&amp;address(row($Q$7),column($Q$7)))=A9,1,0)"),0.0)</f>
        <v>0</v>
      </c>
      <c r="Q9" s="2" t="str">
        <f>IFERROR(__xludf.DUMMYFUNCTION("IMPORTRANGE($B$18,$B$19&amp;address(row(G19),column(G19))&amp;"":""&amp;address(row(G19),column(G19)))"),"")</f>
        <v/>
      </c>
      <c r="R9" s="2">
        <f>IFERROR(__xludf.DUMMYFUNCTION("IMPORTRANGE($B$18,$B$19&amp;address(row(H19),column(H19))&amp;"":""&amp;address(row(H19),column(H19)))"),10.0)</f>
        <v>10</v>
      </c>
      <c r="S9" s="2">
        <f>IFERROR(__xludf.DUMMYFUNCTION("IMPORTRANGE($B$18,$B$19&amp;address(row(S19),column(S19))&amp;"":""&amp;address(row(S19),column(S19)))"),8.0)</f>
        <v>8</v>
      </c>
      <c r="T9" s="2" t="str">
        <f>IFERROR(__xludf.DUMMYFUNCTION("IMPORTRANGE($B$18,$B$19&amp;address(row(T19),column(T19))&amp;"":""&amp;address(row(T19),column(T19)))"),"Underrated performance today. Started on the bench but the 2 assists say it all. Came back on upfront and was game-changing. Love to see him playing at his game because he's moved around a lot this season. Quality shone through today.")</f>
        <v>Underrated performance today. Started on the bench but the 2 assists say it all. Came back on upfront and was game-changing. Love to see him playing at his game because he's moved around a lot this season. Quality shone through today.</v>
      </c>
      <c r="U9" s="2" t="str">
        <f>IFERROR(__xludf.DUMMYFUNCTION("IMPORTRANGE($B$18,$B$19&amp;address(row($T$4),column($T$4))&amp;"":""&amp;address(row($T$4),column($T$4)))"),"4-3-3")</f>
        <v>4-3-3</v>
      </c>
      <c r="V9"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9" s="2">
        <f>IFERROR(__xludf.DUMMYFUNCTION("IMPORTRANGE($B$18,$B$19&amp;address(row($H$7),column($H$7))&amp;"":""&amp;address(row($H$7),column($H$7)))"),2.0)</f>
        <v>2</v>
      </c>
      <c r="X9" s="2">
        <f>IFERROR(__xludf.DUMMYFUNCTION("IMPORTRANGE($B$18,$B$19&amp;address(row($I$7),column($I$7))&amp;"":""&amp;address(row($I$7),column($I$7)))"),1.0)</f>
        <v>1</v>
      </c>
      <c r="Y9" s="2" t="str">
        <f>IFERROR(__xludf.DUMMYFUNCTION("IMPORTRANGE($B$18,$B$19&amp;address(row($C$5),column($C$5))&amp;"":""&amp;address(row($C$5),column($C$5)))"),"-")</f>
        <v>-</v>
      </c>
      <c r="Z9" s="86">
        <f>IFERROR(__xludf.DUMMYFUNCTION("IMPORTRANGE($B$18,$B$19&amp;address(row($I$4),column($I$4))&amp;"":""&amp;address(row($I$4),column($I$4)))"),45395.0)</f>
        <v>45395</v>
      </c>
      <c r="AA9" s="2" t="b">
        <f t="shared" si="3"/>
        <v>1</v>
      </c>
    </row>
    <row r="10">
      <c r="A10" s="2" t="str">
        <f>IFERROR(__xludf.DUMMYFUNCTION("IMPORTRANGE($B$18,$B$19&amp;address(row(B20),column(B20))&amp;"":""&amp;address(row(B20),column(B20)))"),"Dan Klin")</f>
        <v>Dan Klin</v>
      </c>
      <c r="B10" s="2" t="str">
        <f>IFERROR(__xludf.DUMMYFUNCTION("IMPORTRANGE($B$18,$B$19&amp;address(row(E20),column(E20))&amp;"":""&amp;address(row(E20),column(E20)))"),"RW")</f>
        <v>RW</v>
      </c>
      <c r="C10" s="1">
        <f t="shared" si="1"/>
        <v>3</v>
      </c>
      <c r="D10" s="2" t="str">
        <f>IFERROR(__xludf.DUMMYFUNCTION("IMPORTRANGE($B$18,$B$19&amp;address(row($I$3),column($I$3))&amp;"":""&amp;address(row($I$3),column($I$3)))"),"Fulham Compton Old Boys 2s")</f>
        <v>Fulham Compton Old Boys 2s</v>
      </c>
      <c r="E10"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0" s="2" t="str">
        <f>IFERROR(__xludf.DUMMYFUNCTION("IMPORTRANGE($B$18,$B$19&amp;address(row(I20),column(I20))&amp;"":""&amp;address(row(I20),column(I20)))"),"")</f>
        <v/>
      </c>
      <c r="G10" s="2" t="str">
        <f>IFERROR(__xludf.DUMMYFUNCTION("IMPORTRANGE($B$18,$B$19&amp;address(row(J20),column(J20))&amp;"":""&amp;address(row(J20),column(J20)))"),"")</f>
        <v/>
      </c>
      <c r="H10" s="1">
        <f>IFERROR(__xludf.DUMMYFUNCTION("IMPORTRANGE($B$18,$B$19&amp;address(row($I$7),column($I$7))&amp;"":""&amp;address(row($I$7),column($I$7)))"),1.0)</f>
        <v>1</v>
      </c>
      <c r="I10" s="2" t="str">
        <f>IFERROR(__xludf.DUMMYFUNCTION("IMPORTRANGE($B$18,$B$19&amp;address(row(N20),column(N20))&amp;"":""&amp;address(row(N20),column(N20)))"),"")</f>
        <v/>
      </c>
      <c r="J10" s="2" t="str">
        <f>IFERROR(__xludf.DUMMYFUNCTION("IMPORTRANGE($B$18,$B$19&amp;address(row(O20),column(O20))&amp;"":""&amp;address(row(O20),column(O20)))"),"")</f>
        <v/>
      </c>
      <c r="K10" s="2" t="str">
        <f>IFERROR(__xludf.DUMMYFUNCTION("IMPORTRANGE($B$18,$B$19&amp;address(row(P20),column(P20))&amp;"":""&amp;address(row(P20),column(P20)))"),"")</f>
        <v/>
      </c>
      <c r="L10" s="2" t="b">
        <f t="shared" si="2"/>
        <v>0</v>
      </c>
      <c r="M10" s="2" t="str">
        <f>IFERROR(__xludf.DUMMYFUNCTION("IMPORTRANGE($B$18,$B$19&amp;address(row(L20),column(L20))&amp;"":""&amp;address(row(L20),column(L20)))"),"")</f>
        <v/>
      </c>
      <c r="N10" s="2" t="str">
        <f>IFERROR(__xludf.DUMMYFUNCTION("IMPORTRANGE($B$18,$B$19&amp;address(row(K20),column(K20))&amp;"":""&amp;address(row(K20),column(K20)))"),"")</f>
        <v/>
      </c>
      <c r="O10" s="2" t="str">
        <f>IFERROR(__xludf.DUMMYFUNCTION("IMPORTRANGE($B$18,$B$19&amp;address(row(M20),column(M20))&amp;"":""&amp;address(row(M20),column(M20)))"),"")</f>
        <v/>
      </c>
      <c r="P10" s="2">
        <f>IFERROR(__xludf.DUMMYFUNCTION("IF(IMPORTRANGE($B$18,$B$19&amp;address(row($Q$7),column($Q$7))&amp;"":""&amp;address(row($Q$7),column($Q$7)))=A10,1,0)"),1.0)</f>
        <v>1</v>
      </c>
      <c r="Q10" s="2" t="str">
        <f>IFERROR(__xludf.DUMMYFUNCTION("IMPORTRANGE($B$18,$B$19&amp;address(row(G20),column(G20))&amp;"":""&amp;address(row(G20),column(G20)))"),"")</f>
        <v/>
      </c>
      <c r="R10" s="2">
        <f>IFERROR(__xludf.DUMMYFUNCTION("IMPORTRANGE($B$18,$B$19&amp;address(row(H20),column(H20))&amp;"":""&amp;address(row(H20),column(H20)))"),10.0)</f>
        <v>10</v>
      </c>
      <c r="S10" s="2">
        <f>IFERROR(__xludf.DUMMYFUNCTION("IMPORTRANGE($B$18,$B$19&amp;address(row(S20),column(S20))&amp;"":""&amp;address(row(S20),column(S20)))"),9.0)</f>
        <v>9</v>
      </c>
      <c r="T10" s="2" t="str">
        <f>IFERROR(__xludf.DUMMYFUNCTION("IMPORTRANGE($B$18,$B$19&amp;address(row(T20),column(T20))&amp;"":""&amp;address(row(T20),column(T20)))"),"MoTM performance for how he carried the ball. Suits our home pitches as it allows him to spread the full back why and cuts it back. Had fullback on toast for the whole game.")</f>
        <v>MoTM performance for how he carried the ball. Suits our home pitches as it allows him to spread the full back why and cuts it back. Had fullback on toast for the whole game.</v>
      </c>
      <c r="U10" s="2" t="str">
        <f>IFERROR(__xludf.DUMMYFUNCTION("IMPORTRANGE($B$18,$B$19&amp;address(row($T$4),column($T$4))&amp;"":""&amp;address(row($T$4),column($T$4)))"),"4-3-3")</f>
        <v>4-3-3</v>
      </c>
      <c r="V10"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10" s="2">
        <f>IFERROR(__xludf.DUMMYFUNCTION("IMPORTRANGE($B$18,$B$19&amp;address(row($H$7),column($H$7))&amp;"":""&amp;address(row($H$7),column($H$7)))"),2.0)</f>
        <v>2</v>
      </c>
      <c r="X10" s="2">
        <f>IFERROR(__xludf.DUMMYFUNCTION("IMPORTRANGE($B$18,$B$19&amp;address(row($I$7),column($I$7))&amp;"":""&amp;address(row($I$7),column($I$7)))"),1.0)</f>
        <v>1</v>
      </c>
      <c r="Y10" s="2" t="str">
        <f>IFERROR(__xludf.DUMMYFUNCTION("IMPORTRANGE($B$18,$B$19&amp;address(row($C$5),column($C$5))&amp;"":""&amp;address(row($C$5),column($C$5)))"),"-")</f>
        <v>-</v>
      </c>
      <c r="Z10" s="86">
        <f>IFERROR(__xludf.DUMMYFUNCTION("IMPORTRANGE($B$18,$B$19&amp;address(row($I$4),column($I$4))&amp;"":""&amp;address(row($I$4),column($I$4)))"),45395.0)</f>
        <v>45395</v>
      </c>
      <c r="AA10" s="2" t="b">
        <f t="shared" si="3"/>
        <v>1</v>
      </c>
    </row>
    <row r="11">
      <c r="A11" s="2" t="str">
        <f>IFERROR(__xludf.DUMMYFUNCTION("IMPORTRANGE($B$18,$B$19&amp;address(row(B21),column(B21))&amp;"":""&amp;address(row(B21),column(B21)))"),"Richard Jones")</f>
        <v>Richard Jones</v>
      </c>
      <c r="B11" s="2" t="str">
        <f>IFERROR(__xludf.DUMMYFUNCTION("IMPORTRANGE($B$18,$B$19&amp;address(row(E21),column(E21))&amp;"":""&amp;address(row(E21),column(E21)))"),"CF")</f>
        <v>CF</v>
      </c>
      <c r="C11" s="1">
        <f t="shared" si="1"/>
        <v>3</v>
      </c>
      <c r="D11" s="2" t="str">
        <f>IFERROR(__xludf.DUMMYFUNCTION("IMPORTRANGE($B$18,$B$19&amp;address(row($I$3),column($I$3))&amp;"":""&amp;address(row($I$3),column($I$3)))"),"Fulham Compton Old Boys 2s")</f>
        <v>Fulham Compton Old Boys 2s</v>
      </c>
      <c r="E11"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1" s="2">
        <f>IFERROR(__xludf.DUMMYFUNCTION("IMPORTRANGE($B$18,$B$19&amp;address(row(I21),column(I21))&amp;"":""&amp;address(row(I21),column(I21)))"),1.0)</f>
        <v>1</v>
      </c>
      <c r="G11" s="2" t="str">
        <f>IFERROR(__xludf.DUMMYFUNCTION("IMPORTRANGE($B$18,$B$19&amp;address(row(J21),column(J21))&amp;"":""&amp;address(row(J21),column(J21)))"),"")</f>
        <v/>
      </c>
      <c r="H11" s="1">
        <f>IFERROR(__xludf.DUMMYFUNCTION("IMPORTRANGE($B$18,$B$19&amp;address(row($I$7),column($I$7))&amp;"":""&amp;address(row($I$7),column($I$7)))"),1.0)</f>
        <v>1</v>
      </c>
      <c r="I11" s="2" t="str">
        <f>IFERROR(__xludf.DUMMYFUNCTION("IMPORTRANGE($B$18,$B$19&amp;address(row(N21),column(N21))&amp;"":""&amp;address(row(N21),column(N21)))"),"")</f>
        <v/>
      </c>
      <c r="J11" s="2" t="str">
        <f>IFERROR(__xludf.DUMMYFUNCTION("IMPORTRANGE($B$18,$B$19&amp;address(row(O21),column(O21))&amp;"":""&amp;address(row(O21),column(O21)))"),"")</f>
        <v/>
      </c>
      <c r="K11" s="2" t="str">
        <f>IFERROR(__xludf.DUMMYFUNCTION("IMPORTRANGE($B$18,$B$19&amp;address(row(P21),column(P21))&amp;"":""&amp;address(row(P21),column(P21)))"),"")</f>
        <v/>
      </c>
      <c r="L11" s="2" t="b">
        <f t="shared" si="2"/>
        <v>0</v>
      </c>
      <c r="M11" s="2" t="str">
        <f>IFERROR(__xludf.DUMMYFUNCTION("IMPORTRANGE($B$18,$B$19&amp;address(row(L21),column(L21))&amp;"":""&amp;address(row(L21),column(L21)))"),"")</f>
        <v/>
      </c>
      <c r="N11" s="2" t="str">
        <f>IFERROR(__xludf.DUMMYFUNCTION("IMPORTRANGE($B$18,$B$19&amp;address(row(K21),column(K21))&amp;"":""&amp;address(row(K21),column(K21)))"),"")</f>
        <v/>
      </c>
      <c r="O11" s="2" t="str">
        <f>IFERROR(__xludf.DUMMYFUNCTION("IMPORTRANGE($B$18,$B$19&amp;address(row(M21),column(M21))&amp;"":""&amp;address(row(M21),column(M21)))"),"")</f>
        <v/>
      </c>
      <c r="P11" s="2">
        <f>IFERROR(__xludf.DUMMYFUNCTION("IF(IMPORTRANGE($B$18,$B$19&amp;address(row($Q$7),column($Q$7))&amp;"":""&amp;address(row($Q$7),column($Q$7)))=A11,1,0)"),0.0)</f>
        <v>0</v>
      </c>
      <c r="Q11" s="2" t="str">
        <f>IFERROR(__xludf.DUMMYFUNCTION("IMPORTRANGE($B$18,$B$19&amp;address(row(G21),column(G21))&amp;"":""&amp;address(row(G21),column(G21)))"),"")</f>
        <v/>
      </c>
      <c r="R11" s="2">
        <f>IFERROR(__xludf.DUMMYFUNCTION("IMPORTRANGE($B$18,$B$19&amp;address(row(H21),column(H21))&amp;"":""&amp;address(row(H21),column(H21)))"),10.0)</f>
        <v>10</v>
      </c>
      <c r="S11" s="2">
        <f>IFERROR(__xludf.DUMMYFUNCTION("IMPORTRANGE($B$18,$B$19&amp;address(row(S21),column(S21))&amp;"":""&amp;address(row(S21),column(S21)))"),8.0)</f>
        <v>8</v>
      </c>
      <c r="T11" s="2" t="str">
        <f>IFERROR(__xludf.DUMMYFUNCTION("IMPORTRANGE($B$18,$B$19&amp;address(row(T21),column(T21))&amp;"":""&amp;address(row(T21),column(T21)))"),"Typical Rich J performance, gamestyle didn't suit him as he is a bully up top but managed to bring him in more in the second half and managed to get the winner.")</f>
        <v>Typical Rich J performance, gamestyle didn't suit him as he is a bully up top but managed to bring him in more in the second half and managed to get the winner.</v>
      </c>
      <c r="U11" s="2" t="str">
        <f>IFERROR(__xludf.DUMMYFUNCTION("IMPORTRANGE($B$18,$B$19&amp;address(row($T$4),column($T$4))&amp;"":""&amp;address(row($T$4),column($T$4)))"),"4-3-3")</f>
        <v>4-3-3</v>
      </c>
      <c r="V11"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11" s="2">
        <f>IFERROR(__xludf.DUMMYFUNCTION("IMPORTRANGE($B$18,$B$19&amp;address(row($H$7),column($H$7))&amp;"":""&amp;address(row($H$7),column($H$7)))"),2.0)</f>
        <v>2</v>
      </c>
      <c r="X11" s="2">
        <f>IFERROR(__xludf.DUMMYFUNCTION("IMPORTRANGE($B$18,$B$19&amp;address(row($I$7),column($I$7))&amp;"":""&amp;address(row($I$7),column($I$7)))"),1.0)</f>
        <v>1</v>
      </c>
      <c r="Y11" s="2" t="str">
        <f>IFERROR(__xludf.DUMMYFUNCTION("IMPORTRANGE($B$18,$B$19&amp;address(row($C$5),column($C$5))&amp;"":""&amp;address(row($C$5),column($C$5)))"),"-")</f>
        <v>-</v>
      </c>
      <c r="Z11" s="86">
        <f>IFERROR(__xludf.DUMMYFUNCTION("IMPORTRANGE($B$18,$B$19&amp;address(row($I$4),column($I$4))&amp;"":""&amp;address(row($I$4),column($I$4)))"),45395.0)</f>
        <v>45395</v>
      </c>
      <c r="AA11" s="2" t="b">
        <f t="shared" si="3"/>
        <v>1</v>
      </c>
    </row>
    <row r="12">
      <c r="A12" s="2" t="str">
        <f>IFERROR(__xludf.DUMMYFUNCTION("IMPORTRANGE($B$18,$B$19&amp;address(row(B22),column(B22))&amp;"":""&amp;address(row(B22),column(B22)))"),"Denver Lalonde")</f>
        <v>Denver Lalonde</v>
      </c>
      <c r="B12" s="2" t="str">
        <f>IFERROR(__xludf.DUMMYFUNCTION("IMPORTRANGE($B$18,$B$19&amp;address(row(E22),column(E22))&amp;"":""&amp;address(row(E22),column(E22)))"),"LW")</f>
        <v>LW</v>
      </c>
      <c r="C12" s="1">
        <f t="shared" si="1"/>
        <v>3</v>
      </c>
      <c r="D12" s="2" t="str">
        <f>IFERROR(__xludf.DUMMYFUNCTION("IMPORTRANGE($B$18,$B$19&amp;address(row($I$3),column($I$3))&amp;"":""&amp;address(row($I$3),column($I$3)))"),"Fulham Compton Old Boys 2s")</f>
        <v>Fulham Compton Old Boys 2s</v>
      </c>
      <c r="E1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2" s="2">
        <f>IFERROR(__xludf.DUMMYFUNCTION("IMPORTRANGE($B$18,$B$19&amp;address(row(I22),column(I22))&amp;"":""&amp;address(row(I22),column(I22)))"),1.0)</f>
        <v>1</v>
      </c>
      <c r="G12" s="2" t="str">
        <f>IFERROR(__xludf.DUMMYFUNCTION("IMPORTRANGE($B$18,$B$19&amp;address(row(J22),column(J22))&amp;"":""&amp;address(row(J22),column(J22)))"),"")</f>
        <v/>
      </c>
      <c r="H12" s="1">
        <f>IFERROR(__xludf.DUMMYFUNCTION("IMPORTRANGE($B$18,$B$19&amp;address(row($I$7),column($I$7))&amp;"":""&amp;address(row($I$7),column($I$7)))"),1.0)</f>
        <v>1</v>
      </c>
      <c r="I12" s="2" t="str">
        <f>IFERROR(__xludf.DUMMYFUNCTION("IMPORTRANGE($B$18,$B$19&amp;address(row(N22),column(N22))&amp;"":""&amp;address(row(N22),column(N22)))"),"")</f>
        <v/>
      </c>
      <c r="J12" s="2" t="str">
        <f>IFERROR(__xludf.DUMMYFUNCTION("IMPORTRANGE($B$18,$B$19&amp;address(row(O22),column(O22))&amp;"":""&amp;address(row(O22),column(O22)))"),"")</f>
        <v/>
      </c>
      <c r="K12" s="2" t="str">
        <f>IFERROR(__xludf.DUMMYFUNCTION("IMPORTRANGE($B$18,$B$19&amp;address(row(P22),column(P22))&amp;"":""&amp;address(row(P22),column(P22)))"),"")</f>
        <v/>
      </c>
      <c r="L12" s="2" t="b">
        <f t="shared" si="2"/>
        <v>0</v>
      </c>
      <c r="M12" s="2" t="str">
        <f>IFERROR(__xludf.DUMMYFUNCTION("IMPORTRANGE($B$18,$B$19&amp;address(row(L22),column(L22))&amp;"":""&amp;address(row(L22),column(L22)))"),"")</f>
        <v/>
      </c>
      <c r="N12" s="2" t="str">
        <f>IFERROR(__xludf.DUMMYFUNCTION("IMPORTRANGE($B$18,$B$19&amp;address(row(K22),column(K22))&amp;"":""&amp;address(row(K22),column(K22)))"),"")</f>
        <v/>
      </c>
      <c r="O12" s="2" t="str">
        <f>IFERROR(__xludf.DUMMYFUNCTION("IMPORTRANGE($B$18,$B$19&amp;address(row(M22),column(M22))&amp;"":""&amp;address(row(M22),column(M22)))"),"")</f>
        <v/>
      </c>
      <c r="P12" s="2">
        <f>IFERROR(__xludf.DUMMYFUNCTION("IF(IMPORTRANGE($B$18,$B$19&amp;address(row($Q$7),column($Q$7))&amp;"":""&amp;address(row($Q$7),column($Q$7)))=A12,1,0)"),0.0)</f>
        <v>0</v>
      </c>
      <c r="Q12" s="2" t="b">
        <f>IFERROR(__xludf.DUMMYFUNCTION("IMPORTRANGE($B$18,$B$19&amp;address(row(G22),column(G22))&amp;"":""&amp;address(row(G22),column(G22)))"),TRUE)</f>
        <v>1</v>
      </c>
      <c r="R12" s="2">
        <f>IFERROR(__xludf.DUMMYFUNCTION("IMPORTRANGE($B$18,$B$19&amp;address(row(H22),column(H22))&amp;"":""&amp;address(row(H22),column(H22)))"),0.0)</f>
        <v>0</v>
      </c>
      <c r="S12" s="2">
        <f>IFERROR(__xludf.DUMMYFUNCTION("IMPORTRANGE($B$18,$B$19&amp;address(row(S22),column(S22))&amp;"":""&amp;address(row(S22),column(S22)))"),7.0)</f>
        <v>7</v>
      </c>
      <c r="T12" s="2" t="str">
        <f>IFERROR(__xludf.DUMMYFUNCTION("IMPORTRANGE($B$18,$B$19&amp;address(row(T22),column(T22))&amp;"":""&amp;address(row(T22),column(T22)))"),"A decent showing, Opener from a pretty ridiculous angle. Subbed at 50 as had to go in goal for last 20 mins.")</f>
        <v>A decent showing, Opener from a pretty ridiculous angle. Subbed at 50 as had to go in goal for last 20 mins.</v>
      </c>
      <c r="U12" s="2" t="str">
        <f>IFERROR(__xludf.DUMMYFUNCTION("IMPORTRANGE($B$18,$B$19&amp;address(row($T$4),column($T$4))&amp;"":""&amp;address(row($T$4),column($T$4)))"),"4-3-3")</f>
        <v>4-3-3</v>
      </c>
      <c r="V12"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12" s="2">
        <f>IFERROR(__xludf.DUMMYFUNCTION("IMPORTRANGE($B$18,$B$19&amp;address(row($H$7),column($H$7))&amp;"":""&amp;address(row($H$7),column($H$7)))"),2.0)</f>
        <v>2</v>
      </c>
      <c r="X12" s="2">
        <f>IFERROR(__xludf.DUMMYFUNCTION("IMPORTRANGE($B$18,$B$19&amp;address(row($I$7),column($I$7))&amp;"":""&amp;address(row($I$7),column($I$7)))"),1.0)</f>
        <v>1</v>
      </c>
      <c r="Y12" s="2" t="str">
        <f>IFERROR(__xludf.DUMMYFUNCTION("IMPORTRANGE($B$18,$B$19&amp;address(row($C$5),column($C$5))&amp;"":""&amp;address(row($C$5),column($C$5)))"),"-")</f>
        <v>-</v>
      </c>
      <c r="Z12" s="86">
        <f>IFERROR(__xludf.DUMMYFUNCTION("IMPORTRANGE($B$18,$B$19&amp;address(row($I$4),column($I$4))&amp;"":""&amp;address(row($I$4),column($I$4)))"),45395.0)</f>
        <v>45395</v>
      </c>
      <c r="AA12" s="2" t="b">
        <f t="shared" si="3"/>
        <v>1</v>
      </c>
    </row>
    <row r="13">
      <c r="A13" s="2" t="str">
        <f>IFERROR(__xludf.DUMMYFUNCTION("IMPORTRANGE($B$18,$B$19&amp;address(row(B23),column(B23))&amp;"":""&amp;address(row(B23),column(B23)))"),"Tom Love")</f>
        <v>Tom Love</v>
      </c>
      <c r="B13" s="2" t="str">
        <f>IFERROR(__xludf.DUMMYFUNCTION("IMPORTRANGE($B$18,$B$19&amp;address(row(E23),column(E23))&amp;"":""&amp;address(row(E23),column(E23)))"),"LB")</f>
        <v>LB</v>
      </c>
      <c r="C13" s="1">
        <f t="shared" si="1"/>
        <v>3</v>
      </c>
      <c r="D13" s="2" t="str">
        <f>IFERROR(__xludf.DUMMYFUNCTION("IMPORTRANGE($B$18,$B$19&amp;address(row($I$3),column($I$3))&amp;"":""&amp;address(row($I$3),column($I$3)))"),"Fulham Compton Old Boys 2s")</f>
        <v>Fulham Compton Old Boys 2s</v>
      </c>
      <c r="E1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3" s="2" t="str">
        <f>IFERROR(__xludf.DUMMYFUNCTION("IMPORTRANGE($B$18,$B$19&amp;address(row(I23),column(I23))&amp;"":""&amp;address(row(I23),column(I23)))"),"")</f>
        <v/>
      </c>
      <c r="G13" s="2" t="str">
        <f>IFERROR(__xludf.DUMMYFUNCTION("IMPORTRANGE($B$18,$B$19&amp;address(row(J23),column(J23))&amp;"":""&amp;address(row(J23),column(J23)))"),"")</f>
        <v/>
      </c>
      <c r="H13" s="1">
        <f>IFERROR(__xludf.DUMMYFUNCTION("IMPORTRANGE($B$18,$B$19&amp;address(row($I$7),column($I$7))&amp;"":""&amp;address(row($I$7),column($I$7)))"),1.0)</f>
        <v>1</v>
      </c>
      <c r="I13" s="2" t="str">
        <f>IFERROR(__xludf.DUMMYFUNCTION("IMPORTRANGE($B$18,$B$19&amp;address(row(N23),column(N23))&amp;"":""&amp;address(row(N23),column(N23)))"),"")</f>
        <v/>
      </c>
      <c r="J13" s="2" t="str">
        <f>IFERROR(__xludf.DUMMYFUNCTION("IMPORTRANGE($B$18,$B$19&amp;address(row(O23),column(O23))&amp;"":""&amp;address(row(O23),column(O23)))"),"")</f>
        <v/>
      </c>
      <c r="K13" s="2" t="str">
        <f>IFERROR(__xludf.DUMMYFUNCTION("IMPORTRANGE($B$18,$B$19&amp;address(row(P23),column(P23))&amp;"":""&amp;address(row(P23),column(P23)))"),"")</f>
        <v/>
      </c>
      <c r="L13" s="2" t="b">
        <f t="shared" si="2"/>
        <v>0</v>
      </c>
      <c r="M13" s="2" t="str">
        <f>IFERROR(__xludf.DUMMYFUNCTION("IMPORTRANGE($B$18,$B$19&amp;address(row(L23),column(L23))&amp;"":""&amp;address(row(L23),column(L23)))"),"")</f>
        <v/>
      </c>
      <c r="N13" s="2" t="str">
        <f>IFERROR(__xludf.DUMMYFUNCTION("IMPORTRANGE($B$18,$B$19&amp;address(row(K23),column(K23))&amp;"":""&amp;address(row(K23),column(K23)))"),"")</f>
        <v/>
      </c>
      <c r="O13" s="2" t="str">
        <f>IFERROR(__xludf.DUMMYFUNCTION("IMPORTRANGE($B$18,$B$19&amp;address(row(M23),column(M23))&amp;"":""&amp;address(row(M23),column(M23)))"),"")</f>
        <v/>
      </c>
      <c r="P13" s="2">
        <f>IFERROR(__xludf.DUMMYFUNCTION("IF(IMPORTRANGE($B$18,$B$19&amp;address(row($Q$7),column($Q$7))&amp;"":""&amp;address(row($Q$7),column($Q$7)))=A13,1,0)"),0.0)</f>
        <v>0</v>
      </c>
      <c r="Q13" s="2" t="str">
        <f>IFERROR(__xludf.DUMMYFUNCTION("IMPORTRANGE($B$18,$B$19&amp;address(row(G23),column(G23))&amp;"":""&amp;address(row(G23),column(G23)))"),"")</f>
        <v/>
      </c>
      <c r="R13" s="2">
        <f>IFERROR(__xludf.DUMMYFUNCTION("IMPORTRANGE($B$18,$B$19&amp;address(row(H23),column(H23))&amp;"":""&amp;address(row(H23),column(H23)))"),10.0)</f>
        <v>10</v>
      </c>
      <c r="S13" s="2">
        <f>IFERROR(__xludf.DUMMYFUNCTION("IMPORTRANGE($B$18,$B$19&amp;address(row(S23),column(S23))&amp;"":""&amp;address(row(S23),column(S23)))"),7.5)</f>
        <v>7.5</v>
      </c>
      <c r="T13" s="2" t="str">
        <f>IFERROR(__xludf.DUMMYFUNCTION("IMPORTRANGE($B$18,$B$19&amp;address(row(T23),column(T23))&amp;"":""&amp;address(row(T23),column(T23)))"),"Not bad today, doesn't look out of place at LB and good option there. Strong long throw (not Denver and Lundie level but close) and strong in the tackle.")</f>
        <v>Not bad today, doesn't look out of place at LB and good option there. Strong long throw (not Denver and Lundie level but close) and strong in the tackle.</v>
      </c>
      <c r="U13" s="2" t="str">
        <f>IFERROR(__xludf.DUMMYFUNCTION("IMPORTRANGE($B$18,$B$19&amp;address(row($T$4),column($T$4))&amp;"":""&amp;address(row($T$4),column($T$4)))"),"4-3-3")</f>
        <v>4-3-3</v>
      </c>
      <c r="V13"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13" s="2">
        <f>IFERROR(__xludf.DUMMYFUNCTION("IMPORTRANGE($B$18,$B$19&amp;address(row($H$7),column($H$7))&amp;"":""&amp;address(row($H$7),column($H$7)))"),2.0)</f>
        <v>2</v>
      </c>
      <c r="X13" s="2">
        <f>IFERROR(__xludf.DUMMYFUNCTION("IMPORTRANGE($B$18,$B$19&amp;address(row($I$7),column($I$7))&amp;"":""&amp;address(row($I$7),column($I$7)))"),1.0)</f>
        <v>1</v>
      </c>
      <c r="Y13" s="2" t="str">
        <f>IFERROR(__xludf.DUMMYFUNCTION("IMPORTRANGE($B$18,$B$19&amp;address(row($C$5),column($C$5))&amp;"":""&amp;address(row($C$5),column($C$5)))"),"-")</f>
        <v>-</v>
      </c>
      <c r="Z13" s="86">
        <f>IFERROR(__xludf.DUMMYFUNCTION("IMPORTRANGE($B$18,$B$19&amp;address(row($I$4),column($I$4))&amp;"":""&amp;address(row($I$4),column($I$4)))"),45395.0)</f>
        <v>45395</v>
      </c>
      <c r="AA13" s="2" t="b">
        <f t="shared" si="3"/>
        <v>1</v>
      </c>
    </row>
    <row r="14">
      <c r="A14" s="2" t="str">
        <f>IFERROR(__xludf.DUMMYFUNCTION("IMPORTRANGE($B$18,$B$19&amp;address(row(B24),column(B24))&amp;"":""&amp;address(row(B24),column(B24)))"),"Cameron Pashley")</f>
        <v>Cameron Pashley</v>
      </c>
      <c r="B14" s="2" t="str">
        <f>IFERROR(__xludf.DUMMYFUNCTION("IMPORTRANGE($B$18,$B$19&amp;address(row(E24),column(E24))&amp;"":""&amp;address(row(E24),column(E24)))"),"CM")</f>
        <v>CM</v>
      </c>
      <c r="C14" s="1">
        <f t="shared" si="1"/>
        <v>3</v>
      </c>
      <c r="D14" s="2" t="str">
        <f>IFERROR(__xludf.DUMMYFUNCTION("IMPORTRANGE($B$18,$B$19&amp;address(row($I$3),column($I$3))&amp;"":""&amp;address(row($I$3),column($I$3)))"),"Fulham Compton Old Boys 2s")</f>
        <v>Fulham Compton Old Boys 2s</v>
      </c>
      <c r="E1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4" s="2" t="str">
        <f>IFERROR(__xludf.DUMMYFUNCTION("IMPORTRANGE($B$18,$B$19&amp;address(row(I24),column(I24))&amp;"":""&amp;address(row(I24),column(I24)))"),"")</f>
        <v/>
      </c>
      <c r="G14" s="2" t="str">
        <f>IFERROR(__xludf.DUMMYFUNCTION("IMPORTRANGE($B$18,$B$19&amp;address(row(J24),column(J24))&amp;"":""&amp;address(row(J24),column(J24)))"),"")</f>
        <v/>
      </c>
      <c r="H14" s="1">
        <f>IFERROR(__xludf.DUMMYFUNCTION("IMPORTRANGE($B$18,$B$19&amp;address(row($I$7),column($I$7))&amp;"":""&amp;address(row($I$7),column($I$7)))"),1.0)</f>
        <v>1</v>
      </c>
      <c r="I14" s="2" t="str">
        <f>IFERROR(__xludf.DUMMYFUNCTION("IMPORTRANGE($B$18,$B$19&amp;address(row(N24),column(N24))&amp;"":""&amp;address(row(N24),column(N24)))"),"")</f>
        <v/>
      </c>
      <c r="J14" s="2" t="str">
        <f>IFERROR(__xludf.DUMMYFUNCTION("IMPORTRANGE($B$18,$B$19&amp;address(row(O24),column(O24))&amp;"":""&amp;address(row(O24),column(O24)))"),"")</f>
        <v/>
      </c>
      <c r="K14" s="2" t="str">
        <f>IFERROR(__xludf.DUMMYFUNCTION("IMPORTRANGE($B$18,$B$19&amp;address(row(P24),column(P24))&amp;"":""&amp;address(row(P24),column(P24)))"),"")</f>
        <v/>
      </c>
      <c r="L14" s="2" t="b">
        <f t="shared" si="2"/>
        <v>0</v>
      </c>
      <c r="M14" s="2" t="str">
        <f>IFERROR(__xludf.DUMMYFUNCTION("IMPORTRANGE($B$18,$B$19&amp;address(row(L24),column(L24))&amp;"":""&amp;address(row(L24),column(L24)))"),"")</f>
        <v/>
      </c>
      <c r="N14" s="2" t="str">
        <f>IFERROR(__xludf.DUMMYFUNCTION("IMPORTRANGE($B$18,$B$19&amp;address(row(K24),column(K24))&amp;"":""&amp;address(row(K24),column(K24)))"),"")</f>
        <v/>
      </c>
      <c r="O14" s="2" t="str">
        <f>IFERROR(__xludf.DUMMYFUNCTION("IMPORTRANGE($B$18,$B$19&amp;address(row(M24),column(M24))&amp;"":""&amp;address(row(M24),column(M24)))"),"")</f>
        <v/>
      </c>
      <c r="P14" s="2">
        <f>IFERROR(__xludf.DUMMYFUNCTION("IF(IMPORTRANGE($B$18,$B$19&amp;address(row($Q$7),column($Q$7))&amp;"":""&amp;address(row($Q$7),column($Q$7)))=A14,1,0)"),0.0)</f>
        <v>0</v>
      </c>
      <c r="Q14" s="2" t="str">
        <f>IFERROR(__xludf.DUMMYFUNCTION("IMPORTRANGE($B$18,$B$19&amp;address(row(G24),column(G24))&amp;"":""&amp;address(row(G24),column(G24)))"),"")</f>
        <v/>
      </c>
      <c r="R14" s="2">
        <f>IFERROR(__xludf.DUMMYFUNCTION("IMPORTRANGE($B$18,$B$19&amp;address(row(H24),column(H24))&amp;"":""&amp;address(row(H24),column(H24)))"),10.0)</f>
        <v>10</v>
      </c>
      <c r="S14" s="2">
        <f>IFERROR(__xludf.DUMMYFUNCTION("IMPORTRANGE($B$18,$B$19&amp;address(row(S24),column(S24))&amp;"":""&amp;address(row(S24),column(S24)))"),7.5)</f>
        <v>7.5</v>
      </c>
      <c r="T14" s="2" t="str">
        <f>IFERROR(__xludf.DUMMYFUNCTION("IMPORTRANGE($B$18,$B$19&amp;address(row(T24),column(T24))&amp;"":""&amp;address(row(T24),column(T24)))"),"The Scottish Workhorse back in action. must have touched every blade of grass. Quality showing as per.")</f>
        <v>The Scottish Workhorse back in action. must have touched every blade of grass. Quality showing as per.</v>
      </c>
      <c r="U14" s="2" t="str">
        <f>IFERROR(__xludf.DUMMYFUNCTION("IMPORTRANGE($B$18,$B$19&amp;address(row($T$4),column($T$4))&amp;"":""&amp;address(row($T$4),column($T$4)))"),"4-3-3")</f>
        <v>4-3-3</v>
      </c>
      <c r="V14"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14" s="2">
        <f>IFERROR(__xludf.DUMMYFUNCTION("IMPORTRANGE($B$18,$B$19&amp;address(row($H$7),column($H$7))&amp;"":""&amp;address(row($H$7),column($H$7)))"),2.0)</f>
        <v>2</v>
      </c>
      <c r="X14" s="2">
        <f>IFERROR(__xludf.DUMMYFUNCTION("IMPORTRANGE($B$18,$B$19&amp;address(row($I$7),column($I$7))&amp;"":""&amp;address(row($I$7),column($I$7)))"),1.0)</f>
        <v>1</v>
      </c>
      <c r="Y14" s="2" t="str">
        <f>IFERROR(__xludf.DUMMYFUNCTION("IMPORTRANGE($B$18,$B$19&amp;address(row($C$5),column($C$5))&amp;"":""&amp;address(row($C$5),column($C$5)))"),"-")</f>
        <v>-</v>
      </c>
      <c r="Z14" s="86">
        <f>IFERROR(__xludf.DUMMYFUNCTION("IMPORTRANGE($B$18,$B$19&amp;address(row($I$4),column($I$4))&amp;"":""&amp;address(row($I$4),column($I$4)))"),45395.0)</f>
        <v>45395</v>
      </c>
      <c r="AA14" s="2" t="b">
        <f t="shared" si="3"/>
        <v>1</v>
      </c>
    </row>
    <row r="15" ht="15.0" customHeight="1">
      <c r="A15" s="2" t="str">
        <f>IFERROR(__xludf.DUMMYFUNCTION("IMPORTRANGE($B$18,$B$19&amp;address(row(B25),column(B25))&amp;"":""&amp;address(row(B25),column(B25)))"),"Alex Stevens")</f>
        <v>Alex Stevens</v>
      </c>
      <c r="B15" s="2" t="str">
        <f>IFERROR(__xludf.DUMMYFUNCTION("IMPORTRANGE($B$18,$B$19&amp;address(row(E25),column(E25))&amp;"":""&amp;address(row(E25),column(E25)))"),"ACM")</f>
        <v>ACM</v>
      </c>
      <c r="C15" s="1">
        <f t="shared" si="1"/>
        <v>3</v>
      </c>
      <c r="D15" s="2" t="str">
        <f>IFERROR(__xludf.DUMMYFUNCTION("IMPORTRANGE($B$18,$B$19&amp;address(row($I$3),column($I$3))&amp;"":""&amp;address(row($I$3),column($I$3)))"),"Fulham Compton Old Boys 2s")</f>
        <v>Fulham Compton Old Boys 2s</v>
      </c>
      <c r="E1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5" s="2" t="str">
        <f>IFERROR(__xludf.DUMMYFUNCTION("IMPORTRANGE($B$18,$B$19&amp;address(row(I25),column(I25))&amp;"":""&amp;address(row(I25),column(I25)))"),"")</f>
        <v/>
      </c>
      <c r="G15" s="2" t="str">
        <f>IFERROR(__xludf.DUMMYFUNCTION("IMPORTRANGE($B$18,$B$19&amp;address(row(J25),column(J25))&amp;"":""&amp;address(row(J25),column(J25)))"),"")</f>
        <v/>
      </c>
      <c r="H15" s="1">
        <f>IFERROR(__xludf.DUMMYFUNCTION("IMPORTRANGE($B$18,$B$19&amp;address(row($I$7),column($I$7))&amp;"":""&amp;address(row($I$7),column($I$7)))"),1.0)</f>
        <v>1</v>
      </c>
      <c r="I15" s="2" t="str">
        <f>IFERROR(__xludf.DUMMYFUNCTION("IMPORTRANGE($B$18,$B$19&amp;address(row(N25),column(N25))&amp;"":""&amp;address(row(N25),column(N25)))"),"")</f>
        <v/>
      </c>
      <c r="J15" s="2" t="str">
        <f>IFERROR(__xludf.DUMMYFUNCTION("IMPORTRANGE($B$18,$B$19&amp;address(row(O25),column(O25))&amp;"":""&amp;address(row(O25),column(O25)))"),"")</f>
        <v/>
      </c>
      <c r="K15" s="2" t="str">
        <f>IFERROR(__xludf.DUMMYFUNCTION("IMPORTRANGE($B$18,$B$19&amp;address(row(P25),column(P25))&amp;"":""&amp;address(row(P25),column(P25)))"),"")</f>
        <v/>
      </c>
      <c r="L15" s="2" t="b">
        <f t="shared" si="2"/>
        <v>0</v>
      </c>
      <c r="M15" s="2" t="str">
        <f>IFERROR(__xludf.DUMMYFUNCTION("IMPORTRANGE($B$18,$B$19&amp;address(row(L25),column(L25))&amp;"":""&amp;address(row(L25),column(L25)))"),"")</f>
        <v/>
      </c>
      <c r="N15" s="2" t="str">
        <f>IFERROR(__xludf.DUMMYFUNCTION("IMPORTRANGE($B$18,$B$19&amp;address(row(K25),column(K25))&amp;"":""&amp;address(row(K25),column(K25)))"),"")</f>
        <v/>
      </c>
      <c r="O15" s="2" t="str">
        <f>IFERROR(__xludf.DUMMYFUNCTION("IMPORTRANGE($B$18,$B$19&amp;address(row(M25),column(M25))&amp;"":""&amp;address(row(M25),column(M25)))"),"")</f>
        <v/>
      </c>
      <c r="P15" s="2">
        <f>IFERROR(__xludf.DUMMYFUNCTION("IF(IMPORTRANGE($B$18,$B$19&amp;address(row($Q$7),column($Q$7))&amp;"":""&amp;address(row($Q$7),column($Q$7)))=A15,1,0)"),0.0)</f>
        <v>0</v>
      </c>
      <c r="Q15" s="2" t="str">
        <f>IFERROR(__xludf.DUMMYFUNCTION("IMPORTRANGE($B$18,$B$19&amp;address(row(G25),column(G25))&amp;"":""&amp;address(row(G25),column(G25)))"),"")</f>
        <v/>
      </c>
      <c r="R15" s="2">
        <f>IFERROR(__xludf.DUMMYFUNCTION("IMPORTRANGE($B$18,$B$19&amp;address(row(H25),column(H25))&amp;"":""&amp;address(row(H25),column(H25)))"),10.0)</f>
        <v>10</v>
      </c>
      <c r="S15" s="2">
        <f>IFERROR(__xludf.DUMMYFUNCTION("IMPORTRANGE($B$18,$B$19&amp;address(row(S25),column(S25))&amp;"":""&amp;address(row(S25),column(S25)))"),6.5)</f>
        <v>6.5</v>
      </c>
      <c r="T15" s="2" t="str">
        <f>IFERROR(__xludf.DUMMYFUNCTION("IMPORTRANGE($B$18,$B$19&amp;address(row(T25),column(T25))&amp;"":""&amp;address(row(T25),column(T25)))"),"Okay from Alex, looked a little lost in the CAM role but was marked by a very good 8.")</f>
        <v>Okay from Alex, looked a little lost in the CAM role but was marked by a very good 8.</v>
      </c>
      <c r="U15" s="2" t="str">
        <f>IFERROR(__xludf.DUMMYFUNCTION("IMPORTRANGE($B$18,$B$19&amp;address(row($T$4),column($T$4))&amp;"":""&amp;address(row($T$4),column($T$4)))"),"4-3-3")</f>
        <v>4-3-3</v>
      </c>
      <c r="V15"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15" s="2">
        <f>IFERROR(__xludf.DUMMYFUNCTION("IMPORTRANGE($B$18,$B$19&amp;address(row($H$7),column($H$7))&amp;"":""&amp;address(row($H$7),column($H$7)))"),2.0)</f>
        <v>2</v>
      </c>
      <c r="X15" s="2">
        <f>IFERROR(__xludf.DUMMYFUNCTION("IMPORTRANGE($B$18,$B$19&amp;address(row($I$7),column($I$7))&amp;"":""&amp;address(row($I$7),column($I$7)))"),1.0)</f>
        <v>1</v>
      </c>
      <c r="Y15" s="2" t="str">
        <f>IFERROR(__xludf.DUMMYFUNCTION("IMPORTRANGE($B$18,$B$19&amp;address(row($C$5),column($C$5))&amp;"":""&amp;address(row($C$5),column($C$5)))"),"-")</f>
        <v>-</v>
      </c>
      <c r="Z15" s="86">
        <f>IFERROR(__xludf.DUMMYFUNCTION("IMPORTRANGE($B$18,$B$19&amp;address(row($I$4),column($I$4))&amp;"":""&amp;address(row($I$4),column($I$4)))"),45395.0)</f>
        <v>45395</v>
      </c>
      <c r="AA15" s="2" t="b">
        <f t="shared" si="3"/>
        <v>1</v>
      </c>
    </row>
    <row r="16">
      <c r="A16" s="2" t="str">
        <f>IFERROR(__xludf.DUMMYFUNCTION("IMPORTRANGE($B$18,$B$19&amp;address(row(B26),column(B26))&amp;"":""&amp;address(row(B26),column(B26)))"),"")</f>
        <v/>
      </c>
      <c r="B16" s="2" t="str">
        <f>IFERROR(__xludf.DUMMYFUNCTION("IMPORTRANGE($B$18,$B$19&amp;address(row(E26),column(E26))&amp;"":""&amp;address(row(E26),column(E26)))"),"")</f>
        <v/>
      </c>
      <c r="C16" s="1">
        <f t="shared" si="1"/>
        <v>3</v>
      </c>
      <c r="D16" s="2" t="str">
        <f>IFERROR(__xludf.DUMMYFUNCTION("IMPORTRANGE($B$18,$B$19&amp;address(row($I$3),column($I$3))&amp;"":""&amp;address(row($I$3),column($I$3)))"),"Fulham Compton Old Boys 2s")</f>
        <v>Fulham Compton Old Boys 2s</v>
      </c>
      <c r="E1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6" s="2" t="str">
        <f>IFERROR(__xludf.DUMMYFUNCTION("IMPORTRANGE($B$18,$B$19&amp;address(row(I26),column(I26))&amp;"":""&amp;address(row(I26),column(I26)))"),"")</f>
        <v/>
      </c>
      <c r="G16" s="2" t="str">
        <f>IFERROR(__xludf.DUMMYFUNCTION("IMPORTRANGE($B$18,$B$19&amp;address(row(J26),column(J26))&amp;"":""&amp;address(row(J26),column(J26)))"),"")</f>
        <v/>
      </c>
      <c r="H16" s="1">
        <f>IFERROR(__xludf.DUMMYFUNCTION("IMPORTRANGE($B$18,$B$19&amp;address(row($I$7),column($I$7))&amp;"":""&amp;address(row($I$7),column($I$7)))"),1.0)</f>
        <v>1</v>
      </c>
      <c r="I16" s="2" t="str">
        <f>IFERROR(__xludf.DUMMYFUNCTION("IMPORTRANGE($B$18,$B$19&amp;address(row(N26),column(N26))&amp;"":""&amp;address(row(N26),column(N26)))"),"")</f>
        <v/>
      </c>
      <c r="J16" s="2" t="str">
        <f>IFERROR(__xludf.DUMMYFUNCTION("IMPORTRANGE($B$18,$B$19&amp;address(row(O26),column(O26))&amp;"":""&amp;address(row(O26),column(O26)))"),"")</f>
        <v/>
      </c>
      <c r="K16" s="2" t="str">
        <f>IFERROR(__xludf.DUMMYFUNCTION("IMPORTRANGE($B$18,$B$19&amp;address(row(P26),column(P26))&amp;"":""&amp;address(row(P26),column(P26)))"),"")</f>
        <v/>
      </c>
      <c r="L16" s="2" t="b">
        <f t="shared" si="2"/>
        <v>0</v>
      </c>
      <c r="M16" s="2" t="str">
        <f>IFERROR(__xludf.DUMMYFUNCTION("IMPORTRANGE($B$18,$B$19&amp;address(row(L26),column(L26))&amp;"":""&amp;address(row(L26),column(L26)))"),"")</f>
        <v/>
      </c>
      <c r="N16" s="2" t="str">
        <f>IFERROR(__xludf.DUMMYFUNCTION("IMPORTRANGE($B$18,$B$19&amp;address(row(K26),column(K26))&amp;"":""&amp;address(row(K26),column(K26)))"),"")</f>
        <v/>
      </c>
      <c r="O16" s="2" t="str">
        <f>IFERROR(__xludf.DUMMYFUNCTION("IMPORTRANGE($B$18,$B$19&amp;address(row(M26),column(M26))&amp;"":""&amp;address(row(M26),column(M26)))"),"")</f>
        <v/>
      </c>
      <c r="P16" s="2">
        <f>IFERROR(__xludf.DUMMYFUNCTION("IF(IMPORTRANGE($B$18,$B$19&amp;address(row($Q$7),column($Q$7))&amp;"":""&amp;address(row($Q$7),column($Q$7)))=A16,1,0)"),0.0)</f>
        <v>0</v>
      </c>
      <c r="Q16" s="2" t="str">
        <f>IFERROR(__xludf.DUMMYFUNCTION("IMPORTRANGE($B$18,$B$19&amp;address(row(G26),column(G26))&amp;"":""&amp;address(row(G26),column(G26)))"),"")</f>
        <v/>
      </c>
      <c r="R16" s="2" t="str">
        <f>IFERROR(__xludf.DUMMYFUNCTION("IMPORTRANGE($B$18,$B$19&amp;address(row(H26),column(H26))&amp;"":""&amp;address(row(H26),column(H26)))"),"")</f>
        <v/>
      </c>
      <c r="S16" s="2" t="str">
        <f>IFERROR(__xludf.DUMMYFUNCTION("IMPORTRANGE($B$18,$B$19&amp;address(row(S26),column(S26))&amp;"":""&amp;address(row(S26),column(S26)))"),"")</f>
        <v/>
      </c>
      <c r="T16" s="2" t="str">
        <f>IFERROR(__xludf.DUMMYFUNCTION("IMPORTRANGE($B$18,$B$19&amp;address(row(T26),column(T26))&amp;"":""&amp;address(row(T26),column(T26)))"),"")</f>
        <v/>
      </c>
      <c r="U16" s="2" t="str">
        <f>IFERROR(__xludf.DUMMYFUNCTION("IMPORTRANGE($B$18,$B$19&amp;address(row($T$4),column($T$4))&amp;"":""&amp;address(row($T$4),column($T$4)))"),"4-3-3")</f>
        <v>4-3-3</v>
      </c>
      <c r="V16"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16" s="2">
        <f>IFERROR(__xludf.DUMMYFUNCTION("IMPORTRANGE($B$18,$B$19&amp;address(row($H$7),column($H$7))&amp;"":""&amp;address(row($H$7),column($H$7)))"),2.0)</f>
        <v>2</v>
      </c>
      <c r="X16" s="2">
        <f>IFERROR(__xludf.DUMMYFUNCTION("IMPORTRANGE($B$18,$B$19&amp;address(row($I$7),column($I$7))&amp;"":""&amp;address(row($I$7),column($I$7)))"),1.0)</f>
        <v>1</v>
      </c>
      <c r="Y16" s="2" t="str">
        <f>IFERROR(__xludf.DUMMYFUNCTION("IMPORTRANGE($B$18,$B$19&amp;address(row($C$5),column($C$5))&amp;"":""&amp;address(row($C$5),column($C$5)))"),"-")</f>
        <v>-</v>
      </c>
      <c r="Z16" s="86">
        <f>IFERROR(__xludf.DUMMYFUNCTION("IMPORTRANGE($B$18,$B$19&amp;address(row($I$4),column($I$4))&amp;"":""&amp;address(row($I$4),column($I$4)))"),45395.0)</f>
        <v>45395</v>
      </c>
      <c r="AA16" s="2" t="b">
        <f t="shared" si="3"/>
        <v>0</v>
      </c>
    </row>
    <row r="17">
      <c r="A17" s="2" t="str">
        <f>IFERROR(__xludf.DUMMYFUNCTION("IMPORTRANGE($B$18,$B$19&amp;address(row(B27),column(B27))&amp;"":""&amp;address(row(B27),column(B27)))"),"")</f>
        <v/>
      </c>
      <c r="B17" s="2" t="str">
        <f>IFERROR(__xludf.DUMMYFUNCTION("IMPORTRANGE($B$18,$B$19&amp;address(row(E27),column(E27))&amp;"":""&amp;address(row(E27),column(E27)))"),"")</f>
        <v/>
      </c>
      <c r="C17" s="1">
        <f t="shared" si="1"/>
        <v>3</v>
      </c>
      <c r="D17" s="2" t="str">
        <f>IFERROR(__xludf.DUMMYFUNCTION("IMPORTRANGE($B$18,$B$19&amp;address(row($I$3),column($I$3))&amp;"":""&amp;address(row($I$3),column($I$3)))"),"Fulham Compton Old Boys 2s")</f>
        <v>Fulham Compton Old Boys 2s</v>
      </c>
      <c r="E1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7" s="2" t="str">
        <f>IFERROR(__xludf.DUMMYFUNCTION("IMPORTRANGE($B$18,$B$19&amp;address(row(I27),column(I27))&amp;"":""&amp;address(row(I27),column(I27)))"),"")</f>
        <v/>
      </c>
      <c r="G17" s="2" t="str">
        <f>IFERROR(__xludf.DUMMYFUNCTION("IMPORTRANGE($B$18,$B$19&amp;address(row(J27),column(J27))&amp;"":""&amp;address(row(J27),column(J27)))"),"")</f>
        <v/>
      </c>
      <c r="H17" s="1">
        <f>IFERROR(__xludf.DUMMYFUNCTION("IMPORTRANGE($B$18,$B$19&amp;address(row($I$7),column($I$7))&amp;"":""&amp;address(row($I$7),column($I$7)))"),1.0)</f>
        <v>1</v>
      </c>
      <c r="I17" s="2" t="str">
        <f>IFERROR(__xludf.DUMMYFUNCTION("IMPORTRANGE($B$18,$B$19&amp;address(row(N27),column(N27))&amp;"":""&amp;address(row(N27),column(N27)))"),"")</f>
        <v/>
      </c>
      <c r="J17" s="2" t="str">
        <f>IFERROR(__xludf.DUMMYFUNCTION("IMPORTRANGE($B$18,$B$19&amp;address(row(O27),column(O27))&amp;"":""&amp;address(row(O27),column(O27)))"),"")</f>
        <v/>
      </c>
      <c r="K17" s="2" t="str">
        <f>IFERROR(__xludf.DUMMYFUNCTION("IMPORTRANGE($B$18,$B$19&amp;address(row(P27),column(P27))&amp;"":""&amp;address(row(P27),column(P27)))"),"")</f>
        <v/>
      </c>
      <c r="L17" s="2" t="b">
        <f t="shared" si="2"/>
        <v>0</v>
      </c>
      <c r="M17" s="2" t="str">
        <f>IFERROR(__xludf.DUMMYFUNCTION("IMPORTRANGE($B$18,$B$19&amp;address(row(L27),column(L27))&amp;"":""&amp;address(row(L27),column(L27)))"),"")</f>
        <v/>
      </c>
      <c r="N17" s="2" t="str">
        <f>IFERROR(__xludf.DUMMYFUNCTION("IMPORTRANGE($B$18,$B$19&amp;address(row(K27),column(K27))&amp;"":""&amp;address(row(K27),column(K27)))"),"")</f>
        <v/>
      </c>
      <c r="O17" s="2" t="str">
        <f>IFERROR(__xludf.DUMMYFUNCTION("IMPORTRANGE($B$18,$B$19&amp;address(row(M27),column(M27))&amp;"":""&amp;address(row(M27),column(M27)))"),"")</f>
        <v/>
      </c>
      <c r="P17" s="2">
        <f>IFERROR(__xludf.DUMMYFUNCTION("IF(IMPORTRANGE($B$18,$B$19&amp;address(row($Q$7),column($Q$7))&amp;"":""&amp;address(row($Q$7),column($Q$7)))=A17,1,0)"),0.0)</f>
        <v>0</v>
      </c>
      <c r="Q17" s="2" t="str">
        <f>IFERROR(__xludf.DUMMYFUNCTION("IMPORTRANGE($B$18,$B$19&amp;address(row(G27),column(G27))&amp;"":""&amp;address(row(G27),column(G27)))"),"")</f>
        <v/>
      </c>
      <c r="R17" s="2" t="str">
        <f>IFERROR(__xludf.DUMMYFUNCTION("IMPORTRANGE($B$18,$B$19&amp;address(row(H27),column(H27))&amp;"":""&amp;address(row(H27),column(H27)))"),"")</f>
        <v/>
      </c>
      <c r="S17" s="2" t="str">
        <f>IFERROR(__xludf.DUMMYFUNCTION("IMPORTRANGE($B$18,$B$19&amp;address(row(S27),column(S27))&amp;"":""&amp;address(row(S27),column(S27)))"),"")</f>
        <v/>
      </c>
      <c r="T17" s="2" t="str">
        <f>IFERROR(__xludf.DUMMYFUNCTION("IMPORTRANGE($B$18,$B$19&amp;address(row(T27),column(T27))&amp;"":""&amp;address(row(T27),column(T27)))"),"")</f>
        <v/>
      </c>
      <c r="U17" s="2" t="str">
        <f>IFERROR(__xludf.DUMMYFUNCTION("IMPORTRANGE($B$18,$B$19&amp;address(row($T$4),column($T$4))&amp;"":""&amp;address(row($T$4),column($T$4)))"),"4-3-3")</f>
        <v>4-3-3</v>
      </c>
      <c r="V17" s="2" t="str">
        <f>IFERROR(__xludf.DUMMYFUNCTION("IMPORTRANGE($B$18,$B$19&amp;address(row($T$7),column($T$7))&amp;"":""&amp;address(row($T$7),column($T$7)))"),"Such a good display from the lads today, we popped the ball around a very strong Fulham side and looked to be a real threat from the get-go. They looked very comfortable with it at the back but shape meant they were forced to go long which allowed us to c"&amp;"ollect the ball 9/10 times. Frustrating to concede from a corner again. But a win is a win and it takes us within grasp of the title.")</f>
        <v>Such a good display from the lads today, we popped the ball around a very strong Fulham side and looked to be a real threat from the get-go. They looked very comfortable with it at the back but shape meant they were forced to go long which allowed us to collect the ball 9/10 times. Frustrating to concede from a corner again. But a win is a win and it takes us within grasp of the title.</v>
      </c>
      <c r="W17" s="2">
        <f>IFERROR(__xludf.DUMMYFUNCTION("IMPORTRANGE($B$18,$B$19&amp;address(row($H$7),column($H$7))&amp;"":""&amp;address(row($H$7),column($H$7)))"),2.0)</f>
        <v>2</v>
      </c>
      <c r="X17" s="2">
        <f>IFERROR(__xludf.DUMMYFUNCTION("IMPORTRANGE($B$18,$B$19&amp;address(row($I$7),column($I$7))&amp;"":""&amp;address(row($I$7),column($I$7)))"),1.0)</f>
        <v>1</v>
      </c>
      <c r="Y17" s="2" t="str">
        <f>IFERROR(__xludf.DUMMYFUNCTION("IMPORTRANGE($B$18,$B$19&amp;address(row($C$5),column($C$5))&amp;"":""&amp;address(row($C$5),column($C$5)))"),"-")</f>
        <v>-</v>
      </c>
      <c r="Z17" s="86">
        <f>IFERROR(__xludf.DUMMYFUNCTION("IMPORTRANGE($B$18,$B$19&amp;address(row($I$4),column($I$4))&amp;"":""&amp;address(row($I$4),column($I$4)))"),45395.0)</f>
        <v>45395</v>
      </c>
      <c r="AA17" s="2" t="b">
        <f t="shared" si="3"/>
        <v>0</v>
      </c>
    </row>
    <row r="18">
      <c r="A18" s="1" t="s">
        <v>2258</v>
      </c>
      <c r="B18" s="87" t="s">
        <v>2264</v>
      </c>
      <c r="D18" s="2"/>
      <c r="E18" s="2"/>
      <c r="F18" s="2"/>
      <c r="G18" s="2"/>
      <c r="H18" s="2"/>
      <c r="I18" s="2"/>
      <c r="J18" s="2"/>
      <c r="K18" s="2"/>
      <c r="L18" s="2"/>
      <c r="M18" s="2"/>
      <c r="N18" s="2"/>
      <c r="O18" s="2"/>
      <c r="P18" s="2"/>
      <c r="Q18" s="2"/>
      <c r="R18" s="2"/>
      <c r="S18" s="2"/>
      <c r="T18" s="2"/>
      <c r="U18" s="2"/>
      <c r="V18" s="2"/>
      <c r="W18" s="2"/>
      <c r="X18" s="2"/>
    </row>
    <row r="19">
      <c r="A19" s="1" t="s">
        <v>2260</v>
      </c>
      <c r="B19" s="88" t="s">
        <v>2265</v>
      </c>
      <c r="C19" s="2"/>
      <c r="D19" s="2"/>
      <c r="E19" s="2"/>
      <c r="F19" s="2"/>
      <c r="G19" s="2"/>
      <c r="H19" s="2"/>
      <c r="I19" s="2"/>
      <c r="J19" s="2"/>
      <c r="K19" s="2"/>
      <c r="L19" s="2"/>
      <c r="M19" s="2"/>
      <c r="N19" s="2"/>
      <c r="O19" s="2"/>
      <c r="P19" s="2"/>
      <c r="Q19" s="2"/>
      <c r="R19" s="2"/>
      <c r="S19" s="2"/>
      <c r="T19" s="2"/>
      <c r="U19" s="2"/>
      <c r="V19" s="2"/>
      <c r="W19" s="2"/>
      <c r="X19" s="2"/>
    </row>
    <row r="20">
      <c r="A20" s="1" t="s">
        <v>32</v>
      </c>
      <c r="B20" s="1">
        <v>3.0</v>
      </c>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sheetData>
  <hyperlinks>
    <hyperlink r:id="rId1" location="gid=1926124634" ref="B18"/>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6.88"/>
    <col customWidth="1" min="8" max="8" width="14.13"/>
  </cols>
  <sheetData>
    <row r="1">
      <c r="A1" s="2" t="str">
        <f>IFERROR(__xludf.DUMMYFUNCTION("IMPORTRANGE(B18,B19&amp;address(row(B11),column(B11))&amp;"":""&amp;address(row(B11),column(B11)))"),"Player Name")</f>
        <v>Player Name</v>
      </c>
      <c r="B1" s="2" t="str">
        <f>IFERROR(__xludf.DUMMYFUNCTION("IMPORTRANGE(B18,B19&amp;ADDRESS(row(E11),column(E11))&amp;"":""&amp;address(row(E11),column(E11)))"),"Position")</f>
        <v>Position</v>
      </c>
      <c r="C1" s="1" t="s">
        <v>199</v>
      </c>
      <c r="D1" s="1" t="s">
        <v>200</v>
      </c>
      <c r="E1" s="1" t="s">
        <v>201</v>
      </c>
      <c r="F1" s="63" t="s">
        <v>158</v>
      </c>
      <c r="G1" s="63" t="s">
        <v>159</v>
      </c>
      <c r="H1" s="63" t="s">
        <v>202</v>
      </c>
      <c r="I1" s="63" t="s">
        <v>203</v>
      </c>
      <c r="J1" s="63" t="s">
        <v>185</v>
      </c>
      <c r="K1" s="63" t="s">
        <v>204</v>
      </c>
      <c r="L1" s="63" t="s">
        <v>205</v>
      </c>
      <c r="M1" s="63" t="s">
        <v>206</v>
      </c>
      <c r="N1" s="63" t="s">
        <v>207</v>
      </c>
      <c r="O1" s="63" t="s">
        <v>208</v>
      </c>
      <c r="P1" s="63" t="s">
        <v>209</v>
      </c>
      <c r="Q1" s="61" t="s">
        <v>210</v>
      </c>
      <c r="R1" s="61" t="s">
        <v>211</v>
      </c>
      <c r="S1" s="61" t="s">
        <v>212</v>
      </c>
      <c r="T1" s="61" t="s">
        <v>213</v>
      </c>
      <c r="U1" s="61" t="s">
        <v>214</v>
      </c>
      <c r="V1" s="61" t="s">
        <v>215</v>
      </c>
      <c r="W1" s="65" t="s">
        <v>2254</v>
      </c>
      <c r="X1" s="61" t="s">
        <v>2255</v>
      </c>
      <c r="Y1" s="61" t="s">
        <v>196</v>
      </c>
      <c r="Z1" s="61" t="s">
        <v>2256</v>
      </c>
      <c r="AA1" s="61" t="s">
        <v>2257</v>
      </c>
    </row>
    <row r="2">
      <c r="A2" s="2" t="str">
        <f>IFERROR(__xludf.DUMMYFUNCTION("IMPORTRANGE($B$18,$B$19&amp;address(row(B12),column(B12))&amp;"":""&amp;address(row(B12),column(B12)))"),"Alex Scott-Ruddock")</f>
        <v>Alex Scott-Ruddock</v>
      </c>
      <c r="B2" s="2" t="str">
        <f>IFERROR(__xludf.DUMMYFUNCTION("IMPORTRANGE($B$18,$B$19&amp;address(row(E12),column(E12))&amp;"":""&amp;address(row(E12),column(E12)))"),"")</f>
        <v/>
      </c>
      <c r="C2" s="1">
        <f t="shared" ref="C2:C17" si="1">$B$20</f>
        <v>4</v>
      </c>
      <c r="D2" s="2" t="str">
        <f>IFERROR(__xludf.DUMMYFUNCTION("IMPORTRANGE($B$18,$B$19&amp;address(row($I$3),column($I$3))&amp;"":""&amp;address(row($I$3),column($I$3)))"),"Old Wokingians 3s")</f>
        <v>Old Wokingians 3s</v>
      </c>
      <c r="E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2" s="2" t="str">
        <f>IFERROR(__xludf.DUMMYFUNCTION("IMPORTRANGE($B$18,$B$19&amp;address(row(I12),column(I12))&amp;"":""&amp;address(row(I12),column(I12)))"),"")</f>
        <v/>
      </c>
      <c r="G2" s="2" t="str">
        <f>IFERROR(__xludf.DUMMYFUNCTION("IMPORTRANGE($B$18,$B$19&amp;address(row(J12),column(J12))&amp;"":""&amp;address(row(J12),column(J12)))"),"")</f>
        <v/>
      </c>
      <c r="H2" s="1" t="str">
        <f>IFERROR(__xludf.DUMMYFUNCTION("IMPORTRANGE($B$18,$B$19&amp;address(row($I$7),column($I$7))&amp;"":""&amp;address(row($I$7),column($I$7)))"),"")</f>
        <v/>
      </c>
      <c r="I2" s="2" t="str">
        <f>IFERROR(__xludf.DUMMYFUNCTION("IMPORTRANGE($B$18,$B$19&amp;address(row(N12),column(N12))&amp;"":""&amp;address(row(N12),column(N12)))"),"")</f>
        <v/>
      </c>
      <c r="J2" s="2" t="str">
        <f>IFERROR(__xludf.DUMMYFUNCTION("IMPORTRANGE($B$18,$B$19&amp;address(row(O12),column(O12))&amp;"":""&amp;address(row(O12),column(O12)))"),"")</f>
        <v/>
      </c>
      <c r="K2" s="2" t="str">
        <f>IFERROR(__xludf.DUMMYFUNCTION("IMPORTRANGE($B$18,$B$19&amp;address(row(P12),column(P12))&amp;"":""&amp;address(row(P12),column(P12)))"),"")</f>
        <v/>
      </c>
      <c r="L2" s="2" t="b">
        <f t="shared" ref="L2:L17" si="2">H2=0</f>
        <v>1</v>
      </c>
      <c r="M2" s="2" t="str">
        <f>IFERROR(__xludf.DUMMYFUNCTION("IMPORTRANGE($B$18,$B$19&amp;address(row(L12),column(L12))&amp;"":""&amp;address(row(L12),column(L12)))"),"")</f>
        <v/>
      </c>
      <c r="N2" s="2" t="str">
        <f>IFERROR(__xludf.DUMMYFUNCTION("IMPORTRANGE($B$18,$B$19&amp;address(row(K12),column(K12))&amp;"":""&amp;address(row(K12),column(K12)))"),"")</f>
        <v/>
      </c>
      <c r="O2" s="2" t="str">
        <f>IFERROR(__xludf.DUMMYFUNCTION("IMPORTRANGE($B$18,$B$19&amp;address(row(M12),column(M12))&amp;"":""&amp;address(row(M12),column(M12)))"),"")</f>
        <v/>
      </c>
      <c r="P2" s="2">
        <f>IFERROR(__xludf.DUMMYFUNCTION("IF(IMPORTRANGE($B$18,$B$19&amp;address(row($Q$7),column($Q$7))&amp;"":""&amp;address(row($Q$7),column($Q$7)))=A2,1,0)"),1.0)</f>
        <v>1</v>
      </c>
      <c r="Q2" s="2" t="str">
        <f>IFERROR(__xludf.DUMMYFUNCTION("IMPORTRANGE($B$18,$B$19&amp;address(row(G12),column(G12))&amp;"":""&amp;address(row(G12),column(G12)))"),"")</f>
        <v/>
      </c>
      <c r="R2" s="2" t="str">
        <f>IFERROR(__xludf.DUMMYFUNCTION("IMPORTRANGE($B$18,$B$19&amp;address(row(H12),column(H12))&amp;"":""&amp;address(row(H12),column(H12)))"),"")</f>
        <v/>
      </c>
      <c r="S2" s="2" t="str">
        <f>IFERROR(__xludf.DUMMYFUNCTION("IMPORTRANGE($B$18,$B$19&amp;address(row(S12),column(S12))&amp;"":""&amp;address(row(S12),column(S12)))"),"")</f>
        <v/>
      </c>
      <c r="T2" s="2" t="str">
        <f>IFERROR(__xludf.DUMMYFUNCTION("IMPORTRANGE($B$18,$B$19&amp;address(row(T12),column(T12))&amp;"":""&amp;address(row(T12),column(T12)))"),"")</f>
        <v/>
      </c>
      <c r="U2" s="2" t="str">
        <f>IFERROR(__xludf.DUMMYFUNCTION("IMPORTRANGE($B$18,$B$19&amp;address(row($T$4),column($T$4))&amp;"":""&amp;address(row($T$4),column($T$4)))"),"")</f>
        <v/>
      </c>
      <c r="V2" s="2" t="str">
        <f>IFERROR(__xludf.DUMMYFUNCTION("IMPORTRANGE($B$18,$B$19&amp;address(row($T$7),column($T$7))&amp;"":""&amp;address(row($T$7),column($T$7)))"),"")</f>
        <v/>
      </c>
      <c r="W2" s="2" t="str">
        <f>IFERROR(__xludf.DUMMYFUNCTION("IMPORTRANGE($B$18,$B$19&amp;address(row($H$7),column($H$7))&amp;"":""&amp;address(row($H$7),column($H$7)))"),"")</f>
        <v/>
      </c>
      <c r="X2" s="2" t="str">
        <f>IFERROR(__xludf.DUMMYFUNCTION("IMPORTRANGE($B$18,$B$19&amp;address(row($I$7),column($I$7))&amp;"":""&amp;address(row($I$7),column($I$7)))"),"")</f>
        <v/>
      </c>
      <c r="Y2" s="2" t="str">
        <f>IFERROR(__xludf.DUMMYFUNCTION("IMPORTRANGE($B$18,$B$19&amp;address(row($C$5),column($C$5))&amp;"":""&amp;address(row($C$5),column($C$5)))"),"South 1")</f>
        <v>South 1</v>
      </c>
      <c r="Z2" s="86">
        <f>IFERROR(__xludf.DUMMYFUNCTION("IMPORTRANGE($B$18,$B$19&amp;address(row($I$4),column($I$4))&amp;"":""&amp;address(row($I$4),column($I$4)))"),45395.0)</f>
        <v>45395</v>
      </c>
      <c r="AA2" s="2" t="b">
        <f t="shared" ref="AA2:AA17" si="3">NOT(ISBLANK(A2))</f>
        <v>1</v>
      </c>
    </row>
    <row r="3">
      <c r="A3" s="2" t="str">
        <f>IFERROR(__xludf.DUMMYFUNCTION("IMPORTRANGE($B$18,$B$19&amp;address(row(B13),column(B13))&amp;"":""&amp;address(row(B13),column(B13)))"),"Sidney Hopper-Kelly")</f>
        <v>Sidney Hopper-Kelly</v>
      </c>
      <c r="B3" s="2" t="str">
        <f>IFERROR(__xludf.DUMMYFUNCTION("IMPORTRANGE($B$18,$B$19&amp;address(row(E13),column(E13))&amp;"":""&amp;address(row(E13),column(E13)))"),"")</f>
        <v/>
      </c>
      <c r="C3" s="1">
        <f t="shared" si="1"/>
        <v>4</v>
      </c>
      <c r="D3" s="2" t="str">
        <f>IFERROR(__xludf.DUMMYFUNCTION("IMPORTRANGE($B$18,$B$19&amp;address(row($I$3),column($I$3))&amp;"":""&amp;address(row($I$3),column($I$3)))"),"Old Wokingians 3s")</f>
        <v>Old Wokingians 3s</v>
      </c>
      <c r="E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3" s="2" t="str">
        <f>IFERROR(__xludf.DUMMYFUNCTION("IMPORTRANGE($B$18,$B$19&amp;address(row(I13),column(I13))&amp;"":""&amp;address(row(I13),column(I13)))"),"")</f>
        <v/>
      </c>
      <c r="G3" s="2" t="str">
        <f>IFERROR(__xludf.DUMMYFUNCTION("IMPORTRANGE($B$18,$B$19&amp;address(row(J13),column(J13))&amp;"":""&amp;address(row(J13),column(J13)))"),"")</f>
        <v/>
      </c>
      <c r="H3" s="1" t="str">
        <f>IFERROR(__xludf.DUMMYFUNCTION("IMPORTRANGE($B$18,$B$19&amp;address(row($I$7),column($I$7))&amp;"":""&amp;address(row($I$7),column($I$7)))"),"")</f>
        <v/>
      </c>
      <c r="I3" s="2" t="str">
        <f>IFERROR(__xludf.DUMMYFUNCTION("IMPORTRANGE($B$18,$B$19&amp;address(row(N13),column(N13))&amp;"":""&amp;address(row(N13),column(N13)))"),"")</f>
        <v/>
      </c>
      <c r="J3" s="2" t="str">
        <f>IFERROR(__xludf.DUMMYFUNCTION("IMPORTRANGE($B$18,$B$19&amp;address(row(O13),column(O13))&amp;"":""&amp;address(row(O13),column(O13)))"),"")</f>
        <v/>
      </c>
      <c r="K3" s="2" t="str">
        <f>IFERROR(__xludf.DUMMYFUNCTION("IMPORTRANGE($B$18,$B$19&amp;address(row(P13),column(P13))&amp;"":""&amp;address(row(P13),column(P13)))"),"")</f>
        <v/>
      </c>
      <c r="L3" s="2" t="b">
        <f t="shared" si="2"/>
        <v>1</v>
      </c>
      <c r="M3" s="2" t="str">
        <f>IFERROR(__xludf.DUMMYFUNCTION("IMPORTRANGE($B$18,$B$19&amp;address(row(L13),column(L13))&amp;"":""&amp;address(row(L13),column(L13)))"),"")</f>
        <v/>
      </c>
      <c r="N3" s="2" t="str">
        <f>IFERROR(__xludf.DUMMYFUNCTION("IMPORTRANGE($B$18,$B$19&amp;address(row(K13),column(K13))&amp;"":""&amp;address(row(K13),column(K13)))"),"")</f>
        <v/>
      </c>
      <c r="O3" s="2" t="str">
        <f>IFERROR(__xludf.DUMMYFUNCTION("IMPORTRANGE($B$18,$B$19&amp;address(row(M13),column(M13))&amp;"":""&amp;address(row(M13),column(M13)))"),"")</f>
        <v/>
      </c>
      <c r="P3" s="2">
        <f>IFERROR(__xludf.DUMMYFUNCTION("IF(IMPORTRANGE($B$18,$B$19&amp;address(row($Q$7),column($Q$7))&amp;"":""&amp;address(row($Q$7),column($Q$7)))=A3,1,0)"),0.0)</f>
        <v>0</v>
      </c>
      <c r="Q3" s="2" t="str">
        <f>IFERROR(__xludf.DUMMYFUNCTION("IMPORTRANGE($B$18,$B$19&amp;address(row(G13),column(G13))&amp;"":""&amp;address(row(G13),column(G13)))"),"")</f>
        <v/>
      </c>
      <c r="R3" s="2" t="str">
        <f>IFERROR(__xludf.DUMMYFUNCTION("IMPORTRANGE($B$18,$B$19&amp;address(row(H13),column(H13))&amp;"":""&amp;address(row(H13),column(H13)))"),"")</f>
        <v/>
      </c>
      <c r="S3" s="2" t="str">
        <f>IFERROR(__xludf.DUMMYFUNCTION("IMPORTRANGE($B$18,$B$19&amp;address(row(S13),column(S13))&amp;"":""&amp;address(row(S13),column(S13)))"),"")</f>
        <v/>
      </c>
      <c r="T3" s="2" t="str">
        <f>IFERROR(__xludf.DUMMYFUNCTION("IMPORTRANGE($B$18,$B$19&amp;address(row(T13),column(T13))&amp;"":""&amp;address(row(T13),column(T13)))"),"")</f>
        <v/>
      </c>
      <c r="U3" s="2" t="str">
        <f>IFERROR(__xludf.DUMMYFUNCTION("IMPORTRANGE($B$18,$B$19&amp;address(row($T$4),column($T$4))&amp;"":""&amp;address(row($T$4),column($T$4)))"),"")</f>
        <v/>
      </c>
      <c r="V3" s="2" t="str">
        <f>IFERROR(__xludf.DUMMYFUNCTION("IMPORTRANGE($B$18,$B$19&amp;address(row($T$7),column($T$7))&amp;"":""&amp;address(row($T$7),column($T$7)))"),"")</f>
        <v/>
      </c>
      <c r="W3" s="2" t="str">
        <f>IFERROR(__xludf.DUMMYFUNCTION("IMPORTRANGE($B$18,$B$19&amp;address(row($H$7),column($H$7))&amp;"":""&amp;address(row($H$7),column($H$7)))"),"")</f>
        <v/>
      </c>
      <c r="X3" s="2" t="str">
        <f>IFERROR(__xludf.DUMMYFUNCTION("IMPORTRANGE($B$18,$B$19&amp;address(row($I$7),column($I$7))&amp;"":""&amp;address(row($I$7),column($I$7)))"),"")</f>
        <v/>
      </c>
      <c r="Y3" s="2" t="str">
        <f>IFERROR(__xludf.DUMMYFUNCTION("IMPORTRANGE($B$18,$B$19&amp;address(row($C$5),column($C$5))&amp;"":""&amp;address(row($C$5),column($C$5)))"),"South 1")</f>
        <v>South 1</v>
      </c>
      <c r="Z3" s="86">
        <f>IFERROR(__xludf.DUMMYFUNCTION("IMPORTRANGE($B$18,$B$19&amp;address(row($I$4),column($I$4))&amp;"":""&amp;address(row($I$4),column($I$4)))"),45395.0)</f>
        <v>45395</v>
      </c>
      <c r="AA3" s="2" t="b">
        <f t="shared" si="3"/>
        <v>1</v>
      </c>
    </row>
    <row r="4">
      <c r="A4" s="2" t="str">
        <f>IFERROR(__xludf.DUMMYFUNCTION("IMPORTRANGE($B$18,$B$19&amp;address(row(B14),column(B14))&amp;"":""&amp;address(row(B14),column(B14)))"),"Charlie Doe")</f>
        <v>Charlie Doe</v>
      </c>
      <c r="B4" s="2" t="str">
        <f>IFERROR(__xludf.DUMMYFUNCTION("IMPORTRANGE($B$18,$B$19&amp;address(row(E14),column(E14))&amp;"":""&amp;address(row(E14),column(E14)))"),"")</f>
        <v/>
      </c>
      <c r="C4" s="1">
        <f t="shared" si="1"/>
        <v>4</v>
      </c>
      <c r="D4" s="2" t="str">
        <f>IFERROR(__xludf.DUMMYFUNCTION("IMPORTRANGE($B$18,$B$19&amp;address(row($I$3),column($I$3))&amp;"":""&amp;address(row($I$3),column($I$3)))"),"Old Wokingians 3s")</f>
        <v>Old Wokingians 3s</v>
      </c>
      <c r="E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4" s="2" t="str">
        <f>IFERROR(__xludf.DUMMYFUNCTION("IMPORTRANGE($B$18,$B$19&amp;address(row(I14),column(I14))&amp;"":""&amp;address(row(I14),column(I14)))"),"")</f>
        <v/>
      </c>
      <c r="G4" s="2" t="str">
        <f>IFERROR(__xludf.DUMMYFUNCTION("IMPORTRANGE($B$18,$B$19&amp;address(row(J14),column(J14))&amp;"":""&amp;address(row(J14),column(J14)))"),"")</f>
        <v/>
      </c>
      <c r="H4" s="1" t="str">
        <f>IFERROR(__xludf.DUMMYFUNCTION("IMPORTRANGE($B$18,$B$19&amp;address(row($I$7),column($I$7))&amp;"":""&amp;address(row($I$7),column($I$7)))"),"")</f>
        <v/>
      </c>
      <c r="I4" s="2" t="str">
        <f>IFERROR(__xludf.DUMMYFUNCTION("IMPORTRANGE($B$18,$B$19&amp;address(row(N14),column(N14))&amp;"":""&amp;address(row(N14),column(N14)))"),"")</f>
        <v/>
      </c>
      <c r="J4" s="2" t="str">
        <f>IFERROR(__xludf.DUMMYFUNCTION("IMPORTRANGE($B$18,$B$19&amp;address(row(O14),column(O14))&amp;"":""&amp;address(row(O14),column(O14)))"),"")</f>
        <v/>
      </c>
      <c r="K4" s="2" t="str">
        <f>IFERROR(__xludf.DUMMYFUNCTION("IMPORTRANGE($B$18,$B$19&amp;address(row(P14),column(P14))&amp;"":""&amp;address(row(P14),column(P14)))"),"")</f>
        <v/>
      </c>
      <c r="L4" s="2" t="b">
        <f t="shared" si="2"/>
        <v>1</v>
      </c>
      <c r="M4" s="2" t="str">
        <f>IFERROR(__xludf.DUMMYFUNCTION("IMPORTRANGE($B$18,$B$19&amp;address(row(L14),column(L14))&amp;"":""&amp;address(row(L14),column(L14)))"),"")</f>
        <v/>
      </c>
      <c r="N4" s="2" t="str">
        <f>IFERROR(__xludf.DUMMYFUNCTION("IMPORTRANGE($B$18,$B$19&amp;address(row(K14),column(K14))&amp;"":""&amp;address(row(K14),column(K14)))"),"")</f>
        <v/>
      </c>
      <c r="O4" s="2" t="str">
        <f>IFERROR(__xludf.DUMMYFUNCTION("IMPORTRANGE($B$18,$B$19&amp;address(row(M14),column(M14))&amp;"":""&amp;address(row(M14),column(M14)))"),"")</f>
        <v/>
      </c>
      <c r="P4" s="2">
        <f>IFERROR(__xludf.DUMMYFUNCTION("IF(IMPORTRANGE($B$18,$B$19&amp;address(row($Q$7),column($Q$7))&amp;"":""&amp;address(row($Q$7),column($Q$7)))=A4,1,0)"),0.0)</f>
        <v>0</v>
      </c>
      <c r="Q4" s="2" t="str">
        <f>IFERROR(__xludf.DUMMYFUNCTION("IMPORTRANGE($B$18,$B$19&amp;address(row(G14),column(G14))&amp;"":""&amp;address(row(G14),column(G14)))"),"")</f>
        <v/>
      </c>
      <c r="R4" s="2" t="str">
        <f>IFERROR(__xludf.DUMMYFUNCTION("IMPORTRANGE($B$18,$B$19&amp;address(row(H14),column(H14))&amp;"":""&amp;address(row(H14),column(H14)))"),"")</f>
        <v/>
      </c>
      <c r="S4" s="2" t="str">
        <f>IFERROR(__xludf.DUMMYFUNCTION("IMPORTRANGE($B$18,$B$19&amp;address(row(S14),column(S14))&amp;"":""&amp;address(row(S14),column(S14)))"),"")</f>
        <v/>
      </c>
      <c r="T4" s="2" t="str">
        <f>IFERROR(__xludf.DUMMYFUNCTION("IMPORTRANGE($B$18,$B$19&amp;address(row(T14),column(T14))&amp;"":""&amp;address(row(T14),column(T14)))"),"")</f>
        <v/>
      </c>
      <c r="U4" s="2" t="str">
        <f>IFERROR(__xludf.DUMMYFUNCTION("IMPORTRANGE($B$18,$B$19&amp;address(row($T$4),column($T$4))&amp;"":""&amp;address(row($T$4),column($T$4)))"),"")</f>
        <v/>
      </c>
      <c r="V4" s="2" t="str">
        <f>IFERROR(__xludf.DUMMYFUNCTION("IMPORTRANGE($B$18,$B$19&amp;address(row($T$7),column($T$7))&amp;"":""&amp;address(row($T$7),column($T$7)))"),"")</f>
        <v/>
      </c>
      <c r="W4" s="2" t="str">
        <f>IFERROR(__xludf.DUMMYFUNCTION("IMPORTRANGE($B$18,$B$19&amp;address(row($H$7),column($H$7))&amp;"":""&amp;address(row($H$7),column($H$7)))"),"")</f>
        <v/>
      </c>
      <c r="X4" s="2" t="str">
        <f>IFERROR(__xludf.DUMMYFUNCTION("IMPORTRANGE($B$18,$B$19&amp;address(row($I$7),column($I$7))&amp;"":""&amp;address(row($I$7),column($I$7)))"),"")</f>
        <v/>
      </c>
      <c r="Y4" s="2" t="str">
        <f>IFERROR(__xludf.DUMMYFUNCTION("IMPORTRANGE($B$18,$B$19&amp;address(row($C$5),column($C$5))&amp;"":""&amp;address(row($C$5),column($C$5)))"),"South 1")</f>
        <v>South 1</v>
      </c>
      <c r="Z4" s="86">
        <f>IFERROR(__xludf.DUMMYFUNCTION("IMPORTRANGE($B$18,$B$19&amp;address(row($I$4),column($I$4))&amp;"":""&amp;address(row($I$4),column($I$4)))"),45395.0)</f>
        <v>45395</v>
      </c>
      <c r="AA4" s="2" t="b">
        <f t="shared" si="3"/>
        <v>1</v>
      </c>
    </row>
    <row r="5">
      <c r="A5" s="2" t="str">
        <f>IFERROR(__xludf.DUMMYFUNCTION("IMPORTRANGE($B$18,$B$19&amp;address(row(B15),column(B15))&amp;"":""&amp;address(row(B15),column(B15)))"),"Kevin Gonzalez")</f>
        <v>Kevin Gonzalez</v>
      </c>
      <c r="B5" s="2" t="str">
        <f>IFERROR(__xludf.DUMMYFUNCTION("IMPORTRANGE($B$18,$B$19&amp;address(row(E15),column(E15))&amp;"":""&amp;address(row(E15),column(E15)))"),"")</f>
        <v/>
      </c>
      <c r="C5" s="1">
        <f t="shared" si="1"/>
        <v>4</v>
      </c>
      <c r="D5" s="2" t="str">
        <f>IFERROR(__xludf.DUMMYFUNCTION("IMPORTRANGE($B$18,$B$19&amp;address(row($I$3),column($I$3))&amp;"":""&amp;address(row($I$3),column($I$3)))"),"Old Wokingians 3s")</f>
        <v>Old Wokingians 3s</v>
      </c>
      <c r="E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5" s="2" t="str">
        <f>IFERROR(__xludf.DUMMYFUNCTION("IMPORTRANGE($B$18,$B$19&amp;address(row(I15),column(I15))&amp;"":""&amp;address(row(I15),column(I15)))"),"")</f>
        <v/>
      </c>
      <c r="G5" s="2" t="str">
        <f>IFERROR(__xludf.DUMMYFUNCTION("IMPORTRANGE($B$18,$B$19&amp;address(row(J15),column(J15))&amp;"":""&amp;address(row(J15),column(J15)))"),"")</f>
        <v/>
      </c>
      <c r="H5" s="1" t="str">
        <f>IFERROR(__xludf.DUMMYFUNCTION("IMPORTRANGE($B$18,$B$19&amp;address(row($I$7),column($I$7))&amp;"":""&amp;address(row($I$7),column($I$7)))"),"")</f>
        <v/>
      </c>
      <c r="I5" s="2" t="str">
        <f>IFERROR(__xludf.DUMMYFUNCTION("IMPORTRANGE($B$18,$B$19&amp;address(row(N15),column(N15))&amp;"":""&amp;address(row(N15),column(N15)))"),"")</f>
        <v/>
      </c>
      <c r="J5" s="2" t="str">
        <f>IFERROR(__xludf.DUMMYFUNCTION("IMPORTRANGE($B$18,$B$19&amp;address(row(O15),column(O15))&amp;"":""&amp;address(row(O15),column(O15)))"),"")</f>
        <v/>
      </c>
      <c r="K5" s="2" t="str">
        <f>IFERROR(__xludf.DUMMYFUNCTION("IMPORTRANGE($B$18,$B$19&amp;address(row(P15),column(P15))&amp;"":""&amp;address(row(P15),column(P15)))"),"")</f>
        <v/>
      </c>
      <c r="L5" s="2" t="b">
        <f t="shared" si="2"/>
        <v>1</v>
      </c>
      <c r="M5" s="2" t="str">
        <f>IFERROR(__xludf.DUMMYFUNCTION("IMPORTRANGE($B$18,$B$19&amp;address(row(L15),column(L15))&amp;"":""&amp;address(row(L15),column(L15)))"),"")</f>
        <v/>
      </c>
      <c r="N5" s="2" t="str">
        <f>IFERROR(__xludf.DUMMYFUNCTION("IMPORTRANGE($B$18,$B$19&amp;address(row(K15),column(K15))&amp;"":""&amp;address(row(K15),column(K15)))"),"")</f>
        <v/>
      </c>
      <c r="O5" s="2" t="str">
        <f>IFERROR(__xludf.DUMMYFUNCTION("IMPORTRANGE($B$18,$B$19&amp;address(row(M15),column(M15))&amp;"":""&amp;address(row(M15),column(M15)))"),"")</f>
        <v/>
      </c>
      <c r="P5" s="2">
        <f>IFERROR(__xludf.DUMMYFUNCTION("IF(IMPORTRANGE($B$18,$B$19&amp;address(row($Q$7),column($Q$7))&amp;"":""&amp;address(row($Q$7),column($Q$7)))=A5,1,0)"),0.0)</f>
        <v>0</v>
      </c>
      <c r="Q5" s="2" t="str">
        <f>IFERROR(__xludf.DUMMYFUNCTION("IMPORTRANGE($B$18,$B$19&amp;address(row(G15),column(G15))&amp;"":""&amp;address(row(G15),column(G15)))"),"")</f>
        <v/>
      </c>
      <c r="R5" s="2" t="str">
        <f>IFERROR(__xludf.DUMMYFUNCTION("IMPORTRANGE($B$18,$B$19&amp;address(row(H15),column(H15))&amp;"":""&amp;address(row(H15),column(H15)))"),"")</f>
        <v/>
      </c>
      <c r="S5" s="2" t="str">
        <f>IFERROR(__xludf.DUMMYFUNCTION("IMPORTRANGE($B$18,$B$19&amp;address(row(S15),column(S15))&amp;"":""&amp;address(row(S15),column(S15)))"),"")</f>
        <v/>
      </c>
      <c r="T5" s="2" t="str">
        <f>IFERROR(__xludf.DUMMYFUNCTION("IMPORTRANGE($B$18,$B$19&amp;address(row(T15),column(T15))&amp;"":""&amp;address(row(T15),column(T15)))"),"")</f>
        <v/>
      </c>
      <c r="U5" s="2" t="str">
        <f>IFERROR(__xludf.DUMMYFUNCTION("IMPORTRANGE($B$18,$B$19&amp;address(row($T$4),column($T$4))&amp;"":""&amp;address(row($T$4),column($T$4)))"),"")</f>
        <v/>
      </c>
      <c r="V5" s="2" t="str">
        <f>IFERROR(__xludf.DUMMYFUNCTION("IMPORTRANGE($B$18,$B$19&amp;address(row($T$7),column($T$7))&amp;"":""&amp;address(row($T$7),column($T$7)))"),"")</f>
        <v/>
      </c>
      <c r="W5" s="2" t="str">
        <f>IFERROR(__xludf.DUMMYFUNCTION("IMPORTRANGE($B$18,$B$19&amp;address(row($H$7),column($H$7))&amp;"":""&amp;address(row($H$7),column($H$7)))"),"")</f>
        <v/>
      </c>
      <c r="X5" s="2" t="str">
        <f>IFERROR(__xludf.DUMMYFUNCTION("IMPORTRANGE($B$18,$B$19&amp;address(row($I$7),column($I$7))&amp;"":""&amp;address(row($I$7),column($I$7)))"),"")</f>
        <v/>
      </c>
      <c r="Y5" s="2" t="str">
        <f>IFERROR(__xludf.DUMMYFUNCTION("IMPORTRANGE($B$18,$B$19&amp;address(row($C$5),column($C$5))&amp;"":""&amp;address(row($C$5),column($C$5)))"),"South 1")</f>
        <v>South 1</v>
      </c>
      <c r="Z5" s="86">
        <f>IFERROR(__xludf.DUMMYFUNCTION("IMPORTRANGE($B$18,$B$19&amp;address(row($I$4),column($I$4))&amp;"":""&amp;address(row($I$4),column($I$4)))"),45395.0)</f>
        <v>45395</v>
      </c>
      <c r="AA5" s="2" t="b">
        <f t="shared" si="3"/>
        <v>1</v>
      </c>
    </row>
    <row r="6">
      <c r="A6" s="2" t="str">
        <f>IFERROR(__xludf.DUMMYFUNCTION("IMPORTRANGE($B$18,$B$19&amp;address(row(B16),column(B16))&amp;"":""&amp;address(row(B16),column(B16)))"),"Dom Robbins")</f>
        <v>Dom Robbins</v>
      </c>
      <c r="B6" s="2" t="str">
        <f>IFERROR(__xludf.DUMMYFUNCTION("IMPORTRANGE($B$18,$B$19&amp;address(row(E16),column(E16))&amp;"":""&amp;address(row(E16),column(E16)))"),"")</f>
        <v/>
      </c>
      <c r="C6" s="1">
        <f t="shared" si="1"/>
        <v>4</v>
      </c>
      <c r="D6" s="2" t="str">
        <f>IFERROR(__xludf.DUMMYFUNCTION("IMPORTRANGE($B$18,$B$19&amp;address(row($I$3),column($I$3))&amp;"":""&amp;address(row($I$3),column($I$3)))"),"Old Wokingians 3s")</f>
        <v>Old Wokingians 3s</v>
      </c>
      <c r="E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6" s="2" t="str">
        <f>IFERROR(__xludf.DUMMYFUNCTION("IMPORTRANGE($B$18,$B$19&amp;address(row(I16),column(I16))&amp;"":""&amp;address(row(I16),column(I16)))"),"")</f>
        <v/>
      </c>
      <c r="G6" s="2" t="str">
        <f>IFERROR(__xludf.DUMMYFUNCTION("IMPORTRANGE($B$18,$B$19&amp;address(row(J16),column(J16))&amp;"":""&amp;address(row(J16),column(J16)))"),"")</f>
        <v/>
      </c>
      <c r="H6" s="1" t="str">
        <f>IFERROR(__xludf.DUMMYFUNCTION("IMPORTRANGE($B$18,$B$19&amp;address(row($I$7),column($I$7))&amp;"":""&amp;address(row($I$7),column($I$7)))"),"")</f>
        <v/>
      </c>
      <c r="I6" s="2" t="str">
        <f>IFERROR(__xludf.DUMMYFUNCTION("IMPORTRANGE($B$18,$B$19&amp;address(row(N16),column(N16))&amp;"":""&amp;address(row(N16),column(N16)))"),"")</f>
        <v/>
      </c>
      <c r="J6" s="2" t="str">
        <f>IFERROR(__xludf.DUMMYFUNCTION("IMPORTRANGE($B$18,$B$19&amp;address(row(O16),column(O16))&amp;"":""&amp;address(row(O16),column(O16)))"),"")</f>
        <v/>
      </c>
      <c r="K6" s="2" t="str">
        <f>IFERROR(__xludf.DUMMYFUNCTION("IMPORTRANGE($B$18,$B$19&amp;address(row(P16),column(P16))&amp;"":""&amp;address(row(P16),column(P16)))"),"")</f>
        <v/>
      </c>
      <c r="L6" s="2" t="b">
        <f t="shared" si="2"/>
        <v>1</v>
      </c>
      <c r="M6" s="2" t="str">
        <f>IFERROR(__xludf.DUMMYFUNCTION("IMPORTRANGE($B$18,$B$19&amp;address(row(L16),column(L16))&amp;"":""&amp;address(row(L16),column(L16)))"),"")</f>
        <v/>
      </c>
      <c r="N6" s="2" t="str">
        <f>IFERROR(__xludf.DUMMYFUNCTION("IMPORTRANGE($B$18,$B$19&amp;address(row(K16),column(K16))&amp;"":""&amp;address(row(K16),column(K16)))"),"")</f>
        <v/>
      </c>
      <c r="O6" s="2" t="str">
        <f>IFERROR(__xludf.DUMMYFUNCTION("IMPORTRANGE($B$18,$B$19&amp;address(row(M16),column(M16))&amp;"":""&amp;address(row(M16),column(M16)))"),"")</f>
        <v/>
      </c>
      <c r="P6" s="2">
        <f>IFERROR(__xludf.DUMMYFUNCTION("IF(IMPORTRANGE($B$18,$B$19&amp;address(row($Q$7),column($Q$7))&amp;"":""&amp;address(row($Q$7),column($Q$7)))=A6,1,0)"),0.0)</f>
        <v>0</v>
      </c>
      <c r="Q6" s="2" t="str">
        <f>IFERROR(__xludf.DUMMYFUNCTION("IMPORTRANGE($B$18,$B$19&amp;address(row(G16),column(G16))&amp;"":""&amp;address(row(G16),column(G16)))"),"")</f>
        <v/>
      </c>
      <c r="R6" s="2" t="str">
        <f>IFERROR(__xludf.DUMMYFUNCTION("IMPORTRANGE($B$18,$B$19&amp;address(row(H16),column(H16))&amp;"":""&amp;address(row(H16),column(H16)))"),"")</f>
        <v/>
      </c>
      <c r="S6" s="2" t="str">
        <f>IFERROR(__xludf.DUMMYFUNCTION("IMPORTRANGE($B$18,$B$19&amp;address(row(S16),column(S16))&amp;"":""&amp;address(row(S16),column(S16)))"),"")</f>
        <v/>
      </c>
      <c r="T6" s="2" t="str">
        <f>IFERROR(__xludf.DUMMYFUNCTION("IMPORTRANGE($B$18,$B$19&amp;address(row(T16),column(T16))&amp;"":""&amp;address(row(T16),column(T16)))"),"")</f>
        <v/>
      </c>
      <c r="U6" s="2" t="str">
        <f>IFERROR(__xludf.DUMMYFUNCTION("IMPORTRANGE($B$18,$B$19&amp;address(row($T$4),column($T$4))&amp;"":""&amp;address(row($T$4),column($T$4)))"),"")</f>
        <v/>
      </c>
      <c r="V6" s="2" t="str">
        <f>IFERROR(__xludf.DUMMYFUNCTION("IMPORTRANGE($B$18,$B$19&amp;address(row($T$7),column($T$7))&amp;"":""&amp;address(row($T$7),column($T$7)))"),"")</f>
        <v/>
      </c>
      <c r="W6" s="2" t="str">
        <f>IFERROR(__xludf.DUMMYFUNCTION("IMPORTRANGE($B$18,$B$19&amp;address(row($H$7),column($H$7))&amp;"":""&amp;address(row($H$7),column($H$7)))"),"")</f>
        <v/>
      </c>
      <c r="X6" s="2" t="str">
        <f>IFERROR(__xludf.DUMMYFUNCTION("IMPORTRANGE($B$18,$B$19&amp;address(row($I$7),column($I$7))&amp;"":""&amp;address(row($I$7),column($I$7)))"),"")</f>
        <v/>
      </c>
      <c r="Y6" s="2" t="str">
        <f>IFERROR(__xludf.DUMMYFUNCTION("IMPORTRANGE($B$18,$B$19&amp;address(row($C$5),column($C$5))&amp;"":""&amp;address(row($C$5),column($C$5)))"),"South 1")</f>
        <v>South 1</v>
      </c>
      <c r="Z6" s="86">
        <f>IFERROR(__xludf.DUMMYFUNCTION("IMPORTRANGE($B$18,$B$19&amp;address(row($I$4),column($I$4))&amp;"":""&amp;address(row($I$4),column($I$4)))"),45395.0)</f>
        <v>45395</v>
      </c>
      <c r="AA6" s="2" t="b">
        <f t="shared" si="3"/>
        <v>1</v>
      </c>
    </row>
    <row r="7">
      <c r="A7" s="2" t="str">
        <f>IFERROR(__xludf.DUMMYFUNCTION("IMPORTRANGE($B$18,$B$19&amp;address(row(B17),column(B17))&amp;"":""&amp;address(row(B17),column(B17)))"),"Hallam Wye")</f>
        <v>Hallam Wye</v>
      </c>
      <c r="B7" s="2" t="str">
        <f>IFERROR(__xludf.DUMMYFUNCTION("IMPORTRANGE($B$18,$B$19&amp;address(row(E17),column(E17))&amp;"":""&amp;address(row(E17),column(E17)))"),"")</f>
        <v/>
      </c>
      <c r="C7" s="1">
        <f t="shared" si="1"/>
        <v>4</v>
      </c>
      <c r="D7" s="2" t="str">
        <f>IFERROR(__xludf.DUMMYFUNCTION("IMPORTRANGE($B$18,$B$19&amp;address(row($I$3),column($I$3))&amp;"":""&amp;address(row($I$3),column($I$3)))"),"Old Wokingians 3s")</f>
        <v>Old Wokingians 3s</v>
      </c>
      <c r="E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7" s="2" t="str">
        <f>IFERROR(__xludf.DUMMYFUNCTION("IMPORTRANGE($B$18,$B$19&amp;address(row(I17),column(I17))&amp;"":""&amp;address(row(I17),column(I17)))"),"")</f>
        <v/>
      </c>
      <c r="G7" s="2" t="str">
        <f>IFERROR(__xludf.DUMMYFUNCTION("IMPORTRANGE($B$18,$B$19&amp;address(row(J17),column(J17))&amp;"":""&amp;address(row(J17),column(J17)))"),"")</f>
        <v/>
      </c>
      <c r="H7" s="1" t="str">
        <f>IFERROR(__xludf.DUMMYFUNCTION("IMPORTRANGE($B$18,$B$19&amp;address(row($I$7),column($I$7))&amp;"":""&amp;address(row($I$7),column($I$7)))"),"")</f>
        <v/>
      </c>
      <c r="I7" s="2" t="str">
        <f>IFERROR(__xludf.DUMMYFUNCTION("IMPORTRANGE($B$18,$B$19&amp;address(row(N17),column(N17))&amp;"":""&amp;address(row(N17),column(N17)))"),"")</f>
        <v/>
      </c>
      <c r="J7" s="2" t="str">
        <f>IFERROR(__xludf.DUMMYFUNCTION("IMPORTRANGE($B$18,$B$19&amp;address(row(O17),column(O17))&amp;"":""&amp;address(row(O17),column(O17)))"),"")</f>
        <v/>
      </c>
      <c r="K7" s="2" t="str">
        <f>IFERROR(__xludf.DUMMYFUNCTION("IMPORTRANGE($B$18,$B$19&amp;address(row(P17),column(P17))&amp;"":""&amp;address(row(P17),column(P17)))"),"")</f>
        <v/>
      </c>
      <c r="L7" s="2" t="b">
        <f t="shared" si="2"/>
        <v>1</v>
      </c>
      <c r="M7" s="2" t="str">
        <f>IFERROR(__xludf.DUMMYFUNCTION("IMPORTRANGE($B$18,$B$19&amp;address(row(L17),column(L17))&amp;"":""&amp;address(row(L17),column(L17)))"),"")</f>
        <v/>
      </c>
      <c r="N7" s="2" t="str">
        <f>IFERROR(__xludf.DUMMYFUNCTION("IMPORTRANGE($B$18,$B$19&amp;address(row(K17),column(K17))&amp;"":""&amp;address(row(K17),column(K17)))"),"")</f>
        <v/>
      </c>
      <c r="O7" s="2" t="str">
        <f>IFERROR(__xludf.DUMMYFUNCTION("IMPORTRANGE($B$18,$B$19&amp;address(row(M17),column(M17))&amp;"":""&amp;address(row(M17),column(M17)))"),"")</f>
        <v/>
      </c>
      <c r="P7" s="2">
        <f>IFERROR(__xludf.DUMMYFUNCTION("IF(IMPORTRANGE($B$18,$B$19&amp;address(row($Q$7),column($Q$7))&amp;"":""&amp;address(row($Q$7),column($Q$7)))=A7,1,0)"),0.0)</f>
        <v>0</v>
      </c>
      <c r="Q7" s="2" t="str">
        <f>IFERROR(__xludf.DUMMYFUNCTION("IMPORTRANGE($B$18,$B$19&amp;address(row(G17),column(G17))&amp;"":""&amp;address(row(G17),column(G17)))"),"")</f>
        <v/>
      </c>
      <c r="R7" s="2" t="str">
        <f>IFERROR(__xludf.DUMMYFUNCTION("IMPORTRANGE($B$18,$B$19&amp;address(row(H17),column(H17))&amp;"":""&amp;address(row(H17),column(H17)))"),"")</f>
        <v/>
      </c>
      <c r="S7" s="2" t="str">
        <f>IFERROR(__xludf.DUMMYFUNCTION("IMPORTRANGE($B$18,$B$19&amp;address(row(S17),column(S17))&amp;"":""&amp;address(row(S17),column(S17)))"),"")</f>
        <v/>
      </c>
      <c r="T7" s="2" t="str">
        <f>IFERROR(__xludf.DUMMYFUNCTION("IMPORTRANGE($B$18,$B$19&amp;address(row(T17),column(T17))&amp;"":""&amp;address(row(T17),column(T17)))"),"")</f>
        <v/>
      </c>
      <c r="U7" s="2" t="str">
        <f>IFERROR(__xludf.DUMMYFUNCTION("IMPORTRANGE($B$18,$B$19&amp;address(row($T$4),column($T$4))&amp;"":""&amp;address(row($T$4),column($T$4)))"),"")</f>
        <v/>
      </c>
      <c r="V7" s="2" t="str">
        <f>IFERROR(__xludf.DUMMYFUNCTION("IMPORTRANGE($B$18,$B$19&amp;address(row($T$7),column($T$7))&amp;"":""&amp;address(row($T$7),column($T$7)))"),"")</f>
        <v/>
      </c>
      <c r="W7" s="2" t="str">
        <f>IFERROR(__xludf.DUMMYFUNCTION("IMPORTRANGE($B$18,$B$19&amp;address(row($H$7),column($H$7))&amp;"":""&amp;address(row($H$7),column($H$7)))"),"")</f>
        <v/>
      </c>
      <c r="X7" s="2" t="str">
        <f>IFERROR(__xludf.DUMMYFUNCTION("IMPORTRANGE($B$18,$B$19&amp;address(row($I$7),column($I$7))&amp;"":""&amp;address(row($I$7),column($I$7)))"),"")</f>
        <v/>
      </c>
      <c r="Y7" s="2" t="str">
        <f>IFERROR(__xludf.DUMMYFUNCTION("IMPORTRANGE($B$18,$B$19&amp;address(row($C$5),column($C$5))&amp;"":""&amp;address(row($C$5),column($C$5)))"),"South 1")</f>
        <v>South 1</v>
      </c>
      <c r="Z7" s="86">
        <f>IFERROR(__xludf.DUMMYFUNCTION("IMPORTRANGE($B$18,$B$19&amp;address(row($I$4),column($I$4))&amp;"":""&amp;address(row($I$4),column($I$4)))"),45395.0)</f>
        <v>45395</v>
      </c>
      <c r="AA7" s="2" t="b">
        <f t="shared" si="3"/>
        <v>1</v>
      </c>
    </row>
    <row r="8">
      <c r="A8" s="2" t="str">
        <f>IFERROR(__xludf.DUMMYFUNCTION("IMPORTRANGE($B$18,$B$19&amp;address(row(B18),column(B18))&amp;"":""&amp;address(row(B18),column(B18)))"),"Sean Rowlett")</f>
        <v>Sean Rowlett</v>
      </c>
      <c r="B8" s="2" t="str">
        <f>IFERROR(__xludf.DUMMYFUNCTION("IMPORTRANGE($B$18,$B$19&amp;address(row(E18),column(E18))&amp;"":""&amp;address(row(E18),column(E18)))"),"")</f>
        <v/>
      </c>
      <c r="C8" s="1">
        <f t="shared" si="1"/>
        <v>4</v>
      </c>
      <c r="D8" s="2" t="str">
        <f>IFERROR(__xludf.DUMMYFUNCTION("IMPORTRANGE($B$18,$B$19&amp;address(row($I$3),column($I$3))&amp;"":""&amp;address(row($I$3),column($I$3)))"),"Old Wokingians 3s")</f>
        <v>Old Wokingians 3s</v>
      </c>
      <c r="E8"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8" s="2" t="str">
        <f>IFERROR(__xludf.DUMMYFUNCTION("IMPORTRANGE($B$18,$B$19&amp;address(row(I18),column(I18))&amp;"":""&amp;address(row(I18),column(I18)))"),"")</f>
        <v/>
      </c>
      <c r="G8" s="2" t="str">
        <f>IFERROR(__xludf.DUMMYFUNCTION("IMPORTRANGE($B$18,$B$19&amp;address(row(J18),column(J18))&amp;"":""&amp;address(row(J18),column(J18)))"),"")</f>
        <v/>
      </c>
      <c r="H8" s="1" t="str">
        <f>IFERROR(__xludf.DUMMYFUNCTION("IMPORTRANGE($B$18,$B$19&amp;address(row($I$7),column($I$7))&amp;"":""&amp;address(row($I$7),column($I$7)))"),"")</f>
        <v/>
      </c>
      <c r="I8" s="2" t="str">
        <f>IFERROR(__xludf.DUMMYFUNCTION("IMPORTRANGE($B$18,$B$19&amp;address(row(N18),column(N18))&amp;"":""&amp;address(row(N18),column(N18)))"),"")</f>
        <v/>
      </c>
      <c r="J8" s="2" t="str">
        <f>IFERROR(__xludf.DUMMYFUNCTION("IMPORTRANGE($B$18,$B$19&amp;address(row(O18),column(O18))&amp;"":""&amp;address(row(O18),column(O18)))"),"")</f>
        <v/>
      </c>
      <c r="K8" s="2" t="str">
        <f>IFERROR(__xludf.DUMMYFUNCTION("IMPORTRANGE($B$18,$B$19&amp;address(row(P18),column(P18))&amp;"":""&amp;address(row(P18),column(P18)))"),"")</f>
        <v/>
      </c>
      <c r="L8" s="2" t="b">
        <f t="shared" si="2"/>
        <v>1</v>
      </c>
      <c r="M8" s="2" t="str">
        <f>IFERROR(__xludf.DUMMYFUNCTION("IMPORTRANGE($B$18,$B$19&amp;address(row(L18),column(L18))&amp;"":""&amp;address(row(L18),column(L18)))"),"")</f>
        <v/>
      </c>
      <c r="N8" s="2" t="str">
        <f>IFERROR(__xludf.DUMMYFUNCTION("IMPORTRANGE($B$18,$B$19&amp;address(row(K18),column(K18))&amp;"":""&amp;address(row(K18),column(K18)))"),"")</f>
        <v/>
      </c>
      <c r="O8" s="2" t="str">
        <f>IFERROR(__xludf.DUMMYFUNCTION("IMPORTRANGE($B$18,$B$19&amp;address(row(M18),column(M18))&amp;"":""&amp;address(row(M18),column(M18)))"),"")</f>
        <v/>
      </c>
      <c r="P8" s="2">
        <f>IFERROR(__xludf.DUMMYFUNCTION("IF(IMPORTRANGE($B$18,$B$19&amp;address(row($Q$7),column($Q$7))&amp;"":""&amp;address(row($Q$7),column($Q$7)))=A8,1,0)"),0.0)</f>
        <v>0</v>
      </c>
      <c r="Q8" s="2" t="str">
        <f>IFERROR(__xludf.DUMMYFUNCTION("IMPORTRANGE($B$18,$B$19&amp;address(row(G18),column(G18))&amp;"":""&amp;address(row(G18),column(G18)))"),"")</f>
        <v/>
      </c>
      <c r="R8" s="2" t="str">
        <f>IFERROR(__xludf.DUMMYFUNCTION("IMPORTRANGE($B$18,$B$19&amp;address(row(H18),column(H18))&amp;"":""&amp;address(row(H18),column(H18)))"),"")</f>
        <v/>
      </c>
      <c r="S8" s="2" t="str">
        <f>IFERROR(__xludf.DUMMYFUNCTION("IMPORTRANGE($B$18,$B$19&amp;address(row(S18),column(S18))&amp;"":""&amp;address(row(S18),column(S18)))"),"")</f>
        <v/>
      </c>
      <c r="T8" s="2" t="str">
        <f>IFERROR(__xludf.DUMMYFUNCTION("IMPORTRANGE($B$18,$B$19&amp;address(row(T18),column(T18))&amp;"":""&amp;address(row(T18),column(T18)))"),"")</f>
        <v/>
      </c>
      <c r="U8" s="2" t="str">
        <f>IFERROR(__xludf.DUMMYFUNCTION("IMPORTRANGE($B$18,$B$19&amp;address(row($T$4),column($T$4))&amp;"":""&amp;address(row($T$4),column($T$4)))"),"")</f>
        <v/>
      </c>
      <c r="V8" s="2" t="str">
        <f>IFERROR(__xludf.DUMMYFUNCTION("IMPORTRANGE($B$18,$B$19&amp;address(row($T$7),column($T$7))&amp;"":""&amp;address(row($T$7),column($T$7)))"),"")</f>
        <v/>
      </c>
      <c r="W8" s="2" t="str">
        <f>IFERROR(__xludf.DUMMYFUNCTION("IMPORTRANGE($B$18,$B$19&amp;address(row($H$7),column($H$7))&amp;"":""&amp;address(row($H$7),column($H$7)))"),"")</f>
        <v/>
      </c>
      <c r="X8" s="2" t="str">
        <f>IFERROR(__xludf.DUMMYFUNCTION("IMPORTRANGE($B$18,$B$19&amp;address(row($I$7),column($I$7))&amp;"":""&amp;address(row($I$7),column($I$7)))"),"")</f>
        <v/>
      </c>
      <c r="Y8" s="2" t="str">
        <f>IFERROR(__xludf.DUMMYFUNCTION("IMPORTRANGE($B$18,$B$19&amp;address(row($C$5),column($C$5))&amp;"":""&amp;address(row($C$5),column($C$5)))"),"South 1")</f>
        <v>South 1</v>
      </c>
      <c r="Z8" s="86">
        <f>IFERROR(__xludf.DUMMYFUNCTION("IMPORTRANGE($B$18,$B$19&amp;address(row($I$4),column($I$4))&amp;"":""&amp;address(row($I$4),column($I$4)))"),45395.0)</f>
        <v>45395</v>
      </c>
      <c r="AA8" s="2" t="b">
        <f t="shared" si="3"/>
        <v>1</v>
      </c>
    </row>
    <row r="9">
      <c r="A9" s="2" t="str">
        <f>IFERROR(__xludf.DUMMYFUNCTION("IMPORTRANGE($B$18,$B$19&amp;address(row(B19),column(B19))&amp;"":""&amp;address(row(B19),column(B19)))"),"Nima Naghdi")</f>
        <v>Nima Naghdi</v>
      </c>
      <c r="B9" s="2" t="str">
        <f>IFERROR(__xludf.DUMMYFUNCTION("IMPORTRANGE($B$18,$B$19&amp;address(row(E19),column(E19))&amp;"":""&amp;address(row(E19),column(E19)))"),"")</f>
        <v/>
      </c>
      <c r="C9" s="1">
        <f t="shared" si="1"/>
        <v>4</v>
      </c>
      <c r="D9" s="2" t="str">
        <f>IFERROR(__xludf.DUMMYFUNCTION("IMPORTRANGE($B$18,$B$19&amp;address(row($I$3),column($I$3))&amp;"":""&amp;address(row($I$3),column($I$3)))"),"Old Wokingians 3s")</f>
        <v>Old Wokingians 3s</v>
      </c>
      <c r="E9"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9" s="2" t="str">
        <f>IFERROR(__xludf.DUMMYFUNCTION("IMPORTRANGE($B$18,$B$19&amp;address(row(I19),column(I19))&amp;"":""&amp;address(row(I19),column(I19)))"),"")</f>
        <v/>
      </c>
      <c r="G9" s="2" t="str">
        <f>IFERROR(__xludf.DUMMYFUNCTION("IMPORTRANGE($B$18,$B$19&amp;address(row(J19),column(J19))&amp;"":""&amp;address(row(J19),column(J19)))"),"")</f>
        <v/>
      </c>
      <c r="H9" s="1" t="str">
        <f>IFERROR(__xludf.DUMMYFUNCTION("IMPORTRANGE($B$18,$B$19&amp;address(row($I$7),column($I$7))&amp;"":""&amp;address(row($I$7),column($I$7)))"),"")</f>
        <v/>
      </c>
      <c r="I9" s="2" t="str">
        <f>IFERROR(__xludf.DUMMYFUNCTION("IMPORTRANGE($B$18,$B$19&amp;address(row(N19),column(N19))&amp;"":""&amp;address(row(N19),column(N19)))"),"")</f>
        <v/>
      </c>
      <c r="J9" s="2" t="str">
        <f>IFERROR(__xludf.DUMMYFUNCTION("IMPORTRANGE($B$18,$B$19&amp;address(row(O19),column(O19))&amp;"":""&amp;address(row(O19),column(O19)))"),"")</f>
        <v/>
      </c>
      <c r="K9" s="2" t="str">
        <f>IFERROR(__xludf.DUMMYFUNCTION("IMPORTRANGE($B$18,$B$19&amp;address(row(P19),column(P19))&amp;"":""&amp;address(row(P19),column(P19)))"),"")</f>
        <v/>
      </c>
      <c r="L9" s="2" t="b">
        <f t="shared" si="2"/>
        <v>1</v>
      </c>
      <c r="M9" s="2" t="str">
        <f>IFERROR(__xludf.DUMMYFUNCTION("IMPORTRANGE($B$18,$B$19&amp;address(row(L19),column(L19))&amp;"":""&amp;address(row(L19),column(L19)))"),"")</f>
        <v/>
      </c>
      <c r="N9" s="2" t="str">
        <f>IFERROR(__xludf.DUMMYFUNCTION("IMPORTRANGE($B$18,$B$19&amp;address(row(K19),column(K19))&amp;"":""&amp;address(row(K19),column(K19)))"),"")</f>
        <v/>
      </c>
      <c r="O9" s="2" t="str">
        <f>IFERROR(__xludf.DUMMYFUNCTION("IMPORTRANGE($B$18,$B$19&amp;address(row(M19),column(M19))&amp;"":""&amp;address(row(M19),column(M19)))"),"")</f>
        <v/>
      </c>
      <c r="P9" s="2">
        <f>IFERROR(__xludf.DUMMYFUNCTION("IF(IMPORTRANGE($B$18,$B$19&amp;address(row($Q$7),column($Q$7))&amp;"":""&amp;address(row($Q$7),column($Q$7)))=A9,1,0)"),0.0)</f>
        <v>0</v>
      </c>
      <c r="Q9" s="2" t="str">
        <f>IFERROR(__xludf.DUMMYFUNCTION("IMPORTRANGE($B$18,$B$19&amp;address(row(G19),column(G19))&amp;"":""&amp;address(row(G19),column(G19)))"),"")</f>
        <v/>
      </c>
      <c r="R9" s="2" t="str">
        <f>IFERROR(__xludf.DUMMYFUNCTION("IMPORTRANGE($B$18,$B$19&amp;address(row(H19),column(H19))&amp;"":""&amp;address(row(H19),column(H19)))"),"")</f>
        <v/>
      </c>
      <c r="S9" s="2" t="str">
        <f>IFERROR(__xludf.DUMMYFUNCTION("IMPORTRANGE($B$18,$B$19&amp;address(row(S19),column(S19))&amp;"":""&amp;address(row(S19),column(S19)))"),"")</f>
        <v/>
      </c>
      <c r="T9" s="2" t="str">
        <f>IFERROR(__xludf.DUMMYFUNCTION("IMPORTRANGE($B$18,$B$19&amp;address(row(T19),column(T19))&amp;"":""&amp;address(row(T19),column(T19)))"),"")</f>
        <v/>
      </c>
      <c r="U9" s="2" t="str">
        <f>IFERROR(__xludf.DUMMYFUNCTION("IMPORTRANGE($B$18,$B$19&amp;address(row($T$4),column($T$4))&amp;"":""&amp;address(row($T$4),column($T$4)))"),"")</f>
        <v/>
      </c>
      <c r="V9" s="2" t="str">
        <f>IFERROR(__xludf.DUMMYFUNCTION("IMPORTRANGE($B$18,$B$19&amp;address(row($T$7),column($T$7))&amp;"":""&amp;address(row($T$7),column($T$7)))"),"")</f>
        <v/>
      </c>
      <c r="W9" s="2" t="str">
        <f>IFERROR(__xludf.DUMMYFUNCTION("IMPORTRANGE($B$18,$B$19&amp;address(row($H$7),column($H$7))&amp;"":""&amp;address(row($H$7),column($H$7)))"),"")</f>
        <v/>
      </c>
      <c r="X9" s="2" t="str">
        <f>IFERROR(__xludf.DUMMYFUNCTION("IMPORTRANGE($B$18,$B$19&amp;address(row($I$7),column($I$7))&amp;"":""&amp;address(row($I$7),column($I$7)))"),"")</f>
        <v/>
      </c>
      <c r="Y9" s="2" t="str">
        <f>IFERROR(__xludf.DUMMYFUNCTION("IMPORTRANGE($B$18,$B$19&amp;address(row($C$5),column($C$5))&amp;"":""&amp;address(row($C$5),column($C$5)))"),"South 1")</f>
        <v>South 1</v>
      </c>
      <c r="Z9" s="86">
        <f>IFERROR(__xludf.DUMMYFUNCTION("IMPORTRANGE($B$18,$B$19&amp;address(row($I$4),column($I$4))&amp;"":""&amp;address(row($I$4),column($I$4)))"),45395.0)</f>
        <v>45395</v>
      </c>
      <c r="AA9" s="2" t="b">
        <f t="shared" si="3"/>
        <v>1</v>
      </c>
    </row>
    <row r="10">
      <c r="A10" s="2" t="str">
        <f>IFERROR(__xludf.DUMMYFUNCTION("IMPORTRANGE($B$18,$B$19&amp;address(row(B20),column(B20))&amp;"":""&amp;address(row(B20),column(B20)))"),"Tom Taylor")</f>
        <v>Tom Taylor</v>
      </c>
      <c r="B10" s="2" t="str">
        <f>IFERROR(__xludf.DUMMYFUNCTION("IMPORTRANGE($B$18,$B$19&amp;address(row(E20),column(E20))&amp;"":""&amp;address(row(E20),column(E20)))"),"")</f>
        <v/>
      </c>
      <c r="C10" s="1">
        <f t="shared" si="1"/>
        <v>4</v>
      </c>
      <c r="D10" s="2" t="str">
        <f>IFERROR(__xludf.DUMMYFUNCTION("IMPORTRANGE($B$18,$B$19&amp;address(row($I$3),column($I$3))&amp;"":""&amp;address(row($I$3),column($I$3)))"),"Old Wokingians 3s")</f>
        <v>Old Wokingians 3s</v>
      </c>
      <c r="E10"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0" s="2" t="str">
        <f>IFERROR(__xludf.DUMMYFUNCTION("IMPORTRANGE($B$18,$B$19&amp;address(row(I20),column(I20))&amp;"":""&amp;address(row(I20),column(I20)))"),"")</f>
        <v/>
      </c>
      <c r="G10" s="2" t="str">
        <f>IFERROR(__xludf.DUMMYFUNCTION("IMPORTRANGE($B$18,$B$19&amp;address(row(J20),column(J20))&amp;"":""&amp;address(row(J20),column(J20)))"),"")</f>
        <v/>
      </c>
      <c r="H10" s="1" t="str">
        <f>IFERROR(__xludf.DUMMYFUNCTION("IMPORTRANGE($B$18,$B$19&amp;address(row($I$7),column($I$7))&amp;"":""&amp;address(row($I$7),column($I$7)))"),"")</f>
        <v/>
      </c>
      <c r="I10" s="2" t="str">
        <f>IFERROR(__xludf.DUMMYFUNCTION("IMPORTRANGE($B$18,$B$19&amp;address(row(N20),column(N20))&amp;"":""&amp;address(row(N20),column(N20)))"),"")</f>
        <v/>
      </c>
      <c r="J10" s="2" t="str">
        <f>IFERROR(__xludf.DUMMYFUNCTION("IMPORTRANGE($B$18,$B$19&amp;address(row(O20),column(O20))&amp;"":""&amp;address(row(O20),column(O20)))"),"")</f>
        <v/>
      </c>
      <c r="K10" s="2" t="str">
        <f>IFERROR(__xludf.DUMMYFUNCTION("IMPORTRANGE($B$18,$B$19&amp;address(row(P20),column(P20))&amp;"":""&amp;address(row(P20),column(P20)))"),"")</f>
        <v/>
      </c>
      <c r="L10" s="2" t="b">
        <f t="shared" si="2"/>
        <v>1</v>
      </c>
      <c r="M10" s="2" t="str">
        <f>IFERROR(__xludf.DUMMYFUNCTION("IMPORTRANGE($B$18,$B$19&amp;address(row(L20),column(L20))&amp;"":""&amp;address(row(L20),column(L20)))"),"")</f>
        <v/>
      </c>
      <c r="N10" s="2" t="str">
        <f>IFERROR(__xludf.DUMMYFUNCTION("IMPORTRANGE($B$18,$B$19&amp;address(row(K20),column(K20))&amp;"":""&amp;address(row(K20),column(K20)))"),"")</f>
        <v/>
      </c>
      <c r="O10" s="2" t="str">
        <f>IFERROR(__xludf.DUMMYFUNCTION("IMPORTRANGE($B$18,$B$19&amp;address(row(M20),column(M20))&amp;"":""&amp;address(row(M20),column(M20)))"),"")</f>
        <v/>
      </c>
      <c r="P10" s="2">
        <f>IFERROR(__xludf.DUMMYFUNCTION("IF(IMPORTRANGE($B$18,$B$19&amp;address(row($Q$7),column($Q$7))&amp;"":""&amp;address(row($Q$7),column($Q$7)))=A10,1,0)"),0.0)</f>
        <v>0</v>
      </c>
      <c r="Q10" s="2" t="str">
        <f>IFERROR(__xludf.DUMMYFUNCTION("IMPORTRANGE($B$18,$B$19&amp;address(row(G20),column(G20))&amp;"":""&amp;address(row(G20),column(G20)))"),"")</f>
        <v/>
      </c>
      <c r="R10" s="2" t="str">
        <f>IFERROR(__xludf.DUMMYFUNCTION("IMPORTRANGE($B$18,$B$19&amp;address(row(H20),column(H20))&amp;"":""&amp;address(row(H20),column(H20)))"),"")</f>
        <v/>
      </c>
      <c r="S10" s="2" t="str">
        <f>IFERROR(__xludf.DUMMYFUNCTION("IMPORTRANGE($B$18,$B$19&amp;address(row(S20),column(S20))&amp;"":""&amp;address(row(S20),column(S20)))"),"")</f>
        <v/>
      </c>
      <c r="T10" s="2" t="str">
        <f>IFERROR(__xludf.DUMMYFUNCTION("IMPORTRANGE($B$18,$B$19&amp;address(row(T20),column(T20))&amp;"":""&amp;address(row(T20),column(T20)))"),"")</f>
        <v/>
      </c>
      <c r="U10" s="2" t="str">
        <f>IFERROR(__xludf.DUMMYFUNCTION("IMPORTRANGE($B$18,$B$19&amp;address(row($T$4),column($T$4))&amp;"":""&amp;address(row($T$4),column($T$4)))"),"")</f>
        <v/>
      </c>
      <c r="V10" s="2" t="str">
        <f>IFERROR(__xludf.DUMMYFUNCTION("IMPORTRANGE($B$18,$B$19&amp;address(row($T$7),column($T$7))&amp;"":""&amp;address(row($T$7),column($T$7)))"),"")</f>
        <v/>
      </c>
      <c r="W10" s="2" t="str">
        <f>IFERROR(__xludf.DUMMYFUNCTION("IMPORTRANGE($B$18,$B$19&amp;address(row($H$7),column($H$7))&amp;"":""&amp;address(row($H$7),column($H$7)))"),"")</f>
        <v/>
      </c>
      <c r="X10" s="2" t="str">
        <f>IFERROR(__xludf.DUMMYFUNCTION("IMPORTRANGE($B$18,$B$19&amp;address(row($I$7),column($I$7))&amp;"":""&amp;address(row($I$7),column($I$7)))"),"")</f>
        <v/>
      </c>
      <c r="Y10" s="2" t="str">
        <f>IFERROR(__xludf.DUMMYFUNCTION("IMPORTRANGE($B$18,$B$19&amp;address(row($C$5),column($C$5))&amp;"":""&amp;address(row($C$5),column($C$5)))"),"South 1")</f>
        <v>South 1</v>
      </c>
      <c r="Z10" s="86">
        <f>IFERROR(__xludf.DUMMYFUNCTION("IMPORTRANGE($B$18,$B$19&amp;address(row($I$4),column($I$4))&amp;"":""&amp;address(row($I$4),column($I$4)))"),45395.0)</f>
        <v>45395</v>
      </c>
      <c r="AA10" s="2" t="b">
        <f t="shared" si="3"/>
        <v>1</v>
      </c>
    </row>
    <row r="11">
      <c r="A11" s="2" t="str">
        <f>IFERROR(__xludf.DUMMYFUNCTION("IMPORTRANGE($B$18,$B$19&amp;address(row(B21),column(B21))&amp;"":""&amp;address(row(B21),column(B21)))"),"Masood Hamidi")</f>
        <v>Masood Hamidi</v>
      </c>
      <c r="B11" s="2" t="str">
        <f>IFERROR(__xludf.DUMMYFUNCTION("IMPORTRANGE($B$18,$B$19&amp;address(row(E21),column(E21))&amp;"":""&amp;address(row(E21),column(E21)))"),"")</f>
        <v/>
      </c>
      <c r="C11" s="1">
        <f t="shared" si="1"/>
        <v>4</v>
      </c>
      <c r="D11" s="2" t="str">
        <f>IFERROR(__xludf.DUMMYFUNCTION("IMPORTRANGE($B$18,$B$19&amp;address(row($I$3),column($I$3))&amp;"":""&amp;address(row($I$3),column($I$3)))"),"Old Wokingians 3s")</f>
        <v>Old Wokingians 3s</v>
      </c>
      <c r="E11"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1" s="2" t="str">
        <f>IFERROR(__xludf.DUMMYFUNCTION("IMPORTRANGE($B$18,$B$19&amp;address(row(I21),column(I21))&amp;"":""&amp;address(row(I21),column(I21)))"),"")</f>
        <v/>
      </c>
      <c r="G11" s="2" t="str">
        <f>IFERROR(__xludf.DUMMYFUNCTION("IMPORTRANGE($B$18,$B$19&amp;address(row(J21),column(J21))&amp;"":""&amp;address(row(J21),column(J21)))"),"")</f>
        <v/>
      </c>
      <c r="H11" s="1" t="str">
        <f>IFERROR(__xludf.DUMMYFUNCTION("IMPORTRANGE($B$18,$B$19&amp;address(row($I$7),column($I$7))&amp;"":""&amp;address(row($I$7),column($I$7)))"),"")</f>
        <v/>
      </c>
      <c r="I11" s="2" t="str">
        <f>IFERROR(__xludf.DUMMYFUNCTION("IMPORTRANGE($B$18,$B$19&amp;address(row(N21),column(N21))&amp;"":""&amp;address(row(N21),column(N21)))"),"")</f>
        <v/>
      </c>
      <c r="J11" s="2" t="str">
        <f>IFERROR(__xludf.DUMMYFUNCTION("IMPORTRANGE($B$18,$B$19&amp;address(row(O21),column(O21))&amp;"":""&amp;address(row(O21),column(O21)))"),"")</f>
        <v/>
      </c>
      <c r="K11" s="2" t="str">
        <f>IFERROR(__xludf.DUMMYFUNCTION("IMPORTRANGE($B$18,$B$19&amp;address(row(P21),column(P21))&amp;"":""&amp;address(row(P21),column(P21)))"),"")</f>
        <v/>
      </c>
      <c r="L11" s="2" t="b">
        <f t="shared" si="2"/>
        <v>1</v>
      </c>
      <c r="M11" s="2" t="str">
        <f>IFERROR(__xludf.DUMMYFUNCTION("IMPORTRANGE($B$18,$B$19&amp;address(row(L21),column(L21))&amp;"":""&amp;address(row(L21),column(L21)))"),"")</f>
        <v/>
      </c>
      <c r="N11" s="2" t="str">
        <f>IFERROR(__xludf.DUMMYFUNCTION("IMPORTRANGE($B$18,$B$19&amp;address(row(K21),column(K21))&amp;"":""&amp;address(row(K21),column(K21)))"),"")</f>
        <v/>
      </c>
      <c r="O11" s="2" t="str">
        <f>IFERROR(__xludf.DUMMYFUNCTION("IMPORTRANGE($B$18,$B$19&amp;address(row(M21),column(M21))&amp;"":""&amp;address(row(M21),column(M21)))"),"")</f>
        <v/>
      </c>
      <c r="P11" s="2">
        <f>IFERROR(__xludf.DUMMYFUNCTION("IF(IMPORTRANGE($B$18,$B$19&amp;address(row($Q$7),column($Q$7))&amp;"":""&amp;address(row($Q$7),column($Q$7)))=A11,1,0)"),0.0)</f>
        <v>0</v>
      </c>
      <c r="Q11" s="2" t="str">
        <f>IFERROR(__xludf.DUMMYFUNCTION("IMPORTRANGE($B$18,$B$19&amp;address(row(G21),column(G21))&amp;"":""&amp;address(row(G21),column(G21)))"),"")</f>
        <v/>
      </c>
      <c r="R11" s="2" t="str">
        <f>IFERROR(__xludf.DUMMYFUNCTION("IMPORTRANGE($B$18,$B$19&amp;address(row(H21),column(H21))&amp;"":""&amp;address(row(H21),column(H21)))"),"")</f>
        <v/>
      </c>
      <c r="S11" s="2" t="str">
        <f>IFERROR(__xludf.DUMMYFUNCTION("IMPORTRANGE($B$18,$B$19&amp;address(row(S21),column(S21))&amp;"":""&amp;address(row(S21),column(S21)))"),"")</f>
        <v/>
      </c>
      <c r="T11" s="2" t="str">
        <f>IFERROR(__xludf.DUMMYFUNCTION("IMPORTRANGE($B$18,$B$19&amp;address(row(T21),column(T21))&amp;"":""&amp;address(row(T21),column(T21)))"),"")</f>
        <v/>
      </c>
      <c r="U11" s="2" t="str">
        <f>IFERROR(__xludf.DUMMYFUNCTION("IMPORTRANGE($B$18,$B$19&amp;address(row($T$4),column($T$4))&amp;"":""&amp;address(row($T$4),column($T$4)))"),"")</f>
        <v/>
      </c>
      <c r="V11" s="2" t="str">
        <f>IFERROR(__xludf.DUMMYFUNCTION("IMPORTRANGE($B$18,$B$19&amp;address(row($T$7),column($T$7))&amp;"":""&amp;address(row($T$7),column($T$7)))"),"")</f>
        <v/>
      </c>
      <c r="W11" s="2" t="str">
        <f>IFERROR(__xludf.DUMMYFUNCTION("IMPORTRANGE($B$18,$B$19&amp;address(row($H$7),column($H$7))&amp;"":""&amp;address(row($H$7),column($H$7)))"),"")</f>
        <v/>
      </c>
      <c r="X11" s="2" t="str">
        <f>IFERROR(__xludf.DUMMYFUNCTION("IMPORTRANGE($B$18,$B$19&amp;address(row($I$7),column($I$7))&amp;"":""&amp;address(row($I$7),column($I$7)))"),"")</f>
        <v/>
      </c>
      <c r="Y11" s="2" t="str">
        <f>IFERROR(__xludf.DUMMYFUNCTION("IMPORTRANGE($B$18,$B$19&amp;address(row($C$5),column($C$5))&amp;"":""&amp;address(row($C$5),column($C$5)))"),"South 1")</f>
        <v>South 1</v>
      </c>
      <c r="Z11" s="86">
        <f>IFERROR(__xludf.DUMMYFUNCTION("IMPORTRANGE($B$18,$B$19&amp;address(row($I$4),column($I$4))&amp;"":""&amp;address(row($I$4),column($I$4)))"),45395.0)</f>
        <v>45395</v>
      </c>
      <c r="AA11" s="2" t="b">
        <f t="shared" si="3"/>
        <v>1</v>
      </c>
    </row>
    <row r="12">
      <c r="A12" s="2" t="str">
        <f>IFERROR(__xludf.DUMMYFUNCTION("IMPORTRANGE($B$18,$B$19&amp;address(row(B22),column(B22))&amp;"":""&amp;address(row(B22),column(B22)))"),"Pearl Bakengela")</f>
        <v>Pearl Bakengela</v>
      </c>
      <c r="B12" s="2" t="str">
        <f>IFERROR(__xludf.DUMMYFUNCTION("IMPORTRANGE($B$18,$B$19&amp;address(row(E22),column(E22))&amp;"":""&amp;address(row(E22),column(E22)))"),"")</f>
        <v/>
      </c>
      <c r="C12" s="1">
        <f t="shared" si="1"/>
        <v>4</v>
      </c>
      <c r="D12" s="2" t="str">
        <f>IFERROR(__xludf.DUMMYFUNCTION("IMPORTRANGE($B$18,$B$19&amp;address(row($I$3),column($I$3))&amp;"":""&amp;address(row($I$3),column($I$3)))"),"Old Wokingians 3s")</f>
        <v>Old Wokingians 3s</v>
      </c>
      <c r="E1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2" s="2" t="str">
        <f>IFERROR(__xludf.DUMMYFUNCTION("IMPORTRANGE($B$18,$B$19&amp;address(row(I22),column(I22))&amp;"":""&amp;address(row(I22),column(I22)))"),"")</f>
        <v/>
      </c>
      <c r="G12" s="2" t="str">
        <f>IFERROR(__xludf.DUMMYFUNCTION("IMPORTRANGE($B$18,$B$19&amp;address(row(J22),column(J22))&amp;"":""&amp;address(row(J22),column(J22)))"),"")</f>
        <v/>
      </c>
      <c r="H12" s="1" t="str">
        <f>IFERROR(__xludf.DUMMYFUNCTION("IMPORTRANGE($B$18,$B$19&amp;address(row($I$7),column($I$7))&amp;"":""&amp;address(row($I$7),column($I$7)))"),"")</f>
        <v/>
      </c>
      <c r="I12" s="2" t="str">
        <f>IFERROR(__xludf.DUMMYFUNCTION("IMPORTRANGE($B$18,$B$19&amp;address(row(N22),column(N22))&amp;"":""&amp;address(row(N22),column(N22)))"),"")</f>
        <v/>
      </c>
      <c r="J12" s="2" t="str">
        <f>IFERROR(__xludf.DUMMYFUNCTION("IMPORTRANGE($B$18,$B$19&amp;address(row(O22),column(O22))&amp;"":""&amp;address(row(O22),column(O22)))"),"")</f>
        <v/>
      </c>
      <c r="K12" s="2" t="str">
        <f>IFERROR(__xludf.DUMMYFUNCTION("IMPORTRANGE($B$18,$B$19&amp;address(row(P22),column(P22))&amp;"":""&amp;address(row(P22),column(P22)))"),"")</f>
        <v/>
      </c>
      <c r="L12" s="2" t="b">
        <f t="shared" si="2"/>
        <v>1</v>
      </c>
      <c r="M12" s="2" t="str">
        <f>IFERROR(__xludf.DUMMYFUNCTION("IMPORTRANGE($B$18,$B$19&amp;address(row(L22),column(L22))&amp;"":""&amp;address(row(L22),column(L22)))"),"")</f>
        <v/>
      </c>
      <c r="N12" s="2" t="str">
        <f>IFERROR(__xludf.DUMMYFUNCTION("IMPORTRANGE($B$18,$B$19&amp;address(row(K22),column(K22))&amp;"":""&amp;address(row(K22),column(K22)))"),"")</f>
        <v/>
      </c>
      <c r="O12" s="2" t="str">
        <f>IFERROR(__xludf.DUMMYFUNCTION("IMPORTRANGE($B$18,$B$19&amp;address(row(M22),column(M22))&amp;"":""&amp;address(row(M22),column(M22)))"),"")</f>
        <v/>
      </c>
      <c r="P12" s="2">
        <f>IFERROR(__xludf.DUMMYFUNCTION("IF(IMPORTRANGE($B$18,$B$19&amp;address(row($Q$7),column($Q$7))&amp;"":""&amp;address(row($Q$7),column($Q$7)))=A12,1,0)"),0.0)</f>
        <v>0</v>
      </c>
      <c r="Q12" s="2" t="str">
        <f>IFERROR(__xludf.DUMMYFUNCTION("IMPORTRANGE($B$18,$B$19&amp;address(row(G22),column(G22))&amp;"":""&amp;address(row(G22),column(G22)))"),"")</f>
        <v/>
      </c>
      <c r="R12" s="2" t="str">
        <f>IFERROR(__xludf.DUMMYFUNCTION("IMPORTRANGE($B$18,$B$19&amp;address(row(H22),column(H22))&amp;"":""&amp;address(row(H22),column(H22)))"),"")</f>
        <v/>
      </c>
      <c r="S12" s="2" t="str">
        <f>IFERROR(__xludf.DUMMYFUNCTION("IMPORTRANGE($B$18,$B$19&amp;address(row(S22),column(S22))&amp;"":""&amp;address(row(S22),column(S22)))"),"")</f>
        <v/>
      </c>
      <c r="T12" s="2" t="str">
        <f>IFERROR(__xludf.DUMMYFUNCTION("IMPORTRANGE($B$18,$B$19&amp;address(row(T22),column(T22))&amp;"":""&amp;address(row(T22),column(T22)))"),"")</f>
        <v/>
      </c>
      <c r="U12" s="2" t="str">
        <f>IFERROR(__xludf.DUMMYFUNCTION("IMPORTRANGE($B$18,$B$19&amp;address(row($T$4),column($T$4))&amp;"":""&amp;address(row($T$4),column($T$4)))"),"")</f>
        <v/>
      </c>
      <c r="V12" s="2" t="str">
        <f>IFERROR(__xludf.DUMMYFUNCTION("IMPORTRANGE($B$18,$B$19&amp;address(row($T$7),column($T$7))&amp;"":""&amp;address(row($T$7),column($T$7)))"),"")</f>
        <v/>
      </c>
      <c r="W12" s="2" t="str">
        <f>IFERROR(__xludf.DUMMYFUNCTION("IMPORTRANGE($B$18,$B$19&amp;address(row($H$7),column($H$7))&amp;"":""&amp;address(row($H$7),column($H$7)))"),"")</f>
        <v/>
      </c>
      <c r="X12" s="2" t="str">
        <f>IFERROR(__xludf.DUMMYFUNCTION("IMPORTRANGE($B$18,$B$19&amp;address(row($I$7),column($I$7))&amp;"":""&amp;address(row($I$7),column($I$7)))"),"")</f>
        <v/>
      </c>
      <c r="Y12" s="2" t="str">
        <f>IFERROR(__xludf.DUMMYFUNCTION("IMPORTRANGE($B$18,$B$19&amp;address(row($C$5),column($C$5))&amp;"":""&amp;address(row($C$5),column($C$5)))"),"South 1")</f>
        <v>South 1</v>
      </c>
      <c r="Z12" s="86">
        <f>IFERROR(__xludf.DUMMYFUNCTION("IMPORTRANGE($B$18,$B$19&amp;address(row($I$4),column($I$4))&amp;"":""&amp;address(row($I$4),column($I$4)))"),45395.0)</f>
        <v>45395</v>
      </c>
      <c r="AA12" s="2" t="b">
        <f t="shared" si="3"/>
        <v>1</v>
      </c>
    </row>
    <row r="13">
      <c r="A13" s="2" t="str">
        <f>IFERROR(__xludf.DUMMYFUNCTION("IMPORTRANGE($B$18,$B$19&amp;address(row(B23),column(B23))&amp;"":""&amp;address(row(B23),column(B23)))"),"Calum Bennett")</f>
        <v>Calum Bennett</v>
      </c>
      <c r="B13" s="2" t="str">
        <f>IFERROR(__xludf.DUMMYFUNCTION("IMPORTRANGE($B$18,$B$19&amp;address(row(E23),column(E23))&amp;"":""&amp;address(row(E23),column(E23)))"),"")</f>
        <v/>
      </c>
      <c r="C13" s="1">
        <f t="shared" si="1"/>
        <v>4</v>
      </c>
      <c r="D13" s="2" t="str">
        <f>IFERROR(__xludf.DUMMYFUNCTION("IMPORTRANGE($B$18,$B$19&amp;address(row($I$3),column($I$3))&amp;"":""&amp;address(row($I$3),column($I$3)))"),"Old Wokingians 3s")</f>
        <v>Old Wokingians 3s</v>
      </c>
      <c r="E1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3" s="2" t="str">
        <f>IFERROR(__xludf.DUMMYFUNCTION("IMPORTRANGE($B$18,$B$19&amp;address(row(I23),column(I23))&amp;"":""&amp;address(row(I23),column(I23)))"),"")</f>
        <v/>
      </c>
      <c r="G13" s="2" t="str">
        <f>IFERROR(__xludf.DUMMYFUNCTION("IMPORTRANGE($B$18,$B$19&amp;address(row(J23),column(J23))&amp;"":""&amp;address(row(J23),column(J23)))"),"")</f>
        <v/>
      </c>
      <c r="H13" s="1" t="str">
        <f>IFERROR(__xludf.DUMMYFUNCTION("IMPORTRANGE($B$18,$B$19&amp;address(row($I$7),column($I$7))&amp;"":""&amp;address(row($I$7),column($I$7)))"),"")</f>
        <v/>
      </c>
      <c r="I13" s="2" t="str">
        <f>IFERROR(__xludf.DUMMYFUNCTION("IMPORTRANGE($B$18,$B$19&amp;address(row(N23),column(N23))&amp;"":""&amp;address(row(N23),column(N23)))"),"")</f>
        <v/>
      </c>
      <c r="J13" s="2" t="str">
        <f>IFERROR(__xludf.DUMMYFUNCTION("IMPORTRANGE($B$18,$B$19&amp;address(row(O23),column(O23))&amp;"":""&amp;address(row(O23),column(O23)))"),"")</f>
        <v/>
      </c>
      <c r="K13" s="2" t="str">
        <f>IFERROR(__xludf.DUMMYFUNCTION("IMPORTRANGE($B$18,$B$19&amp;address(row(P23),column(P23))&amp;"":""&amp;address(row(P23),column(P23)))"),"")</f>
        <v/>
      </c>
      <c r="L13" s="2" t="b">
        <f t="shared" si="2"/>
        <v>1</v>
      </c>
      <c r="M13" s="2" t="str">
        <f>IFERROR(__xludf.DUMMYFUNCTION("IMPORTRANGE($B$18,$B$19&amp;address(row(L23),column(L23))&amp;"":""&amp;address(row(L23),column(L23)))"),"")</f>
        <v/>
      </c>
      <c r="N13" s="2" t="str">
        <f>IFERROR(__xludf.DUMMYFUNCTION("IMPORTRANGE($B$18,$B$19&amp;address(row(K23),column(K23))&amp;"":""&amp;address(row(K23),column(K23)))"),"")</f>
        <v/>
      </c>
      <c r="O13" s="2" t="str">
        <f>IFERROR(__xludf.DUMMYFUNCTION("IMPORTRANGE($B$18,$B$19&amp;address(row(M23),column(M23))&amp;"":""&amp;address(row(M23),column(M23)))"),"")</f>
        <v/>
      </c>
      <c r="P13" s="2">
        <f>IFERROR(__xludf.DUMMYFUNCTION("IF(IMPORTRANGE($B$18,$B$19&amp;address(row($Q$7),column($Q$7))&amp;"":""&amp;address(row($Q$7),column($Q$7)))=A13,1,0)"),0.0)</f>
        <v>0</v>
      </c>
      <c r="Q13" s="2" t="str">
        <f>IFERROR(__xludf.DUMMYFUNCTION("IMPORTRANGE($B$18,$B$19&amp;address(row(G23),column(G23))&amp;"":""&amp;address(row(G23),column(G23)))"),"")</f>
        <v/>
      </c>
      <c r="R13" s="2" t="str">
        <f>IFERROR(__xludf.DUMMYFUNCTION("IMPORTRANGE($B$18,$B$19&amp;address(row(H23),column(H23))&amp;"":""&amp;address(row(H23),column(H23)))"),"")</f>
        <v/>
      </c>
      <c r="S13" s="2" t="str">
        <f>IFERROR(__xludf.DUMMYFUNCTION("IMPORTRANGE($B$18,$B$19&amp;address(row(S23),column(S23))&amp;"":""&amp;address(row(S23),column(S23)))"),"")</f>
        <v/>
      </c>
      <c r="T13" s="2" t="str">
        <f>IFERROR(__xludf.DUMMYFUNCTION("IMPORTRANGE($B$18,$B$19&amp;address(row(T23),column(T23))&amp;"":""&amp;address(row(T23),column(T23)))"),"")</f>
        <v/>
      </c>
      <c r="U13" s="2" t="str">
        <f>IFERROR(__xludf.DUMMYFUNCTION("IMPORTRANGE($B$18,$B$19&amp;address(row($T$4),column($T$4))&amp;"":""&amp;address(row($T$4),column($T$4)))"),"")</f>
        <v/>
      </c>
      <c r="V13" s="2" t="str">
        <f>IFERROR(__xludf.DUMMYFUNCTION("IMPORTRANGE($B$18,$B$19&amp;address(row($T$7),column($T$7))&amp;"":""&amp;address(row($T$7),column($T$7)))"),"")</f>
        <v/>
      </c>
      <c r="W13" s="2" t="str">
        <f>IFERROR(__xludf.DUMMYFUNCTION("IMPORTRANGE($B$18,$B$19&amp;address(row($H$7),column($H$7))&amp;"":""&amp;address(row($H$7),column($H$7)))"),"")</f>
        <v/>
      </c>
      <c r="X13" s="2" t="str">
        <f>IFERROR(__xludf.DUMMYFUNCTION("IMPORTRANGE($B$18,$B$19&amp;address(row($I$7),column($I$7))&amp;"":""&amp;address(row($I$7),column($I$7)))"),"")</f>
        <v/>
      </c>
      <c r="Y13" s="2" t="str">
        <f>IFERROR(__xludf.DUMMYFUNCTION("IMPORTRANGE($B$18,$B$19&amp;address(row($C$5),column($C$5))&amp;"":""&amp;address(row($C$5),column($C$5)))"),"South 1")</f>
        <v>South 1</v>
      </c>
      <c r="Z13" s="86">
        <f>IFERROR(__xludf.DUMMYFUNCTION("IMPORTRANGE($B$18,$B$19&amp;address(row($I$4),column($I$4))&amp;"":""&amp;address(row($I$4),column($I$4)))"),45395.0)</f>
        <v>45395</v>
      </c>
      <c r="AA13" s="2" t="b">
        <f t="shared" si="3"/>
        <v>1</v>
      </c>
    </row>
    <row r="14">
      <c r="A14" s="2" t="str">
        <f>IFERROR(__xludf.DUMMYFUNCTION("IMPORTRANGE($B$18,$B$19&amp;address(row(B24),column(B24))&amp;"":""&amp;address(row(B24),column(B24)))"),"Ciaran Curran")</f>
        <v>Ciaran Curran</v>
      </c>
      <c r="B14" s="2" t="str">
        <f>IFERROR(__xludf.DUMMYFUNCTION("IMPORTRANGE($B$18,$B$19&amp;address(row(E24),column(E24))&amp;"":""&amp;address(row(E24),column(E24)))"),"")</f>
        <v/>
      </c>
      <c r="C14" s="1">
        <f t="shared" si="1"/>
        <v>4</v>
      </c>
      <c r="D14" s="2" t="str">
        <f>IFERROR(__xludf.DUMMYFUNCTION("IMPORTRANGE($B$18,$B$19&amp;address(row($I$3),column($I$3))&amp;"":""&amp;address(row($I$3),column($I$3)))"),"Old Wokingians 3s")</f>
        <v>Old Wokingians 3s</v>
      </c>
      <c r="E1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4" s="2" t="str">
        <f>IFERROR(__xludf.DUMMYFUNCTION("IMPORTRANGE($B$18,$B$19&amp;address(row(I24),column(I24))&amp;"":""&amp;address(row(I24),column(I24)))"),"")</f>
        <v/>
      </c>
      <c r="G14" s="2" t="str">
        <f>IFERROR(__xludf.DUMMYFUNCTION("IMPORTRANGE($B$18,$B$19&amp;address(row(J24),column(J24))&amp;"":""&amp;address(row(J24),column(J24)))"),"")</f>
        <v/>
      </c>
      <c r="H14" s="1" t="str">
        <f>IFERROR(__xludf.DUMMYFUNCTION("IMPORTRANGE($B$18,$B$19&amp;address(row($I$7),column($I$7))&amp;"":""&amp;address(row($I$7),column($I$7)))"),"")</f>
        <v/>
      </c>
      <c r="I14" s="2" t="str">
        <f>IFERROR(__xludf.DUMMYFUNCTION("IMPORTRANGE($B$18,$B$19&amp;address(row(N24),column(N24))&amp;"":""&amp;address(row(N24),column(N24)))"),"")</f>
        <v/>
      </c>
      <c r="J14" s="2" t="str">
        <f>IFERROR(__xludf.DUMMYFUNCTION("IMPORTRANGE($B$18,$B$19&amp;address(row(O24),column(O24))&amp;"":""&amp;address(row(O24),column(O24)))"),"")</f>
        <v/>
      </c>
      <c r="K14" s="2" t="str">
        <f>IFERROR(__xludf.DUMMYFUNCTION("IMPORTRANGE($B$18,$B$19&amp;address(row(P24),column(P24))&amp;"":""&amp;address(row(P24),column(P24)))"),"")</f>
        <v/>
      </c>
      <c r="L14" s="2" t="b">
        <f t="shared" si="2"/>
        <v>1</v>
      </c>
      <c r="M14" s="2" t="str">
        <f>IFERROR(__xludf.DUMMYFUNCTION("IMPORTRANGE($B$18,$B$19&amp;address(row(L24),column(L24))&amp;"":""&amp;address(row(L24),column(L24)))"),"")</f>
        <v/>
      </c>
      <c r="N14" s="2" t="str">
        <f>IFERROR(__xludf.DUMMYFUNCTION("IMPORTRANGE($B$18,$B$19&amp;address(row(K24),column(K24))&amp;"":""&amp;address(row(K24),column(K24)))"),"")</f>
        <v/>
      </c>
      <c r="O14" s="2" t="str">
        <f>IFERROR(__xludf.DUMMYFUNCTION("IMPORTRANGE($B$18,$B$19&amp;address(row(M24),column(M24))&amp;"":""&amp;address(row(M24),column(M24)))"),"")</f>
        <v/>
      </c>
      <c r="P14" s="2">
        <f>IFERROR(__xludf.DUMMYFUNCTION("IF(IMPORTRANGE($B$18,$B$19&amp;address(row($Q$7),column($Q$7))&amp;"":""&amp;address(row($Q$7),column($Q$7)))=A14,1,0)"),0.0)</f>
        <v>0</v>
      </c>
      <c r="Q14" s="2" t="str">
        <f>IFERROR(__xludf.DUMMYFUNCTION("IMPORTRANGE($B$18,$B$19&amp;address(row(G24),column(G24))&amp;"":""&amp;address(row(G24),column(G24)))"),"")</f>
        <v/>
      </c>
      <c r="R14" s="2" t="str">
        <f>IFERROR(__xludf.DUMMYFUNCTION("IMPORTRANGE($B$18,$B$19&amp;address(row(H24),column(H24))&amp;"":""&amp;address(row(H24),column(H24)))"),"")</f>
        <v/>
      </c>
      <c r="S14" s="2" t="str">
        <f>IFERROR(__xludf.DUMMYFUNCTION("IMPORTRANGE($B$18,$B$19&amp;address(row(S24),column(S24))&amp;"":""&amp;address(row(S24),column(S24)))"),"")</f>
        <v/>
      </c>
      <c r="T14" s="2" t="str">
        <f>IFERROR(__xludf.DUMMYFUNCTION("IMPORTRANGE($B$18,$B$19&amp;address(row(T24),column(T24))&amp;"":""&amp;address(row(T24),column(T24)))"),"")</f>
        <v/>
      </c>
      <c r="U14" s="2" t="str">
        <f>IFERROR(__xludf.DUMMYFUNCTION("IMPORTRANGE($B$18,$B$19&amp;address(row($T$4),column($T$4))&amp;"":""&amp;address(row($T$4),column($T$4)))"),"")</f>
        <v/>
      </c>
      <c r="V14" s="2" t="str">
        <f>IFERROR(__xludf.DUMMYFUNCTION("IMPORTRANGE($B$18,$B$19&amp;address(row($T$7),column($T$7))&amp;"":""&amp;address(row($T$7),column($T$7)))"),"")</f>
        <v/>
      </c>
      <c r="W14" s="2" t="str">
        <f>IFERROR(__xludf.DUMMYFUNCTION("IMPORTRANGE($B$18,$B$19&amp;address(row($H$7),column($H$7))&amp;"":""&amp;address(row($H$7),column($H$7)))"),"")</f>
        <v/>
      </c>
      <c r="X14" s="2" t="str">
        <f>IFERROR(__xludf.DUMMYFUNCTION("IMPORTRANGE($B$18,$B$19&amp;address(row($I$7),column($I$7))&amp;"":""&amp;address(row($I$7),column($I$7)))"),"")</f>
        <v/>
      </c>
      <c r="Y14" s="2" t="str">
        <f>IFERROR(__xludf.DUMMYFUNCTION("IMPORTRANGE($B$18,$B$19&amp;address(row($C$5),column($C$5))&amp;"":""&amp;address(row($C$5),column($C$5)))"),"South 1")</f>
        <v>South 1</v>
      </c>
      <c r="Z14" s="86">
        <f>IFERROR(__xludf.DUMMYFUNCTION("IMPORTRANGE($B$18,$B$19&amp;address(row($I$4),column($I$4))&amp;"":""&amp;address(row($I$4),column($I$4)))"),45395.0)</f>
        <v>45395</v>
      </c>
      <c r="AA14" s="2" t="b">
        <f t="shared" si="3"/>
        <v>1</v>
      </c>
    </row>
    <row r="15" ht="15.0" customHeight="1">
      <c r="A15" s="2" t="str">
        <f>IFERROR(__xludf.DUMMYFUNCTION("IMPORTRANGE($B$18,$B$19&amp;address(row(B25),column(B25))&amp;"":""&amp;address(row(B25),column(B25)))"),"Sam A'Court")</f>
        <v>Sam A'Court</v>
      </c>
      <c r="B15" s="2" t="str">
        <f>IFERROR(__xludf.DUMMYFUNCTION("IMPORTRANGE($B$18,$B$19&amp;address(row(E25),column(E25))&amp;"":""&amp;address(row(E25),column(E25)))"),"")</f>
        <v/>
      </c>
      <c r="C15" s="1">
        <f t="shared" si="1"/>
        <v>4</v>
      </c>
      <c r="D15" s="2" t="str">
        <f>IFERROR(__xludf.DUMMYFUNCTION("IMPORTRANGE($B$18,$B$19&amp;address(row($I$3),column($I$3))&amp;"":""&amp;address(row($I$3),column($I$3)))"),"Old Wokingians 3s")</f>
        <v>Old Wokingians 3s</v>
      </c>
      <c r="E1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5" s="2" t="str">
        <f>IFERROR(__xludf.DUMMYFUNCTION("IMPORTRANGE($B$18,$B$19&amp;address(row(I25),column(I25))&amp;"":""&amp;address(row(I25),column(I25)))"),"")</f>
        <v/>
      </c>
      <c r="G15" s="2" t="str">
        <f>IFERROR(__xludf.DUMMYFUNCTION("IMPORTRANGE($B$18,$B$19&amp;address(row(J25),column(J25))&amp;"":""&amp;address(row(J25),column(J25)))"),"")</f>
        <v/>
      </c>
      <c r="H15" s="1" t="str">
        <f>IFERROR(__xludf.DUMMYFUNCTION("IMPORTRANGE($B$18,$B$19&amp;address(row($I$7),column($I$7))&amp;"":""&amp;address(row($I$7),column($I$7)))"),"")</f>
        <v/>
      </c>
      <c r="I15" s="2" t="str">
        <f>IFERROR(__xludf.DUMMYFUNCTION("IMPORTRANGE($B$18,$B$19&amp;address(row(N25),column(N25))&amp;"":""&amp;address(row(N25),column(N25)))"),"")</f>
        <v/>
      </c>
      <c r="J15" s="2" t="str">
        <f>IFERROR(__xludf.DUMMYFUNCTION("IMPORTRANGE($B$18,$B$19&amp;address(row(O25),column(O25))&amp;"":""&amp;address(row(O25),column(O25)))"),"")</f>
        <v/>
      </c>
      <c r="K15" s="2" t="str">
        <f>IFERROR(__xludf.DUMMYFUNCTION("IMPORTRANGE($B$18,$B$19&amp;address(row(P25),column(P25))&amp;"":""&amp;address(row(P25),column(P25)))"),"")</f>
        <v/>
      </c>
      <c r="L15" s="2" t="b">
        <f t="shared" si="2"/>
        <v>1</v>
      </c>
      <c r="M15" s="2" t="str">
        <f>IFERROR(__xludf.DUMMYFUNCTION("IMPORTRANGE($B$18,$B$19&amp;address(row(L25),column(L25))&amp;"":""&amp;address(row(L25),column(L25)))"),"")</f>
        <v/>
      </c>
      <c r="N15" s="2" t="str">
        <f>IFERROR(__xludf.DUMMYFUNCTION("IMPORTRANGE($B$18,$B$19&amp;address(row(K25),column(K25))&amp;"":""&amp;address(row(K25),column(K25)))"),"")</f>
        <v/>
      </c>
      <c r="O15" s="2" t="str">
        <f>IFERROR(__xludf.DUMMYFUNCTION("IMPORTRANGE($B$18,$B$19&amp;address(row(M25),column(M25))&amp;"":""&amp;address(row(M25),column(M25)))"),"")</f>
        <v/>
      </c>
      <c r="P15" s="2">
        <f>IFERROR(__xludf.DUMMYFUNCTION("IF(IMPORTRANGE($B$18,$B$19&amp;address(row($Q$7),column($Q$7))&amp;"":""&amp;address(row($Q$7),column($Q$7)))=A15,1,0)"),0.0)</f>
        <v>0</v>
      </c>
      <c r="Q15" s="2" t="str">
        <f>IFERROR(__xludf.DUMMYFUNCTION("IMPORTRANGE($B$18,$B$19&amp;address(row(G25),column(G25))&amp;"":""&amp;address(row(G25),column(G25)))"),"")</f>
        <v/>
      </c>
      <c r="R15" s="2" t="str">
        <f>IFERROR(__xludf.DUMMYFUNCTION("IMPORTRANGE($B$18,$B$19&amp;address(row(H25),column(H25))&amp;"":""&amp;address(row(H25),column(H25)))"),"")</f>
        <v/>
      </c>
      <c r="S15" s="2" t="str">
        <f>IFERROR(__xludf.DUMMYFUNCTION("IMPORTRANGE($B$18,$B$19&amp;address(row(S25),column(S25))&amp;"":""&amp;address(row(S25),column(S25)))"),"")</f>
        <v/>
      </c>
      <c r="T15" s="2" t="str">
        <f>IFERROR(__xludf.DUMMYFUNCTION("IMPORTRANGE($B$18,$B$19&amp;address(row(T25),column(T25))&amp;"":""&amp;address(row(T25),column(T25)))"),"")</f>
        <v/>
      </c>
      <c r="U15" s="2" t="str">
        <f>IFERROR(__xludf.DUMMYFUNCTION("IMPORTRANGE($B$18,$B$19&amp;address(row($T$4),column($T$4))&amp;"":""&amp;address(row($T$4),column($T$4)))"),"")</f>
        <v/>
      </c>
      <c r="V15" s="2" t="str">
        <f>IFERROR(__xludf.DUMMYFUNCTION("IMPORTRANGE($B$18,$B$19&amp;address(row($T$7),column($T$7))&amp;"":""&amp;address(row($T$7),column($T$7)))"),"")</f>
        <v/>
      </c>
      <c r="W15" s="2" t="str">
        <f>IFERROR(__xludf.DUMMYFUNCTION("IMPORTRANGE($B$18,$B$19&amp;address(row($H$7),column($H$7))&amp;"":""&amp;address(row($H$7),column($H$7)))"),"")</f>
        <v/>
      </c>
      <c r="X15" s="2" t="str">
        <f>IFERROR(__xludf.DUMMYFUNCTION("IMPORTRANGE($B$18,$B$19&amp;address(row($I$7),column($I$7))&amp;"":""&amp;address(row($I$7),column($I$7)))"),"")</f>
        <v/>
      </c>
      <c r="Y15" s="2" t="str">
        <f>IFERROR(__xludf.DUMMYFUNCTION("IMPORTRANGE($B$18,$B$19&amp;address(row($C$5),column($C$5))&amp;"":""&amp;address(row($C$5),column($C$5)))"),"South 1")</f>
        <v>South 1</v>
      </c>
      <c r="Z15" s="86">
        <f>IFERROR(__xludf.DUMMYFUNCTION("IMPORTRANGE($B$18,$B$19&amp;address(row($I$4),column($I$4))&amp;"":""&amp;address(row($I$4),column($I$4)))"),45395.0)</f>
        <v>45395</v>
      </c>
      <c r="AA15" s="2" t="b">
        <f t="shared" si="3"/>
        <v>1</v>
      </c>
    </row>
    <row r="16">
      <c r="A16" s="2" t="str">
        <f>IFERROR(__xludf.DUMMYFUNCTION("IMPORTRANGE($B$18,$B$19&amp;address(row(B26),column(B26))&amp;"":""&amp;address(row(B26),column(B26)))"),"")</f>
        <v/>
      </c>
      <c r="B16" s="2" t="str">
        <f>IFERROR(__xludf.DUMMYFUNCTION("IMPORTRANGE($B$18,$B$19&amp;address(row(E26),column(E26))&amp;"":""&amp;address(row(E26),column(E26)))"),"")</f>
        <v/>
      </c>
      <c r="C16" s="1">
        <f t="shared" si="1"/>
        <v>4</v>
      </c>
      <c r="D16" s="2" t="str">
        <f>IFERROR(__xludf.DUMMYFUNCTION("IMPORTRANGE($B$18,$B$19&amp;address(row($I$3),column($I$3))&amp;"":""&amp;address(row($I$3),column($I$3)))"),"Old Wokingians 3s")</f>
        <v>Old Wokingians 3s</v>
      </c>
      <c r="E1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6" s="2" t="str">
        <f>IFERROR(__xludf.DUMMYFUNCTION("IMPORTRANGE($B$18,$B$19&amp;address(row(I26),column(I26))&amp;"":""&amp;address(row(I26),column(I26)))"),"")</f>
        <v/>
      </c>
      <c r="G16" s="2" t="str">
        <f>IFERROR(__xludf.DUMMYFUNCTION("IMPORTRANGE($B$18,$B$19&amp;address(row(J26),column(J26))&amp;"":""&amp;address(row(J26),column(J26)))"),"")</f>
        <v/>
      </c>
      <c r="H16" s="1" t="str">
        <f>IFERROR(__xludf.DUMMYFUNCTION("IMPORTRANGE($B$18,$B$19&amp;address(row($I$7),column($I$7))&amp;"":""&amp;address(row($I$7),column($I$7)))"),"")</f>
        <v/>
      </c>
      <c r="I16" s="2" t="str">
        <f>IFERROR(__xludf.DUMMYFUNCTION("IMPORTRANGE($B$18,$B$19&amp;address(row(N26),column(N26))&amp;"":""&amp;address(row(N26),column(N26)))"),"")</f>
        <v/>
      </c>
      <c r="J16" s="2" t="str">
        <f>IFERROR(__xludf.DUMMYFUNCTION("IMPORTRANGE($B$18,$B$19&amp;address(row(O26),column(O26))&amp;"":""&amp;address(row(O26),column(O26)))"),"")</f>
        <v/>
      </c>
      <c r="K16" s="2" t="str">
        <f>IFERROR(__xludf.DUMMYFUNCTION("IMPORTRANGE($B$18,$B$19&amp;address(row(P26),column(P26))&amp;"":""&amp;address(row(P26),column(P26)))"),"")</f>
        <v/>
      </c>
      <c r="L16" s="2" t="b">
        <f t="shared" si="2"/>
        <v>1</v>
      </c>
      <c r="M16" s="2" t="str">
        <f>IFERROR(__xludf.DUMMYFUNCTION("IMPORTRANGE($B$18,$B$19&amp;address(row(L26),column(L26))&amp;"":""&amp;address(row(L26),column(L26)))"),"")</f>
        <v/>
      </c>
      <c r="N16" s="2" t="str">
        <f>IFERROR(__xludf.DUMMYFUNCTION("IMPORTRANGE($B$18,$B$19&amp;address(row(K26),column(K26))&amp;"":""&amp;address(row(K26),column(K26)))"),"")</f>
        <v/>
      </c>
      <c r="O16" s="2" t="str">
        <f>IFERROR(__xludf.DUMMYFUNCTION("IMPORTRANGE($B$18,$B$19&amp;address(row(M26),column(M26))&amp;"":""&amp;address(row(M26),column(M26)))"),"")</f>
        <v/>
      </c>
      <c r="P16" s="2">
        <f>IFERROR(__xludf.DUMMYFUNCTION("IF(IMPORTRANGE($B$18,$B$19&amp;address(row($Q$7),column($Q$7))&amp;"":""&amp;address(row($Q$7),column($Q$7)))=A16,1,0)"),0.0)</f>
        <v>0</v>
      </c>
      <c r="Q16" s="2" t="str">
        <f>IFERROR(__xludf.DUMMYFUNCTION("IMPORTRANGE($B$18,$B$19&amp;address(row(G26),column(G26))&amp;"":""&amp;address(row(G26),column(G26)))"),"")</f>
        <v/>
      </c>
      <c r="R16" s="2" t="str">
        <f>IFERROR(__xludf.DUMMYFUNCTION("IMPORTRANGE($B$18,$B$19&amp;address(row(H26),column(H26))&amp;"":""&amp;address(row(H26),column(H26)))"),"")</f>
        <v/>
      </c>
      <c r="S16" s="2" t="str">
        <f>IFERROR(__xludf.DUMMYFUNCTION("IMPORTRANGE($B$18,$B$19&amp;address(row(S26),column(S26))&amp;"":""&amp;address(row(S26),column(S26)))"),"")</f>
        <v/>
      </c>
      <c r="T16" s="2" t="str">
        <f>IFERROR(__xludf.DUMMYFUNCTION("IMPORTRANGE($B$18,$B$19&amp;address(row(T26),column(T26))&amp;"":""&amp;address(row(T26),column(T26)))"),"")</f>
        <v/>
      </c>
      <c r="U16" s="2" t="str">
        <f>IFERROR(__xludf.DUMMYFUNCTION("IMPORTRANGE($B$18,$B$19&amp;address(row($T$4),column($T$4))&amp;"":""&amp;address(row($T$4),column($T$4)))"),"")</f>
        <v/>
      </c>
      <c r="V16" s="2" t="str">
        <f>IFERROR(__xludf.DUMMYFUNCTION("IMPORTRANGE($B$18,$B$19&amp;address(row($T$7),column($T$7))&amp;"":""&amp;address(row($T$7),column($T$7)))"),"")</f>
        <v/>
      </c>
      <c r="W16" s="2" t="str">
        <f>IFERROR(__xludf.DUMMYFUNCTION("IMPORTRANGE($B$18,$B$19&amp;address(row($H$7),column($H$7))&amp;"":""&amp;address(row($H$7),column($H$7)))"),"")</f>
        <v/>
      </c>
      <c r="X16" s="2" t="str">
        <f>IFERROR(__xludf.DUMMYFUNCTION("IMPORTRANGE($B$18,$B$19&amp;address(row($I$7),column($I$7))&amp;"":""&amp;address(row($I$7),column($I$7)))"),"")</f>
        <v/>
      </c>
      <c r="Y16" s="2" t="str">
        <f>IFERROR(__xludf.DUMMYFUNCTION("IMPORTRANGE($B$18,$B$19&amp;address(row($C$5),column($C$5))&amp;"":""&amp;address(row($C$5),column($C$5)))"),"South 1")</f>
        <v>South 1</v>
      </c>
      <c r="Z16" s="86">
        <f>IFERROR(__xludf.DUMMYFUNCTION("IMPORTRANGE($B$18,$B$19&amp;address(row($I$4),column($I$4))&amp;"":""&amp;address(row($I$4),column($I$4)))"),45395.0)</f>
        <v>45395</v>
      </c>
      <c r="AA16" s="2" t="b">
        <f t="shared" si="3"/>
        <v>0</v>
      </c>
    </row>
    <row r="17">
      <c r="A17" s="2" t="str">
        <f>IFERROR(__xludf.DUMMYFUNCTION("IMPORTRANGE($B$18,$B$19&amp;address(row(B27),column(B27))&amp;"":""&amp;address(row(B27),column(B27)))"),"")</f>
        <v/>
      </c>
      <c r="B17" s="2" t="str">
        <f>IFERROR(__xludf.DUMMYFUNCTION("IMPORTRANGE($B$18,$B$19&amp;address(row(E27),column(E27))&amp;"":""&amp;address(row(E27),column(E27)))"),"")</f>
        <v/>
      </c>
      <c r="C17" s="1">
        <f t="shared" si="1"/>
        <v>4</v>
      </c>
      <c r="D17" s="2" t="str">
        <f>IFERROR(__xludf.DUMMYFUNCTION("IMPORTRANGE($B$18,$B$19&amp;address(row($I$3),column($I$3))&amp;"":""&amp;address(row($I$3),column($I$3)))"),"Old Wokingians 3s")</f>
        <v>Old Wokingians 3s</v>
      </c>
      <c r="E1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7" s="2" t="str">
        <f>IFERROR(__xludf.DUMMYFUNCTION("IMPORTRANGE($B$18,$B$19&amp;address(row(I27),column(I27))&amp;"":""&amp;address(row(I27),column(I27)))"),"")</f>
        <v/>
      </c>
      <c r="G17" s="2" t="str">
        <f>IFERROR(__xludf.DUMMYFUNCTION("IMPORTRANGE($B$18,$B$19&amp;address(row(J27),column(J27))&amp;"":""&amp;address(row(J27),column(J27)))"),"")</f>
        <v/>
      </c>
      <c r="H17" s="1" t="str">
        <f>IFERROR(__xludf.DUMMYFUNCTION("IMPORTRANGE($B$18,$B$19&amp;address(row($I$7),column($I$7))&amp;"":""&amp;address(row($I$7),column($I$7)))"),"")</f>
        <v/>
      </c>
      <c r="I17" s="2" t="str">
        <f>IFERROR(__xludf.DUMMYFUNCTION("IMPORTRANGE($B$18,$B$19&amp;address(row(N27),column(N27))&amp;"":""&amp;address(row(N27),column(N27)))"),"")</f>
        <v/>
      </c>
      <c r="J17" s="2" t="str">
        <f>IFERROR(__xludf.DUMMYFUNCTION("IMPORTRANGE($B$18,$B$19&amp;address(row(O27),column(O27))&amp;"":""&amp;address(row(O27),column(O27)))"),"")</f>
        <v/>
      </c>
      <c r="K17" s="2" t="str">
        <f>IFERROR(__xludf.DUMMYFUNCTION("IMPORTRANGE($B$18,$B$19&amp;address(row(P27),column(P27))&amp;"":""&amp;address(row(P27),column(P27)))"),"")</f>
        <v/>
      </c>
      <c r="L17" s="2" t="b">
        <f t="shared" si="2"/>
        <v>1</v>
      </c>
      <c r="M17" s="2" t="str">
        <f>IFERROR(__xludf.DUMMYFUNCTION("IMPORTRANGE($B$18,$B$19&amp;address(row(L27),column(L27))&amp;"":""&amp;address(row(L27),column(L27)))"),"")</f>
        <v/>
      </c>
      <c r="N17" s="2" t="str">
        <f>IFERROR(__xludf.DUMMYFUNCTION("IMPORTRANGE($B$18,$B$19&amp;address(row(K27),column(K27))&amp;"":""&amp;address(row(K27),column(K27)))"),"")</f>
        <v/>
      </c>
      <c r="O17" s="2" t="str">
        <f>IFERROR(__xludf.DUMMYFUNCTION("IMPORTRANGE($B$18,$B$19&amp;address(row(M27),column(M27))&amp;"":""&amp;address(row(M27),column(M27)))"),"")</f>
        <v/>
      </c>
      <c r="P17" s="2">
        <f>IFERROR(__xludf.DUMMYFUNCTION("IF(IMPORTRANGE($B$18,$B$19&amp;address(row($Q$7),column($Q$7))&amp;"":""&amp;address(row($Q$7),column($Q$7)))=A17,1,0)"),0.0)</f>
        <v>0</v>
      </c>
      <c r="Q17" s="2" t="str">
        <f>IFERROR(__xludf.DUMMYFUNCTION("IMPORTRANGE($B$18,$B$19&amp;address(row(G27),column(G27))&amp;"":""&amp;address(row(G27),column(G27)))"),"")</f>
        <v/>
      </c>
      <c r="R17" s="2" t="str">
        <f>IFERROR(__xludf.DUMMYFUNCTION("IMPORTRANGE($B$18,$B$19&amp;address(row(H27),column(H27))&amp;"":""&amp;address(row(H27),column(H27)))"),"")</f>
        <v/>
      </c>
      <c r="S17" s="2" t="str">
        <f>IFERROR(__xludf.DUMMYFUNCTION("IMPORTRANGE($B$18,$B$19&amp;address(row(S27),column(S27))&amp;"":""&amp;address(row(S27),column(S27)))"),"")</f>
        <v/>
      </c>
      <c r="T17" s="2" t="str">
        <f>IFERROR(__xludf.DUMMYFUNCTION("IMPORTRANGE($B$18,$B$19&amp;address(row(T27),column(T27))&amp;"":""&amp;address(row(T27),column(T27)))"),"")</f>
        <v/>
      </c>
      <c r="U17" s="2" t="str">
        <f>IFERROR(__xludf.DUMMYFUNCTION("IMPORTRANGE($B$18,$B$19&amp;address(row($T$4),column($T$4))&amp;"":""&amp;address(row($T$4),column($T$4)))"),"")</f>
        <v/>
      </c>
      <c r="V17" s="2" t="str">
        <f>IFERROR(__xludf.DUMMYFUNCTION("IMPORTRANGE($B$18,$B$19&amp;address(row($T$7),column($T$7))&amp;"":""&amp;address(row($T$7),column($T$7)))"),"")</f>
        <v/>
      </c>
      <c r="W17" s="2" t="str">
        <f>IFERROR(__xludf.DUMMYFUNCTION("IMPORTRANGE($B$18,$B$19&amp;address(row($H$7),column($H$7))&amp;"":""&amp;address(row($H$7),column($H$7)))"),"")</f>
        <v/>
      </c>
      <c r="X17" s="2" t="str">
        <f>IFERROR(__xludf.DUMMYFUNCTION("IMPORTRANGE($B$18,$B$19&amp;address(row($I$7),column($I$7))&amp;"":""&amp;address(row($I$7),column($I$7)))"),"")</f>
        <v/>
      </c>
      <c r="Y17" s="2" t="str">
        <f>IFERROR(__xludf.DUMMYFUNCTION("IMPORTRANGE($B$18,$B$19&amp;address(row($C$5),column($C$5))&amp;"":""&amp;address(row($C$5),column($C$5)))"),"South 1")</f>
        <v>South 1</v>
      </c>
      <c r="Z17" s="86">
        <f>IFERROR(__xludf.DUMMYFUNCTION("IMPORTRANGE($B$18,$B$19&amp;address(row($I$4),column($I$4))&amp;"":""&amp;address(row($I$4),column($I$4)))"),45395.0)</f>
        <v>45395</v>
      </c>
      <c r="AA17" s="2" t="b">
        <f t="shared" si="3"/>
        <v>0</v>
      </c>
    </row>
    <row r="18">
      <c r="A18" s="1" t="s">
        <v>2258</v>
      </c>
      <c r="B18" s="87" t="s">
        <v>2266</v>
      </c>
      <c r="D18" s="2"/>
      <c r="E18" s="2"/>
      <c r="F18" s="2"/>
      <c r="G18" s="2"/>
      <c r="H18" s="2"/>
      <c r="I18" s="2"/>
      <c r="J18" s="2"/>
      <c r="K18" s="2"/>
      <c r="L18" s="2"/>
      <c r="M18" s="2"/>
      <c r="N18" s="2"/>
      <c r="O18" s="2"/>
      <c r="P18" s="2"/>
      <c r="Q18" s="2"/>
      <c r="R18" s="2"/>
      <c r="S18" s="2"/>
      <c r="T18" s="2"/>
      <c r="U18" s="2"/>
      <c r="V18" s="2"/>
      <c r="W18" s="2"/>
      <c r="X18" s="2"/>
      <c r="Y18" s="2"/>
    </row>
    <row r="19">
      <c r="A19" s="1" t="s">
        <v>2260</v>
      </c>
      <c r="B19" s="88" t="s">
        <v>2267</v>
      </c>
      <c r="C19" s="2"/>
      <c r="D19" s="2"/>
      <c r="E19" s="2"/>
      <c r="F19" s="2"/>
      <c r="G19" s="2"/>
      <c r="H19" s="2"/>
      <c r="I19" s="2"/>
      <c r="J19" s="2"/>
      <c r="K19" s="2"/>
      <c r="L19" s="2"/>
      <c r="M19" s="2"/>
      <c r="N19" s="2"/>
      <c r="O19" s="2"/>
      <c r="P19" s="2"/>
      <c r="Q19" s="2"/>
      <c r="R19" s="2"/>
      <c r="S19" s="2"/>
      <c r="T19" s="2"/>
      <c r="U19" s="2"/>
      <c r="V19" s="2"/>
      <c r="W19" s="2"/>
      <c r="X19" s="2"/>
      <c r="Y19" s="2"/>
    </row>
    <row r="20">
      <c r="A20" s="1" t="s">
        <v>32</v>
      </c>
      <c r="B20" s="1">
        <v>4.0</v>
      </c>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sheetData>
  <hyperlinks>
    <hyperlink r:id="rId1" location="gid=1926124634" ref="B18"/>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6.88"/>
    <col customWidth="1" min="8" max="8" width="14.13"/>
  </cols>
  <sheetData>
    <row r="1">
      <c r="A1" s="2" t="str">
        <f>IFERROR(__xludf.DUMMYFUNCTION("IMPORTRANGE(B18,B19&amp;address(row(B11),column(B11))&amp;"":""&amp;address(row(B11),column(B11)))"),"Player Name")</f>
        <v>Player Name</v>
      </c>
      <c r="B1" s="2" t="str">
        <f>IFERROR(__xludf.DUMMYFUNCTION("IMPORTRANGE(B18,B19&amp;ADDRESS(row(E11),column(E11))&amp;"":""&amp;address(row(E11),column(E11)))"),"Position")</f>
        <v>Position</v>
      </c>
      <c r="C1" s="1" t="s">
        <v>199</v>
      </c>
      <c r="D1" s="1" t="s">
        <v>200</v>
      </c>
      <c r="E1" s="1" t="s">
        <v>201</v>
      </c>
      <c r="F1" s="63" t="s">
        <v>158</v>
      </c>
      <c r="G1" s="63" t="s">
        <v>159</v>
      </c>
      <c r="H1" s="63" t="s">
        <v>202</v>
      </c>
      <c r="I1" s="63" t="s">
        <v>203</v>
      </c>
      <c r="J1" s="63" t="s">
        <v>185</v>
      </c>
      <c r="K1" s="63" t="s">
        <v>204</v>
      </c>
      <c r="L1" s="63" t="s">
        <v>205</v>
      </c>
      <c r="M1" s="63" t="s">
        <v>206</v>
      </c>
      <c r="N1" s="63" t="s">
        <v>207</v>
      </c>
      <c r="O1" s="63" t="s">
        <v>208</v>
      </c>
      <c r="P1" s="63" t="s">
        <v>209</v>
      </c>
      <c r="Q1" s="61" t="s">
        <v>210</v>
      </c>
      <c r="R1" s="61" t="s">
        <v>211</v>
      </c>
      <c r="S1" s="61" t="s">
        <v>212</v>
      </c>
      <c r="T1" s="61" t="s">
        <v>213</v>
      </c>
      <c r="U1" s="61" t="s">
        <v>214</v>
      </c>
      <c r="V1" s="61" t="s">
        <v>215</v>
      </c>
      <c r="W1" s="65" t="s">
        <v>2254</v>
      </c>
      <c r="X1" s="61" t="s">
        <v>2255</v>
      </c>
      <c r="Y1" s="61" t="s">
        <v>196</v>
      </c>
      <c r="Z1" s="61" t="s">
        <v>2256</v>
      </c>
      <c r="AA1" s="61" t="s">
        <v>2257</v>
      </c>
    </row>
    <row r="2">
      <c r="A2" s="2" t="str">
        <f>IFERROR(__xludf.DUMMYFUNCTION("IMPORTRANGE($B$18,$B$19&amp;address(row(B12),column(B12))&amp;"":""&amp;address(row(B12),column(B12)))"),"")</f>
        <v/>
      </c>
      <c r="B2" s="2" t="str">
        <f>IFERROR(__xludf.DUMMYFUNCTION("IMPORTRANGE($B$18,$B$19&amp;address(row(E12),column(E12))&amp;"":""&amp;address(row(E12),column(E12)))"),"")</f>
        <v/>
      </c>
      <c r="C2" s="1">
        <f t="shared" ref="C2:C17" si="1">$B$20</f>
        <v>5</v>
      </c>
      <c r="D2" s="89" t="str">
        <f>IFERROR(__xludf.DUMMYFUNCTION("IMPORTRANGE($B$18,$B$19&amp;address(row($I$3),column($I$3))&amp;"":""&amp;address(row($I$3),column($I$3)))"),"Wandsworth Borough 5s")</f>
        <v>Wandsworth Borough 5s</v>
      </c>
      <c r="E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2" s="2" t="str">
        <f>IFERROR(__xludf.DUMMYFUNCTION("IMPORTRANGE($B$18,$B$19&amp;address(row(I12),column(I12))&amp;"":""&amp;address(row(I12),column(I12)))"),"")</f>
        <v/>
      </c>
      <c r="G2" s="2" t="str">
        <f>IFERROR(__xludf.DUMMYFUNCTION("IMPORTRANGE($B$18,$B$19&amp;address(row(J12),column(J12))&amp;"":""&amp;address(row(J12),column(J12)))"),"")</f>
        <v/>
      </c>
      <c r="H2" s="1" t="str">
        <f>IFERROR(__xludf.DUMMYFUNCTION("IMPORTRANGE($B$18,$B$19&amp;address(row($I$7),column($I$7))&amp;"":""&amp;address(row($I$7),column($I$7)))"),"")</f>
        <v/>
      </c>
      <c r="I2" s="2" t="str">
        <f>IFERROR(__xludf.DUMMYFUNCTION("IMPORTRANGE($B$18,$B$19&amp;address(row(N12),column(N12))&amp;"":""&amp;address(row(N12),column(N12)))"),"")</f>
        <v/>
      </c>
      <c r="J2" s="2" t="str">
        <f>IFERROR(__xludf.DUMMYFUNCTION("IMPORTRANGE($B$18,$B$19&amp;address(row(O12),column(O12))&amp;"":""&amp;address(row(O12),column(O12)))"),"")</f>
        <v/>
      </c>
      <c r="K2" s="2" t="str">
        <f>IFERROR(__xludf.DUMMYFUNCTION("IMPORTRANGE($B$18,$B$19&amp;address(row(P12),column(P12))&amp;"":""&amp;address(row(P12),column(P12)))"),"")</f>
        <v/>
      </c>
      <c r="L2" s="2" t="b">
        <f t="shared" ref="L2:L17" si="2">H2=0</f>
        <v>1</v>
      </c>
      <c r="M2" s="2" t="str">
        <f>IFERROR(__xludf.DUMMYFUNCTION("IMPORTRANGE($B$18,$B$19&amp;address(row(L12),column(L12))&amp;"":""&amp;address(row(L12),column(L12)))"),"")</f>
        <v/>
      </c>
      <c r="N2" s="2" t="str">
        <f>IFERROR(__xludf.DUMMYFUNCTION("IMPORTRANGE($B$18,$B$19&amp;address(row(K12),column(K12))&amp;"":""&amp;address(row(K12),column(K12)))"),"")</f>
        <v/>
      </c>
      <c r="O2" s="2" t="str">
        <f>IFERROR(__xludf.DUMMYFUNCTION("IMPORTRANGE($B$18,$B$19&amp;address(row(M12),column(M12))&amp;"":""&amp;address(row(M12),column(M12)))"),"")</f>
        <v/>
      </c>
      <c r="P2" s="2">
        <f>IFERROR(__xludf.DUMMYFUNCTION("IF(IMPORTRANGE($B$18,$B$19&amp;address(row($Q$7),column($Q$7))&amp;"":""&amp;address(row($Q$7),column($Q$7)))=A2,1,0)"),1.0)</f>
        <v>1</v>
      </c>
      <c r="Q2" s="2" t="str">
        <f>IFERROR(__xludf.DUMMYFUNCTION("IMPORTRANGE($B$18,$B$19&amp;address(row(G12),column(G12))&amp;"":""&amp;address(row(G12),column(G12)))"),"")</f>
        <v/>
      </c>
      <c r="R2" s="2" t="str">
        <f>IFERROR(__xludf.DUMMYFUNCTION("IMPORTRANGE($B$18,$B$19&amp;address(row(H12),column(H12))&amp;"":""&amp;address(row(H12),column(H12)))"),"")</f>
        <v/>
      </c>
      <c r="S2" s="2" t="str">
        <f>IFERROR(__xludf.DUMMYFUNCTION("IMPORTRANGE($B$18,$B$19&amp;address(row(S12),column(S12))&amp;"":""&amp;address(row(S12),column(S12)))"),"")</f>
        <v/>
      </c>
      <c r="T2" s="2" t="str">
        <f>IFERROR(__xludf.DUMMYFUNCTION("IMPORTRANGE($B$18,$B$19&amp;address(row(T12),column(T12))&amp;"":""&amp;address(row(T12),column(T12)))"),"")</f>
        <v/>
      </c>
      <c r="U2" s="2" t="str">
        <f>IFERROR(__xludf.DUMMYFUNCTION("IMPORTRANGE($B$18,$B$19&amp;address(row($T$4),column($T$4))&amp;"":""&amp;address(row($T$4),column($T$4)))"),"")</f>
        <v/>
      </c>
      <c r="V2" s="2" t="str">
        <f>IFERROR(__xludf.DUMMYFUNCTION("IMPORTRANGE($B$18,$B$19&amp;address(row($T$7),column($T$7))&amp;"":""&amp;address(row($T$7),column($T$7)))"),"")</f>
        <v/>
      </c>
      <c r="W2" s="2" t="str">
        <f>IFERROR(__xludf.DUMMYFUNCTION("IMPORTRANGE($B$18,$B$19&amp;address(row($H$7),column($H$7))&amp;"":""&amp;address(row($H$7),column($H$7)))"),"")</f>
        <v/>
      </c>
      <c r="X2" s="2" t="str">
        <f>IFERROR(__xludf.DUMMYFUNCTION("IMPORTRANGE($B$18,$B$19&amp;address(row($I$7),column($I$7))&amp;"":""&amp;address(row($I$7),column($I$7)))"),"")</f>
        <v/>
      </c>
      <c r="Y2" s="2" t="str">
        <f>IFERROR(__xludf.DUMMYFUNCTION("IMPORTRANGE($B$18,$B$19&amp;address(row($C$5),column($C$5))&amp;"":""&amp;address(row($C$5),column($C$5)))"),"-")</f>
        <v>-</v>
      </c>
      <c r="Z2" s="86">
        <f>IFERROR(__xludf.DUMMYFUNCTION("IMPORTRANGE($B$18,$B$19&amp;address(row($I$4),column($I$4))&amp;"":""&amp;address(row($I$4),column($I$4)))"),45388.0)</f>
        <v>45388</v>
      </c>
      <c r="AA2" s="2" t="b">
        <f t="shared" ref="AA2:AA17" si="3">NOT(ISBLANK(A2))</f>
        <v>0</v>
      </c>
    </row>
    <row r="3">
      <c r="A3" s="2" t="str">
        <f>IFERROR(__xludf.DUMMYFUNCTION("IMPORTRANGE($B$18,$B$19&amp;address(row(B13),column(B13))&amp;"":""&amp;address(row(B13),column(B13)))"),"")</f>
        <v/>
      </c>
      <c r="B3" s="2" t="str">
        <f>IFERROR(__xludf.DUMMYFUNCTION("IMPORTRANGE($B$18,$B$19&amp;address(row(E13),column(E13))&amp;"":""&amp;address(row(E13),column(E13)))"),"")</f>
        <v/>
      </c>
      <c r="C3" s="1">
        <f t="shared" si="1"/>
        <v>5</v>
      </c>
      <c r="D3" s="89" t="str">
        <f>IFERROR(__xludf.DUMMYFUNCTION("IMPORTRANGE($B$18,$B$19&amp;address(row($I$3),column($I$3))&amp;"":""&amp;address(row($I$3),column($I$3)))"),"Wandsworth Borough 5s")</f>
        <v>Wandsworth Borough 5s</v>
      </c>
      <c r="E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3" s="2" t="str">
        <f>IFERROR(__xludf.DUMMYFUNCTION("IMPORTRANGE($B$18,$B$19&amp;address(row(I13),column(I13))&amp;"":""&amp;address(row(I13),column(I13)))"),"")</f>
        <v/>
      </c>
      <c r="G3" s="2" t="str">
        <f>IFERROR(__xludf.DUMMYFUNCTION("IMPORTRANGE($B$18,$B$19&amp;address(row(J13),column(J13))&amp;"":""&amp;address(row(J13),column(J13)))"),"")</f>
        <v/>
      </c>
      <c r="H3" s="1" t="str">
        <f>IFERROR(__xludf.DUMMYFUNCTION("IMPORTRANGE($B$18,$B$19&amp;address(row($I$7),column($I$7))&amp;"":""&amp;address(row($I$7),column($I$7)))"),"")</f>
        <v/>
      </c>
      <c r="I3" s="2" t="str">
        <f>IFERROR(__xludf.DUMMYFUNCTION("IMPORTRANGE($B$18,$B$19&amp;address(row(N13),column(N13))&amp;"":""&amp;address(row(N13),column(N13)))"),"")</f>
        <v/>
      </c>
      <c r="J3" s="2" t="str">
        <f>IFERROR(__xludf.DUMMYFUNCTION("IMPORTRANGE($B$18,$B$19&amp;address(row(O13),column(O13))&amp;"":""&amp;address(row(O13),column(O13)))"),"")</f>
        <v/>
      </c>
      <c r="K3" s="2" t="str">
        <f>IFERROR(__xludf.DUMMYFUNCTION("IMPORTRANGE($B$18,$B$19&amp;address(row(P13),column(P13))&amp;"":""&amp;address(row(P13),column(P13)))"),"")</f>
        <v/>
      </c>
      <c r="L3" s="2" t="b">
        <f t="shared" si="2"/>
        <v>1</v>
      </c>
      <c r="M3" s="2" t="str">
        <f>IFERROR(__xludf.DUMMYFUNCTION("IMPORTRANGE($B$18,$B$19&amp;address(row(L13),column(L13))&amp;"":""&amp;address(row(L13),column(L13)))"),"")</f>
        <v/>
      </c>
      <c r="N3" s="2" t="str">
        <f>IFERROR(__xludf.DUMMYFUNCTION("IMPORTRANGE($B$18,$B$19&amp;address(row(K13),column(K13))&amp;"":""&amp;address(row(K13),column(K13)))"),"")</f>
        <v/>
      </c>
      <c r="O3" s="2" t="str">
        <f>IFERROR(__xludf.DUMMYFUNCTION("IMPORTRANGE($B$18,$B$19&amp;address(row(M13),column(M13))&amp;"":""&amp;address(row(M13),column(M13)))"),"")</f>
        <v/>
      </c>
      <c r="P3" s="2">
        <f>IFERROR(__xludf.DUMMYFUNCTION("IF(IMPORTRANGE($B$18,$B$19&amp;address(row($Q$7),column($Q$7))&amp;"":""&amp;address(row($Q$7),column($Q$7)))=A3,1,0)"),1.0)</f>
        <v>1</v>
      </c>
      <c r="Q3" s="2" t="str">
        <f>IFERROR(__xludf.DUMMYFUNCTION("IMPORTRANGE($B$18,$B$19&amp;address(row(G13),column(G13))&amp;"":""&amp;address(row(G13),column(G13)))"),"")</f>
        <v/>
      </c>
      <c r="R3" s="2" t="str">
        <f>IFERROR(__xludf.DUMMYFUNCTION("IMPORTRANGE($B$18,$B$19&amp;address(row(H13),column(H13))&amp;"":""&amp;address(row(H13),column(H13)))"),"")</f>
        <v/>
      </c>
      <c r="S3" s="2" t="str">
        <f>IFERROR(__xludf.DUMMYFUNCTION("IMPORTRANGE($B$18,$B$19&amp;address(row(S13),column(S13))&amp;"":""&amp;address(row(S13),column(S13)))"),"")</f>
        <v/>
      </c>
      <c r="T3" s="2" t="str">
        <f>IFERROR(__xludf.DUMMYFUNCTION("IMPORTRANGE($B$18,$B$19&amp;address(row(T13),column(T13))&amp;"":""&amp;address(row(T13),column(T13)))"),"")</f>
        <v/>
      </c>
      <c r="U3" s="2" t="str">
        <f>IFERROR(__xludf.DUMMYFUNCTION("IMPORTRANGE($B$18,$B$19&amp;address(row($T$4),column($T$4))&amp;"":""&amp;address(row($T$4),column($T$4)))"),"")</f>
        <v/>
      </c>
      <c r="V3" s="2" t="str">
        <f>IFERROR(__xludf.DUMMYFUNCTION("IMPORTRANGE($B$18,$B$19&amp;address(row($T$7),column($T$7))&amp;"":""&amp;address(row($T$7),column($T$7)))"),"")</f>
        <v/>
      </c>
      <c r="W3" s="2" t="str">
        <f>IFERROR(__xludf.DUMMYFUNCTION("IMPORTRANGE($B$18,$B$19&amp;address(row($H$7),column($H$7))&amp;"":""&amp;address(row($H$7),column($H$7)))"),"")</f>
        <v/>
      </c>
      <c r="X3" s="2" t="str">
        <f>IFERROR(__xludf.DUMMYFUNCTION("IMPORTRANGE($B$18,$B$19&amp;address(row($I$7),column($I$7))&amp;"":""&amp;address(row($I$7),column($I$7)))"),"")</f>
        <v/>
      </c>
      <c r="Y3" s="2" t="str">
        <f>IFERROR(__xludf.DUMMYFUNCTION("IMPORTRANGE($B$18,$B$19&amp;address(row($C$5),column($C$5))&amp;"":""&amp;address(row($C$5),column($C$5)))"),"-")</f>
        <v>-</v>
      </c>
      <c r="Z3" s="86">
        <f>IFERROR(__xludf.DUMMYFUNCTION("IMPORTRANGE($B$18,$B$19&amp;address(row($I$4),column($I$4))&amp;"":""&amp;address(row($I$4),column($I$4)))"),45388.0)</f>
        <v>45388</v>
      </c>
      <c r="AA3" s="2" t="b">
        <f t="shared" si="3"/>
        <v>0</v>
      </c>
    </row>
    <row r="4">
      <c r="A4" s="2" t="str">
        <f>IFERROR(__xludf.DUMMYFUNCTION("IMPORTRANGE($B$18,$B$19&amp;address(row(B14),column(B14))&amp;"":""&amp;address(row(B14),column(B14)))"),"")</f>
        <v/>
      </c>
      <c r="B4" s="2" t="str">
        <f>IFERROR(__xludf.DUMMYFUNCTION("IMPORTRANGE($B$18,$B$19&amp;address(row(E14),column(E14))&amp;"":""&amp;address(row(E14),column(E14)))"),"")</f>
        <v/>
      </c>
      <c r="C4" s="1">
        <f t="shared" si="1"/>
        <v>5</v>
      </c>
      <c r="D4" s="89" t="str">
        <f>IFERROR(__xludf.DUMMYFUNCTION("IMPORTRANGE($B$18,$B$19&amp;address(row($I$3),column($I$3))&amp;"":""&amp;address(row($I$3),column($I$3)))"),"Wandsworth Borough 5s")</f>
        <v>Wandsworth Borough 5s</v>
      </c>
      <c r="E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4" s="2" t="str">
        <f>IFERROR(__xludf.DUMMYFUNCTION("IMPORTRANGE($B$18,$B$19&amp;address(row(I14),column(I14))&amp;"":""&amp;address(row(I14),column(I14)))"),"")</f>
        <v/>
      </c>
      <c r="G4" s="2" t="str">
        <f>IFERROR(__xludf.DUMMYFUNCTION("IMPORTRANGE($B$18,$B$19&amp;address(row(J14),column(J14))&amp;"":""&amp;address(row(J14),column(J14)))"),"")</f>
        <v/>
      </c>
      <c r="H4" s="1" t="str">
        <f>IFERROR(__xludf.DUMMYFUNCTION("IMPORTRANGE($B$18,$B$19&amp;address(row($I$7),column($I$7))&amp;"":""&amp;address(row($I$7),column($I$7)))"),"")</f>
        <v/>
      </c>
      <c r="I4" s="2" t="str">
        <f>IFERROR(__xludf.DUMMYFUNCTION("IMPORTRANGE($B$18,$B$19&amp;address(row(N14),column(N14))&amp;"":""&amp;address(row(N14),column(N14)))"),"")</f>
        <v/>
      </c>
      <c r="J4" s="2" t="str">
        <f>IFERROR(__xludf.DUMMYFUNCTION("IMPORTRANGE($B$18,$B$19&amp;address(row(O14),column(O14))&amp;"":""&amp;address(row(O14),column(O14)))"),"")</f>
        <v/>
      </c>
      <c r="K4" s="2" t="str">
        <f>IFERROR(__xludf.DUMMYFUNCTION("IMPORTRANGE($B$18,$B$19&amp;address(row(P14),column(P14))&amp;"":""&amp;address(row(P14),column(P14)))"),"")</f>
        <v/>
      </c>
      <c r="L4" s="2" t="b">
        <f t="shared" si="2"/>
        <v>1</v>
      </c>
      <c r="M4" s="2" t="str">
        <f>IFERROR(__xludf.DUMMYFUNCTION("IMPORTRANGE($B$18,$B$19&amp;address(row(L14),column(L14))&amp;"":""&amp;address(row(L14),column(L14)))"),"")</f>
        <v/>
      </c>
      <c r="N4" s="2" t="str">
        <f>IFERROR(__xludf.DUMMYFUNCTION("IMPORTRANGE($B$18,$B$19&amp;address(row(K14),column(K14))&amp;"":""&amp;address(row(K14),column(K14)))"),"")</f>
        <v/>
      </c>
      <c r="O4" s="2" t="str">
        <f>IFERROR(__xludf.DUMMYFUNCTION("IMPORTRANGE($B$18,$B$19&amp;address(row(M14),column(M14))&amp;"":""&amp;address(row(M14),column(M14)))"),"")</f>
        <v/>
      </c>
      <c r="P4" s="2">
        <f>IFERROR(__xludf.DUMMYFUNCTION("IF(IMPORTRANGE($B$18,$B$19&amp;address(row($Q$7),column($Q$7))&amp;"":""&amp;address(row($Q$7),column($Q$7)))=A4,1,0)"),1.0)</f>
        <v>1</v>
      </c>
      <c r="Q4" s="2" t="str">
        <f>IFERROR(__xludf.DUMMYFUNCTION("IMPORTRANGE($B$18,$B$19&amp;address(row(G14),column(G14))&amp;"":""&amp;address(row(G14),column(G14)))"),"")</f>
        <v/>
      </c>
      <c r="R4" s="2" t="str">
        <f>IFERROR(__xludf.DUMMYFUNCTION("IMPORTRANGE($B$18,$B$19&amp;address(row(H14),column(H14))&amp;"":""&amp;address(row(H14),column(H14)))"),"")</f>
        <v/>
      </c>
      <c r="S4" s="2" t="str">
        <f>IFERROR(__xludf.DUMMYFUNCTION("IMPORTRANGE($B$18,$B$19&amp;address(row(S14),column(S14))&amp;"":""&amp;address(row(S14),column(S14)))"),"")</f>
        <v/>
      </c>
      <c r="T4" s="2" t="str">
        <f>IFERROR(__xludf.DUMMYFUNCTION("IMPORTRANGE($B$18,$B$19&amp;address(row(T14),column(T14))&amp;"":""&amp;address(row(T14),column(T14)))"),"")</f>
        <v/>
      </c>
      <c r="U4" s="2" t="str">
        <f>IFERROR(__xludf.DUMMYFUNCTION("IMPORTRANGE($B$18,$B$19&amp;address(row($T$4),column($T$4))&amp;"":""&amp;address(row($T$4),column($T$4)))"),"")</f>
        <v/>
      </c>
      <c r="V4" s="2" t="str">
        <f>IFERROR(__xludf.DUMMYFUNCTION("IMPORTRANGE($B$18,$B$19&amp;address(row($T$7),column($T$7))&amp;"":""&amp;address(row($T$7),column($T$7)))"),"")</f>
        <v/>
      </c>
      <c r="W4" s="2" t="str">
        <f>IFERROR(__xludf.DUMMYFUNCTION("IMPORTRANGE($B$18,$B$19&amp;address(row($H$7),column($H$7))&amp;"":""&amp;address(row($H$7),column($H$7)))"),"")</f>
        <v/>
      </c>
      <c r="X4" s="2" t="str">
        <f>IFERROR(__xludf.DUMMYFUNCTION("IMPORTRANGE($B$18,$B$19&amp;address(row($I$7),column($I$7))&amp;"":""&amp;address(row($I$7),column($I$7)))"),"")</f>
        <v/>
      </c>
      <c r="Y4" s="2" t="str">
        <f>IFERROR(__xludf.DUMMYFUNCTION("IMPORTRANGE($B$18,$B$19&amp;address(row($C$5),column($C$5))&amp;"":""&amp;address(row($C$5),column($C$5)))"),"-")</f>
        <v>-</v>
      </c>
      <c r="Z4" s="86">
        <f>IFERROR(__xludf.DUMMYFUNCTION("IMPORTRANGE($B$18,$B$19&amp;address(row($I$4),column($I$4))&amp;"":""&amp;address(row($I$4),column($I$4)))"),45388.0)</f>
        <v>45388</v>
      </c>
      <c r="AA4" s="2" t="b">
        <f t="shared" si="3"/>
        <v>0</v>
      </c>
    </row>
    <row r="5">
      <c r="A5" s="2" t="str">
        <f>IFERROR(__xludf.DUMMYFUNCTION("IMPORTRANGE($B$18,$B$19&amp;address(row(B15),column(B15))&amp;"":""&amp;address(row(B15),column(B15)))"),"")</f>
        <v/>
      </c>
      <c r="B5" s="2" t="str">
        <f>IFERROR(__xludf.DUMMYFUNCTION("IMPORTRANGE($B$18,$B$19&amp;address(row(E15),column(E15))&amp;"":""&amp;address(row(E15),column(E15)))"),"")</f>
        <v/>
      </c>
      <c r="C5" s="1">
        <f t="shared" si="1"/>
        <v>5</v>
      </c>
      <c r="D5" s="89" t="str">
        <f>IFERROR(__xludf.DUMMYFUNCTION("IMPORTRANGE($B$18,$B$19&amp;address(row($I$3),column($I$3))&amp;"":""&amp;address(row($I$3),column($I$3)))"),"Wandsworth Borough 5s")</f>
        <v>Wandsworth Borough 5s</v>
      </c>
      <c r="E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5" s="2" t="str">
        <f>IFERROR(__xludf.DUMMYFUNCTION("IMPORTRANGE($B$18,$B$19&amp;address(row(I15),column(I15))&amp;"":""&amp;address(row(I15),column(I15)))"),"")</f>
        <v/>
      </c>
      <c r="G5" s="2" t="str">
        <f>IFERROR(__xludf.DUMMYFUNCTION("IMPORTRANGE($B$18,$B$19&amp;address(row(J15),column(J15))&amp;"":""&amp;address(row(J15),column(J15)))"),"")</f>
        <v/>
      </c>
      <c r="H5" s="1" t="str">
        <f>IFERROR(__xludf.DUMMYFUNCTION("IMPORTRANGE($B$18,$B$19&amp;address(row($I$7),column($I$7))&amp;"":""&amp;address(row($I$7),column($I$7)))"),"")</f>
        <v/>
      </c>
      <c r="I5" s="2" t="str">
        <f>IFERROR(__xludf.DUMMYFUNCTION("IMPORTRANGE($B$18,$B$19&amp;address(row(N15),column(N15))&amp;"":""&amp;address(row(N15),column(N15)))"),"")</f>
        <v/>
      </c>
      <c r="J5" s="2" t="str">
        <f>IFERROR(__xludf.DUMMYFUNCTION("IMPORTRANGE($B$18,$B$19&amp;address(row(O15),column(O15))&amp;"":""&amp;address(row(O15),column(O15)))"),"")</f>
        <v/>
      </c>
      <c r="K5" s="2" t="str">
        <f>IFERROR(__xludf.DUMMYFUNCTION("IMPORTRANGE($B$18,$B$19&amp;address(row(P15),column(P15))&amp;"":""&amp;address(row(P15),column(P15)))"),"")</f>
        <v/>
      </c>
      <c r="L5" s="2" t="b">
        <f t="shared" si="2"/>
        <v>1</v>
      </c>
      <c r="M5" s="2" t="str">
        <f>IFERROR(__xludf.DUMMYFUNCTION("IMPORTRANGE($B$18,$B$19&amp;address(row(L15),column(L15))&amp;"":""&amp;address(row(L15),column(L15)))"),"")</f>
        <v/>
      </c>
      <c r="N5" s="2" t="str">
        <f>IFERROR(__xludf.DUMMYFUNCTION("IMPORTRANGE($B$18,$B$19&amp;address(row(K15),column(K15))&amp;"":""&amp;address(row(K15),column(K15)))"),"")</f>
        <v/>
      </c>
      <c r="O5" s="2" t="str">
        <f>IFERROR(__xludf.DUMMYFUNCTION("IMPORTRANGE($B$18,$B$19&amp;address(row(M15),column(M15))&amp;"":""&amp;address(row(M15),column(M15)))"),"")</f>
        <v/>
      </c>
      <c r="P5" s="2">
        <f>IFERROR(__xludf.DUMMYFUNCTION("IF(IMPORTRANGE($B$18,$B$19&amp;address(row($Q$7),column($Q$7))&amp;"":""&amp;address(row($Q$7),column($Q$7)))=A5,1,0)"),1.0)</f>
        <v>1</v>
      </c>
      <c r="Q5" s="2" t="str">
        <f>IFERROR(__xludf.DUMMYFUNCTION("IMPORTRANGE($B$18,$B$19&amp;address(row(G15),column(G15))&amp;"":""&amp;address(row(G15),column(G15)))"),"")</f>
        <v/>
      </c>
      <c r="R5" s="2" t="str">
        <f>IFERROR(__xludf.DUMMYFUNCTION("IMPORTRANGE($B$18,$B$19&amp;address(row(H15),column(H15))&amp;"":""&amp;address(row(H15),column(H15)))"),"")</f>
        <v/>
      </c>
      <c r="S5" s="2" t="str">
        <f>IFERROR(__xludf.DUMMYFUNCTION("IMPORTRANGE($B$18,$B$19&amp;address(row(S15),column(S15))&amp;"":""&amp;address(row(S15),column(S15)))"),"")</f>
        <v/>
      </c>
      <c r="T5" s="2" t="str">
        <f>IFERROR(__xludf.DUMMYFUNCTION("IMPORTRANGE($B$18,$B$19&amp;address(row(T15),column(T15))&amp;"":""&amp;address(row(T15),column(T15)))"),"")</f>
        <v/>
      </c>
      <c r="U5" s="2" t="str">
        <f>IFERROR(__xludf.DUMMYFUNCTION("IMPORTRANGE($B$18,$B$19&amp;address(row($T$4),column($T$4))&amp;"":""&amp;address(row($T$4),column($T$4)))"),"")</f>
        <v/>
      </c>
      <c r="V5" s="2" t="str">
        <f>IFERROR(__xludf.DUMMYFUNCTION("IMPORTRANGE($B$18,$B$19&amp;address(row($T$7),column($T$7))&amp;"":""&amp;address(row($T$7),column($T$7)))"),"")</f>
        <v/>
      </c>
      <c r="W5" s="2" t="str">
        <f>IFERROR(__xludf.DUMMYFUNCTION("IMPORTRANGE($B$18,$B$19&amp;address(row($H$7),column($H$7))&amp;"":""&amp;address(row($H$7),column($H$7)))"),"")</f>
        <v/>
      </c>
      <c r="X5" s="2" t="str">
        <f>IFERROR(__xludf.DUMMYFUNCTION("IMPORTRANGE($B$18,$B$19&amp;address(row($I$7),column($I$7))&amp;"":""&amp;address(row($I$7),column($I$7)))"),"")</f>
        <v/>
      </c>
      <c r="Y5" s="2" t="str">
        <f>IFERROR(__xludf.DUMMYFUNCTION("IMPORTRANGE($B$18,$B$19&amp;address(row($C$5),column($C$5))&amp;"":""&amp;address(row($C$5),column($C$5)))"),"-")</f>
        <v>-</v>
      </c>
      <c r="Z5" s="86">
        <f>IFERROR(__xludf.DUMMYFUNCTION("IMPORTRANGE($B$18,$B$19&amp;address(row($I$4),column($I$4))&amp;"":""&amp;address(row($I$4),column($I$4)))"),45388.0)</f>
        <v>45388</v>
      </c>
      <c r="AA5" s="2" t="b">
        <f t="shared" si="3"/>
        <v>0</v>
      </c>
    </row>
    <row r="6">
      <c r="A6" s="2" t="str">
        <f>IFERROR(__xludf.DUMMYFUNCTION("IMPORTRANGE($B$18,$B$19&amp;address(row(B16),column(B16))&amp;"":""&amp;address(row(B16),column(B16)))"),"")</f>
        <v/>
      </c>
      <c r="B6" s="2" t="str">
        <f>IFERROR(__xludf.DUMMYFUNCTION("IMPORTRANGE($B$18,$B$19&amp;address(row(E16),column(E16))&amp;"":""&amp;address(row(E16),column(E16)))"),"")</f>
        <v/>
      </c>
      <c r="C6" s="1">
        <f t="shared" si="1"/>
        <v>5</v>
      </c>
      <c r="D6" s="89" t="str">
        <f>IFERROR(__xludf.DUMMYFUNCTION("IMPORTRANGE($B$18,$B$19&amp;address(row($I$3),column($I$3))&amp;"":""&amp;address(row($I$3),column($I$3)))"),"Wandsworth Borough 5s")</f>
        <v>Wandsworth Borough 5s</v>
      </c>
      <c r="E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6" s="2" t="str">
        <f>IFERROR(__xludf.DUMMYFUNCTION("IMPORTRANGE($B$18,$B$19&amp;address(row(I16),column(I16))&amp;"":""&amp;address(row(I16),column(I16)))"),"")</f>
        <v/>
      </c>
      <c r="G6" s="2" t="str">
        <f>IFERROR(__xludf.DUMMYFUNCTION("IMPORTRANGE($B$18,$B$19&amp;address(row(J16),column(J16))&amp;"":""&amp;address(row(J16),column(J16)))"),"")</f>
        <v/>
      </c>
      <c r="H6" s="1" t="str">
        <f>IFERROR(__xludf.DUMMYFUNCTION("IMPORTRANGE($B$18,$B$19&amp;address(row($I$7),column($I$7))&amp;"":""&amp;address(row($I$7),column($I$7)))"),"")</f>
        <v/>
      </c>
      <c r="I6" s="2" t="str">
        <f>IFERROR(__xludf.DUMMYFUNCTION("IMPORTRANGE($B$18,$B$19&amp;address(row(N16),column(N16))&amp;"":""&amp;address(row(N16),column(N16)))"),"")</f>
        <v/>
      </c>
      <c r="J6" s="2" t="str">
        <f>IFERROR(__xludf.DUMMYFUNCTION("IMPORTRANGE($B$18,$B$19&amp;address(row(O16),column(O16))&amp;"":""&amp;address(row(O16),column(O16)))"),"")</f>
        <v/>
      </c>
      <c r="K6" s="2" t="str">
        <f>IFERROR(__xludf.DUMMYFUNCTION("IMPORTRANGE($B$18,$B$19&amp;address(row(P16),column(P16))&amp;"":""&amp;address(row(P16),column(P16)))"),"")</f>
        <v/>
      </c>
      <c r="L6" s="2" t="b">
        <f t="shared" si="2"/>
        <v>1</v>
      </c>
      <c r="M6" s="2" t="str">
        <f>IFERROR(__xludf.DUMMYFUNCTION("IMPORTRANGE($B$18,$B$19&amp;address(row(L16),column(L16))&amp;"":""&amp;address(row(L16),column(L16)))"),"")</f>
        <v/>
      </c>
      <c r="N6" s="2" t="str">
        <f>IFERROR(__xludf.DUMMYFUNCTION("IMPORTRANGE($B$18,$B$19&amp;address(row(K16),column(K16))&amp;"":""&amp;address(row(K16),column(K16)))"),"")</f>
        <v/>
      </c>
      <c r="O6" s="2" t="str">
        <f>IFERROR(__xludf.DUMMYFUNCTION("IMPORTRANGE($B$18,$B$19&amp;address(row(M16),column(M16))&amp;"":""&amp;address(row(M16),column(M16)))"),"")</f>
        <v/>
      </c>
      <c r="P6" s="2">
        <f>IFERROR(__xludf.DUMMYFUNCTION("IF(IMPORTRANGE($B$18,$B$19&amp;address(row($Q$7),column($Q$7))&amp;"":""&amp;address(row($Q$7),column($Q$7)))=A6,1,0)"),1.0)</f>
        <v>1</v>
      </c>
      <c r="Q6" s="2" t="str">
        <f>IFERROR(__xludf.DUMMYFUNCTION("IMPORTRANGE($B$18,$B$19&amp;address(row(G16),column(G16))&amp;"":""&amp;address(row(G16),column(G16)))"),"")</f>
        <v/>
      </c>
      <c r="R6" s="2" t="str">
        <f>IFERROR(__xludf.DUMMYFUNCTION("IMPORTRANGE($B$18,$B$19&amp;address(row(H16),column(H16))&amp;"":""&amp;address(row(H16),column(H16)))"),"")</f>
        <v/>
      </c>
      <c r="S6" s="2" t="str">
        <f>IFERROR(__xludf.DUMMYFUNCTION("IMPORTRANGE($B$18,$B$19&amp;address(row(S16),column(S16))&amp;"":""&amp;address(row(S16),column(S16)))"),"")</f>
        <v/>
      </c>
      <c r="T6" s="2" t="str">
        <f>IFERROR(__xludf.DUMMYFUNCTION("IMPORTRANGE($B$18,$B$19&amp;address(row(T16),column(T16))&amp;"":""&amp;address(row(T16),column(T16)))"),"")</f>
        <v/>
      </c>
      <c r="U6" s="2" t="str">
        <f>IFERROR(__xludf.DUMMYFUNCTION("IMPORTRANGE($B$18,$B$19&amp;address(row($T$4),column($T$4))&amp;"":""&amp;address(row($T$4),column($T$4)))"),"")</f>
        <v/>
      </c>
      <c r="V6" s="2" t="str">
        <f>IFERROR(__xludf.DUMMYFUNCTION("IMPORTRANGE($B$18,$B$19&amp;address(row($T$7),column($T$7))&amp;"":""&amp;address(row($T$7),column($T$7)))"),"")</f>
        <v/>
      </c>
      <c r="W6" s="2" t="str">
        <f>IFERROR(__xludf.DUMMYFUNCTION("IMPORTRANGE($B$18,$B$19&amp;address(row($H$7),column($H$7))&amp;"":""&amp;address(row($H$7),column($H$7)))"),"")</f>
        <v/>
      </c>
      <c r="X6" s="2" t="str">
        <f>IFERROR(__xludf.DUMMYFUNCTION("IMPORTRANGE($B$18,$B$19&amp;address(row($I$7),column($I$7))&amp;"":""&amp;address(row($I$7),column($I$7)))"),"")</f>
        <v/>
      </c>
      <c r="Y6" s="2" t="str">
        <f>IFERROR(__xludf.DUMMYFUNCTION("IMPORTRANGE($B$18,$B$19&amp;address(row($C$5),column($C$5))&amp;"":""&amp;address(row($C$5),column($C$5)))"),"-")</f>
        <v>-</v>
      </c>
      <c r="Z6" s="86">
        <f>IFERROR(__xludf.DUMMYFUNCTION("IMPORTRANGE($B$18,$B$19&amp;address(row($I$4),column($I$4))&amp;"":""&amp;address(row($I$4),column($I$4)))"),45388.0)</f>
        <v>45388</v>
      </c>
      <c r="AA6" s="2" t="b">
        <f t="shared" si="3"/>
        <v>0</v>
      </c>
    </row>
    <row r="7">
      <c r="A7" s="2" t="str">
        <f>IFERROR(__xludf.DUMMYFUNCTION("IMPORTRANGE($B$18,$B$19&amp;address(row(B17),column(B17))&amp;"":""&amp;address(row(B17),column(B17)))"),"")</f>
        <v/>
      </c>
      <c r="B7" s="2" t="str">
        <f>IFERROR(__xludf.DUMMYFUNCTION("IMPORTRANGE($B$18,$B$19&amp;address(row(E17),column(E17))&amp;"":""&amp;address(row(E17),column(E17)))"),"")</f>
        <v/>
      </c>
      <c r="C7" s="1">
        <f t="shared" si="1"/>
        <v>5</v>
      </c>
      <c r="D7" s="89" t="str">
        <f>IFERROR(__xludf.DUMMYFUNCTION("IMPORTRANGE($B$18,$B$19&amp;address(row($I$3),column($I$3))&amp;"":""&amp;address(row($I$3),column($I$3)))"),"Wandsworth Borough 5s")</f>
        <v>Wandsworth Borough 5s</v>
      </c>
      <c r="E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7" s="2" t="str">
        <f>IFERROR(__xludf.DUMMYFUNCTION("IMPORTRANGE($B$18,$B$19&amp;address(row(I17),column(I17))&amp;"":""&amp;address(row(I17),column(I17)))"),"")</f>
        <v/>
      </c>
      <c r="G7" s="2" t="str">
        <f>IFERROR(__xludf.DUMMYFUNCTION("IMPORTRANGE($B$18,$B$19&amp;address(row(J17),column(J17))&amp;"":""&amp;address(row(J17),column(J17)))"),"")</f>
        <v/>
      </c>
      <c r="H7" s="1" t="str">
        <f>IFERROR(__xludf.DUMMYFUNCTION("IMPORTRANGE($B$18,$B$19&amp;address(row($I$7),column($I$7))&amp;"":""&amp;address(row($I$7),column($I$7)))"),"")</f>
        <v/>
      </c>
      <c r="I7" s="2" t="str">
        <f>IFERROR(__xludf.DUMMYFUNCTION("IMPORTRANGE($B$18,$B$19&amp;address(row(N17),column(N17))&amp;"":""&amp;address(row(N17),column(N17)))"),"")</f>
        <v/>
      </c>
      <c r="J7" s="2" t="str">
        <f>IFERROR(__xludf.DUMMYFUNCTION("IMPORTRANGE($B$18,$B$19&amp;address(row(O17),column(O17))&amp;"":""&amp;address(row(O17),column(O17)))"),"")</f>
        <v/>
      </c>
      <c r="K7" s="2" t="str">
        <f>IFERROR(__xludf.DUMMYFUNCTION("IMPORTRANGE($B$18,$B$19&amp;address(row(P17),column(P17))&amp;"":""&amp;address(row(P17),column(P17)))"),"")</f>
        <v/>
      </c>
      <c r="L7" s="2" t="b">
        <f t="shared" si="2"/>
        <v>1</v>
      </c>
      <c r="M7" s="2" t="str">
        <f>IFERROR(__xludf.DUMMYFUNCTION("IMPORTRANGE($B$18,$B$19&amp;address(row(L17),column(L17))&amp;"":""&amp;address(row(L17),column(L17)))"),"")</f>
        <v/>
      </c>
      <c r="N7" s="2" t="str">
        <f>IFERROR(__xludf.DUMMYFUNCTION("IMPORTRANGE($B$18,$B$19&amp;address(row(K17),column(K17))&amp;"":""&amp;address(row(K17),column(K17)))"),"")</f>
        <v/>
      </c>
      <c r="O7" s="2" t="str">
        <f>IFERROR(__xludf.DUMMYFUNCTION("IMPORTRANGE($B$18,$B$19&amp;address(row(M17),column(M17))&amp;"":""&amp;address(row(M17),column(M17)))"),"")</f>
        <v/>
      </c>
      <c r="P7" s="2">
        <f>IFERROR(__xludf.DUMMYFUNCTION("IF(IMPORTRANGE($B$18,$B$19&amp;address(row($Q$7),column($Q$7))&amp;"":""&amp;address(row($Q$7),column($Q$7)))=A7,1,0)"),1.0)</f>
        <v>1</v>
      </c>
      <c r="Q7" s="2" t="str">
        <f>IFERROR(__xludf.DUMMYFUNCTION("IMPORTRANGE($B$18,$B$19&amp;address(row(G17),column(G17))&amp;"":""&amp;address(row(G17),column(G17)))"),"")</f>
        <v/>
      </c>
      <c r="R7" s="2" t="str">
        <f>IFERROR(__xludf.DUMMYFUNCTION("IMPORTRANGE($B$18,$B$19&amp;address(row(H17),column(H17))&amp;"":""&amp;address(row(H17),column(H17)))"),"")</f>
        <v/>
      </c>
      <c r="S7" s="2" t="str">
        <f>IFERROR(__xludf.DUMMYFUNCTION("IMPORTRANGE($B$18,$B$19&amp;address(row(S17),column(S17))&amp;"":""&amp;address(row(S17),column(S17)))"),"")</f>
        <v/>
      </c>
      <c r="T7" s="2" t="str">
        <f>IFERROR(__xludf.DUMMYFUNCTION("IMPORTRANGE($B$18,$B$19&amp;address(row(T17),column(T17))&amp;"":""&amp;address(row(T17),column(T17)))"),"")</f>
        <v/>
      </c>
      <c r="U7" s="2" t="str">
        <f>IFERROR(__xludf.DUMMYFUNCTION("IMPORTRANGE($B$18,$B$19&amp;address(row($T$4),column($T$4))&amp;"":""&amp;address(row($T$4),column($T$4)))"),"")</f>
        <v/>
      </c>
      <c r="V7" s="2" t="str">
        <f>IFERROR(__xludf.DUMMYFUNCTION("IMPORTRANGE($B$18,$B$19&amp;address(row($T$7),column($T$7))&amp;"":""&amp;address(row($T$7),column($T$7)))"),"")</f>
        <v/>
      </c>
      <c r="W7" s="2" t="str">
        <f>IFERROR(__xludf.DUMMYFUNCTION("IMPORTRANGE($B$18,$B$19&amp;address(row($H$7),column($H$7))&amp;"":""&amp;address(row($H$7),column($H$7)))"),"")</f>
        <v/>
      </c>
      <c r="X7" s="2" t="str">
        <f>IFERROR(__xludf.DUMMYFUNCTION("IMPORTRANGE($B$18,$B$19&amp;address(row($I$7),column($I$7))&amp;"":""&amp;address(row($I$7),column($I$7)))"),"")</f>
        <v/>
      </c>
      <c r="Y7" s="2" t="str">
        <f>IFERROR(__xludf.DUMMYFUNCTION("IMPORTRANGE($B$18,$B$19&amp;address(row($C$5),column($C$5))&amp;"":""&amp;address(row($C$5),column($C$5)))"),"-")</f>
        <v>-</v>
      </c>
      <c r="Z7" s="86">
        <f>IFERROR(__xludf.DUMMYFUNCTION("IMPORTRANGE($B$18,$B$19&amp;address(row($I$4),column($I$4))&amp;"":""&amp;address(row($I$4),column($I$4)))"),45388.0)</f>
        <v>45388</v>
      </c>
      <c r="AA7" s="2" t="b">
        <f t="shared" si="3"/>
        <v>0</v>
      </c>
    </row>
    <row r="8">
      <c r="A8" s="2" t="str">
        <f>IFERROR(__xludf.DUMMYFUNCTION("IMPORTRANGE($B$18,$B$19&amp;address(row(B18),column(B18))&amp;"":""&amp;address(row(B18),column(B18)))"),"")</f>
        <v/>
      </c>
      <c r="B8" s="2" t="str">
        <f>IFERROR(__xludf.DUMMYFUNCTION("IMPORTRANGE($B$18,$B$19&amp;address(row(E18),column(E18))&amp;"":""&amp;address(row(E18),column(E18)))"),"")</f>
        <v/>
      </c>
      <c r="C8" s="1">
        <f t="shared" si="1"/>
        <v>5</v>
      </c>
      <c r="D8" s="89" t="str">
        <f>IFERROR(__xludf.DUMMYFUNCTION("IMPORTRANGE($B$18,$B$19&amp;address(row($I$3),column($I$3))&amp;"":""&amp;address(row($I$3),column($I$3)))"),"Wandsworth Borough 5s")</f>
        <v>Wandsworth Borough 5s</v>
      </c>
      <c r="E8"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8" s="2" t="str">
        <f>IFERROR(__xludf.DUMMYFUNCTION("IMPORTRANGE($B$18,$B$19&amp;address(row(I18),column(I18))&amp;"":""&amp;address(row(I18),column(I18)))"),"")</f>
        <v/>
      </c>
      <c r="G8" s="2" t="str">
        <f>IFERROR(__xludf.DUMMYFUNCTION("IMPORTRANGE($B$18,$B$19&amp;address(row(J18),column(J18))&amp;"":""&amp;address(row(J18),column(J18)))"),"")</f>
        <v/>
      </c>
      <c r="H8" s="1" t="str">
        <f>IFERROR(__xludf.DUMMYFUNCTION("IMPORTRANGE($B$18,$B$19&amp;address(row($I$7),column($I$7))&amp;"":""&amp;address(row($I$7),column($I$7)))"),"")</f>
        <v/>
      </c>
      <c r="I8" s="2" t="str">
        <f>IFERROR(__xludf.DUMMYFUNCTION("IMPORTRANGE($B$18,$B$19&amp;address(row(N18),column(N18))&amp;"":""&amp;address(row(N18),column(N18)))"),"")</f>
        <v/>
      </c>
      <c r="J8" s="2" t="str">
        <f>IFERROR(__xludf.DUMMYFUNCTION("IMPORTRANGE($B$18,$B$19&amp;address(row(O18),column(O18))&amp;"":""&amp;address(row(O18),column(O18)))"),"")</f>
        <v/>
      </c>
      <c r="K8" s="2" t="str">
        <f>IFERROR(__xludf.DUMMYFUNCTION("IMPORTRANGE($B$18,$B$19&amp;address(row(P18),column(P18))&amp;"":""&amp;address(row(P18),column(P18)))"),"")</f>
        <v/>
      </c>
      <c r="L8" s="2" t="b">
        <f t="shared" si="2"/>
        <v>1</v>
      </c>
      <c r="M8" s="2" t="str">
        <f>IFERROR(__xludf.DUMMYFUNCTION("IMPORTRANGE($B$18,$B$19&amp;address(row(L18),column(L18))&amp;"":""&amp;address(row(L18),column(L18)))"),"")</f>
        <v/>
      </c>
      <c r="N8" s="2" t="str">
        <f>IFERROR(__xludf.DUMMYFUNCTION("IMPORTRANGE($B$18,$B$19&amp;address(row(K18),column(K18))&amp;"":""&amp;address(row(K18),column(K18)))"),"")</f>
        <v/>
      </c>
      <c r="O8" s="2" t="str">
        <f>IFERROR(__xludf.DUMMYFUNCTION("IMPORTRANGE($B$18,$B$19&amp;address(row(M18),column(M18))&amp;"":""&amp;address(row(M18),column(M18)))"),"")</f>
        <v/>
      </c>
      <c r="P8" s="2">
        <f>IFERROR(__xludf.DUMMYFUNCTION("IF(IMPORTRANGE($B$18,$B$19&amp;address(row($Q$7),column($Q$7))&amp;"":""&amp;address(row($Q$7),column($Q$7)))=A8,1,0)"),1.0)</f>
        <v>1</v>
      </c>
      <c r="Q8" s="2" t="str">
        <f>IFERROR(__xludf.DUMMYFUNCTION("IMPORTRANGE($B$18,$B$19&amp;address(row(G18),column(G18))&amp;"":""&amp;address(row(G18),column(G18)))"),"")</f>
        <v/>
      </c>
      <c r="R8" s="2" t="str">
        <f>IFERROR(__xludf.DUMMYFUNCTION("IMPORTRANGE($B$18,$B$19&amp;address(row(H18),column(H18))&amp;"":""&amp;address(row(H18),column(H18)))"),"")</f>
        <v/>
      </c>
      <c r="S8" s="2" t="str">
        <f>IFERROR(__xludf.DUMMYFUNCTION("IMPORTRANGE($B$18,$B$19&amp;address(row(S18),column(S18))&amp;"":""&amp;address(row(S18),column(S18)))"),"")</f>
        <v/>
      </c>
      <c r="T8" s="2" t="str">
        <f>IFERROR(__xludf.DUMMYFUNCTION("IMPORTRANGE($B$18,$B$19&amp;address(row(T18),column(T18))&amp;"":""&amp;address(row(T18),column(T18)))"),"")</f>
        <v/>
      </c>
      <c r="U8" s="2" t="str">
        <f>IFERROR(__xludf.DUMMYFUNCTION("IMPORTRANGE($B$18,$B$19&amp;address(row($T$4),column($T$4))&amp;"":""&amp;address(row($T$4),column($T$4)))"),"")</f>
        <v/>
      </c>
      <c r="V8" s="2" t="str">
        <f>IFERROR(__xludf.DUMMYFUNCTION("IMPORTRANGE($B$18,$B$19&amp;address(row($T$7),column($T$7))&amp;"":""&amp;address(row($T$7),column($T$7)))"),"")</f>
        <v/>
      </c>
      <c r="W8" s="2" t="str">
        <f>IFERROR(__xludf.DUMMYFUNCTION("IMPORTRANGE($B$18,$B$19&amp;address(row($H$7),column($H$7))&amp;"":""&amp;address(row($H$7),column($H$7)))"),"")</f>
        <v/>
      </c>
      <c r="X8" s="2" t="str">
        <f>IFERROR(__xludf.DUMMYFUNCTION("IMPORTRANGE($B$18,$B$19&amp;address(row($I$7),column($I$7))&amp;"":""&amp;address(row($I$7),column($I$7)))"),"")</f>
        <v/>
      </c>
      <c r="Y8" s="2" t="str">
        <f>IFERROR(__xludf.DUMMYFUNCTION("IMPORTRANGE($B$18,$B$19&amp;address(row($C$5),column($C$5))&amp;"":""&amp;address(row($C$5),column($C$5)))"),"-")</f>
        <v>-</v>
      </c>
      <c r="Z8" s="86">
        <f>IFERROR(__xludf.DUMMYFUNCTION("IMPORTRANGE($B$18,$B$19&amp;address(row($I$4),column($I$4))&amp;"":""&amp;address(row($I$4),column($I$4)))"),45388.0)</f>
        <v>45388</v>
      </c>
      <c r="AA8" s="2" t="b">
        <f t="shared" si="3"/>
        <v>0</v>
      </c>
    </row>
    <row r="9">
      <c r="A9" s="2" t="str">
        <f>IFERROR(__xludf.DUMMYFUNCTION("IMPORTRANGE($B$18,$B$19&amp;address(row(B19),column(B19))&amp;"":""&amp;address(row(B19),column(B19)))"),"")</f>
        <v/>
      </c>
      <c r="B9" s="2" t="str">
        <f>IFERROR(__xludf.DUMMYFUNCTION("IMPORTRANGE($B$18,$B$19&amp;address(row(E19),column(E19))&amp;"":""&amp;address(row(E19),column(E19)))"),"")</f>
        <v/>
      </c>
      <c r="C9" s="1">
        <f t="shared" si="1"/>
        <v>5</v>
      </c>
      <c r="D9" s="89" t="str">
        <f>IFERROR(__xludf.DUMMYFUNCTION("IMPORTRANGE($B$18,$B$19&amp;address(row($I$3),column($I$3))&amp;"":""&amp;address(row($I$3),column($I$3)))"),"Wandsworth Borough 5s")</f>
        <v>Wandsworth Borough 5s</v>
      </c>
      <c r="E9"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9" s="2" t="str">
        <f>IFERROR(__xludf.DUMMYFUNCTION("IMPORTRANGE($B$18,$B$19&amp;address(row(I19),column(I19))&amp;"":""&amp;address(row(I19),column(I19)))"),"")</f>
        <v/>
      </c>
      <c r="G9" s="2" t="str">
        <f>IFERROR(__xludf.DUMMYFUNCTION("IMPORTRANGE($B$18,$B$19&amp;address(row(J19),column(J19))&amp;"":""&amp;address(row(J19),column(J19)))"),"")</f>
        <v/>
      </c>
      <c r="H9" s="1" t="str">
        <f>IFERROR(__xludf.DUMMYFUNCTION("IMPORTRANGE($B$18,$B$19&amp;address(row($I$7),column($I$7))&amp;"":""&amp;address(row($I$7),column($I$7)))"),"")</f>
        <v/>
      </c>
      <c r="I9" s="2" t="str">
        <f>IFERROR(__xludf.DUMMYFUNCTION("IMPORTRANGE($B$18,$B$19&amp;address(row(N19),column(N19))&amp;"":""&amp;address(row(N19),column(N19)))"),"")</f>
        <v/>
      </c>
      <c r="J9" s="2" t="str">
        <f>IFERROR(__xludf.DUMMYFUNCTION("IMPORTRANGE($B$18,$B$19&amp;address(row(O19),column(O19))&amp;"":""&amp;address(row(O19),column(O19)))"),"")</f>
        <v/>
      </c>
      <c r="K9" s="2" t="str">
        <f>IFERROR(__xludf.DUMMYFUNCTION("IMPORTRANGE($B$18,$B$19&amp;address(row(P19),column(P19))&amp;"":""&amp;address(row(P19),column(P19)))"),"")</f>
        <v/>
      </c>
      <c r="L9" s="2" t="b">
        <f t="shared" si="2"/>
        <v>1</v>
      </c>
      <c r="M9" s="2" t="str">
        <f>IFERROR(__xludf.DUMMYFUNCTION("IMPORTRANGE($B$18,$B$19&amp;address(row(L19),column(L19))&amp;"":""&amp;address(row(L19),column(L19)))"),"")</f>
        <v/>
      </c>
      <c r="N9" s="2" t="str">
        <f>IFERROR(__xludf.DUMMYFUNCTION("IMPORTRANGE($B$18,$B$19&amp;address(row(K19),column(K19))&amp;"":""&amp;address(row(K19),column(K19)))"),"")</f>
        <v/>
      </c>
      <c r="O9" s="2" t="str">
        <f>IFERROR(__xludf.DUMMYFUNCTION("IMPORTRANGE($B$18,$B$19&amp;address(row(M19),column(M19))&amp;"":""&amp;address(row(M19),column(M19)))"),"")</f>
        <v/>
      </c>
      <c r="P9" s="2">
        <f>IFERROR(__xludf.DUMMYFUNCTION("IF(IMPORTRANGE($B$18,$B$19&amp;address(row($Q$7),column($Q$7))&amp;"":""&amp;address(row($Q$7),column($Q$7)))=A9,1,0)"),1.0)</f>
        <v>1</v>
      </c>
      <c r="Q9" s="2" t="str">
        <f>IFERROR(__xludf.DUMMYFUNCTION("IMPORTRANGE($B$18,$B$19&amp;address(row(G19),column(G19))&amp;"":""&amp;address(row(G19),column(G19)))"),"")</f>
        <v/>
      </c>
      <c r="R9" s="2" t="str">
        <f>IFERROR(__xludf.DUMMYFUNCTION("IMPORTRANGE($B$18,$B$19&amp;address(row(H19),column(H19))&amp;"":""&amp;address(row(H19),column(H19)))"),"")</f>
        <v/>
      </c>
      <c r="S9" s="2" t="str">
        <f>IFERROR(__xludf.DUMMYFUNCTION("IMPORTRANGE($B$18,$B$19&amp;address(row(S19),column(S19))&amp;"":""&amp;address(row(S19),column(S19)))"),"")</f>
        <v/>
      </c>
      <c r="T9" s="2" t="str">
        <f>IFERROR(__xludf.DUMMYFUNCTION("IMPORTRANGE($B$18,$B$19&amp;address(row(T19),column(T19))&amp;"":""&amp;address(row(T19),column(T19)))"),"")</f>
        <v/>
      </c>
      <c r="U9" s="2" t="str">
        <f>IFERROR(__xludf.DUMMYFUNCTION("IMPORTRANGE($B$18,$B$19&amp;address(row($T$4),column($T$4))&amp;"":""&amp;address(row($T$4),column($T$4)))"),"")</f>
        <v/>
      </c>
      <c r="V9" s="2" t="str">
        <f>IFERROR(__xludf.DUMMYFUNCTION("IMPORTRANGE($B$18,$B$19&amp;address(row($T$7),column($T$7))&amp;"":""&amp;address(row($T$7),column($T$7)))"),"")</f>
        <v/>
      </c>
      <c r="W9" s="2" t="str">
        <f>IFERROR(__xludf.DUMMYFUNCTION("IMPORTRANGE($B$18,$B$19&amp;address(row($H$7),column($H$7))&amp;"":""&amp;address(row($H$7),column($H$7)))"),"")</f>
        <v/>
      </c>
      <c r="X9" s="2" t="str">
        <f>IFERROR(__xludf.DUMMYFUNCTION("IMPORTRANGE($B$18,$B$19&amp;address(row($I$7),column($I$7))&amp;"":""&amp;address(row($I$7),column($I$7)))"),"")</f>
        <v/>
      </c>
      <c r="Y9" s="2" t="str">
        <f>IFERROR(__xludf.DUMMYFUNCTION("IMPORTRANGE($B$18,$B$19&amp;address(row($C$5),column($C$5))&amp;"":""&amp;address(row($C$5),column($C$5)))"),"-")</f>
        <v>-</v>
      </c>
      <c r="Z9" s="86">
        <f>IFERROR(__xludf.DUMMYFUNCTION("IMPORTRANGE($B$18,$B$19&amp;address(row($I$4),column($I$4))&amp;"":""&amp;address(row($I$4),column($I$4)))"),45388.0)</f>
        <v>45388</v>
      </c>
      <c r="AA9" s="2" t="b">
        <f t="shared" si="3"/>
        <v>0</v>
      </c>
    </row>
    <row r="10">
      <c r="A10" s="2" t="str">
        <f>IFERROR(__xludf.DUMMYFUNCTION("IMPORTRANGE($B$18,$B$19&amp;address(row(B20),column(B20))&amp;"":""&amp;address(row(B20),column(B20)))"),"")</f>
        <v/>
      </c>
      <c r="B10" s="2" t="str">
        <f>IFERROR(__xludf.DUMMYFUNCTION("IMPORTRANGE($B$18,$B$19&amp;address(row(E20),column(E20))&amp;"":""&amp;address(row(E20),column(E20)))"),"")</f>
        <v/>
      </c>
      <c r="C10" s="1">
        <f t="shared" si="1"/>
        <v>5</v>
      </c>
      <c r="D10" s="89" t="str">
        <f>IFERROR(__xludf.DUMMYFUNCTION("IMPORTRANGE($B$18,$B$19&amp;address(row($I$3),column($I$3))&amp;"":""&amp;address(row($I$3),column($I$3)))"),"Wandsworth Borough 5s")</f>
        <v>Wandsworth Borough 5s</v>
      </c>
      <c r="E10"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0" s="2" t="str">
        <f>IFERROR(__xludf.DUMMYFUNCTION("IMPORTRANGE($B$18,$B$19&amp;address(row(I20),column(I20))&amp;"":""&amp;address(row(I20),column(I20)))"),"")</f>
        <v/>
      </c>
      <c r="G10" s="2" t="str">
        <f>IFERROR(__xludf.DUMMYFUNCTION("IMPORTRANGE($B$18,$B$19&amp;address(row(J20),column(J20))&amp;"":""&amp;address(row(J20),column(J20)))"),"")</f>
        <v/>
      </c>
      <c r="H10" s="1" t="str">
        <f>IFERROR(__xludf.DUMMYFUNCTION("IMPORTRANGE($B$18,$B$19&amp;address(row($I$7),column($I$7))&amp;"":""&amp;address(row($I$7),column($I$7)))"),"")</f>
        <v/>
      </c>
      <c r="I10" s="2" t="str">
        <f>IFERROR(__xludf.DUMMYFUNCTION("IMPORTRANGE($B$18,$B$19&amp;address(row(N20),column(N20))&amp;"":""&amp;address(row(N20),column(N20)))"),"")</f>
        <v/>
      </c>
      <c r="J10" s="2" t="str">
        <f>IFERROR(__xludf.DUMMYFUNCTION("IMPORTRANGE($B$18,$B$19&amp;address(row(O20),column(O20))&amp;"":""&amp;address(row(O20),column(O20)))"),"")</f>
        <v/>
      </c>
      <c r="K10" s="2" t="str">
        <f>IFERROR(__xludf.DUMMYFUNCTION("IMPORTRANGE($B$18,$B$19&amp;address(row(P20),column(P20))&amp;"":""&amp;address(row(P20),column(P20)))"),"")</f>
        <v/>
      </c>
      <c r="L10" s="2" t="b">
        <f t="shared" si="2"/>
        <v>1</v>
      </c>
      <c r="M10" s="2" t="str">
        <f>IFERROR(__xludf.DUMMYFUNCTION("IMPORTRANGE($B$18,$B$19&amp;address(row(L20),column(L20))&amp;"":""&amp;address(row(L20),column(L20)))"),"")</f>
        <v/>
      </c>
      <c r="N10" s="2" t="str">
        <f>IFERROR(__xludf.DUMMYFUNCTION("IMPORTRANGE($B$18,$B$19&amp;address(row(K20),column(K20))&amp;"":""&amp;address(row(K20),column(K20)))"),"")</f>
        <v/>
      </c>
      <c r="O10" s="2" t="str">
        <f>IFERROR(__xludf.DUMMYFUNCTION("IMPORTRANGE($B$18,$B$19&amp;address(row(M20),column(M20))&amp;"":""&amp;address(row(M20),column(M20)))"),"")</f>
        <v/>
      </c>
      <c r="P10" s="2">
        <f>IFERROR(__xludf.DUMMYFUNCTION("IF(IMPORTRANGE($B$18,$B$19&amp;address(row($Q$7),column($Q$7))&amp;"":""&amp;address(row($Q$7),column($Q$7)))=A10,1,0)"),1.0)</f>
        <v>1</v>
      </c>
      <c r="Q10" s="2" t="str">
        <f>IFERROR(__xludf.DUMMYFUNCTION("IMPORTRANGE($B$18,$B$19&amp;address(row(G20),column(G20))&amp;"":""&amp;address(row(G20),column(G20)))"),"")</f>
        <v/>
      </c>
      <c r="R10" s="2" t="str">
        <f>IFERROR(__xludf.DUMMYFUNCTION("IMPORTRANGE($B$18,$B$19&amp;address(row(H20),column(H20))&amp;"":""&amp;address(row(H20),column(H20)))"),"")</f>
        <v/>
      </c>
      <c r="S10" s="2" t="str">
        <f>IFERROR(__xludf.DUMMYFUNCTION("IMPORTRANGE($B$18,$B$19&amp;address(row(S20),column(S20))&amp;"":""&amp;address(row(S20),column(S20)))"),"")</f>
        <v/>
      </c>
      <c r="T10" s="2" t="str">
        <f>IFERROR(__xludf.DUMMYFUNCTION("IMPORTRANGE($B$18,$B$19&amp;address(row(T20),column(T20))&amp;"":""&amp;address(row(T20),column(T20)))"),"")</f>
        <v/>
      </c>
      <c r="U10" s="2" t="str">
        <f>IFERROR(__xludf.DUMMYFUNCTION("IMPORTRANGE($B$18,$B$19&amp;address(row($T$4),column($T$4))&amp;"":""&amp;address(row($T$4),column($T$4)))"),"")</f>
        <v/>
      </c>
      <c r="V10" s="2" t="str">
        <f>IFERROR(__xludf.DUMMYFUNCTION("IMPORTRANGE($B$18,$B$19&amp;address(row($T$7),column($T$7))&amp;"":""&amp;address(row($T$7),column($T$7)))"),"")</f>
        <v/>
      </c>
      <c r="W10" s="2" t="str">
        <f>IFERROR(__xludf.DUMMYFUNCTION("IMPORTRANGE($B$18,$B$19&amp;address(row($H$7),column($H$7))&amp;"":""&amp;address(row($H$7),column($H$7)))"),"")</f>
        <v/>
      </c>
      <c r="X10" s="2" t="str">
        <f>IFERROR(__xludf.DUMMYFUNCTION("IMPORTRANGE($B$18,$B$19&amp;address(row($I$7),column($I$7))&amp;"":""&amp;address(row($I$7),column($I$7)))"),"")</f>
        <v/>
      </c>
      <c r="Y10" s="2" t="str">
        <f>IFERROR(__xludf.DUMMYFUNCTION("IMPORTRANGE($B$18,$B$19&amp;address(row($C$5),column($C$5))&amp;"":""&amp;address(row($C$5),column($C$5)))"),"-")</f>
        <v>-</v>
      </c>
      <c r="Z10" s="86">
        <f>IFERROR(__xludf.DUMMYFUNCTION("IMPORTRANGE($B$18,$B$19&amp;address(row($I$4),column($I$4))&amp;"":""&amp;address(row($I$4),column($I$4)))"),45388.0)</f>
        <v>45388</v>
      </c>
      <c r="AA10" s="2" t="b">
        <f t="shared" si="3"/>
        <v>0</v>
      </c>
    </row>
    <row r="11">
      <c r="A11" s="2" t="str">
        <f>IFERROR(__xludf.DUMMYFUNCTION("IMPORTRANGE($B$18,$B$19&amp;address(row(B21),column(B21))&amp;"":""&amp;address(row(B21),column(B21)))"),"")</f>
        <v/>
      </c>
      <c r="B11" s="2" t="str">
        <f>IFERROR(__xludf.DUMMYFUNCTION("IMPORTRANGE($B$18,$B$19&amp;address(row(E21),column(E21))&amp;"":""&amp;address(row(E21),column(E21)))"),"")</f>
        <v/>
      </c>
      <c r="C11" s="1">
        <f t="shared" si="1"/>
        <v>5</v>
      </c>
      <c r="D11" s="89" t="str">
        <f>IFERROR(__xludf.DUMMYFUNCTION("IMPORTRANGE($B$18,$B$19&amp;address(row($I$3),column($I$3))&amp;"":""&amp;address(row($I$3),column($I$3)))"),"Wandsworth Borough 5s")</f>
        <v>Wandsworth Borough 5s</v>
      </c>
      <c r="E11"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1" s="2" t="str">
        <f>IFERROR(__xludf.DUMMYFUNCTION("IMPORTRANGE($B$18,$B$19&amp;address(row(I21),column(I21))&amp;"":""&amp;address(row(I21),column(I21)))"),"")</f>
        <v/>
      </c>
      <c r="G11" s="2" t="str">
        <f>IFERROR(__xludf.DUMMYFUNCTION("IMPORTRANGE($B$18,$B$19&amp;address(row(J21),column(J21))&amp;"":""&amp;address(row(J21),column(J21)))"),"")</f>
        <v/>
      </c>
      <c r="H11" s="1" t="str">
        <f>IFERROR(__xludf.DUMMYFUNCTION("IMPORTRANGE($B$18,$B$19&amp;address(row($I$7),column($I$7))&amp;"":""&amp;address(row($I$7),column($I$7)))"),"")</f>
        <v/>
      </c>
      <c r="I11" s="2" t="str">
        <f>IFERROR(__xludf.DUMMYFUNCTION("IMPORTRANGE($B$18,$B$19&amp;address(row(N21),column(N21))&amp;"":""&amp;address(row(N21),column(N21)))"),"")</f>
        <v/>
      </c>
      <c r="J11" s="2" t="str">
        <f>IFERROR(__xludf.DUMMYFUNCTION("IMPORTRANGE($B$18,$B$19&amp;address(row(O21),column(O21))&amp;"":""&amp;address(row(O21),column(O21)))"),"")</f>
        <v/>
      </c>
      <c r="K11" s="2" t="str">
        <f>IFERROR(__xludf.DUMMYFUNCTION("IMPORTRANGE($B$18,$B$19&amp;address(row(P21),column(P21))&amp;"":""&amp;address(row(P21),column(P21)))"),"")</f>
        <v/>
      </c>
      <c r="L11" s="2" t="b">
        <f t="shared" si="2"/>
        <v>1</v>
      </c>
      <c r="M11" s="2" t="str">
        <f>IFERROR(__xludf.DUMMYFUNCTION("IMPORTRANGE($B$18,$B$19&amp;address(row(L21),column(L21))&amp;"":""&amp;address(row(L21),column(L21)))"),"")</f>
        <v/>
      </c>
      <c r="N11" s="2" t="str">
        <f>IFERROR(__xludf.DUMMYFUNCTION("IMPORTRANGE($B$18,$B$19&amp;address(row(K21),column(K21))&amp;"":""&amp;address(row(K21),column(K21)))"),"")</f>
        <v/>
      </c>
      <c r="O11" s="2" t="str">
        <f>IFERROR(__xludf.DUMMYFUNCTION("IMPORTRANGE($B$18,$B$19&amp;address(row(M21),column(M21))&amp;"":""&amp;address(row(M21),column(M21)))"),"")</f>
        <v/>
      </c>
      <c r="P11" s="2">
        <f>IFERROR(__xludf.DUMMYFUNCTION("IF(IMPORTRANGE($B$18,$B$19&amp;address(row($Q$7),column($Q$7))&amp;"":""&amp;address(row($Q$7),column($Q$7)))=A11,1,0)"),1.0)</f>
        <v>1</v>
      </c>
      <c r="Q11" s="2" t="str">
        <f>IFERROR(__xludf.DUMMYFUNCTION("IMPORTRANGE($B$18,$B$19&amp;address(row(G21),column(G21))&amp;"":""&amp;address(row(G21),column(G21)))"),"")</f>
        <v/>
      </c>
      <c r="R11" s="2" t="str">
        <f>IFERROR(__xludf.DUMMYFUNCTION("IMPORTRANGE($B$18,$B$19&amp;address(row(H21),column(H21))&amp;"":""&amp;address(row(H21),column(H21)))"),"")</f>
        <v/>
      </c>
      <c r="S11" s="2" t="str">
        <f>IFERROR(__xludf.DUMMYFUNCTION("IMPORTRANGE($B$18,$B$19&amp;address(row(S21),column(S21))&amp;"":""&amp;address(row(S21),column(S21)))"),"")</f>
        <v/>
      </c>
      <c r="T11" s="2" t="str">
        <f>IFERROR(__xludf.DUMMYFUNCTION("IMPORTRANGE($B$18,$B$19&amp;address(row(T21),column(T21))&amp;"":""&amp;address(row(T21),column(T21)))"),"")</f>
        <v/>
      </c>
      <c r="U11" s="2" t="str">
        <f>IFERROR(__xludf.DUMMYFUNCTION("IMPORTRANGE($B$18,$B$19&amp;address(row($T$4),column($T$4))&amp;"":""&amp;address(row($T$4),column($T$4)))"),"")</f>
        <v/>
      </c>
      <c r="V11" s="2" t="str">
        <f>IFERROR(__xludf.DUMMYFUNCTION("IMPORTRANGE($B$18,$B$19&amp;address(row($T$7),column($T$7))&amp;"":""&amp;address(row($T$7),column($T$7)))"),"")</f>
        <v/>
      </c>
      <c r="W11" s="2" t="str">
        <f>IFERROR(__xludf.DUMMYFUNCTION("IMPORTRANGE($B$18,$B$19&amp;address(row($H$7),column($H$7))&amp;"":""&amp;address(row($H$7),column($H$7)))"),"")</f>
        <v/>
      </c>
      <c r="X11" s="2" t="str">
        <f>IFERROR(__xludf.DUMMYFUNCTION("IMPORTRANGE($B$18,$B$19&amp;address(row($I$7),column($I$7))&amp;"":""&amp;address(row($I$7),column($I$7)))"),"")</f>
        <v/>
      </c>
      <c r="Y11" s="2" t="str">
        <f>IFERROR(__xludf.DUMMYFUNCTION("IMPORTRANGE($B$18,$B$19&amp;address(row($C$5),column($C$5))&amp;"":""&amp;address(row($C$5),column($C$5)))"),"-")</f>
        <v>-</v>
      </c>
      <c r="Z11" s="86">
        <f>IFERROR(__xludf.DUMMYFUNCTION("IMPORTRANGE($B$18,$B$19&amp;address(row($I$4),column($I$4))&amp;"":""&amp;address(row($I$4),column($I$4)))"),45388.0)</f>
        <v>45388</v>
      </c>
      <c r="AA11" s="2" t="b">
        <f t="shared" si="3"/>
        <v>0</v>
      </c>
    </row>
    <row r="12">
      <c r="A12" s="2" t="str">
        <f>IFERROR(__xludf.DUMMYFUNCTION("IMPORTRANGE($B$18,$B$19&amp;address(row(B22),column(B22))&amp;"":""&amp;address(row(B22),column(B22)))"),"")</f>
        <v/>
      </c>
      <c r="B12" s="2" t="str">
        <f>IFERROR(__xludf.DUMMYFUNCTION("IMPORTRANGE($B$18,$B$19&amp;address(row(E22),column(E22))&amp;"":""&amp;address(row(E22),column(E22)))"),"")</f>
        <v/>
      </c>
      <c r="C12" s="1">
        <f t="shared" si="1"/>
        <v>5</v>
      </c>
      <c r="D12" s="89" t="str">
        <f>IFERROR(__xludf.DUMMYFUNCTION("IMPORTRANGE($B$18,$B$19&amp;address(row($I$3),column($I$3))&amp;"":""&amp;address(row($I$3),column($I$3)))"),"Wandsworth Borough 5s")</f>
        <v>Wandsworth Borough 5s</v>
      </c>
      <c r="E1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2" s="2" t="str">
        <f>IFERROR(__xludf.DUMMYFUNCTION("IMPORTRANGE($B$18,$B$19&amp;address(row(I22),column(I22))&amp;"":""&amp;address(row(I22),column(I22)))"),"")</f>
        <v/>
      </c>
      <c r="G12" s="2" t="str">
        <f>IFERROR(__xludf.DUMMYFUNCTION("IMPORTRANGE($B$18,$B$19&amp;address(row(J22),column(J22))&amp;"":""&amp;address(row(J22),column(J22)))"),"")</f>
        <v/>
      </c>
      <c r="H12" s="1" t="str">
        <f>IFERROR(__xludf.DUMMYFUNCTION("IMPORTRANGE($B$18,$B$19&amp;address(row($I$7),column($I$7))&amp;"":""&amp;address(row($I$7),column($I$7)))"),"")</f>
        <v/>
      </c>
      <c r="I12" s="2" t="str">
        <f>IFERROR(__xludf.DUMMYFUNCTION("IMPORTRANGE($B$18,$B$19&amp;address(row(N22),column(N22))&amp;"":""&amp;address(row(N22),column(N22)))"),"")</f>
        <v/>
      </c>
      <c r="J12" s="2" t="str">
        <f>IFERROR(__xludf.DUMMYFUNCTION("IMPORTRANGE($B$18,$B$19&amp;address(row(O22),column(O22))&amp;"":""&amp;address(row(O22),column(O22)))"),"")</f>
        <v/>
      </c>
      <c r="K12" s="2" t="str">
        <f>IFERROR(__xludf.DUMMYFUNCTION("IMPORTRANGE($B$18,$B$19&amp;address(row(P22),column(P22))&amp;"":""&amp;address(row(P22),column(P22)))"),"")</f>
        <v/>
      </c>
      <c r="L12" s="2" t="b">
        <f t="shared" si="2"/>
        <v>1</v>
      </c>
      <c r="M12" s="2" t="str">
        <f>IFERROR(__xludf.DUMMYFUNCTION("IMPORTRANGE($B$18,$B$19&amp;address(row(L22),column(L22))&amp;"":""&amp;address(row(L22),column(L22)))"),"")</f>
        <v/>
      </c>
      <c r="N12" s="2" t="str">
        <f>IFERROR(__xludf.DUMMYFUNCTION("IMPORTRANGE($B$18,$B$19&amp;address(row(K22),column(K22))&amp;"":""&amp;address(row(K22),column(K22)))"),"")</f>
        <v/>
      </c>
      <c r="O12" s="2" t="str">
        <f>IFERROR(__xludf.DUMMYFUNCTION("IMPORTRANGE($B$18,$B$19&amp;address(row(M22),column(M22))&amp;"":""&amp;address(row(M22),column(M22)))"),"")</f>
        <v/>
      </c>
      <c r="P12" s="2">
        <f>IFERROR(__xludf.DUMMYFUNCTION("IF(IMPORTRANGE($B$18,$B$19&amp;address(row($Q$7),column($Q$7))&amp;"":""&amp;address(row($Q$7),column($Q$7)))=A12,1,0)"),1.0)</f>
        <v>1</v>
      </c>
      <c r="Q12" s="2" t="str">
        <f>IFERROR(__xludf.DUMMYFUNCTION("IMPORTRANGE($B$18,$B$19&amp;address(row(G22),column(G22))&amp;"":""&amp;address(row(G22),column(G22)))"),"")</f>
        <v/>
      </c>
      <c r="R12" s="2" t="str">
        <f>IFERROR(__xludf.DUMMYFUNCTION("IMPORTRANGE($B$18,$B$19&amp;address(row(H22),column(H22))&amp;"":""&amp;address(row(H22),column(H22)))"),"")</f>
        <v/>
      </c>
      <c r="S12" s="2" t="str">
        <f>IFERROR(__xludf.DUMMYFUNCTION("IMPORTRANGE($B$18,$B$19&amp;address(row(S22),column(S22))&amp;"":""&amp;address(row(S22),column(S22)))"),"")</f>
        <v/>
      </c>
      <c r="T12" s="2" t="str">
        <f>IFERROR(__xludf.DUMMYFUNCTION("IMPORTRANGE($B$18,$B$19&amp;address(row(T22),column(T22))&amp;"":""&amp;address(row(T22),column(T22)))"),"")</f>
        <v/>
      </c>
      <c r="U12" s="2" t="str">
        <f>IFERROR(__xludf.DUMMYFUNCTION("IMPORTRANGE($B$18,$B$19&amp;address(row($T$4),column($T$4))&amp;"":""&amp;address(row($T$4),column($T$4)))"),"")</f>
        <v/>
      </c>
      <c r="V12" s="2" t="str">
        <f>IFERROR(__xludf.DUMMYFUNCTION("IMPORTRANGE($B$18,$B$19&amp;address(row($T$7),column($T$7))&amp;"":""&amp;address(row($T$7),column($T$7)))"),"")</f>
        <v/>
      </c>
      <c r="W12" s="2" t="str">
        <f>IFERROR(__xludf.DUMMYFUNCTION("IMPORTRANGE($B$18,$B$19&amp;address(row($H$7),column($H$7))&amp;"":""&amp;address(row($H$7),column($H$7)))"),"")</f>
        <v/>
      </c>
      <c r="X12" s="2" t="str">
        <f>IFERROR(__xludf.DUMMYFUNCTION("IMPORTRANGE($B$18,$B$19&amp;address(row($I$7),column($I$7))&amp;"":""&amp;address(row($I$7),column($I$7)))"),"")</f>
        <v/>
      </c>
      <c r="Y12" s="2" t="str">
        <f>IFERROR(__xludf.DUMMYFUNCTION("IMPORTRANGE($B$18,$B$19&amp;address(row($C$5),column($C$5))&amp;"":""&amp;address(row($C$5),column($C$5)))"),"-")</f>
        <v>-</v>
      </c>
      <c r="Z12" s="86">
        <f>IFERROR(__xludf.DUMMYFUNCTION("IMPORTRANGE($B$18,$B$19&amp;address(row($I$4),column($I$4))&amp;"":""&amp;address(row($I$4),column($I$4)))"),45388.0)</f>
        <v>45388</v>
      </c>
      <c r="AA12" s="2" t="b">
        <f t="shared" si="3"/>
        <v>0</v>
      </c>
    </row>
    <row r="13">
      <c r="A13" s="2" t="str">
        <f>IFERROR(__xludf.DUMMYFUNCTION("IMPORTRANGE($B$18,$B$19&amp;address(row(B23),column(B23))&amp;"":""&amp;address(row(B23),column(B23)))"),"")</f>
        <v/>
      </c>
      <c r="B13" s="2" t="str">
        <f>IFERROR(__xludf.DUMMYFUNCTION("IMPORTRANGE($B$18,$B$19&amp;address(row(E23),column(E23))&amp;"":""&amp;address(row(E23),column(E23)))"),"")</f>
        <v/>
      </c>
      <c r="C13" s="1">
        <f t="shared" si="1"/>
        <v>5</v>
      </c>
      <c r="D13" s="89" t="str">
        <f>IFERROR(__xludf.DUMMYFUNCTION("IMPORTRANGE($B$18,$B$19&amp;address(row($I$3),column($I$3))&amp;"":""&amp;address(row($I$3),column($I$3)))"),"Wandsworth Borough 5s")</f>
        <v>Wandsworth Borough 5s</v>
      </c>
      <c r="E1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3" s="2" t="str">
        <f>IFERROR(__xludf.DUMMYFUNCTION("IMPORTRANGE($B$18,$B$19&amp;address(row(I23),column(I23))&amp;"":""&amp;address(row(I23),column(I23)))"),"")</f>
        <v/>
      </c>
      <c r="G13" s="2" t="str">
        <f>IFERROR(__xludf.DUMMYFUNCTION("IMPORTRANGE($B$18,$B$19&amp;address(row(J23),column(J23))&amp;"":""&amp;address(row(J23),column(J23)))"),"")</f>
        <v/>
      </c>
      <c r="H13" s="1" t="str">
        <f>IFERROR(__xludf.DUMMYFUNCTION("IMPORTRANGE($B$18,$B$19&amp;address(row($I$7),column($I$7))&amp;"":""&amp;address(row($I$7),column($I$7)))"),"")</f>
        <v/>
      </c>
      <c r="I13" s="2" t="str">
        <f>IFERROR(__xludf.DUMMYFUNCTION("IMPORTRANGE($B$18,$B$19&amp;address(row(N23),column(N23))&amp;"":""&amp;address(row(N23),column(N23)))"),"")</f>
        <v/>
      </c>
      <c r="J13" s="2" t="str">
        <f>IFERROR(__xludf.DUMMYFUNCTION("IMPORTRANGE($B$18,$B$19&amp;address(row(O23),column(O23))&amp;"":""&amp;address(row(O23),column(O23)))"),"")</f>
        <v/>
      </c>
      <c r="K13" s="2" t="str">
        <f>IFERROR(__xludf.DUMMYFUNCTION("IMPORTRANGE($B$18,$B$19&amp;address(row(P23),column(P23))&amp;"":""&amp;address(row(P23),column(P23)))"),"")</f>
        <v/>
      </c>
      <c r="L13" s="2" t="b">
        <f t="shared" si="2"/>
        <v>1</v>
      </c>
      <c r="M13" s="2" t="str">
        <f>IFERROR(__xludf.DUMMYFUNCTION("IMPORTRANGE($B$18,$B$19&amp;address(row(L23),column(L23))&amp;"":""&amp;address(row(L23),column(L23)))"),"")</f>
        <v/>
      </c>
      <c r="N13" s="2" t="str">
        <f>IFERROR(__xludf.DUMMYFUNCTION("IMPORTRANGE($B$18,$B$19&amp;address(row(K23),column(K23))&amp;"":""&amp;address(row(K23),column(K23)))"),"")</f>
        <v/>
      </c>
      <c r="O13" s="2" t="str">
        <f>IFERROR(__xludf.DUMMYFUNCTION("IMPORTRANGE($B$18,$B$19&amp;address(row(M23),column(M23))&amp;"":""&amp;address(row(M23),column(M23)))"),"")</f>
        <v/>
      </c>
      <c r="P13" s="2">
        <f>IFERROR(__xludf.DUMMYFUNCTION("IF(IMPORTRANGE($B$18,$B$19&amp;address(row($Q$7),column($Q$7))&amp;"":""&amp;address(row($Q$7),column($Q$7)))=A13,1,0)"),1.0)</f>
        <v>1</v>
      </c>
      <c r="Q13" s="2" t="str">
        <f>IFERROR(__xludf.DUMMYFUNCTION("IMPORTRANGE($B$18,$B$19&amp;address(row(G23),column(G23))&amp;"":""&amp;address(row(G23),column(G23)))"),"")</f>
        <v/>
      </c>
      <c r="R13" s="2" t="str">
        <f>IFERROR(__xludf.DUMMYFUNCTION("IMPORTRANGE($B$18,$B$19&amp;address(row(H23),column(H23))&amp;"":""&amp;address(row(H23),column(H23)))"),"")</f>
        <v/>
      </c>
      <c r="S13" s="2" t="str">
        <f>IFERROR(__xludf.DUMMYFUNCTION("IMPORTRANGE($B$18,$B$19&amp;address(row(S23),column(S23))&amp;"":""&amp;address(row(S23),column(S23)))"),"")</f>
        <v/>
      </c>
      <c r="T13" s="2" t="str">
        <f>IFERROR(__xludf.DUMMYFUNCTION("IMPORTRANGE($B$18,$B$19&amp;address(row(T23),column(T23))&amp;"":""&amp;address(row(T23),column(T23)))"),"")</f>
        <v/>
      </c>
      <c r="U13" s="2" t="str">
        <f>IFERROR(__xludf.DUMMYFUNCTION("IMPORTRANGE($B$18,$B$19&amp;address(row($T$4),column($T$4))&amp;"":""&amp;address(row($T$4),column($T$4)))"),"")</f>
        <v/>
      </c>
      <c r="V13" s="2" t="str">
        <f>IFERROR(__xludf.DUMMYFUNCTION("IMPORTRANGE($B$18,$B$19&amp;address(row($T$7),column($T$7))&amp;"":""&amp;address(row($T$7),column($T$7)))"),"")</f>
        <v/>
      </c>
      <c r="W13" s="2" t="str">
        <f>IFERROR(__xludf.DUMMYFUNCTION("IMPORTRANGE($B$18,$B$19&amp;address(row($H$7),column($H$7))&amp;"":""&amp;address(row($H$7),column($H$7)))"),"")</f>
        <v/>
      </c>
      <c r="X13" s="2" t="str">
        <f>IFERROR(__xludf.DUMMYFUNCTION("IMPORTRANGE($B$18,$B$19&amp;address(row($I$7),column($I$7))&amp;"":""&amp;address(row($I$7),column($I$7)))"),"")</f>
        <v/>
      </c>
      <c r="Y13" s="2" t="str">
        <f>IFERROR(__xludf.DUMMYFUNCTION("IMPORTRANGE($B$18,$B$19&amp;address(row($C$5),column($C$5))&amp;"":""&amp;address(row($C$5),column($C$5)))"),"-")</f>
        <v>-</v>
      </c>
      <c r="Z13" s="86">
        <f>IFERROR(__xludf.DUMMYFUNCTION("IMPORTRANGE($B$18,$B$19&amp;address(row($I$4),column($I$4))&amp;"":""&amp;address(row($I$4),column($I$4)))"),45388.0)</f>
        <v>45388</v>
      </c>
      <c r="AA13" s="2" t="b">
        <f t="shared" si="3"/>
        <v>0</v>
      </c>
    </row>
    <row r="14">
      <c r="A14" s="2" t="str">
        <f>IFERROR(__xludf.DUMMYFUNCTION("IMPORTRANGE($B$18,$B$19&amp;address(row(B24),column(B24))&amp;"":""&amp;address(row(B24),column(B24)))"),"")</f>
        <v/>
      </c>
      <c r="B14" s="2" t="str">
        <f>IFERROR(__xludf.DUMMYFUNCTION("IMPORTRANGE($B$18,$B$19&amp;address(row(E24),column(E24))&amp;"":""&amp;address(row(E24),column(E24)))"),"")</f>
        <v/>
      </c>
      <c r="C14" s="1">
        <f t="shared" si="1"/>
        <v>5</v>
      </c>
      <c r="D14" s="89" t="str">
        <f>IFERROR(__xludf.DUMMYFUNCTION("IMPORTRANGE($B$18,$B$19&amp;address(row($I$3),column($I$3))&amp;"":""&amp;address(row($I$3),column($I$3)))"),"Wandsworth Borough 5s")</f>
        <v>Wandsworth Borough 5s</v>
      </c>
      <c r="E1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4" s="2" t="str">
        <f>IFERROR(__xludf.DUMMYFUNCTION("IMPORTRANGE($B$18,$B$19&amp;address(row(I24),column(I24))&amp;"":""&amp;address(row(I24),column(I24)))"),"")</f>
        <v/>
      </c>
      <c r="G14" s="2" t="str">
        <f>IFERROR(__xludf.DUMMYFUNCTION("IMPORTRANGE($B$18,$B$19&amp;address(row(J24),column(J24))&amp;"":""&amp;address(row(J24),column(J24)))"),"")</f>
        <v/>
      </c>
      <c r="H14" s="1" t="str">
        <f>IFERROR(__xludf.DUMMYFUNCTION("IMPORTRANGE($B$18,$B$19&amp;address(row($I$7),column($I$7))&amp;"":""&amp;address(row($I$7),column($I$7)))"),"")</f>
        <v/>
      </c>
      <c r="I14" s="2" t="str">
        <f>IFERROR(__xludf.DUMMYFUNCTION("IMPORTRANGE($B$18,$B$19&amp;address(row(N24),column(N24))&amp;"":""&amp;address(row(N24),column(N24)))"),"")</f>
        <v/>
      </c>
      <c r="J14" s="2" t="str">
        <f>IFERROR(__xludf.DUMMYFUNCTION("IMPORTRANGE($B$18,$B$19&amp;address(row(O24),column(O24))&amp;"":""&amp;address(row(O24),column(O24)))"),"")</f>
        <v/>
      </c>
      <c r="K14" s="2" t="str">
        <f>IFERROR(__xludf.DUMMYFUNCTION("IMPORTRANGE($B$18,$B$19&amp;address(row(P24),column(P24))&amp;"":""&amp;address(row(P24),column(P24)))"),"")</f>
        <v/>
      </c>
      <c r="L14" s="2" t="b">
        <f t="shared" si="2"/>
        <v>1</v>
      </c>
      <c r="M14" s="2" t="str">
        <f>IFERROR(__xludf.DUMMYFUNCTION("IMPORTRANGE($B$18,$B$19&amp;address(row(L24),column(L24))&amp;"":""&amp;address(row(L24),column(L24)))"),"")</f>
        <v/>
      </c>
      <c r="N14" s="2" t="str">
        <f>IFERROR(__xludf.DUMMYFUNCTION("IMPORTRANGE($B$18,$B$19&amp;address(row(K24),column(K24))&amp;"":""&amp;address(row(K24),column(K24)))"),"")</f>
        <v/>
      </c>
      <c r="O14" s="2" t="str">
        <f>IFERROR(__xludf.DUMMYFUNCTION("IMPORTRANGE($B$18,$B$19&amp;address(row(M24),column(M24))&amp;"":""&amp;address(row(M24),column(M24)))"),"")</f>
        <v/>
      </c>
      <c r="P14" s="2">
        <f>IFERROR(__xludf.DUMMYFUNCTION("IF(IMPORTRANGE($B$18,$B$19&amp;address(row($Q$7),column($Q$7))&amp;"":""&amp;address(row($Q$7),column($Q$7)))=A14,1,0)"),1.0)</f>
        <v>1</v>
      </c>
      <c r="Q14" s="2" t="str">
        <f>IFERROR(__xludf.DUMMYFUNCTION("IMPORTRANGE($B$18,$B$19&amp;address(row(G24),column(G24))&amp;"":""&amp;address(row(G24),column(G24)))"),"")</f>
        <v/>
      </c>
      <c r="R14" s="2" t="str">
        <f>IFERROR(__xludf.DUMMYFUNCTION("IMPORTRANGE($B$18,$B$19&amp;address(row(H24),column(H24))&amp;"":""&amp;address(row(H24),column(H24)))"),"")</f>
        <v/>
      </c>
      <c r="S14" s="2" t="str">
        <f>IFERROR(__xludf.DUMMYFUNCTION("IMPORTRANGE($B$18,$B$19&amp;address(row(S24),column(S24))&amp;"":""&amp;address(row(S24),column(S24)))"),"")</f>
        <v/>
      </c>
      <c r="T14" s="2" t="str">
        <f>IFERROR(__xludf.DUMMYFUNCTION("IMPORTRANGE($B$18,$B$19&amp;address(row(T24),column(T24))&amp;"":""&amp;address(row(T24),column(T24)))"),"")</f>
        <v/>
      </c>
      <c r="U14" s="2" t="str">
        <f>IFERROR(__xludf.DUMMYFUNCTION("IMPORTRANGE($B$18,$B$19&amp;address(row($T$4),column($T$4))&amp;"":""&amp;address(row($T$4),column($T$4)))"),"")</f>
        <v/>
      </c>
      <c r="V14" s="2" t="str">
        <f>IFERROR(__xludf.DUMMYFUNCTION("IMPORTRANGE($B$18,$B$19&amp;address(row($T$7),column($T$7))&amp;"":""&amp;address(row($T$7),column($T$7)))"),"")</f>
        <v/>
      </c>
      <c r="W14" s="2" t="str">
        <f>IFERROR(__xludf.DUMMYFUNCTION("IMPORTRANGE($B$18,$B$19&amp;address(row($H$7),column($H$7))&amp;"":""&amp;address(row($H$7),column($H$7)))"),"")</f>
        <v/>
      </c>
      <c r="X14" s="2" t="str">
        <f>IFERROR(__xludf.DUMMYFUNCTION("IMPORTRANGE($B$18,$B$19&amp;address(row($I$7),column($I$7))&amp;"":""&amp;address(row($I$7),column($I$7)))"),"")</f>
        <v/>
      </c>
      <c r="Y14" s="2" t="str">
        <f>IFERROR(__xludf.DUMMYFUNCTION("IMPORTRANGE($B$18,$B$19&amp;address(row($C$5),column($C$5))&amp;"":""&amp;address(row($C$5),column($C$5)))"),"-")</f>
        <v>-</v>
      </c>
      <c r="Z14" s="86">
        <f>IFERROR(__xludf.DUMMYFUNCTION("IMPORTRANGE($B$18,$B$19&amp;address(row($I$4),column($I$4))&amp;"":""&amp;address(row($I$4),column($I$4)))"),45388.0)</f>
        <v>45388</v>
      </c>
      <c r="AA14" s="2" t="b">
        <f t="shared" si="3"/>
        <v>0</v>
      </c>
    </row>
    <row r="15" ht="15.0" customHeight="1">
      <c r="A15" s="2" t="str">
        <f>IFERROR(__xludf.DUMMYFUNCTION("IMPORTRANGE($B$18,$B$19&amp;address(row(B25),column(B25))&amp;"":""&amp;address(row(B25),column(B25)))"),"")</f>
        <v/>
      </c>
      <c r="B15" s="2" t="str">
        <f>IFERROR(__xludf.DUMMYFUNCTION("IMPORTRANGE($B$18,$B$19&amp;address(row(E25),column(E25))&amp;"":""&amp;address(row(E25),column(E25)))"),"")</f>
        <v/>
      </c>
      <c r="C15" s="1">
        <f t="shared" si="1"/>
        <v>5</v>
      </c>
      <c r="D15" s="89" t="str">
        <f>IFERROR(__xludf.DUMMYFUNCTION("IMPORTRANGE($B$18,$B$19&amp;address(row($I$3),column($I$3))&amp;"":""&amp;address(row($I$3),column($I$3)))"),"Wandsworth Borough 5s")</f>
        <v>Wandsworth Borough 5s</v>
      </c>
      <c r="E1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5" s="2" t="str">
        <f>IFERROR(__xludf.DUMMYFUNCTION("IMPORTRANGE($B$18,$B$19&amp;address(row(I25),column(I25))&amp;"":""&amp;address(row(I25),column(I25)))"),"")</f>
        <v/>
      </c>
      <c r="G15" s="2" t="str">
        <f>IFERROR(__xludf.DUMMYFUNCTION("IMPORTRANGE($B$18,$B$19&amp;address(row(J25),column(J25))&amp;"":""&amp;address(row(J25),column(J25)))"),"")</f>
        <v/>
      </c>
      <c r="H15" s="1" t="str">
        <f>IFERROR(__xludf.DUMMYFUNCTION("IMPORTRANGE($B$18,$B$19&amp;address(row($I$7),column($I$7))&amp;"":""&amp;address(row($I$7),column($I$7)))"),"")</f>
        <v/>
      </c>
      <c r="I15" s="2" t="str">
        <f>IFERROR(__xludf.DUMMYFUNCTION("IMPORTRANGE($B$18,$B$19&amp;address(row(N25),column(N25))&amp;"":""&amp;address(row(N25),column(N25)))"),"")</f>
        <v/>
      </c>
      <c r="J15" s="2" t="str">
        <f>IFERROR(__xludf.DUMMYFUNCTION("IMPORTRANGE($B$18,$B$19&amp;address(row(O25),column(O25))&amp;"":""&amp;address(row(O25),column(O25)))"),"")</f>
        <v/>
      </c>
      <c r="K15" s="2" t="str">
        <f>IFERROR(__xludf.DUMMYFUNCTION("IMPORTRANGE($B$18,$B$19&amp;address(row(P25),column(P25))&amp;"":""&amp;address(row(P25),column(P25)))"),"")</f>
        <v/>
      </c>
      <c r="L15" s="2" t="b">
        <f t="shared" si="2"/>
        <v>1</v>
      </c>
      <c r="M15" s="2" t="str">
        <f>IFERROR(__xludf.DUMMYFUNCTION("IMPORTRANGE($B$18,$B$19&amp;address(row(L25),column(L25))&amp;"":""&amp;address(row(L25),column(L25)))"),"")</f>
        <v/>
      </c>
      <c r="N15" s="2" t="str">
        <f>IFERROR(__xludf.DUMMYFUNCTION("IMPORTRANGE($B$18,$B$19&amp;address(row(K25),column(K25))&amp;"":""&amp;address(row(K25),column(K25)))"),"")</f>
        <v/>
      </c>
      <c r="O15" s="2" t="str">
        <f>IFERROR(__xludf.DUMMYFUNCTION("IMPORTRANGE($B$18,$B$19&amp;address(row(M25),column(M25))&amp;"":""&amp;address(row(M25),column(M25)))"),"")</f>
        <v/>
      </c>
      <c r="P15" s="2">
        <f>IFERROR(__xludf.DUMMYFUNCTION("IF(IMPORTRANGE($B$18,$B$19&amp;address(row($Q$7),column($Q$7))&amp;"":""&amp;address(row($Q$7),column($Q$7)))=A15,1,0)"),1.0)</f>
        <v>1</v>
      </c>
      <c r="Q15" s="2" t="str">
        <f>IFERROR(__xludf.DUMMYFUNCTION("IMPORTRANGE($B$18,$B$19&amp;address(row(G25),column(G25))&amp;"":""&amp;address(row(G25),column(G25)))"),"")</f>
        <v/>
      </c>
      <c r="R15" s="2" t="str">
        <f>IFERROR(__xludf.DUMMYFUNCTION("IMPORTRANGE($B$18,$B$19&amp;address(row(H25),column(H25))&amp;"":""&amp;address(row(H25),column(H25)))"),"")</f>
        <v/>
      </c>
      <c r="S15" s="2" t="str">
        <f>IFERROR(__xludf.DUMMYFUNCTION("IMPORTRANGE($B$18,$B$19&amp;address(row(S25),column(S25))&amp;"":""&amp;address(row(S25),column(S25)))"),"")</f>
        <v/>
      </c>
      <c r="T15" s="2" t="str">
        <f>IFERROR(__xludf.DUMMYFUNCTION("IMPORTRANGE($B$18,$B$19&amp;address(row(T25),column(T25))&amp;"":""&amp;address(row(T25),column(T25)))"),"")</f>
        <v/>
      </c>
      <c r="U15" s="2" t="str">
        <f>IFERROR(__xludf.DUMMYFUNCTION("IMPORTRANGE($B$18,$B$19&amp;address(row($T$4),column($T$4))&amp;"":""&amp;address(row($T$4),column($T$4)))"),"")</f>
        <v/>
      </c>
      <c r="V15" s="2" t="str">
        <f>IFERROR(__xludf.DUMMYFUNCTION("IMPORTRANGE($B$18,$B$19&amp;address(row($T$7),column($T$7))&amp;"":""&amp;address(row($T$7),column($T$7)))"),"")</f>
        <v/>
      </c>
      <c r="W15" s="2" t="str">
        <f>IFERROR(__xludf.DUMMYFUNCTION("IMPORTRANGE($B$18,$B$19&amp;address(row($H$7),column($H$7))&amp;"":""&amp;address(row($H$7),column($H$7)))"),"")</f>
        <v/>
      </c>
      <c r="X15" s="2" t="str">
        <f>IFERROR(__xludf.DUMMYFUNCTION("IMPORTRANGE($B$18,$B$19&amp;address(row($I$7),column($I$7))&amp;"":""&amp;address(row($I$7),column($I$7)))"),"")</f>
        <v/>
      </c>
      <c r="Y15" s="2" t="str">
        <f>IFERROR(__xludf.DUMMYFUNCTION("IMPORTRANGE($B$18,$B$19&amp;address(row($C$5),column($C$5))&amp;"":""&amp;address(row($C$5),column($C$5)))"),"-")</f>
        <v>-</v>
      </c>
      <c r="Z15" s="86">
        <f>IFERROR(__xludf.DUMMYFUNCTION("IMPORTRANGE($B$18,$B$19&amp;address(row($I$4),column($I$4))&amp;"":""&amp;address(row($I$4),column($I$4)))"),45388.0)</f>
        <v>45388</v>
      </c>
      <c r="AA15" s="2" t="b">
        <f t="shared" si="3"/>
        <v>0</v>
      </c>
    </row>
    <row r="16">
      <c r="A16" s="2" t="str">
        <f>IFERROR(__xludf.DUMMYFUNCTION("IMPORTRANGE($B$18,$B$19&amp;address(row(B26),column(B26))&amp;"":""&amp;address(row(B26),column(B26)))"),"")</f>
        <v/>
      </c>
      <c r="B16" s="2" t="str">
        <f>IFERROR(__xludf.DUMMYFUNCTION("IMPORTRANGE($B$18,$B$19&amp;address(row(E26),column(E26))&amp;"":""&amp;address(row(E26),column(E26)))"),"")</f>
        <v/>
      </c>
      <c r="C16" s="1">
        <f t="shared" si="1"/>
        <v>5</v>
      </c>
      <c r="D16" s="89" t="str">
        <f>IFERROR(__xludf.DUMMYFUNCTION("IMPORTRANGE($B$18,$B$19&amp;address(row($I$3),column($I$3))&amp;"":""&amp;address(row($I$3),column($I$3)))"),"Wandsworth Borough 5s")</f>
        <v>Wandsworth Borough 5s</v>
      </c>
      <c r="E1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6" s="2" t="str">
        <f>IFERROR(__xludf.DUMMYFUNCTION("IMPORTRANGE($B$18,$B$19&amp;address(row(I26),column(I26))&amp;"":""&amp;address(row(I26),column(I26)))"),"")</f>
        <v/>
      </c>
      <c r="G16" s="2" t="str">
        <f>IFERROR(__xludf.DUMMYFUNCTION("IMPORTRANGE($B$18,$B$19&amp;address(row(J26),column(J26))&amp;"":""&amp;address(row(J26),column(J26)))"),"")</f>
        <v/>
      </c>
      <c r="H16" s="1" t="str">
        <f>IFERROR(__xludf.DUMMYFUNCTION("IMPORTRANGE($B$18,$B$19&amp;address(row($I$7),column($I$7))&amp;"":""&amp;address(row($I$7),column($I$7)))"),"")</f>
        <v/>
      </c>
      <c r="I16" s="2" t="str">
        <f>IFERROR(__xludf.DUMMYFUNCTION("IMPORTRANGE($B$18,$B$19&amp;address(row(N26),column(N26))&amp;"":""&amp;address(row(N26),column(N26)))"),"")</f>
        <v/>
      </c>
      <c r="J16" s="2" t="str">
        <f>IFERROR(__xludf.DUMMYFUNCTION("IMPORTRANGE($B$18,$B$19&amp;address(row(O26),column(O26))&amp;"":""&amp;address(row(O26),column(O26)))"),"")</f>
        <v/>
      </c>
      <c r="K16" s="2" t="str">
        <f>IFERROR(__xludf.DUMMYFUNCTION("IMPORTRANGE($B$18,$B$19&amp;address(row(P26),column(P26))&amp;"":""&amp;address(row(P26),column(P26)))"),"")</f>
        <v/>
      </c>
      <c r="L16" s="2" t="b">
        <f t="shared" si="2"/>
        <v>1</v>
      </c>
      <c r="M16" s="2" t="str">
        <f>IFERROR(__xludf.DUMMYFUNCTION("IMPORTRANGE($B$18,$B$19&amp;address(row(L26),column(L26))&amp;"":""&amp;address(row(L26),column(L26)))"),"")</f>
        <v/>
      </c>
      <c r="N16" s="2" t="str">
        <f>IFERROR(__xludf.DUMMYFUNCTION("IMPORTRANGE($B$18,$B$19&amp;address(row(K26),column(K26))&amp;"":""&amp;address(row(K26),column(K26)))"),"")</f>
        <v/>
      </c>
      <c r="O16" s="2" t="str">
        <f>IFERROR(__xludf.DUMMYFUNCTION("IMPORTRANGE($B$18,$B$19&amp;address(row(M26),column(M26))&amp;"":""&amp;address(row(M26),column(M26)))"),"")</f>
        <v/>
      </c>
      <c r="P16" s="2">
        <f>IFERROR(__xludf.DUMMYFUNCTION("IF(IMPORTRANGE($B$18,$B$19&amp;address(row($Q$7),column($Q$7))&amp;"":""&amp;address(row($Q$7),column($Q$7)))=A16,1,0)"),1.0)</f>
        <v>1</v>
      </c>
      <c r="Q16" s="2" t="str">
        <f>IFERROR(__xludf.DUMMYFUNCTION("IMPORTRANGE($B$18,$B$19&amp;address(row(G26),column(G26))&amp;"":""&amp;address(row(G26),column(G26)))"),"")</f>
        <v/>
      </c>
      <c r="R16" s="2" t="str">
        <f>IFERROR(__xludf.DUMMYFUNCTION("IMPORTRANGE($B$18,$B$19&amp;address(row(H26),column(H26))&amp;"":""&amp;address(row(H26),column(H26)))"),"")</f>
        <v/>
      </c>
      <c r="S16" s="2" t="str">
        <f>IFERROR(__xludf.DUMMYFUNCTION("IMPORTRANGE($B$18,$B$19&amp;address(row(S26),column(S26))&amp;"":""&amp;address(row(S26),column(S26)))"),"")</f>
        <v/>
      </c>
      <c r="T16" s="2" t="str">
        <f>IFERROR(__xludf.DUMMYFUNCTION("IMPORTRANGE($B$18,$B$19&amp;address(row(T26),column(T26))&amp;"":""&amp;address(row(T26),column(T26)))"),"")</f>
        <v/>
      </c>
      <c r="U16" s="2" t="str">
        <f>IFERROR(__xludf.DUMMYFUNCTION("IMPORTRANGE($B$18,$B$19&amp;address(row($T$4),column($T$4))&amp;"":""&amp;address(row($T$4),column($T$4)))"),"")</f>
        <v/>
      </c>
      <c r="V16" s="2" t="str">
        <f>IFERROR(__xludf.DUMMYFUNCTION("IMPORTRANGE($B$18,$B$19&amp;address(row($T$7),column($T$7))&amp;"":""&amp;address(row($T$7),column($T$7)))"),"")</f>
        <v/>
      </c>
      <c r="W16" s="2" t="str">
        <f>IFERROR(__xludf.DUMMYFUNCTION("IMPORTRANGE($B$18,$B$19&amp;address(row($H$7),column($H$7))&amp;"":""&amp;address(row($H$7),column($H$7)))"),"")</f>
        <v/>
      </c>
      <c r="X16" s="2" t="str">
        <f>IFERROR(__xludf.DUMMYFUNCTION("IMPORTRANGE($B$18,$B$19&amp;address(row($I$7),column($I$7))&amp;"":""&amp;address(row($I$7),column($I$7)))"),"")</f>
        <v/>
      </c>
      <c r="Y16" s="2" t="str">
        <f>IFERROR(__xludf.DUMMYFUNCTION("IMPORTRANGE($B$18,$B$19&amp;address(row($C$5),column($C$5))&amp;"":""&amp;address(row($C$5),column($C$5)))"),"-")</f>
        <v>-</v>
      </c>
      <c r="Z16" s="86">
        <f>IFERROR(__xludf.DUMMYFUNCTION("IMPORTRANGE($B$18,$B$19&amp;address(row($I$4),column($I$4))&amp;"":""&amp;address(row($I$4),column($I$4)))"),45388.0)</f>
        <v>45388</v>
      </c>
      <c r="AA16" s="2" t="b">
        <f t="shared" si="3"/>
        <v>0</v>
      </c>
    </row>
    <row r="17">
      <c r="A17" s="2" t="str">
        <f>IFERROR(__xludf.DUMMYFUNCTION("IMPORTRANGE($B$18,$B$19&amp;address(row(B27),column(B27))&amp;"":""&amp;address(row(B27),column(B27)))"),"")</f>
        <v/>
      </c>
      <c r="B17" s="2" t="str">
        <f>IFERROR(__xludf.DUMMYFUNCTION("IMPORTRANGE($B$18,$B$19&amp;address(row(E27),column(E27))&amp;"":""&amp;address(row(E27),column(E27)))"),"")</f>
        <v/>
      </c>
      <c r="C17" s="1">
        <f t="shared" si="1"/>
        <v>5</v>
      </c>
      <c r="D17" s="89" t="str">
        <f>IFERROR(__xludf.DUMMYFUNCTION("IMPORTRANGE($B$18,$B$19&amp;address(row($I$3),column($I$3))&amp;"":""&amp;address(row($I$3),column($I$3)))"),"Wandsworth Borough 5s")</f>
        <v>Wandsworth Borough 5s</v>
      </c>
      <c r="E1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7" s="2" t="str">
        <f>IFERROR(__xludf.DUMMYFUNCTION("IMPORTRANGE($B$18,$B$19&amp;address(row(I27),column(I27))&amp;"":""&amp;address(row(I27),column(I27)))"),"")</f>
        <v/>
      </c>
      <c r="G17" s="2" t="str">
        <f>IFERROR(__xludf.DUMMYFUNCTION("IMPORTRANGE($B$18,$B$19&amp;address(row(J27),column(J27))&amp;"":""&amp;address(row(J27),column(J27)))"),"")</f>
        <v/>
      </c>
      <c r="H17" s="1" t="str">
        <f>IFERROR(__xludf.DUMMYFUNCTION("IMPORTRANGE($B$18,$B$19&amp;address(row($I$7),column($I$7))&amp;"":""&amp;address(row($I$7),column($I$7)))"),"")</f>
        <v/>
      </c>
      <c r="I17" s="2" t="str">
        <f>IFERROR(__xludf.DUMMYFUNCTION("IMPORTRANGE($B$18,$B$19&amp;address(row(N27),column(N27))&amp;"":""&amp;address(row(N27),column(N27)))"),"")</f>
        <v/>
      </c>
      <c r="J17" s="2" t="str">
        <f>IFERROR(__xludf.DUMMYFUNCTION("IMPORTRANGE($B$18,$B$19&amp;address(row(O27),column(O27))&amp;"":""&amp;address(row(O27),column(O27)))"),"")</f>
        <v/>
      </c>
      <c r="K17" s="2" t="str">
        <f>IFERROR(__xludf.DUMMYFUNCTION("IMPORTRANGE($B$18,$B$19&amp;address(row(P27),column(P27))&amp;"":""&amp;address(row(P27),column(P27)))"),"")</f>
        <v/>
      </c>
      <c r="L17" s="2" t="b">
        <f t="shared" si="2"/>
        <v>1</v>
      </c>
      <c r="M17" s="2" t="str">
        <f>IFERROR(__xludf.DUMMYFUNCTION("IMPORTRANGE($B$18,$B$19&amp;address(row(L27),column(L27))&amp;"":""&amp;address(row(L27),column(L27)))"),"")</f>
        <v/>
      </c>
      <c r="N17" s="2" t="str">
        <f>IFERROR(__xludf.DUMMYFUNCTION("IMPORTRANGE($B$18,$B$19&amp;address(row(K27),column(K27))&amp;"":""&amp;address(row(K27),column(K27)))"),"")</f>
        <v/>
      </c>
      <c r="O17" s="2" t="str">
        <f>IFERROR(__xludf.DUMMYFUNCTION("IMPORTRANGE($B$18,$B$19&amp;address(row(M27),column(M27))&amp;"":""&amp;address(row(M27),column(M27)))"),"")</f>
        <v/>
      </c>
      <c r="P17" s="2">
        <f>IFERROR(__xludf.DUMMYFUNCTION("IF(IMPORTRANGE($B$18,$B$19&amp;address(row($Q$7),column($Q$7))&amp;"":""&amp;address(row($Q$7),column($Q$7)))=A17,1,0)"),1.0)</f>
        <v>1</v>
      </c>
      <c r="Q17" s="2" t="str">
        <f>IFERROR(__xludf.DUMMYFUNCTION("IMPORTRANGE($B$18,$B$19&amp;address(row(G27),column(G27))&amp;"":""&amp;address(row(G27),column(G27)))"),"")</f>
        <v/>
      </c>
      <c r="R17" s="2" t="str">
        <f>IFERROR(__xludf.DUMMYFUNCTION("IMPORTRANGE($B$18,$B$19&amp;address(row(H27),column(H27))&amp;"":""&amp;address(row(H27),column(H27)))"),"")</f>
        <v/>
      </c>
      <c r="S17" s="2" t="str">
        <f>IFERROR(__xludf.DUMMYFUNCTION("IMPORTRANGE($B$18,$B$19&amp;address(row(S27),column(S27))&amp;"":""&amp;address(row(S27),column(S27)))"),"")</f>
        <v/>
      </c>
      <c r="T17" s="2" t="str">
        <f>IFERROR(__xludf.DUMMYFUNCTION("IMPORTRANGE($B$18,$B$19&amp;address(row(T27),column(T27))&amp;"":""&amp;address(row(T27),column(T27)))"),"")</f>
        <v/>
      </c>
      <c r="U17" s="2" t="str">
        <f>IFERROR(__xludf.DUMMYFUNCTION("IMPORTRANGE($B$18,$B$19&amp;address(row($T$4),column($T$4))&amp;"":""&amp;address(row($T$4),column($T$4)))"),"")</f>
        <v/>
      </c>
      <c r="V17" s="2" t="str">
        <f>IFERROR(__xludf.DUMMYFUNCTION("IMPORTRANGE($B$18,$B$19&amp;address(row($T$7),column($T$7))&amp;"":""&amp;address(row($T$7),column($T$7)))"),"")</f>
        <v/>
      </c>
      <c r="W17" s="2" t="str">
        <f>IFERROR(__xludf.DUMMYFUNCTION("IMPORTRANGE($B$18,$B$19&amp;address(row($H$7),column($H$7))&amp;"":""&amp;address(row($H$7),column($H$7)))"),"")</f>
        <v/>
      </c>
      <c r="X17" s="2" t="str">
        <f>IFERROR(__xludf.DUMMYFUNCTION("IMPORTRANGE($B$18,$B$19&amp;address(row($I$7),column($I$7))&amp;"":""&amp;address(row($I$7),column($I$7)))"),"")</f>
        <v/>
      </c>
      <c r="Y17" s="2" t="str">
        <f>IFERROR(__xludf.DUMMYFUNCTION("IMPORTRANGE($B$18,$B$19&amp;address(row($C$5),column($C$5))&amp;"":""&amp;address(row($C$5),column($C$5)))"),"-")</f>
        <v>-</v>
      </c>
      <c r="Z17" s="86">
        <f>IFERROR(__xludf.DUMMYFUNCTION("IMPORTRANGE($B$18,$B$19&amp;address(row($I$4),column($I$4))&amp;"":""&amp;address(row($I$4),column($I$4)))"),45388.0)</f>
        <v>45388</v>
      </c>
      <c r="AA17" s="2" t="b">
        <f t="shared" si="3"/>
        <v>0</v>
      </c>
    </row>
    <row r="18">
      <c r="A18" s="1" t="s">
        <v>2258</v>
      </c>
      <c r="B18" s="87" t="s">
        <v>2268</v>
      </c>
      <c r="D18" s="2"/>
      <c r="E18" s="2"/>
      <c r="F18" s="2"/>
      <c r="G18" s="2"/>
      <c r="H18" s="2"/>
      <c r="I18" s="2"/>
      <c r="J18" s="2"/>
      <c r="K18" s="2"/>
      <c r="L18" s="2"/>
      <c r="M18" s="2"/>
      <c r="N18" s="2"/>
      <c r="O18" s="2"/>
      <c r="P18" s="2"/>
      <c r="Q18" s="2"/>
      <c r="R18" s="2"/>
      <c r="S18" s="2"/>
      <c r="T18" s="2"/>
      <c r="U18" s="2"/>
      <c r="V18" s="2"/>
      <c r="W18" s="2"/>
      <c r="X18" s="2"/>
    </row>
    <row r="19">
      <c r="A19" s="1" t="s">
        <v>2260</v>
      </c>
      <c r="B19" s="88" t="s">
        <v>2269</v>
      </c>
      <c r="C19" s="2"/>
      <c r="D19" s="2"/>
      <c r="E19" s="2"/>
      <c r="F19" s="2"/>
      <c r="G19" s="2"/>
      <c r="H19" s="2"/>
      <c r="I19" s="2"/>
      <c r="J19" s="2"/>
      <c r="K19" s="2"/>
      <c r="L19" s="2"/>
      <c r="M19" s="2"/>
      <c r="N19" s="2"/>
      <c r="O19" s="2"/>
      <c r="P19" s="2"/>
      <c r="Q19" s="2"/>
      <c r="R19" s="2"/>
      <c r="S19" s="2"/>
      <c r="T19" s="2"/>
      <c r="U19" s="2"/>
      <c r="V19" s="2"/>
      <c r="W19" s="2"/>
      <c r="X19" s="2"/>
    </row>
    <row r="20">
      <c r="A20" s="1" t="s">
        <v>32</v>
      </c>
      <c r="B20" s="1">
        <v>5.0</v>
      </c>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sheetData>
  <hyperlinks>
    <hyperlink r:id="rId1" location="gid=1926124634" ref="B18"/>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6.88"/>
    <col customWidth="1" min="8" max="8" width="14.13"/>
    <col customWidth="1" min="20" max="20" width="55.38"/>
  </cols>
  <sheetData>
    <row r="1" ht="17.25" customHeight="1">
      <c r="A1" s="2" t="str">
        <f>IFERROR(__xludf.DUMMYFUNCTION("IMPORTRANGE(B18,B19&amp;address(row(B11),column(B11))&amp;"":""&amp;address(row(B11),column(B11)))"),"Player Name")</f>
        <v>Player Name</v>
      </c>
      <c r="B1" s="2" t="str">
        <f>IFERROR(__xludf.DUMMYFUNCTION("IMPORTRANGE(B18,B19&amp;ADDRESS(row(E11),column(E11))&amp;"":""&amp;address(row(E11),column(E11)))"),"Position")</f>
        <v>Position</v>
      </c>
      <c r="C1" s="1" t="s">
        <v>199</v>
      </c>
      <c r="D1" s="1" t="s">
        <v>200</v>
      </c>
      <c r="E1" s="1" t="s">
        <v>201</v>
      </c>
      <c r="F1" s="63" t="s">
        <v>158</v>
      </c>
      <c r="G1" s="63" t="s">
        <v>159</v>
      </c>
      <c r="H1" s="63" t="s">
        <v>202</v>
      </c>
      <c r="I1" s="63" t="s">
        <v>203</v>
      </c>
      <c r="J1" s="63" t="s">
        <v>185</v>
      </c>
      <c r="K1" s="63" t="s">
        <v>204</v>
      </c>
      <c r="L1" s="63" t="s">
        <v>205</v>
      </c>
      <c r="M1" s="63" t="s">
        <v>206</v>
      </c>
      <c r="N1" s="63" t="s">
        <v>207</v>
      </c>
      <c r="O1" s="63" t="s">
        <v>208</v>
      </c>
      <c r="P1" s="63" t="s">
        <v>209</v>
      </c>
      <c r="Q1" s="61" t="s">
        <v>210</v>
      </c>
      <c r="R1" s="61" t="s">
        <v>211</v>
      </c>
      <c r="S1" s="61" t="s">
        <v>212</v>
      </c>
      <c r="T1" s="61" t="s">
        <v>213</v>
      </c>
      <c r="U1" s="61" t="s">
        <v>214</v>
      </c>
      <c r="V1" s="61" t="s">
        <v>215</v>
      </c>
      <c r="W1" s="65" t="s">
        <v>2254</v>
      </c>
      <c r="X1" s="61" t="s">
        <v>2255</v>
      </c>
      <c r="Y1" s="61" t="s">
        <v>196</v>
      </c>
      <c r="Z1" s="61" t="s">
        <v>2256</v>
      </c>
      <c r="AA1" s="61" t="s">
        <v>2257</v>
      </c>
    </row>
    <row r="2" ht="17.25" customHeight="1">
      <c r="A2" s="2" t="str">
        <f>IFERROR(__xludf.DUMMYFUNCTION("IMPORTRANGE($B$18,$B$19&amp;address(row(B12),column(B12))&amp;"":""&amp;address(row(B12),column(B12)))"),"Martin Goodson")</f>
        <v>Martin Goodson</v>
      </c>
      <c r="B2" s="2" t="str">
        <f>IFERROR(__xludf.DUMMYFUNCTION("IMPORTRANGE($B$18,$B$19&amp;address(row(E12),column(E12))&amp;"":""&amp;address(row(E12),column(E12)))"),"GK")</f>
        <v>GK</v>
      </c>
      <c r="C2" s="1">
        <f t="shared" ref="C2:C17" si="1">$B$20</f>
        <v>6</v>
      </c>
      <c r="D2" s="2" t="str">
        <f>IFERROR(__xludf.DUMMYFUNCTION("IMPORTRANGE($B$18,$B$19&amp;address(row($I$3),column($I$3))&amp;"":""&amp;address(row($I$3),column($I$3)))"),"Reigatians 5s")</f>
        <v>Reigatians 5s</v>
      </c>
      <c r="E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2" s="2" t="str">
        <f>IFERROR(__xludf.DUMMYFUNCTION("IMPORTRANGE($B$18,$B$19&amp;address(row(I12),column(I12))&amp;"":""&amp;address(row(I12),column(I12)))"),"")</f>
        <v/>
      </c>
      <c r="G2" s="2" t="str">
        <f>IFERROR(__xludf.DUMMYFUNCTION("IMPORTRANGE($B$18,$B$19&amp;address(row(J12),column(J12))&amp;"":""&amp;address(row(J12),column(J12)))"),"")</f>
        <v/>
      </c>
      <c r="H2" s="1">
        <f>IFERROR(__xludf.DUMMYFUNCTION("IMPORTRANGE($B$18,$B$19&amp;address(row($I$7),column($I$7))&amp;"":""&amp;address(row($I$7),column($I$7)))"),0.0)</f>
        <v>0</v>
      </c>
      <c r="I2" s="2" t="str">
        <f>IFERROR(__xludf.DUMMYFUNCTION("IMPORTRANGE($B$18,$B$19&amp;address(row(N12),column(N12))&amp;"":""&amp;address(row(N12),column(N12)))"),"")</f>
        <v/>
      </c>
      <c r="J2" s="2" t="str">
        <f>IFERROR(__xludf.DUMMYFUNCTION("IMPORTRANGE($B$18,$B$19&amp;address(row(O12),column(O12))&amp;"":""&amp;address(row(O12),column(O12)))"),"")</f>
        <v/>
      </c>
      <c r="K2" s="2" t="str">
        <f>IFERROR(__xludf.DUMMYFUNCTION("IMPORTRANGE($B$18,$B$19&amp;address(row(P12),column(P12))&amp;"":""&amp;address(row(P12),column(P12)))"),"")</f>
        <v/>
      </c>
      <c r="L2" s="2" t="b">
        <f t="shared" ref="L2:L17" si="2">H2=0</f>
        <v>1</v>
      </c>
      <c r="M2" s="2" t="str">
        <f>IFERROR(__xludf.DUMMYFUNCTION("IMPORTRANGE($B$18,$B$19&amp;address(row(L12),column(L12))&amp;"":""&amp;address(row(L12),column(L12)))"),"")</f>
        <v/>
      </c>
      <c r="N2" s="2" t="str">
        <f>IFERROR(__xludf.DUMMYFUNCTION("IMPORTRANGE($B$18,$B$19&amp;address(row(K12),column(K12))&amp;"":""&amp;address(row(K12),column(K12)))"),"")</f>
        <v/>
      </c>
      <c r="O2" s="2" t="str">
        <f>IFERROR(__xludf.DUMMYFUNCTION("IMPORTRANGE($B$18,$B$19&amp;address(row(M12),column(M12))&amp;"":""&amp;address(row(M12),column(M12)))"),"")</f>
        <v/>
      </c>
      <c r="P2" s="2">
        <f>IFERROR(__xludf.DUMMYFUNCTION("IF(IMPORTRANGE($B$18,$B$19&amp;address(row($Q$7),column($Q$7))&amp;"":""&amp;address(row($Q$7),column($Q$7)))=A2,1,0)"),0.0)</f>
        <v>0</v>
      </c>
      <c r="Q2" s="2" t="b">
        <f>IFERROR(__xludf.DUMMYFUNCTION("IMPORTRANGE($B$18,$B$19&amp;address(row(G12),column(G12))&amp;"":""&amp;address(row(G12),column(G12)))"),TRUE)</f>
        <v>1</v>
      </c>
      <c r="R2" s="2">
        <f>IFERROR(__xludf.DUMMYFUNCTION("IMPORTRANGE($B$18,$B$19&amp;address(row(H12),column(H12))&amp;"":""&amp;address(row(H12),column(H12)))"),0.0)</f>
        <v>0</v>
      </c>
      <c r="S2" s="2">
        <f>IFERROR(__xludf.DUMMYFUNCTION("IMPORTRANGE($B$18,$B$19&amp;address(row(S12),column(S12))&amp;"":""&amp;address(row(S12),column(S12)))"),7.5)</f>
        <v>7.5</v>
      </c>
      <c r="T2" s="2" t="str">
        <f>IFERROR(__xludf.DUMMYFUNCTION("IMPORTRANGE($B$18,$B$19&amp;address(row(T12),column(T12))&amp;"":""&amp;address(row(T12),column(T12)))"),"First clean sheet since '21. That's not made up, I've tried to find a more recent clean sheet
of his but it doesent seem to exist. Made a good 1 vs 1 save after an error from yours truly.")</f>
        <v>First clean sheet since '21. That's not made up, I've tried to find a more recent clean sheet
of his but it doesent seem to exist. Made a good 1 vs 1 save after an error from yours truly.</v>
      </c>
      <c r="U2" s="2" t="str">
        <f>IFERROR(__xludf.DUMMYFUNCTION("IMPORTRANGE($B$18,$B$19&amp;address(row($T$4),column($T$4))&amp;"":""&amp;address(row($T$4),column($T$4)))"),"4-1-2-3")</f>
        <v>4-1-2-3</v>
      </c>
      <c r="V2"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2" s="2">
        <f>IFERROR(__xludf.DUMMYFUNCTION("IMPORTRANGE($B$18,$B$19&amp;address(row($H$7),column($H$7))&amp;"":""&amp;address(row($H$7),column($H$7)))"),1.0)</f>
        <v>1</v>
      </c>
      <c r="X2" s="2">
        <f>IFERROR(__xludf.DUMMYFUNCTION("IMPORTRANGE($B$18,$B$19&amp;address(row($I$7),column($I$7))&amp;"":""&amp;address(row($I$7),column($I$7)))"),0.0)</f>
        <v>0</v>
      </c>
      <c r="Y2" s="2" t="str">
        <f>IFERROR(__xludf.DUMMYFUNCTION("IMPORTRANGE($B$18,$B$19&amp;address(row($C$5),column($C$5))&amp;"":""&amp;address(row($C$5),column($C$5)))"),"South 5")</f>
        <v>South 5</v>
      </c>
      <c r="Z2" s="86">
        <f>IFERROR(__xludf.DUMMYFUNCTION("IMPORTRANGE($B$18,$B$19&amp;address(row($I$4),column($I$4))&amp;"":""&amp;address(row($I$4),column($I$4)))"),45395.0)</f>
        <v>45395</v>
      </c>
      <c r="AA2" s="2" t="b">
        <f t="shared" ref="AA2:AA17" si="3">NOT(ISBLANK(A2))</f>
        <v>1</v>
      </c>
    </row>
    <row r="3" ht="17.25" customHeight="1">
      <c r="A3" s="2" t="str">
        <f>IFERROR(__xludf.DUMMYFUNCTION("IMPORTRANGE($B$18,$B$19&amp;address(row(B13),column(B13))&amp;"":""&amp;address(row(B13),column(B13)))"),"Ade Lawal")</f>
        <v>Ade Lawal</v>
      </c>
      <c r="B3" s="2" t="str">
        <f>IFERROR(__xludf.DUMMYFUNCTION("IMPORTRANGE($B$18,$B$19&amp;address(row(E13),column(E13))&amp;"":""&amp;address(row(E13),column(E13)))"),"CB")</f>
        <v>CB</v>
      </c>
      <c r="C3" s="1">
        <f t="shared" si="1"/>
        <v>6</v>
      </c>
      <c r="D3" s="2" t="str">
        <f>IFERROR(__xludf.DUMMYFUNCTION("IMPORTRANGE($B$18,$B$19&amp;address(row($I$3),column($I$3))&amp;"":""&amp;address(row($I$3),column($I$3)))"),"Reigatians 5s")</f>
        <v>Reigatians 5s</v>
      </c>
      <c r="E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3" s="2" t="str">
        <f>IFERROR(__xludf.DUMMYFUNCTION("IMPORTRANGE($B$18,$B$19&amp;address(row(I13),column(I13))&amp;"":""&amp;address(row(I13),column(I13)))"),"")</f>
        <v/>
      </c>
      <c r="G3" s="2" t="str">
        <f>IFERROR(__xludf.DUMMYFUNCTION("IMPORTRANGE($B$18,$B$19&amp;address(row(J13),column(J13))&amp;"":""&amp;address(row(J13),column(J13)))"),"")</f>
        <v/>
      </c>
      <c r="H3" s="1">
        <f>IFERROR(__xludf.DUMMYFUNCTION("IMPORTRANGE($B$18,$B$19&amp;address(row($I$7),column($I$7))&amp;"":""&amp;address(row($I$7),column($I$7)))"),0.0)</f>
        <v>0</v>
      </c>
      <c r="I3" s="2" t="str">
        <f>IFERROR(__xludf.DUMMYFUNCTION("IMPORTRANGE($B$18,$B$19&amp;address(row(N13),column(N13))&amp;"":""&amp;address(row(N13),column(N13)))"),"")</f>
        <v/>
      </c>
      <c r="J3" s="2" t="str">
        <f>IFERROR(__xludf.DUMMYFUNCTION("IMPORTRANGE($B$18,$B$19&amp;address(row(O13),column(O13))&amp;"":""&amp;address(row(O13),column(O13)))"),"")</f>
        <v/>
      </c>
      <c r="K3" s="2" t="str">
        <f>IFERROR(__xludf.DUMMYFUNCTION("IMPORTRANGE($B$18,$B$19&amp;address(row(P13),column(P13))&amp;"":""&amp;address(row(P13),column(P13)))"),"")</f>
        <v/>
      </c>
      <c r="L3" s="2" t="b">
        <f t="shared" si="2"/>
        <v>1</v>
      </c>
      <c r="M3" s="2" t="str">
        <f>IFERROR(__xludf.DUMMYFUNCTION("IMPORTRANGE($B$18,$B$19&amp;address(row(L13),column(L13))&amp;"":""&amp;address(row(L13),column(L13)))"),"")</f>
        <v/>
      </c>
      <c r="N3" s="2" t="str">
        <f>IFERROR(__xludf.DUMMYFUNCTION("IMPORTRANGE($B$18,$B$19&amp;address(row(K13),column(K13))&amp;"":""&amp;address(row(K13),column(K13)))"),"")</f>
        <v/>
      </c>
      <c r="O3" s="2" t="str">
        <f>IFERROR(__xludf.DUMMYFUNCTION("IMPORTRANGE($B$18,$B$19&amp;address(row(M13),column(M13))&amp;"":""&amp;address(row(M13),column(M13)))"),"")</f>
        <v/>
      </c>
      <c r="P3" s="2">
        <f>IFERROR(__xludf.DUMMYFUNCTION("IF(IMPORTRANGE($B$18,$B$19&amp;address(row($Q$7),column($Q$7))&amp;"":""&amp;address(row($Q$7),column($Q$7)))=A3,1,0)"),0.0)</f>
        <v>0</v>
      </c>
      <c r="Q3" s="2" t="str">
        <f>IFERROR(__xludf.DUMMYFUNCTION("IMPORTRANGE($B$18,$B$19&amp;address(row(G13),column(G13))&amp;"":""&amp;address(row(G13),column(G13)))"),"")</f>
        <v/>
      </c>
      <c r="R3" s="2">
        <f>IFERROR(__xludf.DUMMYFUNCTION("IMPORTRANGE($B$18,$B$19&amp;address(row(H13),column(H13))&amp;"":""&amp;address(row(H13),column(H13)))"),10.0)</f>
        <v>10</v>
      </c>
      <c r="S3" s="2">
        <f>IFERROR(__xludf.DUMMYFUNCTION("IMPORTRANGE($B$18,$B$19&amp;address(row(S13),column(S13))&amp;"":""&amp;address(row(S13),column(S13)))"),7.0)</f>
        <v>7</v>
      </c>
      <c r="T3" s="2" t="str">
        <f>IFERROR(__xludf.DUMMYFUNCTION("IMPORTRANGE($B$18,$B$19&amp;address(row(T13),column(T13))&amp;"":""&amp;address(row(T13),column(T13)))"),"did ok but lets the ball bounce too often when he should attack it, also a bit too causal on the 
ball for my liking in the 6s, likes to pass backwards and spends too much time joking around on pitch.")</f>
        <v>did ok but lets the ball bounce too often when he should attack it, also a bit too causal on the 
ball for my liking in the 6s, likes to pass backwards and spends too much time joking around on pitch.</v>
      </c>
      <c r="U3" s="2" t="str">
        <f>IFERROR(__xludf.DUMMYFUNCTION("IMPORTRANGE($B$18,$B$19&amp;address(row($T$4),column($T$4))&amp;"":""&amp;address(row($T$4),column($T$4)))"),"4-1-2-3")</f>
        <v>4-1-2-3</v>
      </c>
      <c r="V3"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3" s="2">
        <f>IFERROR(__xludf.DUMMYFUNCTION("IMPORTRANGE($B$18,$B$19&amp;address(row($H$7),column($H$7))&amp;"":""&amp;address(row($H$7),column($H$7)))"),1.0)</f>
        <v>1</v>
      </c>
      <c r="X3" s="2">
        <f>IFERROR(__xludf.DUMMYFUNCTION("IMPORTRANGE($B$18,$B$19&amp;address(row($I$7),column($I$7))&amp;"":""&amp;address(row($I$7),column($I$7)))"),0.0)</f>
        <v>0</v>
      </c>
      <c r="Y3" s="2" t="str">
        <f>IFERROR(__xludf.DUMMYFUNCTION("IMPORTRANGE($B$18,$B$19&amp;address(row($C$5),column($C$5))&amp;"":""&amp;address(row($C$5),column($C$5)))"),"South 5")</f>
        <v>South 5</v>
      </c>
      <c r="Z3" s="86">
        <f>IFERROR(__xludf.DUMMYFUNCTION("IMPORTRANGE($B$18,$B$19&amp;address(row($I$4),column($I$4))&amp;"":""&amp;address(row($I$4),column($I$4)))"),45395.0)</f>
        <v>45395</v>
      </c>
      <c r="AA3" s="2" t="b">
        <f t="shared" si="3"/>
        <v>1</v>
      </c>
    </row>
    <row r="4" ht="17.25" customHeight="1">
      <c r="A4" s="2" t="str">
        <f>IFERROR(__xludf.DUMMYFUNCTION("IMPORTRANGE($B$18,$B$19&amp;address(row(B14),column(B14))&amp;"":""&amp;address(row(B14),column(B14)))"),"Daniel Sheehan")</f>
        <v>Daniel Sheehan</v>
      </c>
      <c r="B4" s="2" t="str">
        <f>IFERROR(__xludf.DUMMYFUNCTION("IMPORTRANGE($B$18,$B$19&amp;address(row(E14),column(E14))&amp;"":""&amp;address(row(E14),column(E14)))"),"RW")</f>
        <v>RW</v>
      </c>
      <c r="C4" s="1">
        <f t="shared" si="1"/>
        <v>6</v>
      </c>
      <c r="D4" s="2" t="str">
        <f>IFERROR(__xludf.DUMMYFUNCTION("IMPORTRANGE($B$18,$B$19&amp;address(row($I$3),column($I$3))&amp;"":""&amp;address(row($I$3),column($I$3)))"),"Reigatians 5s")</f>
        <v>Reigatians 5s</v>
      </c>
      <c r="E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4" s="2" t="str">
        <f>IFERROR(__xludf.DUMMYFUNCTION("IMPORTRANGE($B$18,$B$19&amp;address(row(I14),column(I14))&amp;"":""&amp;address(row(I14),column(I14)))"),"")</f>
        <v/>
      </c>
      <c r="G4" s="2" t="str">
        <f>IFERROR(__xludf.DUMMYFUNCTION("IMPORTRANGE($B$18,$B$19&amp;address(row(J14),column(J14))&amp;"":""&amp;address(row(J14),column(J14)))"),"")</f>
        <v/>
      </c>
      <c r="H4" s="1">
        <f>IFERROR(__xludf.DUMMYFUNCTION("IMPORTRANGE($B$18,$B$19&amp;address(row($I$7),column($I$7))&amp;"":""&amp;address(row($I$7),column($I$7)))"),0.0)</f>
        <v>0</v>
      </c>
      <c r="I4" s="2" t="str">
        <f>IFERROR(__xludf.DUMMYFUNCTION("IMPORTRANGE($B$18,$B$19&amp;address(row(N14),column(N14))&amp;"":""&amp;address(row(N14),column(N14)))"),"")</f>
        <v/>
      </c>
      <c r="J4" s="2" t="str">
        <f>IFERROR(__xludf.DUMMYFUNCTION("IMPORTRANGE($B$18,$B$19&amp;address(row(O14),column(O14))&amp;"":""&amp;address(row(O14),column(O14)))"),"")</f>
        <v/>
      </c>
      <c r="K4" s="2" t="str">
        <f>IFERROR(__xludf.DUMMYFUNCTION("IMPORTRANGE($B$18,$B$19&amp;address(row(P14),column(P14))&amp;"":""&amp;address(row(P14),column(P14)))"),"")</f>
        <v/>
      </c>
      <c r="L4" s="2" t="b">
        <f t="shared" si="2"/>
        <v>1</v>
      </c>
      <c r="M4" s="2" t="str">
        <f>IFERROR(__xludf.DUMMYFUNCTION("IMPORTRANGE($B$18,$B$19&amp;address(row(L14),column(L14))&amp;"":""&amp;address(row(L14),column(L14)))"),"")</f>
        <v/>
      </c>
      <c r="N4" s="2" t="str">
        <f>IFERROR(__xludf.DUMMYFUNCTION("IMPORTRANGE($B$18,$B$19&amp;address(row(K14),column(K14))&amp;"":""&amp;address(row(K14),column(K14)))"),"")</f>
        <v/>
      </c>
      <c r="O4" s="2" t="str">
        <f>IFERROR(__xludf.DUMMYFUNCTION("IMPORTRANGE($B$18,$B$19&amp;address(row(M14),column(M14))&amp;"":""&amp;address(row(M14),column(M14)))"),"")</f>
        <v/>
      </c>
      <c r="P4" s="2">
        <f>IFERROR(__xludf.DUMMYFUNCTION("IF(IMPORTRANGE($B$18,$B$19&amp;address(row($Q$7),column($Q$7))&amp;"":""&amp;address(row($Q$7),column($Q$7)))=A4,1,0)"),0.0)</f>
        <v>0</v>
      </c>
      <c r="Q4" s="2" t="str">
        <f>IFERROR(__xludf.DUMMYFUNCTION("IMPORTRANGE($B$18,$B$19&amp;address(row(G14),column(G14))&amp;"":""&amp;address(row(G14),column(G14)))"),"")</f>
        <v/>
      </c>
      <c r="R4" s="2">
        <f>IFERROR(__xludf.DUMMYFUNCTION("IMPORTRANGE($B$18,$B$19&amp;address(row(H14),column(H14))&amp;"":""&amp;address(row(H14),column(H14)))"),10.0)</f>
        <v>10</v>
      </c>
      <c r="S4" s="2">
        <f>IFERROR(__xludf.DUMMYFUNCTION("IMPORTRANGE($B$18,$B$19&amp;address(row(S14),column(S14))&amp;"":""&amp;address(row(S14),column(S14)))"),7.5)</f>
        <v>7.5</v>
      </c>
      <c r="T4" s="2" t="str">
        <f>IFERROR(__xludf.DUMMYFUNCTION("IMPORTRANGE($B$18,$B$19&amp;address(row(T14),column(T14))&amp;"":""&amp;address(row(T14),column(T14)))"),"had to play him outwide to accomodate tali and matt, he did well and had some nice linkage
with robbo on the right- at time needlessly gave the ball back to oppo with 40 yard pings.
created a couple chances late on which a poacher would of loved.")</f>
        <v>had to play him outwide to accomodate tali and matt, he did well and had some nice linkage
with robbo on the right- at time needlessly gave the ball back to oppo with 40 yard pings.
created a couple chances late on which a poacher would of loved.</v>
      </c>
      <c r="U4" s="2" t="str">
        <f>IFERROR(__xludf.DUMMYFUNCTION("IMPORTRANGE($B$18,$B$19&amp;address(row($T$4),column($T$4))&amp;"":""&amp;address(row($T$4),column($T$4)))"),"4-1-2-3")</f>
        <v>4-1-2-3</v>
      </c>
      <c r="V4"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4" s="2">
        <f>IFERROR(__xludf.DUMMYFUNCTION("IMPORTRANGE($B$18,$B$19&amp;address(row($H$7),column($H$7))&amp;"":""&amp;address(row($H$7),column($H$7)))"),1.0)</f>
        <v>1</v>
      </c>
      <c r="X4" s="2">
        <f>IFERROR(__xludf.DUMMYFUNCTION("IMPORTRANGE($B$18,$B$19&amp;address(row($I$7),column($I$7))&amp;"":""&amp;address(row($I$7),column($I$7)))"),0.0)</f>
        <v>0</v>
      </c>
      <c r="Y4" s="2" t="str">
        <f>IFERROR(__xludf.DUMMYFUNCTION("IMPORTRANGE($B$18,$B$19&amp;address(row($C$5),column($C$5))&amp;"":""&amp;address(row($C$5),column($C$5)))"),"South 5")</f>
        <v>South 5</v>
      </c>
      <c r="Z4" s="86">
        <f>IFERROR(__xludf.DUMMYFUNCTION("IMPORTRANGE($B$18,$B$19&amp;address(row($I$4),column($I$4))&amp;"":""&amp;address(row($I$4),column($I$4)))"),45395.0)</f>
        <v>45395</v>
      </c>
      <c r="AA4" s="2" t="b">
        <f t="shared" si="3"/>
        <v>1</v>
      </c>
    </row>
    <row r="5" ht="17.25" customHeight="1">
      <c r="A5" s="2" t="str">
        <f>IFERROR(__xludf.DUMMYFUNCTION("IMPORTRANGE($B$18,$B$19&amp;address(row(B15),column(B15))&amp;"":""&amp;address(row(B15),column(B15)))"),"Emi Muhadri")</f>
        <v>Emi Muhadri</v>
      </c>
      <c r="B5" s="2" t="str">
        <f>IFERROR(__xludf.DUMMYFUNCTION("IMPORTRANGE($B$18,$B$19&amp;address(row(E15),column(E15))&amp;"":""&amp;address(row(E15),column(E15)))"),"LW")</f>
        <v>LW</v>
      </c>
      <c r="C5" s="1">
        <f t="shared" si="1"/>
        <v>6</v>
      </c>
      <c r="D5" s="2" t="str">
        <f>IFERROR(__xludf.DUMMYFUNCTION("IMPORTRANGE($B$18,$B$19&amp;address(row($I$3),column($I$3))&amp;"":""&amp;address(row($I$3),column($I$3)))"),"Reigatians 5s")</f>
        <v>Reigatians 5s</v>
      </c>
      <c r="E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5" s="2" t="str">
        <f>IFERROR(__xludf.DUMMYFUNCTION("IMPORTRANGE($B$18,$B$19&amp;address(row(I15),column(I15))&amp;"":""&amp;address(row(I15),column(I15)))"),"")</f>
        <v/>
      </c>
      <c r="G5" s="2" t="str">
        <f>IFERROR(__xludf.DUMMYFUNCTION("IMPORTRANGE($B$18,$B$19&amp;address(row(J15),column(J15))&amp;"":""&amp;address(row(J15),column(J15)))"),"")</f>
        <v/>
      </c>
      <c r="H5" s="1">
        <f>IFERROR(__xludf.DUMMYFUNCTION("IMPORTRANGE($B$18,$B$19&amp;address(row($I$7),column($I$7))&amp;"":""&amp;address(row($I$7),column($I$7)))"),0.0)</f>
        <v>0</v>
      </c>
      <c r="I5" s="2" t="str">
        <f>IFERROR(__xludf.DUMMYFUNCTION("IMPORTRANGE($B$18,$B$19&amp;address(row(N15),column(N15))&amp;"":""&amp;address(row(N15),column(N15)))"),"")</f>
        <v/>
      </c>
      <c r="J5" s="2" t="str">
        <f>IFERROR(__xludf.DUMMYFUNCTION("IMPORTRANGE($B$18,$B$19&amp;address(row(O15),column(O15))&amp;"":""&amp;address(row(O15),column(O15)))"),"")</f>
        <v/>
      </c>
      <c r="K5" s="2" t="str">
        <f>IFERROR(__xludf.DUMMYFUNCTION("IMPORTRANGE($B$18,$B$19&amp;address(row(P15),column(P15))&amp;"":""&amp;address(row(P15),column(P15)))"),"")</f>
        <v/>
      </c>
      <c r="L5" s="2" t="b">
        <f t="shared" si="2"/>
        <v>1</v>
      </c>
      <c r="M5" s="2" t="str">
        <f>IFERROR(__xludf.DUMMYFUNCTION("IMPORTRANGE($B$18,$B$19&amp;address(row(L15),column(L15))&amp;"":""&amp;address(row(L15),column(L15)))"),"")</f>
        <v/>
      </c>
      <c r="N5" s="2" t="str">
        <f>IFERROR(__xludf.DUMMYFUNCTION("IMPORTRANGE($B$18,$B$19&amp;address(row(K15),column(K15))&amp;"":""&amp;address(row(K15),column(K15)))"),"")</f>
        <v/>
      </c>
      <c r="O5" s="2" t="str">
        <f>IFERROR(__xludf.DUMMYFUNCTION("IMPORTRANGE($B$18,$B$19&amp;address(row(M15),column(M15))&amp;"":""&amp;address(row(M15),column(M15)))"),"")</f>
        <v/>
      </c>
      <c r="P5" s="2">
        <f>IFERROR(__xludf.DUMMYFUNCTION("IF(IMPORTRANGE($B$18,$B$19&amp;address(row($Q$7),column($Q$7))&amp;"":""&amp;address(row($Q$7),column($Q$7)))=A5,1,0)"),0.0)</f>
        <v>0</v>
      </c>
      <c r="Q5" s="2" t="str">
        <f>IFERROR(__xludf.DUMMYFUNCTION("IMPORTRANGE($B$18,$B$19&amp;address(row(G15),column(G15))&amp;"":""&amp;address(row(G15),column(G15)))"),"")</f>
        <v/>
      </c>
      <c r="R5" s="2">
        <f>IFERROR(__xludf.DUMMYFUNCTION("IMPORTRANGE($B$18,$B$19&amp;address(row(H15),column(H15))&amp;"":""&amp;address(row(H15),column(H15)))"),10.0)</f>
        <v>10</v>
      </c>
      <c r="S5" s="2">
        <f>IFERROR(__xludf.DUMMYFUNCTION("IMPORTRANGE($B$18,$B$19&amp;address(row(S15),column(S15))&amp;"":""&amp;address(row(S15),column(S15)))"),7.5)</f>
        <v>7.5</v>
      </c>
      <c r="T5" s="2" t="str">
        <f>IFERROR(__xludf.DUMMYFUNCTION("IMPORTRANGE($B$18,$B$19&amp;address(row(T15),column(T15))&amp;"":""&amp;address(row(T15),column(T15)))"),"started awful, got into a row with oppo and could not trap the football, clearly a mental
thing rather than ability. grew into game and took players on in better 2nd half.")</f>
        <v>started awful, got into a row with oppo and could not trap the football, clearly a mental
thing rather than ability. grew into game and took players on in better 2nd half.</v>
      </c>
      <c r="U5" s="2" t="str">
        <f>IFERROR(__xludf.DUMMYFUNCTION("IMPORTRANGE($B$18,$B$19&amp;address(row($T$4),column($T$4))&amp;"":""&amp;address(row($T$4),column($T$4)))"),"4-1-2-3")</f>
        <v>4-1-2-3</v>
      </c>
      <c r="V5"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5" s="2">
        <f>IFERROR(__xludf.DUMMYFUNCTION("IMPORTRANGE($B$18,$B$19&amp;address(row($H$7),column($H$7))&amp;"":""&amp;address(row($H$7),column($H$7)))"),1.0)</f>
        <v>1</v>
      </c>
      <c r="X5" s="2">
        <f>IFERROR(__xludf.DUMMYFUNCTION("IMPORTRANGE($B$18,$B$19&amp;address(row($I$7),column($I$7))&amp;"":""&amp;address(row($I$7),column($I$7)))"),0.0)</f>
        <v>0</v>
      </c>
      <c r="Y5" s="2" t="str">
        <f>IFERROR(__xludf.DUMMYFUNCTION("IMPORTRANGE($B$18,$B$19&amp;address(row($C$5),column($C$5))&amp;"":""&amp;address(row($C$5),column($C$5)))"),"South 5")</f>
        <v>South 5</v>
      </c>
      <c r="Z5" s="86">
        <f>IFERROR(__xludf.DUMMYFUNCTION("IMPORTRANGE($B$18,$B$19&amp;address(row($I$4),column($I$4))&amp;"":""&amp;address(row($I$4),column($I$4)))"),45395.0)</f>
        <v>45395</v>
      </c>
      <c r="AA5" s="2" t="b">
        <f t="shared" si="3"/>
        <v>1</v>
      </c>
    </row>
    <row r="6" ht="17.25" customHeight="1">
      <c r="A6" s="2" t="str">
        <f>IFERROR(__xludf.DUMMYFUNCTION("IMPORTRANGE($B$18,$B$19&amp;address(row(B16),column(B16))&amp;"":""&amp;address(row(B16),column(B16)))"),"George Havord")</f>
        <v>George Havord</v>
      </c>
      <c r="B6" s="2" t="str">
        <f>IFERROR(__xludf.DUMMYFUNCTION("IMPORTRANGE($B$18,$B$19&amp;address(row(E16),column(E16))&amp;"":""&amp;address(row(E16),column(E16)))"),"DCM")</f>
        <v>DCM</v>
      </c>
      <c r="C6" s="1">
        <f t="shared" si="1"/>
        <v>6</v>
      </c>
      <c r="D6" s="2" t="str">
        <f>IFERROR(__xludf.DUMMYFUNCTION("IMPORTRANGE($B$18,$B$19&amp;address(row($I$3),column($I$3))&amp;"":""&amp;address(row($I$3),column($I$3)))"),"Reigatians 5s")</f>
        <v>Reigatians 5s</v>
      </c>
      <c r="E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6" s="2" t="str">
        <f>IFERROR(__xludf.DUMMYFUNCTION("IMPORTRANGE($B$18,$B$19&amp;address(row(I16),column(I16))&amp;"":""&amp;address(row(I16),column(I16)))"),"")</f>
        <v/>
      </c>
      <c r="G6" s="2" t="str">
        <f>IFERROR(__xludf.DUMMYFUNCTION("IMPORTRANGE($B$18,$B$19&amp;address(row(J16),column(J16))&amp;"":""&amp;address(row(J16),column(J16)))"),"")</f>
        <v/>
      </c>
      <c r="H6" s="1">
        <f>IFERROR(__xludf.DUMMYFUNCTION("IMPORTRANGE($B$18,$B$19&amp;address(row($I$7),column($I$7))&amp;"":""&amp;address(row($I$7),column($I$7)))"),0.0)</f>
        <v>0</v>
      </c>
      <c r="I6" s="2" t="str">
        <f>IFERROR(__xludf.DUMMYFUNCTION("IMPORTRANGE($B$18,$B$19&amp;address(row(N16),column(N16))&amp;"":""&amp;address(row(N16),column(N16)))"),"")</f>
        <v/>
      </c>
      <c r="J6" s="2" t="str">
        <f>IFERROR(__xludf.DUMMYFUNCTION("IMPORTRANGE($B$18,$B$19&amp;address(row(O16),column(O16))&amp;"":""&amp;address(row(O16),column(O16)))"),"")</f>
        <v/>
      </c>
      <c r="K6" s="2" t="str">
        <f>IFERROR(__xludf.DUMMYFUNCTION("IMPORTRANGE($B$18,$B$19&amp;address(row(P16),column(P16))&amp;"":""&amp;address(row(P16),column(P16)))"),"")</f>
        <v/>
      </c>
      <c r="L6" s="2" t="b">
        <f t="shared" si="2"/>
        <v>1</v>
      </c>
      <c r="M6" s="2" t="str">
        <f>IFERROR(__xludf.DUMMYFUNCTION("IMPORTRANGE($B$18,$B$19&amp;address(row(L16),column(L16))&amp;"":""&amp;address(row(L16),column(L16)))"),"")</f>
        <v/>
      </c>
      <c r="N6" s="2" t="str">
        <f>IFERROR(__xludf.DUMMYFUNCTION("IMPORTRANGE($B$18,$B$19&amp;address(row(K16),column(K16))&amp;"":""&amp;address(row(K16),column(K16)))"),"")</f>
        <v/>
      </c>
      <c r="O6" s="2" t="str">
        <f>IFERROR(__xludf.DUMMYFUNCTION("IMPORTRANGE($B$18,$B$19&amp;address(row(M16),column(M16))&amp;"":""&amp;address(row(M16),column(M16)))"),"")</f>
        <v/>
      </c>
      <c r="P6" s="2">
        <f>IFERROR(__xludf.DUMMYFUNCTION("IF(IMPORTRANGE($B$18,$B$19&amp;address(row($Q$7),column($Q$7))&amp;"":""&amp;address(row($Q$7),column($Q$7)))=A6,1,0)"),0.0)</f>
        <v>0</v>
      </c>
      <c r="Q6" s="2" t="str">
        <f>IFERROR(__xludf.DUMMYFUNCTION("IMPORTRANGE($B$18,$B$19&amp;address(row(G16),column(G16))&amp;"":""&amp;address(row(G16),column(G16)))"),"")</f>
        <v/>
      </c>
      <c r="R6" s="2">
        <f>IFERROR(__xludf.DUMMYFUNCTION("IMPORTRANGE($B$18,$B$19&amp;address(row(H16),column(H16))&amp;"":""&amp;address(row(H16),column(H16)))"),10.0)</f>
        <v>10</v>
      </c>
      <c r="S6" s="2">
        <f>IFERROR(__xludf.DUMMYFUNCTION("IMPORTRANGE($B$18,$B$19&amp;address(row(S16),column(S16))&amp;"":""&amp;address(row(S16),column(S16)))"),7.5)</f>
        <v>7.5</v>
      </c>
      <c r="T6" s="2" t="str">
        <f>IFERROR(__xludf.DUMMYFUNCTION("IMPORTRANGE($B$18,$B$19&amp;address(row(T16),column(T16))&amp;"":""&amp;address(row(T16),column(T16)))"),"3 games for 6s, 3 wins. probably doesent have the fitness for cm and went missing a little
when played there, but better at dcm, good ball retention - put a shift in.")</f>
        <v>3 games for 6s, 3 wins. probably doesent have the fitness for cm and went missing a little
when played there, but better at dcm, good ball retention - put a shift in.</v>
      </c>
      <c r="U6" s="2" t="str">
        <f>IFERROR(__xludf.DUMMYFUNCTION("IMPORTRANGE($B$18,$B$19&amp;address(row($T$4),column($T$4))&amp;"":""&amp;address(row($T$4),column($T$4)))"),"4-1-2-3")</f>
        <v>4-1-2-3</v>
      </c>
      <c r="V6"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6" s="2">
        <f>IFERROR(__xludf.DUMMYFUNCTION("IMPORTRANGE($B$18,$B$19&amp;address(row($H$7),column($H$7))&amp;"":""&amp;address(row($H$7),column($H$7)))"),1.0)</f>
        <v>1</v>
      </c>
      <c r="X6" s="2">
        <f>IFERROR(__xludf.DUMMYFUNCTION("IMPORTRANGE($B$18,$B$19&amp;address(row($I$7),column($I$7))&amp;"":""&amp;address(row($I$7),column($I$7)))"),0.0)</f>
        <v>0</v>
      </c>
      <c r="Y6" s="2" t="str">
        <f>IFERROR(__xludf.DUMMYFUNCTION("IMPORTRANGE($B$18,$B$19&amp;address(row($C$5),column($C$5))&amp;"":""&amp;address(row($C$5),column($C$5)))"),"South 5")</f>
        <v>South 5</v>
      </c>
      <c r="Z6" s="86">
        <f>IFERROR(__xludf.DUMMYFUNCTION("IMPORTRANGE($B$18,$B$19&amp;address(row($I$4),column($I$4))&amp;"":""&amp;address(row($I$4),column($I$4)))"),45395.0)</f>
        <v>45395</v>
      </c>
      <c r="AA6" s="2" t="b">
        <f t="shared" si="3"/>
        <v>1</v>
      </c>
    </row>
    <row r="7" ht="28.5" customHeight="1">
      <c r="A7" s="2" t="str">
        <f>IFERROR(__xludf.DUMMYFUNCTION("IMPORTRANGE($B$18,$B$19&amp;address(row(B17),column(B17))&amp;"":""&amp;address(row(B17),column(B17)))"),"James Timmins")</f>
        <v>James Timmins</v>
      </c>
      <c r="B7" s="2" t="str">
        <f>IFERROR(__xludf.DUMMYFUNCTION("IMPORTRANGE($B$18,$B$19&amp;address(row(E17),column(E17))&amp;"":""&amp;address(row(E17),column(E17)))"),"LB")</f>
        <v>LB</v>
      </c>
      <c r="C7" s="1">
        <f t="shared" si="1"/>
        <v>6</v>
      </c>
      <c r="D7" s="2" t="str">
        <f>IFERROR(__xludf.DUMMYFUNCTION("IMPORTRANGE($B$18,$B$19&amp;address(row($I$3),column($I$3))&amp;"":""&amp;address(row($I$3),column($I$3)))"),"Reigatians 5s")</f>
        <v>Reigatians 5s</v>
      </c>
      <c r="E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7" s="2" t="str">
        <f>IFERROR(__xludf.DUMMYFUNCTION("IMPORTRANGE($B$18,$B$19&amp;address(row(I17),column(I17))&amp;"":""&amp;address(row(I17),column(I17)))"),"")</f>
        <v/>
      </c>
      <c r="G7" s="2" t="str">
        <f>IFERROR(__xludf.DUMMYFUNCTION("IMPORTRANGE($B$18,$B$19&amp;address(row(J17),column(J17))&amp;"":""&amp;address(row(J17),column(J17)))"),"")</f>
        <v/>
      </c>
      <c r="H7" s="1">
        <f>IFERROR(__xludf.DUMMYFUNCTION("IMPORTRANGE($B$18,$B$19&amp;address(row($I$7),column($I$7))&amp;"":""&amp;address(row($I$7),column($I$7)))"),0.0)</f>
        <v>0</v>
      </c>
      <c r="I7" s="2" t="str">
        <f>IFERROR(__xludf.DUMMYFUNCTION("IMPORTRANGE($B$18,$B$19&amp;address(row(N17),column(N17))&amp;"":""&amp;address(row(N17),column(N17)))"),"")</f>
        <v/>
      </c>
      <c r="J7" s="2" t="str">
        <f>IFERROR(__xludf.DUMMYFUNCTION("IMPORTRANGE($B$18,$B$19&amp;address(row(O17),column(O17))&amp;"":""&amp;address(row(O17),column(O17)))"),"")</f>
        <v/>
      </c>
      <c r="K7" s="2" t="str">
        <f>IFERROR(__xludf.DUMMYFUNCTION("IMPORTRANGE($B$18,$B$19&amp;address(row(P17),column(P17))&amp;"":""&amp;address(row(P17),column(P17)))"),"")</f>
        <v/>
      </c>
      <c r="L7" s="2" t="b">
        <f t="shared" si="2"/>
        <v>1</v>
      </c>
      <c r="M7" s="2" t="str">
        <f>IFERROR(__xludf.DUMMYFUNCTION("IMPORTRANGE($B$18,$B$19&amp;address(row(L17),column(L17))&amp;"":""&amp;address(row(L17),column(L17)))"),"")</f>
        <v/>
      </c>
      <c r="N7" s="2" t="str">
        <f>IFERROR(__xludf.DUMMYFUNCTION("IMPORTRANGE($B$18,$B$19&amp;address(row(K17),column(K17))&amp;"":""&amp;address(row(K17),column(K17)))"),"")</f>
        <v/>
      </c>
      <c r="O7" s="2" t="str">
        <f>IFERROR(__xludf.DUMMYFUNCTION("IMPORTRANGE($B$18,$B$19&amp;address(row(M17),column(M17))&amp;"":""&amp;address(row(M17),column(M17)))"),"")</f>
        <v/>
      </c>
      <c r="P7" s="2">
        <f>IFERROR(__xludf.DUMMYFUNCTION("IF(IMPORTRANGE($B$18,$B$19&amp;address(row($Q$7),column($Q$7))&amp;"":""&amp;address(row($Q$7),column($Q$7)))=A7,1,0)"),0.0)</f>
        <v>0</v>
      </c>
      <c r="Q7" s="2" t="str">
        <f>IFERROR(__xludf.DUMMYFUNCTION("IMPORTRANGE($B$18,$B$19&amp;address(row(G17),column(G17))&amp;"":""&amp;address(row(G17),column(G17)))"),"")</f>
        <v/>
      </c>
      <c r="R7" s="2">
        <f>IFERROR(__xludf.DUMMYFUNCTION("IMPORTRANGE($B$18,$B$19&amp;address(row(H17),column(H17))&amp;"":""&amp;address(row(H17),column(H17)))"),5.0)</f>
        <v>5</v>
      </c>
      <c r="S7" s="2">
        <f>IFERROR(__xludf.DUMMYFUNCTION("IMPORTRANGE($B$18,$B$19&amp;address(row(S17),column(S17))&amp;"":""&amp;address(row(S17),column(S17)))"),7.0)</f>
        <v>7</v>
      </c>
      <c r="T7" s="2" t="str">
        <f>IFERROR(__xludf.DUMMYFUNCTION("IMPORTRANGE($B$18,$B$19&amp;address(row(T17),column(T17))&amp;"":""&amp;address(row(T17),column(T17)))"),"played the first 45. had a tough half at left back vs nippy young winger who had him for 
pace.")</f>
        <v>played the first 45. had a tough half at left back vs nippy young winger who had him for 
pace.</v>
      </c>
      <c r="U7" s="2" t="str">
        <f>IFERROR(__xludf.DUMMYFUNCTION("IMPORTRANGE($B$18,$B$19&amp;address(row($T$4),column($T$4))&amp;"":""&amp;address(row($T$4),column($T$4)))"),"4-1-2-3")</f>
        <v>4-1-2-3</v>
      </c>
      <c r="V7"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7" s="2">
        <f>IFERROR(__xludf.DUMMYFUNCTION("IMPORTRANGE($B$18,$B$19&amp;address(row($H$7),column($H$7))&amp;"":""&amp;address(row($H$7),column($H$7)))"),1.0)</f>
        <v>1</v>
      </c>
      <c r="X7" s="2">
        <f>IFERROR(__xludf.DUMMYFUNCTION("IMPORTRANGE($B$18,$B$19&amp;address(row($I$7),column($I$7))&amp;"":""&amp;address(row($I$7),column($I$7)))"),0.0)</f>
        <v>0</v>
      </c>
      <c r="Y7" s="2" t="str">
        <f>IFERROR(__xludf.DUMMYFUNCTION("IMPORTRANGE($B$18,$B$19&amp;address(row($C$5),column($C$5))&amp;"":""&amp;address(row($C$5),column($C$5)))"),"South 5")</f>
        <v>South 5</v>
      </c>
      <c r="Z7" s="86">
        <f>IFERROR(__xludf.DUMMYFUNCTION("IMPORTRANGE($B$18,$B$19&amp;address(row($I$4),column($I$4))&amp;"":""&amp;address(row($I$4),column($I$4)))"),45395.0)</f>
        <v>45395</v>
      </c>
      <c r="AA7" s="2" t="b">
        <f t="shared" si="3"/>
        <v>1</v>
      </c>
    </row>
    <row r="8" ht="17.25" customHeight="1">
      <c r="A8" s="2" t="str">
        <f>IFERROR(__xludf.DUMMYFUNCTION("IMPORTRANGE($B$18,$B$19&amp;address(row(B18),column(B18))&amp;"":""&amp;address(row(B18),column(B18)))"),"Janam Satra")</f>
        <v>Janam Satra</v>
      </c>
      <c r="B8" s="2" t="str">
        <f>IFERROR(__xludf.DUMMYFUNCTION("IMPORTRANGE($B$18,$B$19&amp;address(row(E18),column(E18))&amp;"":""&amp;address(row(E18),column(E18)))"),"CB")</f>
        <v>CB</v>
      </c>
      <c r="C8" s="1">
        <f t="shared" si="1"/>
        <v>6</v>
      </c>
      <c r="D8" s="2" t="str">
        <f>IFERROR(__xludf.DUMMYFUNCTION("IMPORTRANGE($B$18,$B$19&amp;address(row($I$3),column($I$3))&amp;"":""&amp;address(row($I$3),column($I$3)))"),"Reigatians 5s")</f>
        <v>Reigatians 5s</v>
      </c>
      <c r="E8"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8" s="2" t="str">
        <f>IFERROR(__xludf.DUMMYFUNCTION("IMPORTRANGE($B$18,$B$19&amp;address(row(I18),column(I18))&amp;"":""&amp;address(row(I18),column(I18)))"),"")</f>
        <v/>
      </c>
      <c r="G8" s="2" t="str">
        <f>IFERROR(__xludf.DUMMYFUNCTION("IMPORTRANGE($B$18,$B$19&amp;address(row(J18),column(J18))&amp;"":""&amp;address(row(J18),column(J18)))"),"")</f>
        <v/>
      </c>
      <c r="H8" s="1">
        <f>IFERROR(__xludf.DUMMYFUNCTION("IMPORTRANGE($B$18,$B$19&amp;address(row($I$7),column($I$7))&amp;"":""&amp;address(row($I$7),column($I$7)))"),0.0)</f>
        <v>0</v>
      </c>
      <c r="I8" s="2" t="str">
        <f>IFERROR(__xludf.DUMMYFUNCTION("IMPORTRANGE($B$18,$B$19&amp;address(row(N18),column(N18))&amp;"":""&amp;address(row(N18),column(N18)))"),"")</f>
        <v/>
      </c>
      <c r="J8" s="2" t="str">
        <f>IFERROR(__xludf.DUMMYFUNCTION("IMPORTRANGE($B$18,$B$19&amp;address(row(O18),column(O18))&amp;"":""&amp;address(row(O18),column(O18)))"),"")</f>
        <v/>
      </c>
      <c r="K8" s="2" t="str">
        <f>IFERROR(__xludf.DUMMYFUNCTION("IMPORTRANGE($B$18,$B$19&amp;address(row(P18),column(P18))&amp;"":""&amp;address(row(P18),column(P18)))"),"")</f>
        <v/>
      </c>
      <c r="L8" s="2" t="b">
        <f t="shared" si="2"/>
        <v>1</v>
      </c>
      <c r="M8" s="2" t="str">
        <f>IFERROR(__xludf.DUMMYFUNCTION("IMPORTRANGE($B$18,$B$19&amp;address(row(L18),column(L18))&amp;"":""&amp;address(row(L18),column(L18)))"),"")</f>
        <v/>
      </c>
      <c r="N8" s="2" t="str">
        <f>IFERROR(__xludf.DUMMYFUNCTION("IMPORTRANGE($B$18,$B$19&amp;address(row(K18),column(K18))&amp;"":""&amp;address(row(K18),column(K18)))"),"")</f>
        <v/>
      </c>
      <c r="O8" s="2" t="str">
        <f>IFERROR(__xludf.DUMMYFUNCTION("IMPORTRANGE($B$18,$B$19&amp;address(row(M18),column(M18))&amp;"":""&amp;address(row(M18),column(M18)))"),"")</f>
        <v/>
      </c>
      <c r="P8" s="2">
        <f>IFERROR(__xludf.DUMMYFUNCTION("IF(IMPORTRANGE($B$18,$B$19&amp;address(row($Q$7),column($Q$7))&amp;"":""&amp;address(row($Q$7),column($Q$7)))=A8,1,0)"),0.0)</f>
        <v>0</v>
      </c>
      <c r="Q8" s="2" t="str">
        <f>IFERROR(__xludf.DUMMYFUNCTION("IMPORTRANGE($B$18,$B$19&amp;address(row(G18),column(G18))&amp;"":""&amp;address(row(G18),column(G18)))"),"")</f>
        <v/>
      </c>
      <c r="R8" s="2">
        <f>IFERROR(__xludf.DUMMYFUNCTION("IMPORTRANGE($B$18,$B$19&amp;address(row(H18),column(H18))&amp;"":""&amp;address(row(H18),column(H18)))"),5.0)</f>
        <v>5</v>
      </c>
      <c r="S8" s="2">
        <f>IFERROR(__xludf.DUMMYFUNCTION("IMPORTRANGE($B$18,$B$19&amp;address(row(S18),column(S18))&amp;"":""&amp;address(row(S18),column(S18)))"),7.0)</f>
        <v>7</v>
      </c>
      <c r="T8" s="2" t="str">
        <f>IFERROR(__xludf.DUMMYFUNCTION("IMPORTRANGE($B$18,$B$19&amp;address(row(T18),column(T18))&amp;"":""&amp;address(row(T18),column(T18)))"),"played 2nd half - cb. probably better suited to cb than cm - attacks the ball well but needs
to work on his game understanding - how high our line should be , etc.")</f>
        <v>played 2nd half - cb. probably better suited to cb than cm - attacks the ball well but needs
to work on his game understanding - how high our line should be , etc.</v>
      </c>
      <c r="U8" s="2" t="str">
        <f>IFERROR(__xludf.DUMMYFUNCTION("IMPORTRANGE($B$18,$B$19&amp;address(row($T$4),column($T$4))&amp;"":""&amp;address(row($T$4),column($T$4)))"),"4-1-2-3")</f>
        <v>4-1-2-3</v>
      </c>
      <c r="V8"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8" s="2">
        <f>IFERROR(__xludf.DUMMYFUNCTION("IMPORTRANGE($B$18,$B$19&amp;address(row($H$7),column($H$7))&amp;"":""&amp;address(row($H$7),column($H$7)))"),1.0)</f>
        <v>1</v>
      </c>
      <c r="X8" s="2">
        <f>IFERROR(__xludf.DUMMYFUNCTION("IMPORTRANGE($B$18,$B$19&amp;address(row($I$7),column($I$7))&amp;"":""&amp;address(row($I$7),column($I$7)))"),0.0)</f>
        <v>0</v>
      </c>
      <c r="Y8" s="2" t="str">
        <f>IFERROR(__xludf.DUMMYFUNCTION("IMPORTRANGE($B$18,$B$19&amp;address(row($C$5),column($C$5))&amp;"":""&amp;address(row($C$5),column($C$5)))"),"South 5")</f>
        <v>South 5</v>
      </c>
      <c r="Z8" s="86">
        <f>IFERROR(__xludf.DUMMYFUNCTION("IMPORTRANGE($B$18,$B$19&amp;address(row($I$4),column($I$4))&amp;"":""&amp;address(row($I$4),column($I$4)))"),45395.0)</f>
        <v>45395</v>
      </c>
      <c r="AA8" s="2" t="b">
        <f t="shared" si="3"/>
        <v>1</v>
      </c>
    </row>
    <row r="9" ht="17.25" customHeight="1">
      <c r="A9" s="2" t="str">
        <f>IFERROR(__xludf.DUMMYFUNCTION("IMPORTRANGE($B$18,$B$19&amp;address(row(B19),column(B19))&amp;"":""&amp;address(row(B19),column(B19)))"),"Jason Heath")</f>
        <v>Jason Heath</v>
      </c>
      <c r="B9" s="2" t="str">
        <f>IFERROR(__xludf.DUMMYFUNCTION("IMPORTRANGE($B$18,$B$19&amp;address(row(E19),column(E19))&amp;"":""&amp;address(row(E19),column(E19)))"),"LB")</f>
        <v>LB</v>
      </c>
      <c r="C9" s="1">
        <f t="shared" si="1"/>
        <v>6</v>
      </c>
      <c r="D9" s="2" t="str">
        <f>IFERROR(__xludf.DUMMYFUNCTION("IMPORTRANGE($B$18,$B$19&amp;address(row($I$3),column($I$3))&amp;"":""&amp;address(row($I$3),column($I$3)))"),"Reigatians 5s")</f>
        <v>Reigatians 5s</v>
      </c>
      <c r="E9"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9" s="2" t="str">
        <f>IFERROR(__xludf.DUMMYFUNCTION("IMPORTRANGE($B$18,$B$19&amp;address(row(I19),column(I19))&amp;"":""&amp;address(row(I19),column(I19)))"),"")</f>
        <v/>
      </c>
      <c r="G9" s="2">
        <f>IFERROR(__xludf.DUMMYFUNCTION("IMPORTRANGE($B$18,$B$19&amp;address(row(J19),column(J19))&amp;"":""&amp;address(row(J19),column(J19)))"),1.0)</f>
        <v>1</v>
      </c>
      <c r="H9" s="1">
        <f>IFERROR(__xludf.DUMMYFUNCTION("IMPORTRANGE($B$18,$B$19&amp;address(row($I$7),column($I$7))&amp;"":""&amp;address(row($I$7),column($I$7)))"),0.0)</f>
        <v>0</v>
      </c>
      <c r="I9" s="2" t="str">
        <f>IFERROR(__xludf.DUMMYFUNCTION("IMPORTRANGE($B$18,$B$19&amp;address(row(N19),column(N19))&amp;"":""&amp;address(row(N19),column(N19)))"),"")</f>
        <v/>
      </c>
      <c r="J9" s="2" t="str">
        <f>IFERROR(__xludf.DUMMYFUNCTION("IMPORTRANGE($B$18,$B$19&amp;address(row(O19),column(O19))&amp;"":""&amp;address(row(O19),column(O19)))"),"")</f>
        <v/>
      </c>
      <c r="K9" s="2" t="str">
        <f>IFERROR(__xludf.DUMMYFUNCTION("IMPORTRANGE($B$18,$B$19&amp;address(row(P19),column(P19))&amp;"":""&amp;address(row(P19),column(P19)))"),"")</f>
        <v/>
      </c>
      <c r="L9" s="2" t="b">
        <f t="shared" si="2"/>
        <v>1</v>
      </c>
      <c r="M9" s="2" t="str">
        <f>IFERROR(__xludf.DUMMYFUNCTION("IMPORTRANGE($B$18,$B$19&amp;address(row(L19),column(L19))&amp;"":""&amp;address(row(L19),column(L19)))"),"")</f>
        <v/>
      </c>
      <c r="N9" s="2" t="str">
        <f>IFERROR(__xludf.DUMMYFUNCTION("IMPORTRANGE($B$18,$B$19&amp;address(row(K19),column(K19))&amp;"":""&amp;address(row(K19),column(K19)))"),"")</f>
        <v/>
      </c>
      <c r="O9" s="2" t="str">
        <f>IFERROR(__xludf.DUMMYFUNCTION("IMPORTRANGE($B$18,$B$19&amp;address(row(M19),column(M19))&amp;"":""&amp;address(row(M19),column(M19)))"),"")</f>
        <v/>
      </c>
      <c r="P9" s="2">
        <f>IFERROR(__xludf.DUMMYFUNCTION("IF(IMPORTRANGE($B$18,$B$19&amp;address(row($Q$7),column($Q$7))&amp;"":""&amp;address(row($Q$7),column($Q$7)))=A9,1,0)"),0.0)</f>
        <v>0</v>
      </c>
      <c r="Q9" s="2" t="str">
        <f>IFERROR(__xludf.DUMMYFUNCTION("IMPORTRANGE($B$18,$B$19&amp;address(row(G19),column(G19))&amp;"":""&amp;address(row(G19),column(G19)))"),"")</f>
        <v/>
      </c>
      <c r="R9" s="2">
        <f>IFERROR(__xludf.DUMMYFUNCTION("IMPORTRANGE($B$18,$B$19&amp;address(row(H19),column(H19))&amp;"":""&amp;address(row(H19),column(H19)))"),10.0)</f>
        <v>10</v>
      </c>
      <c r="S9" s="2">
        <f>IFERROR(__xludf.DUMMYFUNCTION("IMPORTRANGE($B$18,$B$19&amp;address(row(S19),column(S19))&amp;"":""&amp;address(row(S19),column(S19)))"),7.5)</f>
        <v>7.5</v>
      </c>
      <c r="T9" s="2" t="str">
        <f>IFERROR(__xludf.DUMMYFUNCTION("IMPORTRANGE($B$18,$B$19&amp;address(row(T19),column(T19))&amp;"":""&amp;address(row(T19),column(T19)))"),"started dcm and was having a nice time of it, decent ping over defence for the assist. Kai
injured 10 min into 2nd half so went LB, little issues minus one ball over the top late on.")</f>
        <v>started dcm and was having a nice time of it, decent ping over defence for the assist. Kai
injured 10 min into 2nd half so went LB, little issues minus one ball over the top late on.</v>
      </c>
      <c r="U9" s="2" t="str">
        <f>IFERROR(__xludf.DUMMYFUNCTION("IMPORTRANGE($B$18,$B$19&amp;address(row($T$4),column($T$4))&amp;"":""&amp;address(row($T$4),column($T$4)))"),"4-1-2-3")</f>
        <v>4-1-2-3</v>
      </c>
      <c r="V9"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9" s="2">
        <f>IFERROR(__xludf.DUMMYFUNCTION("IMPORTRANGE($B$18,$B$19&amp;address(row($H$7),column($H$7))&amp;"":""&amp;address(row($H$7),column($H$7)))"),1.0)</f>
        <v>1</v>
      </c>
      <c r="X9" s="2">
        <f>IFERROR(__xludf.DUMMYFUNCTION("IMPORTRANGE($B$18,$B$19&amp;address(row($I$7),column($I$7))&amp;"":""&amp;address(row($I$7),column($I$7)))"),0.0)</f>
        <v>0</v>
      </c>
      <c r="Y9" s="2" t="str">
        <f>IFERROR(__xludf.DUMMYFUNCTION("IMPORTRANGE($B$18,$B$19&amp;address(row($C$5),column($C$5))&amp;"":""&amp;address(row($C$5),column($C$5)))"),"South 5")</f>
        <v>South 5</v>
      </c>
      <c r="Z9" s="86">
        <f>IFERROR(__xludf.DUMMYFUNCTION("IMPORTRANGE($B$18,$B$19&amp;address(row($I$4),column($I$4))&amp;"":""&amp;address(row($I$4),column($I$4)))"),45395.0)</f>
        <v>45395</v>
      </c>
      <c r="AA9" s="2" t="b">
        <f t="shared" si="3"/>
        <v>1</v>
      </c>
    </row>
    <row r="10" ht="17.25" customHeight="1">
      <c r="A10" s="2" t="str">
        <f>IFERROR(__xludf.DUMMYFUNCTION("IMPORTRANGE($B$18,$B$19&amp;address(row(B20),column(B20))&amp;"":""&amp;address(row(B20),column(B20)))"),"Kai Clack")</f>
        <v>Kai Clack</v>
      </c>
      <c r="B10" s="2" t="str">
        <f>IFERROR(__xludf.DUMMYFUNCTION("IMPORTRANGE($B$18,$B$19&amp;address(row(E20),column(E20))&amp;"":""&amp;address(row(E20),column(E20)))"),"CB")</f>
        <v>CB</v>
      </c>
      <c r="C10" s="1">
        <f t="shared" si="1"/>
        <v>6</v>
      </c>
      <c r="D10" s="2" t="str">
        <f>IFERROR(__xludf.DUMMYFUNCTION("IMPORTRANGE($B$18,$B$19&amp;address(row($I$3),column($I$3))&amp;"":""&amp;address(row($I$3),column($I$3)))"),"Reigatians 5s")</f>
        <v>Reigatians 5s</v>
      </c>
      <c r="E10"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0" s="2" t="str">
        <f>IFERROR(__xludf.DUMMYFUNCTION("IMPORTRANGE($B$18,$B$19&amp;address(row(I20),column(I20))&amp;"":""&amp;address(row(I20),column(I20)))"),"")</f>
        <v/>
      </c>
      <c r="G10" s="2" t="str">
        <f>IFERROR(__xludf.DUMMYFUNCTION("IMPORTRANGE($B$18,$B$19&amp;address(row(J20),column(J20))&amp;"":""&amp;address(row(J20),column(J20)))"),"")</f>
        <v/>
      </c>
      <c r="H10" s="1">
        <f>IFERROR(__xludf.DUMMYFUNCTION("IMPORTRANGE($B$18,$B$19&amp;address(row($I$7),column($I$7))&amp;"":""&amp;address(row($I$7),column($I$7)))"),0.0)</f>
        <v>0</v>
      </c>
      <c r="I10" s="2" t="str">
        <f>IFERROR(__xludf.DUMMYFUNCTION("IMPORTRANGE($B$18,$B$19&amp;address(row(N20),column(N20))&amp;"":""&amp;address(row(N20),column(N20)))"),"")</f>
        <v/>
      </c>
      <c r="J10" s="2" t="str">
        <f>IFERROR(__xludf.DUMMYFUNCTION("IMPORTRANGE($B$18,$B$19&amp;address(row(O20),column(O20))&amp;"":""&amp;address(row(O20),column(O20)))"),"")</f>
        <v/>
      </c>
      <c r="K10" s="2" t="str">
        <f>IFERROR(__xludf.DUMMYFUNCTION("IMPORTRANGE($B$18,$B$19&amp;address(row(P20),column(P20))&amp;"":""&amp;address(row(P20),column(P20)))"),"")</f>
        <v/>
      </c>
      <c r="L10" s="2" t="b">
        <f t="shared" si="2"/>
        <v>1</v>
      </c>
      <c r="M10" s="2" t="str">
        <f>IFERROR(__xludf.DUMMYFUNCTION("IMPORTRANGE($B$18,$B$19&amp;address(row(L20),column(L20))&amp;"":""&amp;address(row(L20),column(L20)))"),"")</f>
        <v/>
      </c>
      <c r="N10" s="2" t="str">
        <f>IFERROR(__xludf.DUMMYFUNCTION("IMPORTRANGE($B$18,$B$19&amp;address(row(K20),column(K20))&amp;"":""&amp;address(row(K20),column(K20)))"),"")</f>
        <v/>
      </c>
      <c r="O10" s="2" t="str">
        <f>IFERROR(__xludf.DUMMYFUNCTION("IMPORTRANGE($B$18,$B$19&amp;address(row(M20),column(M20))&amp;"":""&amp;address(row(M20),column(M20)))"),"")</f>
        <v/>
      </c>
      <c r="P10" s="2">
        <f>IFERROR(__xludf.DUMMYFUNCTION("IF(IMPORTRANGE($B$18,$B$19&amp;address(row($Q$7),column($Q$7))&amp;"":""&amp;address(row($Q$7),column($Q$7)))=A10,1,0)"),0.0)</f>
        <v>0</v>
      </c>
      <c r="Q10" s="2" t="str">
        <f>IFERROR(__xludf.DUMMYFUNCTION("IMPORTRANGE($B$18,$B$19&amp;address(row(G20),column(G20))&amp;"":""&amp;address(row(G20),column(G20)))"),"")</f>
        <v/>
      </c>
      <c r="R10" s="2">
        <f>IFERROR(__xludf.DUMMYFUNCTION("IMPORTRANGE($B$18,$B$19&amp;address(row(H20),column(H20))&amp;"":""&amp;address(row(H20),column(H20)))"),5.0)</f>
        <v>5</v>
      </c>
      <c r="S10" s="2">
        <f>IFERROR(__xludf.DUMMYFUNCTION("IMPORTRANGE($B$18,$B$19&amp;address(row(S20),column(S20))&amp;"":""&amp;address(row(S20),column(S20)))"),8.0)</f>
        <v>8</v>
      </c>
      <c r="T10" s="2" t="str">
        <f>IFERROR(__xludf.DUMMYFUNCTION("IMPORTRANGE($B$18,$B$19&amp;address(row(T20),column(T20))&amp;"":""&amp;address(row(T20),column(T20)))"),"got injured which was a shame as he was having a really good game, assured on the ball and 
calling the line well. solid at cb in 1st half.")</f>
        <v>got injured which was a shame as he was having a really good game, assured on the ball and 
calling the line well. solid at cb in 1st half.</v>
      </c>
      <c r="U10" s="2" t="str">
        <f>IFERROR(__xludf.DUMMYFUNCTION("IMPORTRANGE($B$18,$B$19&amp;address(row($T$4),column($T$4))&amp;"":""&amp;address(row($T$4),column($T$4)))"),"4-1-2-3")</f>
        <v>4-1-2-3</v>
      </c>
      <c r="V10"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10" s="2">
        <f>IFERROR(__xludf.DUMMYFUNCTION("IMPORTRANGE($B$18,$B$19&amp;address(row($H$7),column($H$7))&amp;"":""&amp;address(row($H$7),column($H$7)))"),1.0)</f>
        <v>1</v>
      </c>
      <c r="X10" s="2">
        <f>IFERROR(__xludf.DUMMYFUNCTION("IMPORTRANGE($B$18,$B$19&amp;address(row($I$7),column($I$7))&amp;"":""&amp;address(row($I$7),column($I$7)))"),0.0)</f>
        <v>0</v>
      </c>
      <c r="Y10" s="2" t="str">
        <f>IFERROR(__xludf.DUMMYFUNCTION("IMPORTRANGE($B$18,$B$19&amp;address(row($C$5),column($C$5))&amp;"":""&amp;address(row($C$5),column($C$5)))"),"South 5")</f>
        <v>South 5</v>
      </c>
      <c r="Z10" s="86">
        <f>IFERROR(__xludf.DUMMYFUNCTION("IMPORTRANGE($B$18,$B$19&amp;address(row($I$4),column($I$4))&amp;"":""&amp;address(row($I$4),column($I$4)))"),45395.0)</f>
        <v>45395</v>
      </c>
      <c r="AA10" s="2" t="b">
        <f t="shared" si="3"/>
        <v>1</v>
      </c>
    </row>
    <row r="11" ht="17.25" customHeight="1">
      <c r="A11" s="2" t="str">
        <f>IFERROR(__xludf.DUMMYFUNCTION("IMPORTRANGE($B$18,$B$19&amp;address(row(B21),column(B21))&amp;"":""&amp;address(row(B21),column(B21)))"),"Mark Roberts")</f>
        <v>Mark Roberts</v>
      </c>
      <c r="B11" s="2" t="str">
        <f>IFERROR(__xludf.DUMMYFUNCTION("IMPORTRANGE($B$18,$B$19&amp;address(row(E21),column(E21))&amp;"":""&amp;address(row(E21),column(E21)))"),"RB")</f>
        <v>RB</v>
      </c>
      <c r="C11" s="1">
        <f t="shared" si="1"/>
        <v>6</v>
      </c>
      <c r="D11" s="2" t="str">
        <f>IFERROR(__xludf.DUMMYFUNCTION("IMPORTRANGE($B$18,$B$19&amp;address(row($I$3),column($I$3))&amp;"":""&amp;address(row($I$3),column($I$3)))"),"Reigatians 5s")</f>
        <v>Reigatians 5s</v>
      </c>
      <c r="E11"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1" s="2" t="str">
        <f>IFERROR(__xludf.DUMMYFUNCTION("IMPORTRANGE($B$18,$B$19&amp;address(row(I21),column(I21))&amp;"":""&amp;address(row(I21),column(I21)))"),"")</f>
        <v/>
      </c>
      <c r="G11" s="2" t="str">
        <f>IFERROR(__xludf.DUMMYFUNCTION("IMPORTRANGE($B$18,$B$19&amp;address(row(J21),column(J21))&amp;"":""&amp;address(row(J21),column(J21)))"),"")</f>
        <v/>
      </c>
      <c r="H11" s="1">
        <f>IFERROR(__xludf.DUMMYFUNCTION("IMPORTRANGE($B$18,$B$19&amp;address(row($I$7),column($I$7))&amp;"":""&amp;address(row($I$7),column($I$7)))"),0.0)</f>
        <v>0</v>
      </c>
      <c r="I11" s="2" t="str">
        <f>IFERROR(__xludf.DUMMYFUNCTION("IMPORTRANGE($B$18,$B$19&amp;address(row(N21),column(N21))&amp;"":""&amp;address(row(N21),column(N21)))"),"")</f>
        <v/>
      </c>
      <c r="J11" s="2" t="str">
        <f>IFERROR(__xludf.DUMMYFUNCTION("IMPORTRANGE($B$18,$B$19&amp;address(row(O21),column(O21))&amp;"":""&amp;address(row(O21),column(O21)))"),"")</f>
        <v/>
      </c>
      <c r="K11" s="2" t="str">
        <f>IFERROR(__xludf.DUMMYFUNCTION("IMPORTRANGE($B$18,$B$19&amp;address(row(P21),column(P21))&amp;"":""&amp;address(row(P21),column(P21)))"),"")</f>
        <v/>
      </c>
      <c r="L11" s="2" t="b">
        <f t="shared" si="2"/>
        <v>1</v>
      </c>
      <c r="M11" s="2" t="str">
        <f>IFERROR(__xludf.DUMMYFUNCTION("IMPORTRANGE($B$18,$B$19&amp;address(row(L21),column(L21))&amp;"":""&amp;address(row(L21),column(L21)))"),"")</f>
        <v/>
      </c>
      <c r="N11" s="2" t="str">
        <f>IFERROR(__xludf.DUMMYFUNCTION("IMPORTRANGE($B$18,$B$19&amp;address(row(K21),column(K21))&amp;"":""&amp;address(row(K21),column(K21)))"),"")</f>
        <v/>
      </c>
      <c r="O11" s="2" t="str">
        <f>IFERROR(__xludf.DUMMYFUNCTION("IMPORTRANGE($B$18,$B$19&amp;address(row(M21),column(M21))&amp;"":""&amp;address(row(M21),column(M21)))"),"")</f>
        <v/>
      </c>
      <c r="P11" s="2">
        <f>IFERROR(__xludf.DUMMYFUNCTION("IF(IMPORTRANGE($B$18,$B$19&amp;address(row($Q$7),column($Q$7))&amp;"":""&amp;address(row($Q$7),column($Q$7)))=A11,1,0)"),0.0)</f>
        <v>0</v>
      </c>
      <c r="Q11" s="2" t="str">
        <f>IFERROR(__xludf.DUMMYFUNCTION("IMPORTRANGE($B$18,$B$19&amp;address(row(G21),column(G21))&amp;"":""&amp;address(row(G21),column(G21)))"),"")</f>
        <v/>
      </c>
      <c r="R11" s="2">
        <f>IFERROR(__xludf.DUMMYFUNCTION("IMPORTRANGE($B$18,$B$19&amp;address(row(H21),column(H21))&amp;"":""&amp;address(row(H21),column(H21)))"),10.0)</f>
        <v>10</v>
      </c>
      <c r="S11" s="2">
        <f>IFERROR(__xludf.DUMMYFUNCTION("IMPORTRANGE($B$18,$B$19&amp;address(row(S21),column(S21))&amp;"":""&amp;address(row(S21),column(S21)))"),8.0)</f>
        <v>8</v>
      </c>
      <c r="T11" s="2" t="str">
        <f>IFERROR(__xludf.DUMMYFUNCTION("IMPORTRANGE($B$18,$B$19&amp;address(row(T21),column(T21))&amp;"":""&amp;address(row(T21),column(T21)))"),"great recovery runs to deal with winger, and some decent forward play on the right - got
a couple motm votes as he normally does. 6s mr consistent this year.")</f>
        <v>great recovery runs to deal with winger, and some decent forward play on the right - got
a couple motm votes as he normally does. 6s mr consistent this year.</v>
      </c>
      <c r="U11" s="2" t="str">
        <f>IFERROR(__xludf.DUMMYFUNCTION("IMPORTRANGE($B$18,$B$19&amp;address(row($T$4),column($T$4))&amp;"":""&amp;address(row($T$4),column($T$4)))"),"4-1-2-3")</f>
        <v>4-1-2-3</v>
      </c>
      <c r="V11"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11" s="2">
        <f>IFERROR(__xludf.DUMMYFUNCTION("IMPORTRANGE($B$18,$B$19&amp;address(row($H$7),column($H$7))&amp;"":""&amp;address(row($H$7),column($H$7)))"),1.0)</f>
        <v>1</v>
      </c>
      <c r="X11" s="2">
        <f>IFERROR(__xludf.DUMMYFUNCTION("IMPORTRANGE($B$18,$B$19&amp;address(row($I$7),column($I$7))&amp;"":""&amp;address(row($I$7),column($I$7)))"),0.0)</f>
        <v>0</v>
      </c>
      <c r="Y11" s="2" t="str">
        <f>IFERROR(__xludf.DUMMYFUNCTION("IMPORTRANGE($B$18,$B$19&amp;address(row($C$5),column($C$5))&amp;"":""&amp;address(row($C$5),column($C$5)))"),"South 5")</f>
        <v>South 5</v>
      </c>
      <c r="Z11" s="86">
        <f>IFERROR(__xludf.DUMMYFUNCTION("IMPORTRANGE($B$18,$B$19&amp;address(row($I$4),column($I$4))&amp;"":""&amp;address(row($I$4),column($I$4)))"),45395.0)</f>
        <v>45395</v>
      </c>
      <c r="AA11" s="2" t="b">
        <f t="shared" si="3"/>
        <v>1</v>
      </c>
    </row>
    <row r="12" ht="17.25" customHeight="1">
      <c r="A12" s="2" t="str">
        <f>IFERROR(__xludf.DUMMYFUNCTION("IMPORTRANGE($B$18,$B$19&amp;address(row(B22),column(B22))&amp;"":""&amp;address(row(B22),column(B22)))"),"Matt Hope")</f>
        <v>Matt Hope</v>
      </c>
      <c r="B12" s="2" t="str">
        <f>IFERROR(__xludf.DUMMYFUNCTION("IMPORTRANGE($B$18,$B$19&amp;address(row(E22),column(E22))&amp;"":""&amp;address(row(E22),column(E22)))"),"CF")</f>
        <v>CF</v>
      </c>
      <c r="C12" s="1">
        <f t="shared" si="1"/>
        <v>6</v>
      </c>
      <c r="D12" s="2" t="str">
        <f>IFERROR(__xludf.DUMMYFUNCTION("IMPORTRANGE($B$18,$B$19&amp;address(row($I$3),column($I$3))&amp;"":""&amp;address(row($I$3),column($I$3)))"),"Reigatians 5s")</f>
        <v>Reigatians 5s</v>
      </c>
      <c r="E1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2" s="2" t="str">
        <f>IFERROR(__xludf.DUMMYFUNCTION("IMPORTRANGE($B$18,$B$19&amp;address(row(I22),column(I22))&amp;"":""&amp;address(row(I22),column(I22)))"),"")</f>
        <v/>
      </c>
      <c r="G12" s="2" t="str">
        <f>IFERROR(__xludf.DUMMYFUNCTION("IMPORTRANGE($B$18,$B$19&amp;address(row(J22),column(J22))&amp;"":""&amp;address(row(J22),column(J22)))"),"")</f>
        <v/>
      </c>
      <c r="H12" s="1">
        <f>IFERROR(__xludf.DUMMYFUNCTION("IMPORTRANGE($B$18,$B$19&amp;address(row($I$7),column($I$7))&amp;"":""&amp;address(row($I$7),column($I$7)))"),0.0)</f>
        <v>0</v>
      </c>
      <c r="I12" s="2" t="str">
        <f>IFERROR(__xludf.DUMMYFUNCTION("IMPORTRANGE($B$18,$B$19&amp;address(row(N22),column(N22))&amp;"":""&amp;address(row(N22),column(N22)))"),"")</f>
        <v/>
      </c>
      <c r="J12" s="2" t="str">
        <f>IFERROR(__xludf.DUMMYFUNCTION("IMPORTRANGE($B$18,$B$19&amp;address(row(O22),column(O22))&amp;"":""&amp;address(row(O22),column(O22)))"),"")</f>
        <v/>
      </c>
      <c r="K12" s="2" t="str">
        <f>IFERROR(__xludf.DUMMYFUNCTION("IMPORTRANGE($B$18,$B$19&amp;address(row(P22),column(P22))&amp;"":""&amp;address(row(P22),column(P22)))"),"")</f>
        <v/>
      </c>
      <c r="L12" s="2" t="b">
        <f t="shared" si="2"/>
        <v>1</v>
      </c>
      <c r="M12" s="2" t="str">
        <f>IFERROR(__xludf.DUMMYFUNCTION("IMPORTRANGE($B$18,$B$19&amp;address(row(L22),column(L22))&amp;"":""&amp;address(row(L22),column(L22)))"),"")</f>
        <v/>
      </c>
      <c r="N12" s="2" t="str">
        <f>IFERROR(__xludf.DUMMYFUNCTION("IMPORTRANGE($B$18,$B$19&amp;address(row(K22),column(K22))&amp;"":""&amp;address(row(K22),column(K22)))"),"")</f>
        <v/>
      </c>
      <c r="O12" s="2" t="str">
        <f>IFERROR(__xludf.DUMMYFUNCTION("IMPORTRANGE($B$18,$B$19&amp;address(row(M22),column(M22))&amp;"":""&amp;address(row(M22),column(M22)))"),"")</f>
        <v/>
      </c>
      <c r="P12" s="2">
        <f>IFERROR(__xludf.DUMMYFUNCTION("IF(IMPORTRANGE($B$18,$B$19&amp;address(row($Q$7),column($Q$7))&amp;"":""&amp;address(row($Q$7),column($Q$7)))=A12,1,0)"),0.0)</f>
        <v>0</v>
      </c>
      <c r="Q12" s="2" t="str">
        <f>IFERROR(__xludf.DUMMYFUNCTION("IMPORTRANGE($B$18,$B$19&amp;address(row(G22),column(G22))&amp;"":""&amp;address(row(G22),column(G22)))"),"")</f>
        <v/>
      </c>
      <c r="R12" s="2">
        <f>IFERROR(__xludf.DUMMYFUNCTION("IMPORTRANGE($B$18,$B$19&amp;address(row(H22),column(H22))&amp;"":""&amp;address(row(H22),column(H22)))"),5.0)</f>
        <v>5</v>
      </c>
      <c r="S12" s="2">
        <f>IFERROR(__xludf.DUMMYFUNCTION("IMPORTRANGE($B$18,$B$19&amp;address(row(S22),column(S22))&amp;"":""&amp;address(row(S22),column(S22)))"),7.5)</f>
        <v>7.5</v>
      </c>
      <c r="T12" s="2" t="str">
        <f>IFERROR(__xludf.DUMMYFUNCTION("IMPORTRANGE($B$18,$B$19&amp;address(row(T22),column(T22))&amp;"":""&amp;address(row(T22),column(T22)))"),"first appearance in a while, gave him 2nd half as the 9 - did better than i expected. put 
himself into battles as a big man should and had a goal ruled out which was a 50/50 offside
call. not the quickest but a physical presence.")</f>
        <v>first appearance in a while, gave him 2nd half as the 9 - did better than i expected. put 
himself into battles as a big man should and had a goal ruled out which was a 50/50 offside
call. not the quickest but a physical presence.</v>
      </c>
      <c r="U12" s="2" t="str">
        <f>IFERROR(__xludf.DUMMYFUNCTION("IMPORTRANGE($B$18,$B$19&amp;address(row($T$4),column($T$4))&amp;"":""&amp;address(row($T$4),column($T$4)))"),"4-1-2-3")</f>
        <v>4-1-2-3</v>
      </c>
      <c r="V12"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12" s="2">
        <f>IFERROR(__xludf.DUMMYFUNCTION("IMPORTRANGE($B$18,$B$19&amp;address(row($H$7),column($H$7))&amp;"":""&amp;address(row($H$7),column($H$7)))"),1.0)</f>
        <v>1</v>
      </c>
      <c r="X12" s="2">
        <f>IFERROR(__xludf.DUMMYFUNCTION("IMPORTRANGE($B$18,$B$19&amp;address(row($I$7),column($I$7))&amp;"":""&amp;address(row($I$7),column($I$7)))"),0.0)</f>
        <v>0</v>
      </c>
      <c r="Y12" s="2" t="str">
        <f>IFERROR(__xludf.DUMMYFUNCTION("IMPORTRANGE($B$18,$B$19&amp;address(row($C$5),column($C$5))&amp;"":""&amp;address(row($C$5),column($C$5)))"),"South 5")</f>
        <v>South 5</v>
      </c>
      <c r="Z12" s="86">
        <f>IFERROR(__xludf.DUMMYFUNCTION("IMPORTRANGE($B$18,$B$19&amp;address(row($I$4),column($I$4))&amp;"":""&amp;address(row($I$4),column($I$4)))"),45395.0)</f>
        <v>45395</v>
      </c>
      <c r="AA12" s="2" t="b">
        <f t="shared" si="3"/>
        <v>1</v>
      </c>
    </row>
    <row r="13" ht="17.25" customHeight="1">
      <c r="A13" s="2" t="str">
        <f>IFERROR(__xludf.DUMMYFUNCTION("IMPORTRANGE($B$18,$B$19&amp;address(row(B23),column(B23))&amp;"":""&amp;address(row(B23),column(B23)))"),"Niall Wootten")</f>
        <v>Niall Wootten</v>
      </c>
      <c r="B13" s="2" t="str">
        <f>IFERROR(__xludf.DUMMYFUNCTION("IMPORTRANGE($B$18,$B$19&amp;address(row(E23),column(E23))&amp;"":""&amp;address(row(E23),column(E23)))"),"CM")</f>
        <v>CM</v>
      </c>
      <c r="C13" s="1">
        <f t="shared" si="1"/>
        <v>6</v>
      </c>
      <c r="D13" s="2" t="str">
        <f>IFERROR(__xludf.DUMMYFUNCTION("IMPORTRANGE($B$18,$B$19&amp;address(row($I$3),column($I$3))&amp;"":""&amp;address(row($I$3),column($I$3)))"),"Reigatians 5s")</f>
        <v>Reigatians 5s</v>
      </c>
      <c r="E1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3" s="2" t="str">
        <f>IFERROR(__xludf.DUMMYFUNCTION("IMPORTRANGE($B$18,$B$19&amp;address(row(I23),column(I23))&amp;"":""&amp;address(row(I23),column(I23)))"),"")</f>
        <v/>
      </c>
      <c r="G13" s="2" t="str">
        <f>IFERROR(__xludf.DUMMYFUNCTION("IMPORTRANGE($B$18,$B$19&amp;address(row(J23),column(J23))&amp;"":""&amp;address(row(J23),column(J23)))"),"")</f>
        <v/>
      </c>
      <c r="H13" s="1">
        <f>IFERROR(__xludf.DUMMYFUNCTION("IMPORTRANGE($B$18,$B$19&amp;address(row($I$7),column($I$7))&amp;"":""&amp;address(row($I$7),column($I$7)))"),0.0)</f>
        <v>0</v>
      </c>
      <c r="I13" s="2" t="str">
        <f>IFERROR(__xludf.DUMMYFUNCTION("IMPORTRANGE($B$18,$B$19&amp;address(row(N23),column(N23))&amp;"":""&amp;address(row(N23),column(N23)))"),"")</f>
        <v/>
      </c>
      <c r="J13" s="2" t="str">
        <f>IFERROR(__xludf.DUMMYFUNCTION("IMPORTRANGE($B$18,$B$19&amp;address(row(O23),column(O23))&amp;"":""&amp;address(row(O23),column(O23)))"),"")</f>
        <v/>
      </c>
      <c r="K13" s="2" t="str">
        <f>IFERROR(__xludf.DUMMYFUNCTION("IMPORTRANGE($B$18,$B$19&amp;address(row(P23),column(P23))&amp;"":""&amp;address(row(P23),column(P23)))"),"")</f>
        <v/>
      </c>
      <c r="L13" s="2" t="b">
        <f t="shared" si="2"/>
        <v>1</v>
      </c>
      <c r="M13" s="2" t="str">
        <f>IFERROR(__xludf.DUMMYFUNCTION("IMPORTRANGE($B$18,$B$19&amp;address(row(L23),column(L23))&amp;"":""&amp;address(row(L23),column(L23)))"),"")</f>
        <v/>
      </c>
      <c r="N13" s="2" t="str">
        <f>IFERROR(__xludf.DUMMYFUNCTION("IMPORTRANGE($B$18,$B$19&amp;address(row(K23),column(K23))&amp;"":""&amp;address(row(K23),column(K23)))"),"")</f>
        <v/>
      </c>
      <c r="O13" s="2" t="str">
        <f>IFERROR(__xludf.DUMMYFUNCTION("IMPORTRANGE($B$18,$B$19&amp;address(row(M23),column(M23))&amp;"":""&amp;address(row(M23),column(M23)))"),"")</f>
        <v/>
      </c>
      <c r="P13" s="2">
        <f>IFERROR(__xludf.DUMMYFUNCTION("IF(IMPORTRANGE($B$18,$B$19&amp;address(row($Q$7),column($Q$7))&amp;"":""&amp;address(row($Q$7),column($Q$7)))=A13,1,0)"),0.0)</f>
        <v>0</v>
      </c>
      <c r="Q13" s="2" t="str">
        <f>IFERROR(__xludf.DUMMYFUNCTION("IMPORTRANGE($B$18,$B$19&amp;address(row(G23),column(G23))&amp;"":""&amp;address(row(G23),column(G23)))"),"")</f>
        <v/>
      </c>
      <c r="R13" s="2">
        <f>IFERROR(__xludf.DUMMYFUNCTION("IMPORTRANGE($B$18,$B$19&amp;address(row(H23),column(H23))&amp;"":""&amp;address(row(H23),column(H23)))"),10.0)</f>
        <v>10</v>
      </c>
      <c r="S13" s="2">
        <f>IFERROR(__xludf.DUMMYFUNCTION("IMPORTRANGE($B$18,$B$19&amp;address(row(S23),column(S23))&amp;"":""&amp;address(row(S23),column(S23)))"),7.0)</f>
        <v>7</v>
      </c>
      <c r="T13" s="2" t="str">
        <f>IFERROR(__xludf.DUMMYFUNCTION("IMPORTRANGE($B$18,$B$19&amp;address(row(T23),column(T23))&amp;"":""&amp;address(row(T23),column(T23)))"),"on for me after 30 mins, some decent runs through the middle. no real end product when
in decent positions unfortunately but all round play was good enough.")</f>
        <v>on for me after 30 mins, some decent runs through the middle. no real end product when
in decent positions unfortunately but all round play was good enough.</v>
      </c>
      <c r="U13" s="2" t="str">
        <f>IFERROR(__xludf.DUMMYFUNCTION("IMPORTRANGE($B$18,$B$19&amp;address(row($T$4),column($T$4))&amp;"":""&amp;address(row($T$4),column($T$4)))"),"4-1-2-3")</f>
        <v>4-1-2-3</v>
      </c>
      <c r="V13"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13" s="2">
        <f>IFERROR(__xludf.DUMMYFUNCTION("IMPORTRANGE($B$18,$B$19&amp;address(row($H$7),column($H$7))&amp;"":""&amp;address(row($H$7),column($H$7)))"),1.0)</f>
        <v>1</v>
      </c>
      <c r="X13" s="2">
        <f>IFERROR(__xludf.DUMMYFUNCTION("IMPORTRANGE($B$18,$B$19&amp;address(row($I$7),column($I$7))&amp;"":""&amp;address(row($I$7),column($I$7)))"),0.0)</f>
        <v>0</v>
      </c>
      <c r="Y13" s="2" t="str">
        <f>IFERROR(__xludf.DUMMYFUNCTION("IMPORTRANGE($B$18,$B$19&amp;address(row($C$5),column($C$5))&amp;"":""&amp;address(row($C$5),column($C$5)))"),"South 5")</f>
        <v>South 5</v>
      </c>
      <c r="Z13" s="86">
        <f>IFERROR(__xludf.DUMMYFUNCTION("IMPORTRANGE($B$18,$B$19&amp;address(row($I$4),column($I$4))&amp;"":""&amp;address(row($I$4),column($I$4)))"),45395.0)</f>
        <v>45395</v>
      </c>
      <c r="AA13" s="2" t="b">
        <f t="shared" si="3"/>
        <v>1</v>
      </c>
    </row>
    <row r="14" ht="17.25" customHeight="1">
      <c r="A14" s="2" t="str">
        <f>IFERROR(__xludf.DUMMYFUNCTION("IMPORTRANGE($B$18,$B$19&amp;address(row(B24),column(B24))&amp;"":""&amp;address(row(B24),column(B24)))"),"Pierce Bennett")</f>
        <v>Pierce Bennett</v>
      </c>
      <c r="B14" s="2" t="str">
        <f>IFERROR(__xludf.DUMMYFUNCTION("IMPORTRANGE($B$18,$B$19&amp;address(row(E24),column(E24))&amp;"":""&amp;address(row(E24),column(E24)))"),"CM")</f>
        <v>CM</v>
      </c>
      <c r="C14" s="1">
        <f t="shared" si="1"/>
        <v>6</v>
      </c>
      <c r="D14" s="2" t="str">
        <f>IFERROR(__xludf.DUMMYFUNCTION("IMPORTRANGE($B$18,$B$19&amp;address(row($I$3),column($I$3))&amp;"":""&amp;address(row($I$3),column($I$3)))"),"Reigatians 5s")</f>
        <v>Reigatians 5s</v>
      </c>
      <c r="E1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4" s="2">
        <f>IFERROR(__xludf.DUMMYFUNCTION("IMPORTRANGE($B$18,$B$19&amp;address(row(I24),column(I24))&amp;"":""&amp;address(row(I24),column(I24)))"),1.0)</f>
        <v>1</v>
      </c>
      <c r="G14" s="2" t="str">
        <f>IFERROR(__xludf.DUMMYFUNCTION("IMPORTRANGE($B$18,$B$19&amp;address(row(J24),column(J24))&amp;"":""&amp;address(row(J24),column(J24)))"),"")</f>
        <v/>
      </c>
      <c r="H14" s="1">
        <f>IFERROR(__xludf.DUMMYFUNCTION("IMPORTRANGE($B$18,$B$19&amp;address(row($I$7),column($I$7))&amp;"":""&amp;address(row($I$7),column($I$7)))"),0.0)</f>
        <v>0</v>
      </c>
      <c r="I14" s="2" t="str">
        <f>IFERROR(__xludf.DUMMYFUNCTION("IMPORTRANGE($B$18,$B$19&amp;address(row(N24),column(N24))&amp;"":""&amp;address(row(N24),column(N24)))"),"")</f>
        <v/>
      </c>
      <c r="J14" s="2" t="str">
        <f>IFERROR(__xludf.DUMMYFUNCTION("IMPORTRANGE($B$18,$B$19&amp;address(row(O24),column(O24))&amp;"":""&amp;address(row(O24),column(O24)))"),"")</f>
        <v/>
      </c>
      <c r="K14" s="2" t="str">
        <f>IFERROR(__xludf.DUMMYFUNCTION("IMPORTRANGE($B$18,$B$19&amp;address(row(P24),column(P24))&amp;"":""&amp;address(row(P24),column(P24)))"),"")</f>
        <v/>
      </c>
      <c r="L14" s="2" t="b">
        <f t="shared" si="2"/>
        <v>1</v>
      </c>
      <c r="M14" s="2" t="str">
        <f>IFERROR(__xludf.DUMMYFUNCTION("IMPORTRANGE($B$18,$B$19&amp;address(row(L24),column(L24))&amp;"":""&amp;address(row(L24),column(L24)))"),"")</f>
        <v/>
      </c>
      <c r="N14" s="2" t="str">
        <f>IFERROR(__xludf.DUMMYFUNCTION("IMPORTRANGE($B$18,$B$19&amp;address(row(K24),column(K24))&amp;"":""&amp;address(row(K24),column(K24)))"),"")</f>
        <v/>
      </c>
      <c r="O14" s="2" t="str">
        <f>IFERROR(__xludf.DUMMYFUNCTION("IMPORTRANGE($B$18,$B$19&amp;address(row(M24),column(M24))&amp;"":""&amp;address(row(M24),column(M24)))"),"")</f>
        <v/>
      </c>
      <c r="P14" s="2">
        <f>IFERROR(__xludf.DUMMYFUNCTION("IF(IMPORTRANGE($B$18,$B$19&amp;address(row($Q$7),column($Q$7))&amp;"":""&amp;address(row($Q$7),column($Q$7)))=A14,1,0)"),1.0)</f>
        <v>1</v>
      </c>
      <c r="Q14" s="2" t="str">
        <f>IFERROR(__xludf.DUMMYFUNCTION("IMPORTRANGE($B$18,$B$19&amp;address(row(G24),column(G24))&amp;"":""&amp;address(row(G24),column(G24)))"),"")</f>
        <v/>
      </c>
      <c r="R14" s="2">
        <f>IFERROR(__xludf.DUMMYFUNCTION("IMPORTRANGE($B$18,$B$19&amp;address(row(H24),column(H24))&amp;"":""&amp;address(row(H24),column(H24)))"),10.0)</f>
        <v>10</v>
      </c>
      <c r="S14" s="2">
        <f>IFERROR(__xludf.DUMMYFUNCTION("IMPORTRANGE($B$18,$B$19&amp;address(row(S24),column(S24))&amp;"":""&amp;address(row(S24),column(S24)))"),8.5)</f>
        <v>8.5</v>
      </c>
      <c r="T14" s="2" t="str">
        <f>IFERROR(__xludf.DUMMYFUNCTION("IMPORTRANGE($B$18,$B$19&amp;address(row(T24),column(T24))&amp;"":""&amp;address(row(T24),column(T24)))"),"took his goal very well, shame it wasnt on veo - lovely lob over keeper. had been threatening
to score from range in first half. very composed on the ball and deserved motm.")</f>
        <v>took his goal very well, shame it wasnt on veo - lovely lob over keeper. had been threatening
to score from range in first half. very composed on the ball and deserved motm.</v>
      </c>
      <c r="U14" s="2" t="str">
        <f>IFERROR(__xludf.DUMMYFUNCTION("IMPORTRANGE($B$18,$B$19&amp;address(row($T$4),column($T$4))&amp;"":""&amp;address(row($T$4),column($T$4)))"),"4-1-2-3")</f>
        <v>4-1-2-3</v>
      </c>
      <c r="V14"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14" s="2">
        <f>IFERROR(__xludf.DUMMYFUNCTION("IMPORTRANGE($B$18,$B$19&amp;address(row($H$7),column($H$7))&amp;"":""&amp;address(row($H$7),column($H$7)))"),1.0)</f>
        <v>1</v>
      </c>
      <c r="X14" s="2">
        <f>IFERROR(__xludf.DUMMYFUNCTION("IMPORTRANGE($B$18,$B$19&amp;address(row($I$7),column($I$7))&amp;"":""&amp;address(row($I$7),column($I$7)))"),0.0)</f>
        <v>0</v>
      </c>
      <c r="Y14" s="2" t="str">
        <f>IFERROR(__xludf.DUMMYFUNCTION("IMPORTRANGE($B$18,$B$19&amp;address(row($C$5),column($C$5))&amp;"":""&amp;address(row($C$5),column($C$5)))"),"South 5")</f>
        <v>South 5</v>
      </c>
      <c r="Z14" s="86">
        <f>IFERROR(__xludf.DUMMYFUNCTION("IMPORTRANGE($B$18,$B$19&amp;address(row($I$4),column($I$4))&amp;"":""&amp;address(row($I$4),column($I$4)))"),45395.0)</f>
        <v>45395</v>
      </c>
      <c r="AA14" s="2" t="b">
        <f t="shared" si="3"/>
        <v>1</v>
      </c>
    </row>
    <row r="15" ht="17.25" customHeight="1">
      <c r="A15" s="2" t="str">
        <f>IFERROR(__xludf.DUMMYFUNCTION("IMPORTRANGE($B$18,$B$19&amp;address(row(B25),column(B25))&amp;"":""&amp;address(row(B25),column(B25)))"),"Tali Kiwanuka")</f>
        <v>Tali Kiwanuka</v>
      </c>
      <c r="B15" s="2" t="str">
        <f>IFERROR(__xludf.DUMMYFUNCTION("IMPORTRANGE($B$18,$B$19&amp;address(row(E25),column(E25))&amp;"":""&amp;address(row(E25),column(E25)))"),"CF")</f>
        <v>CF</v>
      </c>
      <c r="C15" s="1">
        <f t="shared" si="1"/>
        <v>6</v>
      </c>
      <c r="D15" s="2" t="str">
        <f>IFERROR(__xludf.DUMMYFUNCTION("IMPORTRANGE($B$18,$B$19&amp;address(row($I$3),column($I$3))&amp;"":""&amp;address(row($I$3),column($I$3)))"),"Reigatians 5s")</f>
        <v>Reigatians 5s</v>
      </c>
      <c r="E1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5" s="2" t="str">
        <f>IFERROR(__xludf.DUMMYFUNCTION("IMPORTRANGE($B$18,$B$19&amp;address(row(I25),column(I25))&amp;"":""&amp;address(row(I25),column(I25)))"),"")</f>
        <v/>
      </c>
      <c r="G15" s="2" t="str">
        <f>IFERROR(__xludf.DUMMYFUNCTION("IMPORTRANGE($B$18,$B$19&amp;address(row(J25),column(J25))&amp;"":""&amp;address(row(J25),column(J25)))"),"")</f>
        <v/>
      </c>
      <c r="H15" s="1">
        <f>IFERROR(__xludf.DUMMYFUNCTION("IMPORTRANGE($B$18,$B$19&amp;address(row($I$7),column($I$7))&amp;"":""&amp;address(row($I$7),column($I$7)))"),0.0)</f>
        <v>0</v>
      </c>
      <c r="I15" s="2" t="str">
        <f>IFERROR(__xludf.DUMMYFUNCTION("IMPORTRANGE($B$18,$B$19&amp;address(row(N25),column(N25))&amp;"":""&amp;address(row(N25),column(N25)))"),"")</f>
        <v/>
      </c>
      <c r="J15" s="2" t="str">
        <f>IFERROR(__xludf.DUMMYFUNCTION("IMPORTRANGE($B$18,$B$19&amp;address(row(O25),column(O25))&amp;"":""&amp;address(row(O25),column(O25)))"),"")</f>
        <v/>
      </c>
      <c r="K15" s="2" t="str">
        <f>IFERROR(__xludf.DUMMYFUNCTION("IMPORTRANGE($B$18,$B$19&amp;address(row(P25),column(P25))&amp;"":""&amp;address(row(P25),column(P25)))"),"")</f>
        <v/>
      </c>
      <c r="L15" s="2" t="b">
        <f t="shared" si="2"/>
        <v>1</v>
      </c>
      <c r="M15" s="2" t="str">
        <f>IFERROR(__xludf.DUMMYFUNCTION("IMPORTRANGE($B$18,$B$19&amp;address(row(L25),column(L25))&amp;"":""&amp;address(row(L25),column(L25)))"),"")</f>
        <v/>
      </c>
      <c r="N15" s="2" t="str">
        <f>IFERROR(__xludf.DUMMYFUNCTION("IMPORTRANGE($B$18,$B$19&amp;address(row(K25),column(K25))&amp;"":""&amp;address(row(K25),column(K25)))"),"")</f>
        <v/>
      </c>
      <c r="O15" s="2" t="str">
        <f>IFERROR(__xludf.DUMMYFUNCTION("IMPORTRANGE($B$18,$B$19&amp;address(row(M25),column(M25))&amp;"":""&amp;address(row(M25),column(M25)))"),"")</f>
        <v/>
      </c>
      <c r="P15" s="2">
        <f>IFERROR(__xludf.DUMMYFUNCTION("IF(IMPORTRANGE($B$18,$B$19&amp;address(row($Q$7),column($Q$7))&amp;"":""&amp;address(row($Q$7),column($Q$7)))=A15,1,0)"),0.0)</f>
        <v>0</v>
      </c>
      <c r="Q15" s="2" t="str">
        <f>IFERROR(__xludf.DUMMYFUNCTION("IMPORTRANGE($B$18,$B$19&amp;address(row(G25),column(G25))&amp;"":""&amp;address(row(G25),column(G25)))"),"")</f>
        <v/>
      </c>
      <c r="R15" s="2">
        <f>IFERROR(__xludf.DUMMYFUNCTION("IMPORTRANGE($B$18,$B$19&amp;address(row(H25),column(H25))&amp;"":""&amp;address(row(H25),column(H25)))"),5.0)</f>
        <v>5</v>
      </c>
      <c r="S15" s="2">
        <f>IFERROR(__xludf.DUMMYFUNCTION("IMPORTRANGE($B$18,$B$19&amp;address(row(S25),column(S25))&amp;"":""&amp;address(row(S25),column(S25)))"),7.5)</f>
        <v>7.5</v>
      </c>
      <c r="T15" s="2" t="str">
        <f>IFERROR(__xludf.DUMMYFUNCTION("IMPORTRANGE($B$18,$B$19&amp;address(row(T25),column(T25))&amp;"":""&amp;address(row(T25),column(T25)))"),"first half as the 9 - had an effort saved onto post, and one off the line - got a further 15 mins
on the left at end of game and did well to keep ball for us.")</f>
        <v>first half as the 9 - had an effort saved onto post, and one off the line - got a further 15 mins
on the left at end of game and did well to keep ball for us.</v>
      </c>
      <c r="U15" s="2" t="str">
        <f>IFERROR(__xludf.DUMMYFUNCTION("IMPORTRANGE($B$18,$B$19&amp;address(row($T$4),column($T$4))&amp;"":""&amp;address(row($T$4),column($T$4)))"),"4-1-2-3")</f>
        <v>4-1-2-3</v>
      </c>
      <c r="V15"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15" s="2">
        <f>IFERROR(__xludf.DUMMYFUNCTION("IMPORTRANGE($B$18,$B$19&amp;address(row($H$7),column($H$7))&amp;"":""&amp;address(row($H$7),column($H$7)))"),1.0)</f>
        <v>1</v>
      </c>
      <c r="X15" s="2">
        <f>IFERROR(__xludf.DUMMYFUNCTION("IMPORTRANGE($B$18,$B$19&amp;address(row($I$7),column($I$7))&amp;"":""&amp;address(row($I$7),column($I$7)))"),0.0)</f>
        <v>0</v>
      </c>
      <c r="Y15" s="2" t="str">
        <f>IFERROR(__xludf.DUMMYFUNCTION("IMPORTRANGE($B$18,$B$19&amp;address(row($C$5),column($C$5))&amp;"":""&amp;address(row($C$5),column($C$5)))"),"South 5")</f>
        <v>South 5</v>
      </c>
      <c r="Z15" s="86">
        <f>IFERROR(__xludf.DUMMYFUNCTION("IMPORTRANGE($B$18,$B$19&amp;address(row($I$4),column($I$4))&amp;"":""&amp;address(row($I$4),column($I$4)))"),45395.0)</f>
        <v>45395</v>
      </c>
      <c r="AA15" s="2" t="b">
        <f t="shared" si="3"/>
        <v>1</v>
      </c>
    </row>
    <row r="16" ht="17.25" customHeight="1">
      <c r="A16" s="2" t="str">
        <f>IFERROR(__xludf.DUMMYFUNCTION("IMPORTRANGE($B$18,$B$19&amp;address(row(B26),column(B26))&amp;"":""&amp;address(row(B26),column(B26)))"),"")</f>
        <v/>
      </c>
      <c r="B16" s="2" t="str">
        <f>IFERROR(__xludf.DUMMYFUNCTION("IMPORTRANGE($B$18,$B$19&amp;address(row(E26),column(E26))&amp;"":""&amp;address(row(E26),column(E26)))"),"")</f>
        <v/>
      </c>
      <c r="C16" s="1">
        <f t="shared" si="1"/>
        <v>6</v>
      </c>
      <c r="D16" s="2" t="str">
        <f>IFERROR(__xludf.DUMMYFUNCTION("IMPORTRANGE($B$18,$B$19&amp;address(row($I$3),column($I$3))&amp;"":""&amp;address(row($I$3),column($I$3)))"),"Reigatians 5s")</f>
        <v>Reigatians 5s</v>
      </c>
      <c r="E1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6" s="2" t="str">
        <f>IFERROR(__xludf.DUMMYFUNCTION("IMPORTRANGE($B$18,$B$19&amp;address(row(I26),column(I26))&amp;"":""&amp;address(row(I26),column(I26)))"),"")</f>
        <v/>
      </c>
      <c r="G16" s="2" t="str">
        <f>IFERROR(__xludf.DUMMYFUNCTION("IMPORTRANGE($B$18,$B$19&amp;address(row(J26),column(J26))&amp;"":""&amp;address(row(J26),column(J26)))"),"")</f>
        <v/>
      </c>
      <c r="H16" s="1">
        <f>IFERROR(__xludf.DUMMYFUNCTION("IMPORTRANGE($B$18,$B$19&amp;address(row($I$7),column($I$7))&amp;"":""&amp;address(row($I$7),column($I$7)))"),0.0)</f>
        <v>0</v>
      </c>
      <c r="I16" s="2" t="str">
        <f>IFERROR(__xludf.DUMMYFUNCTION("IMPORTRANGE($B$18,$B$19&amp;address(row(N26),column(N26))&amp;"":""&amp;address(row(N26),column(N26)))"),"")</f>
        <v/>
      </c>
      <c r="J16" s="2" t="str">
        <f>IFERROR(__xludf.DUMMYFUNCTION("IMPORTRANGE($B$18,$B$19&amp;address(row(O26),column(O26))&amp;"":""&amp;address(row(O26),column(O26)))"),"")</f>
        <v/>
      </c>
      <c r="K16" s="2" t="str">
        <f>IFERROR(__xludf.DUMMYFUNCTION("IMPORTRANGE($B$18,$B$19&amp;address(row(P26),column(P26))&amp;"":""&amp;address(row(P26),column(P26)))"),"")</f>
        <v/>
      </c>
      <c r="L16" s="2" t="b">
        <f t="shared" si="2"/>
        <v>1</v>
      </c>
      <c r="M16" s="2" t="str">
        <f>IFERROR(__xludf.DUMMYFUNCTION("IMPORTRANGE($B$18,$B$19&amp;address(row(L26),column(L26))&amp;"":""&amp;address(row(L26),column(L26)))"),"")</f>
        <v/>
      </c>
      <c r="N16" s="2" t="str">
        <f>IFERROR(__xludf.DUMMYFUNCTION("IMPORTRANGE($B$18,$B$19&amp;address(row(K26),column(K26))&amp;"":""&amp;address(row(K26),column(K26)))"),"")</f>
        <v/>
      </c>
      <c r="O16" s="2" t="str">
        <f>IFERROR(__xludf.DUMMYFUNCTION("IMPORTRANGE($B$18,$B$19&amp;address(row(M26),column(M26))&amp;"":""&amp;address(row(M26),column(M26)))"),"")</f>
        <v/>
      </c>
      <c r="P16" s="2">
        <f>IFERROR(__xludf.DUMMYFUNCTION("IF(IMPORTRANGE($B$18,$B$19&amp;address(row($Q$7),column($Q$7))&amp;"":""&amp;address(row($Q$7),column($Q$7)))=A16,1,0)"),0.0)</f>
        <v>0</v>
      </c>
      <c r="Q16" s="2" t="str">
        <f>IFERROR(__xludf.DUMMYFUNCTION("IMPORTRANGE($B$18,$B$19&amp;address(row(G26),column(G26))&amp;"":""&amp;address(row(G26),column(G26)))"),"")</f>
        <v/>
      </c>
      <c r="R16" s="2" t="str">
        <f>IFERROR(__xludf.DUMMYFUNCTION("IMPORTRANGE($B$18,$B$19&amp;address(row(H26),column(H26))&amp;"":""&amp;address(row(H26),column(H26)))"),"")</f>
        <v/>
      </c>
      <c r="S16" s="2" t="str">
        <f>IFERROR(__xludf.DUMMYFUNCTION("IMPORTRANGE($B$18,$B$19&amp;address(row(S26),column(S26))&amp;"":""&amp;address(row(S26),column(S26)))"),"")</f>
        <v/>
      </c>
      <c r="T16" s="2" t="str">
        <f>IFERROR(__xludf.DUMMYFUNCTION("IMPORTRANGE($B$18,$B$19&amp;address(row(T26),column(T26))&amp;"":""&amp;address(row(T26),column(T26)))"),"")</f>
        <v/>
      </c>
      <c r="U16" s="2" t="str">
        <f>IFERROR(__xludf.DUMMYFUNCTION("IMPORTRANGE($B$18,$B$19&amp;address(row($T$4),column($T$4))&amp;"":""&amp;address(row($T$4),column($T$4)))"),"4-1-2-3")</f>
        <v>4-1-2-3</v>
      </c>
      <c r="V16"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16" s="2">
        <f>IFERROR(__xludf.DUMMYFUNCTION("IMPORTRANGE($B$18,$B$19&amp;address(row($H$7),column($H$7))&amp;"":""&amp;address(row($H$7),column($H$7)))"),1.0)</f>
        <v>1</v>
      </c>
      <c r="X16" s="2">
        <f>IFERROR(__xludf.DUMMYFUNCTION("IMPORTRANGE($B$18,$B$19&amp;address(row($I$7),column($I$7))&amp;"":""&amp;address(row($I$7),column($I$7)))"),0.0)</f>
        <v>0</v>
      </c>
      <c r="Y16" s="2" t="str">
        <f>IFERROR(__xludf.DUMMYFUNCTION("IMPORTRANGE($B$18,$B$19&amp;address(row($C$5),column($C$5))&amp;"":""&amp;address(row($C$5),column($C$5)))"),"South 5")</f>
        <v>South 5</v>
      </c>
      <c r="Z16" s="86">
        <f>IFERROR(__xludf.DUMMYFUNCTION("IMPORTRANGE($B$18,$B$19&amp;address(row($I$4),column($I$4))&amp;"":""&amp;address(row($I$4),column($I$4)))"),45395.0)</f>
        <v>45395</v>
      </c>
      <c r="AA16" s="2" t="b">
        <f t="shared" si="3"/>
        <v>0</v>
      </c>
    </row>
    <row r="17" ht="17.25" customHeight="1">
      <c r="A17" s="2" t="str">
        <f>IFERROR(__xludf.DUMMYFUNCTION("IMPORTRANGE($B$18,$B$19&amp;address(row(B27),column(B27))&amp;"":""&amp;address(row(B27),column(B27)))"),"")</f>
        <v/>
      </c>
      <c r="B17" s="2" t="str">
        <f>IFERROR(__xludf.DUMMYFUNCTION("IMPORTRANGE($B$18,$B$19&amp;address(row(E27),column(E27))&amp;"":""&amp;address(row(E27),column(E27)))"),"")</f>
        <v/>
      </c>
      <c r="C17" s="1">
        <f t="shared" si="1"/>
        <v>6</v>
      </c>
      <c r="D17" s="2" t="str">
        <f>IFERROR(__xludf.DUMMYFUNCTION("IMPORTRANGE($B$18,$B$19&amp;address(row($I$3),column($I$3))&amp;"":""&amp;address(row($I$3),column($I$3)))"),"Reigatians 5s")</f>
        <v>Reigatians 5s</v>
      </c>
      <c r="E1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WIN")</f>
        <v>WIN</v>
      </c>
      <c r="F17" s="2" t="str">
        <f>IFERROR(__xludf.DUMMYFUNCTION("IMPORTRANGE($B$18,$B$19&amp;address(row(I27),column(I27))&amp;"":""&amp;address(row(I27),column(I27)))"),"")</f>
        <v/>
      </c>
      <c r="G17" s="2" t="str">
        <f>IFERROR(__xludf.DUMMYFUNCTION("IMPORTRANGE($B$18,$B$19&amp;address(row(J27),column(J27))&amp;"":""&amp;address(row(J27),column(J27)))"),"")</f>
        <v/>
      </c>
      <c r="H17" s="1">
        <f>IFERROR(__xludf.DUMMYFUNCTION("IMPORTRANGE($B$18,$B$19&amp;address(row($I$7),column($I$7))&amp;"":""&amp;address(row($I$7),column($I$7)))"),0.0)</f>
        <v>0</v>
      </c>
      <c r="I17" s="2" t="str">
        <f>IFERROR(__xludf.DUMMYFUNCTION("IMPORTRANGE($B$18,$B$19&amp;address(row(N27),column(N27))&amp;"":""&amp;address(row(N27),column(N27)))"),"")</f>
        <v/>
      </c>
      <c r="J17" s="2" t="str">
        <f>IFERROR(__xludf.DUMMYFUNCTION("IMPORTRANGE($B$18,$B$19&amp;address(row(O27),column(O27))&amp;"":""&amp;address(row(O27),column(O27)))"),"")</f>
        <v/>
      </c>
      <c r="K17" s="2" t="str">
        <f>IFERROR(__xludf.DUMMYFUNCTION("IMPORTRANGE($B$18,$B$19&amp;address(row(P27),column(P27))&amp;"":""&amp;address(row(P27),column(P27)))"),"")</f>
        <v/>
      </c>
      <c r="L17" s="2" t="b">
        <f t="shared" si="2"/>
        <v>1</v>
      </c>
      <c r="M17" s="2" t="str">
        <f>IFERROR(__xludf.DUMMYFUNCTION("IMPORTRANGE($B$18,$B$19&amp;address(row(L27),column(L27))&amp;"":""&amp;address(row(L27),column(L27)))"),"")</f>
        <v/>
      </c>
      <c r="N17" s="2" t="str">
        <f>IFERROR(__xludf.DUMMYFUNCTION("IMPORTRANGE($B$18,$B$19&amp;address(row(K27),column(K27))&amp;"":""&amp;address(row(K27),column(K27)))"),"")</f>
        <v/>
      </c>
      <c r="O17" s="2" t="str">
        <f>IFERROR(__xludf.DUMMYFUNCTION("IMPORTRANGE($B$18,$B$19&amp;address(row(M27),column(M27))&amp;"":""&amp;address(row(M27),column(M27)))"),"")</f>
        <v/>
      </c>
      <c r="P17" s="2">
        <f>IFERROR(__xludf.DUMMYFUNCTION("IF(IMPORTRANGE($B$18,$B$19&amp;address(row($Q$7),column($Q$7))&amp;"":""&amp;address(row($Q$7),column($Q$7)))=A17,1,0)"),0.0)</f>
        <v>0</v>
      </c>
      <c r="Q17" s="2" t="str">
        <f>IFERROR(__xludf.DUMMYFUNCTION("IMPORTRANGE($B$18,$B$19&amp;address(row(G27),column(G27))&amp;"":""&amp;address(row(G27),column(G27)))"),"")</f>
        <v/>
      </c>
      <c r="R17" s="2" t="str">
        <f>IFERROR(__xludf.DUMMYFUNCTION("IMPORTRANGE($B$18,$B$19&amp;address(row(H27),column(H27))&amp;"":""&amp;address(row(H27),column(H27)))"),"")</f>
        <v/>
      </c>
      <c r="S17" s="2" t="str">
        <f>IFERROR(__xludf.DUMMYFUNCTION("IMPORTRANGE($B$18,$B$19&amp;address(row(S27),column(S27))&amp;"":""&amp;address(row(S27),column(S27)))"),"")</f>
        <v/>
      </c>
      <c r="T17" s="2" t="str">
        <f>IFERROR(__xludf.DUMMYFUNCTION("IMPORTRANGE($B$18,$B$19&amp;address(row(T27),column(T27))&amp;"":""&amp;address(row(T27),column(T27)))"),"")</f>
        <v/>
      </c>
      <c r="U17" s="2" t="str">
        <f>IFERROR(__xludf.DUMMYFUNCTION("IMPORTRANGE($B$18,$B$19&amp;address(row($T$4),column($T$4))&amp;"":""&amp;address(row($T$4),column($T$4)))"),"4-1-2-3")</f>
        <v>4-1-2-3</v>
      </c>
      <c r="V17" s="2" t="str">
        <f>IFERROR(__xludf.DUMMYFUNCTION("IMPORTRANGE($B$18,$B$19&amp;address(row($T$7),column($T$7))&amp;"":""&amp;address(row($T$7),column($T$7)))"),"A long overdue win, alebit vs bottom of the league - should of been out of sight before it could 
get remotely sketchy but we seem to make it hard for ourselves and miss sitters way too often.
6s have typically had a bagsman down the years but clearly mis"&amp;"sed that predator instinct
this year with us struggling for goals. Defensively we've done alright in hindsight to keep us in with
a chance of finishing out of the bottom 2, but will need to win 2 or maybe all 3 of the last games.
Much more resilient this "&amp;"week after going ahead, previous 2 games we've chucked away but could
see the added determination this week after I stressed how important a win was. Young ref said there would be 
8 added minutes ( actually played 10) and with Martins standard goal conce"&amp;"ded not arriving yet I was in panic mode.
managed to control the last few minutes in fairness and I was probably the only player guilty of giving a chance away late on,
second guessing an aerial ball that looped over me where Martin did well to get out to"&amp;". Was oppos last game of the season
knowing they were finishing bottom so at times they threw everything forward but a solid backline meant the one goal early 
into the 2nd half got us over the line.")</f>
        <v>A long overdue win, alebit vs bottom of the league - should of been out of sight before it could 
get remotely sketchy but we seem to make it hard for ourselves and miss sitters way too often.
6s have typically had a bagsman down the years but clearly missed that predator instinct
this year with us struggling for goals. Defensively we've done alright in hindsight to keep us in with
a chance of finishing out of the bottom 2, but will need to win 2 or maybe all 3 of the last games.
Much more resilient this week after going ahead, previous 2 games we've chucked away but could
see the added determination this week after I stressed how important a win was. Young ref said there would be 
8 added minutes ( actually played 10) and with Martins standard goal conceded not arriving yet I was in panic mode.
managed to control the last few minutes in fairness and I was probably the only player guilty of giving a chance away late on,
second guessing an aerial ball that looped over me where Martin did well to get out to. Was oppos last game of the season
knowing they were finishing bottom so at times they threw everything forward but a solid backline meant the one goal early 
into the 2nd half got us over the line.</v>
      </c>
      <c r="W17" s="2">
        <f>IFERROR(__xludf.DUMMYFUNCTION("IMPORTRANGE($B$18,$B$19&amp;address(row($H$7),column($H$7))&amp;"":""&amp;address(row($H$7),column($H$7)))"),1.0)</f>
        <v>1</v>
      </c>
      <c r="X17" s="2">
        <f>IFERROR(__xludf.DUMMYFUNCTION("IMPORTRANGE($B$18,$B$19&amp;address(row($I$7),column($I$7))&amp;"":""&amp;address(row($I$7),column($I$7)))"),0.0)</f>
        <v>0</v>
      </c>
      <c r="Y17" s="2" t="str">
        <f>IFERROR(__xludf.DUMMYFUNCTION("IMPORTRANGE($B$18,$B$19&amp;address(row($C$5),column($C$5))&amp;"":""&amp;address(row($C$5),column($C$5)))"),"South 5")</f>
        <v>South 5</v>
      </c>
      <c r="Z17" s="86">
        <f>IFERROR(__xludf.DUMMYFUNCTION("IMPORTRANGE($B$18,$B$19&amp;address(row($I$4),column($I$4))&amp;"":""&amp;address(row($I$4),column($I$4)))"),45395.0)</f>
        <v>45395</v>
      </c>
      <c r="AA17" s="2" t="b">
        <f t="shared" si="3"/>
        <v>0</v>
      </c>
    </row>
    <row r="18" ht="17.25" customHeight="1">
      <c r="A18" s="1" t="s">
        <v>2258</v>
      </c>
      <c r="B18" s="87" t="s">
        <v>2270</v>
      </c>
      <c r="D18" s="2"/>
      <c r="E18" s="2"/>
      <c r="F18" s="2"/>
      <c r="G18" s="2"/>
      <c r="H18" s="2"/>
      <c r="I18" s="2"/>
      <c r="J18" s="2"/>
      <c r="K18" s="2"/>
      <c r="L18" s="2"/>
      <c r="M18" s="2"/>
      <c r="N18" s="2"/>
      <c r="O18" s="2"/>
      <c r="P18" s="2"/>
      <c r="Q18" s="2"/>
      <c r="R18" s="2"/>
      <c r="S18" s="2"/>
      <c r="T18" s="2"/>
      <c r="U18" s="2"/>
      <c r="V18" s="2"/>
      <c r="W18" s="2"/>
      <c r="X18" s="2"/>
    </row>
    <row r="19" ht="17.25" customHeight="1">
      <c r="A19" s="1" t="s">
        <v>2260</v>
      </c>
      <c r="B19" s="88" t="s">
        <v>2271</v>
      </c>
      <c r="C19" s="2"/>
      <c r="D19" s="2"/>
      <c r="E19" s="2"/>
      <c r="F19" s="2"/>
      <c r="G19" s="2"/>
      <c r="H19" s="2"/>
      <c r="I19" s="2"/>
      <c r="J19" s="2"/>
      <c r="K19" s="2"/>
      <c r="L19" s="2"/>
      <c r="M19" s="2"/>
      <c r="N19" s="2"/>
      <c r="O19" s="2"/>
      <c r="P19" s="2"/>
      <c r="Q19" s="2"/>
      <c r="R19" s="2"/>
      <c r="S19" s="2"/>
      <c r="T19" s="2"/>
      <c r="U19" s="2"/>
      <c r="V19" s="2"/>
      <c r="W19" s="2"/>
      <c r="X19" s="2"/>
    </row>
    <row r="20" ht="17.25" customHeight="1">
      <c r="A20" s="1" t="s">
        <v>32</v>
      </c>
      <c r="B20" s="1">
        <v>6.0</v>
      </c>
      <c r="C20" s="2"/>
      <c r="D20" s="2"/>
      <c r="E20" s="2"/>
      <c r="F20" s="2"/>
      <c r="G20" s="2"/>
      <c r="H20" s="2"/>
      <c r="I20" s="2"/>
      <c r="J20" s="2"/>
      <c r="K20" s="2"/>
      <c r="L20" s="2"/>
      <c r="M20" s="2"/>
      <c r="N20" s="2"/>
      <c r="O20" s="2"/>
      <c r="P20" s="2"/>
      <c r="Q20" s="2"/>
      <c r="R20" s="2"/>
      <c r="S20" s="2"/>
      <c r="T20" s="2"/>
      <c r="U20" s="2"/>
      <c r="V20" s="2"/>
      <c r="W20" s="2"/>
      <c r="X20" s="2"/>
    </row>
    <row r="21" ht="17.25" customHeight="1">
      <c r="A21" s="2"/>
      <c r="B21" s="2"/>
      <c r="C21" s="2"/>
      <c r="D21" s="2"/>
      <c r="E21" s="2"/>
      <c r="F21" s="2"/>
      <c r="G21" s="2"/>
      <c r="H21" s="2"/>
      <c r="I21" s="2"/>
      <c r="J21" s="2"/>
      <c r="K21" s="2"/>
      <c r="L21" s="2"/>
      <c r="M21" s="2"/>
      <c r="N21" s="2"/>
      <c r="O21" s="2"/>
      <c r="P21" s="2"/>
      <c r="Q21" s="2"/>
      <c r="R21" s="2"/>
      <c r="S21" s="2"/>
      <c r="T21" s="2"/>
      <c r="U21" s="2"/>
      <c r="V21" s="2"/>
      <c r="W21" s="2"/>
      <c r="X21" s="2"/>
    </row>
    <row r="22" ht="17.25" customHeight="1">
      <c r="A22" s="2"/>
      <c r="B22" s="2"/>
      <c r="C22" s="2"/>
      <c r="D22" s="2"/>
      <c r="E22" s="2"/>
      <c r="F22" s="2"/>
      <c r="G22" s="2"/>
      <c r="H22" s="2"/>
      <c r="I22" s="2"/>
      <c r="J22" s="2"/>
      <c r="K22" s="2"/>
      <c r="L22" s="2"/>
      <c r="M22" s="2"/>
      <c r="N22" s="2"/>
      <c r="O22" s="2"/>
      <c r="P22" s="2"/>
      <c r="Q22" s="2"/>
      <c r="R22" s="2"/>
      <c r="S22" s="2"/>
      <c r="T22" s="2"/>
      <c r="U22" s="2"/>
      <c r="V22" s="2"/>
      <c r="W22" s="2"/>
      <c r="X22" s="2"/>
    </row>
    <row r="23" ht="17.25" customHeight="1">
      <c r="A23" s="2"/>
      <c r="B23" s="2"/>
      <c r="C23" s="2"/>
      <c r="D23" s="2"/>
      <c r="E23" s="2"/>
      <c r="F23" s="2"/>
      <c r="G23" s="2"/>
      <c r="H23" s="2"/>
      <c r="I23" s="2"/>
      <c r="J23" s="2"/>
      <c r="K23" s="2"/>
      <c r="L23" s="2"/>
      <c r="M23" s="2"/>
      <c r="N23" s="2"/>
      <c r="O23" s="2"/>
      <c r="P23" s="2"/>
      <c r="Q23" s="2"/>
      <c r="R23" s="2"/>
      <c r="S23" s="2"/>
      <c r="T23" s="2"/>
      <c r="U23" s="2"/>
      <c r="V23" s="2"/>
      <c r="W23" s="2"/>
      <c r="X23" s="2"/>
    </row>
    <row r="24" ht="17.25" customHeight="1">
      <c r="A24" s="2"/>
      <c r="B24" s="2"/>
      <c r="C24" s="2"/>
      <c r="D24" s="2"/>
      <c r="E24" s="2"/>
      <c r="F24" s="2"/>
      <c r="G24" s="2"/>
      <c r="H24" s="2"/>
      <c r="I24" s="2"/>
      <c r="J24" s="2"/>
      <c r="K24" s="2"/>
      <c r="L24" s="2"/>
      <c r="M24" s="2"/>
      <c r="N24" s="2"/>
      <c r="O24" s="2"/>
      <c r="P24" s="2"/>
      <c r="Q24" s="2"/>
      <c r="R24" s="2"/>
      <c r="S24" s="2"/>
      <c r="T24" s="2"/>
      <c r="U24" s="2"/>
      <c r="V24" s="2"/>
      <c r="W24" s="2"/>
      <c r="X24" s="2"/>
    </row>
    <row r="25" ht="17.25" customHeight="1">
      <c r="A25" s="2"/>
      <c r="B25" s="2"/>
      <c r="C25" s="2"/>
      <c r="D25" s="2"/>
      <c r="E25" s="2"/>
      <c r="F25" s="2"/>
      <c r="G25" s="2"/>
      <c r="H25" s="2"/>
      <c r="I25" s="2"/>
      <c r="J25" s="2"/>
      <c r="K25" s="2"/>
      <c r="L25" s="2"/>
      <c r="M25" s="2"/>
      <c r="N25" s="2"/>
      <c r="O25" s="2"/>
      <c r="P25" s="2"/>
      <c r="Q25" s="2"/>
      <c r="R25" s="2"/>
      <c r="S25" s="2"/>
      <c r="T25" s="2"/>
      <c r="U25" s="2"/>
      <c r="V25" s="2"/>
      <c r="W25" s="2"/>
      <c r="X25" s="2"/>
    </row>
    <row r="26" ht="17.25" customHeight="1">
      <c r="A26" s="2"/>
      <c r="B26" s="2"/>
      <c r="C26" s="2"/>
      <c r="D26" s="2"/>
      <c r="E26" s="2"/>
      <c r="F26" s="2"/>
      <c r="G26" s="2"/>
      <c r="H26" s="2"/>
      <c r="I26" s="2"/>
      <c r="J26" s="2"/>
      <c r="K26" s="2"/>
      <c r="L26" s="2"/>
      <c r="M26" s="2"/>
      <c r="N26" s="2"/>
      <c r="O26" s="2"/>
      <c r="P26" s="2"/>
      <c r="Q26" s="2"/>
      <c r="R26" s="2"/>
      <c r="S26" s="2"/>
      <c r="T26" s="2"/>
      <c r="U26" s="2"/>
      <c r="V26" s="2"/>
      <c r="W26" s="2"/>
      <c r="X26" s="2"/>
    </row>
    <row r="27" ht="17.25" customHeight="1">
      <c r="A27" s="2"/>
      <c r="B27" s="2"/>
      <c r="C27" s="2"/>
      <c r="D27" s="2"/>
      <c r="E27" s="2"/>
      <c r="F27" s="2"/>
      <c r="G27" s="2"/>
      <c r="H27" s="2"/>
      <c r="I27" s="2"/>
      <c r="J27" s="2"/>
      <c r="K27" s="2"/>
      <c r="L27" s="2"/>
      <c r="M27" s="2"/>
      <c r="N27" s="2"/>
      <c r="O27" s="2"/>
      <c r="P27" s="2"/>
      <c r="Q27" s="2"/>
      <c r="R27" s="2"/>
      <c r="S27" s="2"/>
      <c r="T27" s="2"/>
      <c r="U27" s="2"/>
      <c r="V27" s="2"/>
      <c r="W27" s="2"/>
      <c r="X27" s="2"/>
    </row>
    <row r="28" ht="17.25" customHeight="1">
      <c r="A28" s="2"/>
      <c r="B28" s="2"/>
      <c r="C28" s="2"/>
      <c r="D28" s="2"/>
      <c r="E28" s="2"/>
      <c r="F28" s="2"/>
      <c r="G28" s="2"/>
      <c r="H28" s="2"/>
      <c r="I28" s="2"/>
      <c r="J28" s="2"/>
      <c r="K28" s="2"/>
      <c r="L28" s="2"/>
      <c r="M28" s="2"/>
      <c r="N28" s="2"/>
      <c r="O28" s="2"/>
      <c r="P28" s="2"/>
      <c r="Q28" s="2"/>
      <c r="R28" s="2"/>
      <c r="S28" s="2"/>
      <c r="T28" s="2"/>
      <c r="U28" s="2"/>
      <c r="V28" s="2"/>
      <c r="W28" s="2"/>
      <c r="X28" s="2"/>
    </row>
    <row r="29" ht="17.25" customHeight="1">
      <c r="A29" s="2"/>
      <c r="B29" s="2"/>
      <c r="C29" s="2"/>
      <c r="D29" s="2"/>
      <c r="E29" s="2"/>
      <c r="F29" s="2"/>
      <c r="G29" s="2"/>
      <c r="H29" s="2"/>
      <c r="I29" s="2"/>
      <c r="J29" s="2"/>
      <c r="K29" s="2"/>
      <c r="L29" s="2"/>
      <c r="M29" s="2"/>
      <c r="N29" s="2"/>
      <c r="O29" s="2"/>
      <c r="P29" s="2"/>
      <c r="Q29" s="2"/>
      <c r="R29" s="2"/>
      <c r="S29" s="2"/>
      <c r="T29" s="2"/>
      <c r="U29" s="2"/>
      <c r="V29" s="2"/>
      <c r="W29" s="2"/>
      <c r="X29" s="2"/>
    </row>
    <row r="30" ht="17.25" customHeight="1">
      <c r="A30" s="2"/>
      <c r="B30" s="2"/>
      <c r="C30" s="2"/>
      <c r="D30" s="2"/>
      <c r="E30" s="2"/>
      <c r="F30" s="2"/>
      <c r="G30" s="2"/>
      <c r="H30" s="2"/>
      <c r="I30" s="2"/>
      <c r="J30" s="2"/>
      <c r="K30" s="2"/>
      <c r="L30" s="2"/>
      <c r="M30" s="2"/>
      <c r="N30" s="2"/>
      <c r="O30" s="2"/>
      <c r="P30" s="2"/>
      <c r="Q30" s="2"/>
      <c r="R30" s="2"/>
      <c r="S30" s="2"/>
      <c r="T30" s="2"/>
      <c r="U30" s="2"/>
      <c r="V30" s="2"/>
      <c r="W30" s="2"/>
      <c r="X30" s="2"/>
    </row>
    <row r="31" ht="17.25" customHeight="1">
      <c r="A31" s="2"/>
      <c r="B31" s="2"/>
      <c r="C31" s="2"/>
      <c r="D31" s="2"/>
      <c r="E31" s="2"/>
      <c r="F31" s="2"/>
      <c r="G31" s="2"/>
      <c r="H31" s="2"/>
      <c r="I31" s="2"/>
      <c r="J31" s="2"/>
      <c r="K31" s="2"/>
      <c r="L31" s="2"/>
      <c r="M31" s="2"/>
      <c r="N31" s="2"/>
      <c r="O31" s="2"/>
      <c r="P31" s="2"/>
      <c r="Q31" s="2"/>
      <c r="R31" s="2"/>
      <c r="S31" s="2"/>
      <c r="T31" s="2"/>
      <c r="U31" s="2"/>
      <c r="V31" s="2"/>
      <c r="W31" s="2"/>
      <c r="X31" s="2"/>
    </row>
    <row r="32" ht="17.25" customHeight="1">
      <c r="A32" s="2"/>
      <c r="B32" s="2"/>
      <c r="C32" s="2"/>
      <c r="D32" s="2"/>
      <c r="E32" s="2"/>
      <c r="F32" s="2"/>
      <c r="G32" s="2"/>
      <c r="H32" s="2"/>
      <c r="I32" s="2"/>
      <c r="J32" s="2"/>
      <c r="K32" s="2"/>
      <c r="L32" s="2"/>
      <c r="M32" s="2"/>
      <c r="N32" s="2"/>
      <c r="O32" s="2"/>
      <c r="P32" s="2"/>
      <c r="Q32" s="2"/>
      <c r="R32" s="2"/>
      <c r="S32" s="2"/>
      <c r="T32" s="2"/>
      <c r="U32" s="2"/>
      <c r="V32" s="2"/>
      <c r="W32" s="2"/>
      <c r="X32" s="2"/>
    </row>
    <row r="33" ht="17.25" customHeight="1">
      <c r="A33" s="2"/>
      <c r="B33" s="2"/>
      <c r="C33" s="2"/>
      <c r="D33" s="2"/>
      <c r="E33" s="2"/>
      <c r="F33" s="2"/>
      <c r="G33" s="2"/>
      <c r="H33" s="2"/>
      <c r="I33" s="2"/>
      <c r="J33" s="2"/>
      <c r="K33" s="2"/>
      <c r="L33" s="2"/>
      <c r="M33" s="2"/>
      <c r="N33" s="2"/>
      <c r="O33" s="2"/>
      <c r="P33" s="2"/>
      <c r="Q33" s="2"/>
      <c r="R33" s="2"/>
      <c r="S33" s="2"/>
      <c r="T33" s="2"/>
      <c r="U33" s="2"/>
      <c r="V33" s="2"/>
      <c r="W33" s="2"/>
      <c r="X33" s="2"/>
    </row>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hyperlinks>
    <hyperlink r:id="rId1" location="gid=1926124634" ref="B18"/>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6.88"/>
    <col customWidth="1" min="8" max="8" width="14.13"/>
    <col customWidth="1" min="13" max="13" width="14.38"/>
    <col customWidth="1" min="20" max="20" width="36.25"/>
  </cols>
  <sheetData>
    <row r="1">
      <c r="A1" s="2" t="str">
        <f>IFERROR(__xludf.DUMMYFUNCTION("IMPORTRANGE(B18,B19&amp;address(row(B11),column(B11))&amp;"":""&amp;address(row(B11),column(B11)))"),"Player Name")</f>
        <v>Player Name</v>
      </c>
      <c r="B1" s="2" t="str">
        <f>IFERROR(__xludf.DUMMYFUNCTION("IMPORTRANGE(B18,B19&amp;ADDRESS(row(E11),column(E11))&amp;"":""&amp;address(row(E11),column(E11)))"),"Position")</f>
        <v>Position</v>
      </c>
      <c r="C1" s="1" t="s">
        <v>199</v>
      </c>
      <c r="D1" s="1" t="s">
        <v>200</v>
      </c>
      <c r="E1" s="1" t="s">
        <v>201</v>
      </c>
      <c r="F1" s="63" t="s">
        <v>158</v>
      </c>
      <c r="G1" s="63" t="s">
        <v>159</v>
      </c>
      <c r="H1" s="63" t="s">
        <v>202</v>
      </c>
      <c r="I1" s="63" t="s">
        <v>203</v>
      </c>
      <c r="J1" s="63" t="s">
        <v>185</v>
      </c>
      <c r="K1" s="63" t="s">
        <v>204</v>
      </c>
      <c r="L1" s="63" t="s">
        <v>205</v>
      </c>
      <c r="M1" s="63" t="s">
        <v>206</v>
      </c>
      <c r="N1" s="63" t="s">
        <v>207</v>
      </c>
      <c r="O1" s="63" t="s">
        <v>208</v>
      </c>
      <c r="P1" s="63" t="s">
        <v>209</v>
      </c>
      <c r="Q1" s="61" t="s">
        <v>210</v>
      </c>
      <c r="R1" s="61" t="s">
        <v>211</v>
      </c>
      <c r="S1" s="61" t="s">
        <v>212</v>
      </c>
      <c r="T1" s="61" t="s">
        <v>213</v>
      </c>
      <c r="U1" s="61" t="s">
        <v>214</v>
      </c>
      <c r="V1" s="61" t="s">
        <v>215</v>
      </c>
      <c r="W1" s="65" t="s">
        <v>2254</v>
      </c>
      <c r="X1" s="61" t="s">
        <v>2255</v>
      </c>
      <c r="Y1" s="61" t="s">
        <v>196</v>
      </c>
      <c r="Z1" s="61" t="s">
        <v>2256</v>
      </c>
      <c r="AA1" s="61" t="s">
        <v>2257</v>
      </c>
    </row>
    <row r="2">
      <c r="A2" s="2" t="str">
        <f>IFERROR(__xludf.DUMMYFUNCTION("IMPORTRANGE($B$18,$B$19&amp;address(row(B12),column(B12))&amp;"":""&amp;address(row(B12),column(B12)))"),"")</f>
        <v/>
      </c>
      <c r="B2" s="2" t="str">
        <f>IFERROR(__xludf.DUMMYFUNCTION("IMPORTRANGE($B$18,$B$19&amp;address(row(E12),column(E12))&amp;"":""&amp;address(row(E12),column(E12)))"),"")</f>
        <v/>
      </c>
      <c r="C2" s="1" t="s">
        <v>157</v>
      </c>
      <c r="D2" s="70" t="str">
        <f>IFERROR(__xludf.DUMMYFUNCTION("IMPORTRANGE($B$18,$B$19&amp;address(row($I$3),column($I$3))&amp;"":""&amp;address(row($I$3),column($I$3)))"),"Albanian Vets")</f>
        <v>Albanian Vets</v>
      </c>
      <c r="E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2" s="2" t="str">
        <f>IFERROR(__xludf.DUMMYFUNCTION("IMPORTRANGE($B$18,$B$19&amp;address(row(I12),column(I12))&amp;"":""&amp;address(row(I12),column(I12)))"),"")</f>
        <v/>
      </c>
      <c r="G2" s="2" t="str">
        <f>IFERROR(__xludf.DUMMYFUNCTION("IMPORTRANGE($B$18,$B$19&amp;address(row(J12),column(J12))&amp;"":""&amp;address(row(J12),column(J12)))"),"")</f>
        <v/>
      </c>
      <c r="H2" s="1" t="str">
        <f>IFERROR(__xludf.DUMMYFUNCTION("IMPORTRANGE($B$18,$B$19&amp;address(row($I$7),column($I$7))&amp;"":""&amp;address(row($I$7),column($I$7)))"),"")</f>
        <v/>
      </c>
      <c r="I2" s="2" t="str">
        <f>IFERROR(__xludf.DUMMYFUNCTION("IMPORTRANGE($B$18,$B$19&amp;address(row(N12),column(N12))&amp;"":""&amp;address(row(N12),column(N12)))"),"")</f>
        <v/>
      </c>
      <c r="J2" s="2" t="str">
        <f>IFERROR(__xludf.DUMMYFUNCTION("IMPORTRANGE($B$18,$B$19&amp;address(row(O12),column(O12))&amp;"":""&amp;address(row(O12),column(O12)))"),"")</f>
        <v/>
      </c>
      <c r="K2" s="2" t="str">
        <f>IFERROR(__xludf.DUMMYFUNCTION("IMPORTRANGE($B$18,$B$19&amp;address(row(P12),column(P12))&amp;"":""&amp;address(row(P12),column(P12)))"),"")</f>
        <v/>
      </c>
      <c r="L2" s="2" t="b">
        <f t="shared" ref="L2:L17" si="1">H2=0</f>
        <v>1</v>
      </c>
      <c r="M2" s="2" t="str">
        <f>IFERROR(__xludf.DUMMYFUNCTION("IMPORTRANGE($B$18,$B$19&amp;address(row(L12),column(L12))&amp;"":""&amp;address(row(L12),column(L12)))"),"")</f>
        <v/>
      </c>
      <c r="N2" s="2" t="str">
        <f>IFERROR(__xludf.DUMMYFUNCTION("IMPORTRANGE($B$18,$B$19&amp;address(row(K12),column(K12))&amp;"":""&amp;address(row(K12),column(K12)))"),"")</f>
        <v/>
      </c>
      <c r="O2" s="2" t="str">
        <f>IFERROR(__xludf.DUMMYFUNCTION("IMPORTRANGE($B$18,$B$19&amp;address(row(M12),column(M12))&amp;"":""&amp;address(row(M12),column(M12)))"),"")</f>
        <v/>
      </c>
      <c r="P2" s="2">
        <f>IFERROR(__xludf.DUMMYFUNCTION("IF(IMPORTRANGE($B$18,$B$19&amp;address(row($Q$7),column($Q$7))&amp;"":""&amp;address(row($Q$7),column($Q$7)))=A2,1,0)"),1.0)</f>
        <v>1</v>
      </c>
      <c r="Q2" s="2" t="str">
        <f>IFERROR(__xludf.DUMMYFUNCTION("IMPORTRANGE($B$18,$B$19&amp;address(row(G12),column(G12))&amp;"":""&amp;address(row(G12),column(G12)))"),"")</f>
        <v/>
      </c>
      <c r="R2" s="2" t="str">
        <f>IFERROR(__xludf.DUMMYFUNCTION("IMPORTRANGE($B$18,$B$19&amp;address(row(H12),column(H12))&amp;"":""&amp;address(row(H12),column(H12)))"),"")</f>
        <v/>
      </c>
      <c r="S2" s="2" t="str">
        <f>IFERROR(__xludf.DUMMYFUNCTION("IMPORTRANGE($B$18,$B$19&amp;address(row(S12),column(S12))&amp;"":""&amp;address(row(S12),column(S12)))"),"")</f>
        <v/>
      </c>
      <c r="T2" s="2" t="str">
        <f>IFERROR(__xludf.DUMMYFUNCTION("IMPORTRANGE($B$18,$B$19&amp;address(row(T12),column(T12))&amp;"":""&amp;address(row(T12),column(T12)))"),"")</f>
        <v/>
      </c>
      <c r="U2" s="2" t="str">
        <f>IFERROR(__xludf.DUMMYFUNCTION("IMPORTRANGE($B$18,$B$19&amp;address(row($T$4),column($T$4))&amp;"":""&amp;address(row($T$4),column($T$4)))"),"")</f>
        <v/>
      </c>
      <c r="V2" s="2" t="str">
        <f>IFERROR(__xludf.DUMMYFUNCTION("IMPORTRANGE($B$18,$B$19&amp;address(row($T$7),column($T$7))&amp;"":""&amp;address(row($T$7),column($T$7)))"),"")</f>
        <v/>
      </c>
      <c r="W2" s="2" t="str">
        <f>IFERROR(__xludf.DUMMYFUNCTION("IMPORTRANGE($B$18,$B$19&amp;address(row($H$7),column($H$7))&amp;"":""&amp;address(row($H$7),column($H$7)))"),"")</f>
        <v/>
      </c>
      <c r="X2" s="2" t="str">
        <f>IFERROR(__xludf.DUMMYFUNCTION("IMPORTRANGE($B$18,$B$19&amp;address(row($I$7),column($I$7))&amp;"":""&amp;address(row($I$7),column($I$7)))"),"")</f>
        <v/>
      </c>
      <c r="Y2" s="2" t="str">
        <f>IFERROR(__xludf.DUMMYFUNCTION("IMPORTRANGE($B$18,$B$19&amp;address(row($C$5),column($C$5))&amp;"":""&amp;address(row($C$5),column($C$5)))"),"-")</f>
        <v>-</v>
      </c>
      <c r="Z2" s="86">
        <f>IFERROR(__xludf.DUMMYFUNCTION("IMPORTRANGE($B$18,$B$19&amp;address(row($I$4),column($I$4))&amp;"":""&amp;address(row($I$4),column($I$4)))"),45402.0)</f>
        <v>45402</v>
      </c>
      <c r="AA2" s="2" t="b">
        <f t="shared" ref="AA2:AA17" si="2">NOT(ISBLANK(A2))</f>
        <v>0</v>
      </c>
    </row>
    <row r="3">
      <c r="A3" s="2" t="str">
        <f>IFERROR(__xludf.DUMMYFUNCTION("IMPORTRANGE($B$18,$B$19&amp;address(row(B13),column(B13))&amp;"":""&amp;address(row(B13),column(B13)))"),"")</f>
        <v/>
      </c>
      <c r="B3" s="2" t="str">
        <f>IFERROR(__xludf.DUMMYFUNCTION("IMPORTRANGE($B$18,$B$19&amp;address(row(E13),column(E13))&amp;"":""&amp;address(row(E13),column(E13)))"),"")</f>
        <v/>
      </c>
      <c r="C3" s="1" t="s">
        <v>157</v>
      </c>
      <c r="D3" s="70" t="str">
        <f>IFERROR(__xludf.DUMMYFUNCTION("IMPORTRANGE($B$18,$B$19&amp;address(row($I$3),column($I$3))&amp;"":""&amp;address(row($I$3),column($I$3)))"),"Albanian Vets")</f>
        <v>Albanian Vets</v>
      </c>
      <c r="E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3" s="2" t="str">
        <f>IFERROR(__xludf.DUMMYFUNCTION("IMPORTRANGE($B$18,$B$19&amp;address(row(I13),column(I13))&amp;"":""&amp;address(row(I13),column(I13)))"),"")</f>
        <v/>
      </c>
      <c r="G3" s="2" t="str">
        <f>IFERROR(__xludf.DUMMYFUNCTION("IMPORTRANGE($B$18,$B$19&amp;address(row(J13),column(J13))&amp;"":""&amp;address(row(J13),column(J13)))"),"")</f>
        <v/>
      </c>
      <c r="H3" s="1" t="str">
        <f>IFERROR(__xludf.DUMMYFUNCTION("IMPORTRANGE($B$18,$B$19&amp;address(row($I$7),column($I$7))&amp;"":""&amp;address(row($I$7),column($I$7)))"),"")</f>
        <v/>
      </c>
      <c r="I3" s="2" t="str">
        <f>IFERROR(__xludf.DUMMYFUNCTION("IMPORTRANGE($B$18,$B$19&amp;address(row(N13),column(N13))&amp;"":""&amp;address(row(N13),column(N13)))"),"")</f>
        <v/>
      </c>
      <c r="J3" s="2" t="str">
        <f>IFERROR(__xludf.DUMMYFUNCTION("IMPORTRANGE($B$18,$B$19&amp;address(row(O13),column(O13))&amp;"":""&amp;address(row(O13),column(O13)))"),"")</f>
        <v/>
      </c>
      <c r="K3" s="2" t="str">
        <f>IFERROR(__xludf.DUMMYFUNCTION("IMPORTRANGE($B$18,$B$19&amp;address(row(P13),column(P13))&amp;"":""&amp;address(row(P13),column(P13)))"),"")</f>
        <v/>
      </c>
      <c r="L3" s="2" t="b">
        <f t="shared" si="1"/>
        <v>1</v>
      </c>
      <c r="M3" s="2" t="str">
        <f>IFERROR(__xludf.DUMMYFUNCTION("IMPORTRANGE($B$18,$B$19&amp;address(row(L13),column(L13))&amp;"":""&amp;address(row(L13),column(L13)))"),"")</f>
        <v/>
      </c>
      <c r="N3" s="2" t="str">
        <f>IFERROR(__xludf.DUMMYFUNCTION("IMPORTRANGE($B$18,$B$19&amp;address(row(K13),column(K13))&amp;"":""&amp;address(row(K13),column(K13)))"),"")</f>
        <v/>
      </c>
      <c r="O3" s="2" t="str">
        <f>IFERROR(__xludf.DUMMYFUNCTION("IMPORTRANGE($B$18,$B$19&amp;address(row(M13),column(M13))&amp;"":""&amp;address(row(M13),column(M13)))"),"")</f>
        <v/>
      </c>
      <c r="P3" s="2">
        <f>IFERROR(__xludf.DUMMYFUNCTION("IF(IMPORTRANGE($B$18,$B$19&amp;address(row($Q$7),column($Q$7))&amp;"":""&amp;address(row($Q$7),column($Q$7)))=A3,1,0)"),1.0)</f>
        <v>1</v>
      </c>
      <c r="Q3" s="2" t="str">
        <f>IFERROR(__xludf.DUMMYFUNCTION("IMPORTRANGE($B$18,$B$19&amp;address(row(G13),column(G13))&amp;"":""&amp;address(row(G13),column(G13)))"),"")</f>
        <v/>
      </c>
      <c r="R3" s="2" t="str">
        <f>IFERROR(__xludf.DUMMYFUNCTION("IMPORTRANGE($B$18,$B$19&amp;address(row(H13),column(H13))&amp;"":""&amp;address(row(H13),column(H13)))"),"")</f>
        <v/>
      </c>
      <c r="S3" s="2" t="str">
        <f>IFERROR(__xludf.DUMMYFUNCTION("IMPORTRANGE($B$18,$B$19&amp;address(row(S13),column(S13))&amp;"":""&amp;address(row(S13),column(S13)))"),"")</f>
        <v/>
      </c>
      <c r="T3" s="2" t="str">
        <f>IFERROR(__xludf.DUMMYFUNCTION("IMPORTRANGE($B$18,$B$19&amp;address(row(T13),column(T13))&amp;"":""&amp;address(row(T13),column(T13)))"),"")</f>
        <v/>
      </c>
      <c r="U3" s="2" t="str">
        <f>IFERROR(__xludf.DUMMYFUNCTION("IMPORTRANGE($B$18,$B$19&amp;address(row($T$4),column($T$4))&amp;"":""&amp;address(row($T$4),column($T$4)))"),"")</f>
        <v/>
      </c>
      <c r="V3" s="2" t="str">
        <f>IFERROR(__xludf.DUMMYFUNCTION("IMPORTRANGE($B$18,$B$19&amp;address(row($T$7),column($T$7))&amp;"":""&amp;address(row($T$7),column($T$7)))"),"")</f>
        <v/>
      </c>
      <c r="W3" s="2" t="str">
        <f>IFERROR(__xludf.DUMMYFUNCTION("IMPORTRANGE($B$18,$B$19&amp;address(row($H$7),column($H$7))&amp;"":""&amp;address(row($H$7),column($H$7)))"),"")</f>
        <v/>
      </c>
      <c r="X3" s="2" t="str">
        <f>IFERROR(__xludf.DUMMYFUNCTION("IMPORTRANGE($B$18,$B$19&amp;address(row($I$7),column($I$7))&amp;"":""&amp;address(row($I$7),column($I$7)))"),"")</f>
        <v/>
      </c>
      <c r="Y3" s="2" t="str">
        <f>IFERROR(__xludf.DUMMYFUNCTION("IMPORTRANGE($B$18,$B$19&amp;address(row($C$5),column($C$5))&amp;"":""&amp;address(row($C$5),column($C$5)))"),"-")</f>
        <v>-</v>
      </c>
      <c r="Z3" s="86">
        <f>IFERROR(__xludf.DUMMYFUNCTION("IMPORTRANGE($B$18,$B$19&amp;address(row($I$4),column($I$4))&amp;"":""&amp;address(row($I$4),column($I$4)))"),45402.0)</f>
        <v>45402</v>
      </c>
      <c r="AA3" s="2" t="b">
        <f t="shared" si="2"/>
        <v>0</v>
      </c>
    </row>
    <row r="4">
      <c r="A4" s="2" t="str">
        <f>IFERROR(__xludf.DUMMYFUNCTION("IMPORTRANGE($B$18,$B$19&amp;address(row(B14),column(B14))&amp;"":""&amp;address(row(B14),column(B14)))"),"")</f>
        <v/>
      </c>
      <c r="B4" s="2" t="str">
        <f>IFERROR(__xludf.DUMMYFUNCTION("IMPORTRANGE($B$18,$B$19&amp;address(row(E14),column(E14))&amp;"":""&amp;address(row(E14),column(E14)))"),"")</f>
        <v/>
      </c>
      <c r="C4" s="1" t="s">
        <v>157</v>
      </c>
      <c r="D4" s="70" t="str">
        <f>IFERROR(__xludf.DUMMYFUNCTION("IMPORTRANGE($B$18,$B$19&amp;address(row($I$3),column($I$3))&amp;"":""&amp;address(row($I$3),column($I$3)))"),"Albanian Vets")</f>
        <v>Albanian Vets</v>
      </c>
      <c r="E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4" s="2" t="str">
        <f>IFERROR(__xludf.DUMMYFUNCTION("IMPORTRANGE($B$18,$B$19&amp;address(row(I14),column(I14))&amp;"":""&amp;address(row(I14),column(I14)))"),"")</f>
        <v/>
      </c>
      <c r="G4" s="2" t="str">
        <f>IFERROR(__xludf.DUMMYFUNCTION("IMPORTRANGE($B$18,$B$19&amp;address(row(J14),column(J14))&amp;"":""&amp;address(row(J14),column(J14)))"),"")</f>
        <v/>
      </c>
      <c r="H4" s="1" t="str">
        <f>IFERROR(__xludf.DUMMYFUNCTION("IMPORTRANGE($B$18,$B$19&amp;address(row($I$7),column($I$7))&amp;"":""&amp;address(row($I$7),column($I$7)))"),"")</f>
        <v/>
      </c>
      <c r="I4" s="2" t="str">
        <f>IFERROR(__xludf.DUMMYFUNCTION("IMPORTRANGE($B$18,$B$19&amp;address(row(N14),column(N14))&amp;"":""&amp;address(row(N14),column(N14)))"),"")</f>
        <v/>
      </c>
      <c r="J4" s="2" t="str">
        <f>IFERROR(__xludf.DUMMYFUNCTION("IMPORTRANGE($B$18,$B$19&amp;address(row(O14),column(O14))&amp;"":""&amp;address(row(O14),column(O14)))"),"")</f>
        <v/>
      </c>
      <c r="K4" s="2" t="str">
        <f>IFERROR(__xludf.DUMMYFUNCTION("IMPORTRANGE($B$18,$B$19&amp;address(row(P14),column(P14))&amp;"":""&amp;address(row(P14),column(P14)))"),"")</f>
        <v/>
      </c>
      <c r="L4" s="2" t="b">
        <f t="shared" si="1"/>
        <v>1</v>
      </c>
      <c r="M4" s="2" t="str">
        <f>IFERROR(__xludf.DUMMYFUNCTION("IMPORTRANGE($B$18,$B$19&amp;address(row(L14),column(L14))&amp;"":""&amp;address(row(L14),column(L14)))"),"")</f>
        <v/>
      </c>
      <c r="N4" s="2" t="str">
        <f>IFERROR(__xludf.DUMMYFUNCTION("IMPORTRANGE($B$18,$B$19&amp;address(row(K14),column(K14))&amp;"":""&amp;address(row(K14),column(K14)))"),"")</f>
        <v/>
      </c>
      <c r="O4" s="2" t="str">
        <f>IFERROR(__xludf.DUMMYFUNCTION("IMPORTRANGE($B$18,$B$19&amp;address(row(M14),column(M14))&amp;"":""&amp;address(row(M14),column(M14)))"),"")</f>
        <v/>
      </c>
      <c r="P4" s="2">
        <f>IFERROR(__xludf.DUMMYFUNCTION("IF(IMPORTRANGE($B$18,$B$19&amp;address(row($Q$7),column($Q$7))&amp;"":""&amp;address(row($Q$7),column($Q$7)))=A4,1,0)"),1.0)</f>
        <v>1</v>
      </c>
      <c r="Q4" s="2" t="str">
        <f>IFERROR(__xludf.DUMMYFUNCTION("IMPORTRANGE($B$18,$B$19&amp;address(row(G14),column(G14))&amp;"":""&amp;address(row(G14),column(G14)))"),"")</f>
        <v/>
      </c>
      <c r="R4" s="2" t="str">
        <f>IFERROR(__xludf.DUMMYFUNCTION("IMPORTRANGE($B$18,$B$19&amp;address(row(H14),column(H14))&amp;"":""&amp;address(row(H14),column(H14)))"),"")</f>
        <v/>
      </c>
      <c r="S4" s="2" t="str">
        <f>IFERROR(__xludf.DUMMYFUNCTION("IMPORTRANGE($B$18,$B$19&amp;address(row(S14),column(S14))&amp;"":""&amp;address(row(S14),column(S14)))"),"")</f>
        <v/>
      </c>
      <c r="T4" s="2" t="str">
        <f>IFERROR(__xludf.DUMMYFUNCTION("IMPORTRANGE($B$18,$B$19&amp;address(row(T14),column(T14))&amp;"":""&amp;address(row(T14),column(T14)))"),"")</f>
        <v/>
      </c>
      <c r="U4" s="2" t="str">
        <f>IFERROR(__xludf.DUMMYFUNCTION("IMPORTRANGE($B$18,$B$19&amp;address(row($T$4),column($T$4))&amp;"":""&amp;address(row($T$4),column($T$4)))"),"")</f>
        <v/>
      </c>
      <c r="V4" s="2" t="str">
        <f>IFERROR(__xludf.DUMMYFUNCTION("IMPORTRANGE($B$18,$B$19&amp;address(row($T$7),column($T$7))&amp;"":""&amp;address(row($T$7),column($T$7)))"),"")</f>
        <v/>
      </c>
      <c r="W4" s="2" t="str">
        <f>IFERROR(__xludf.DUMMYFUNCTION("IMPORTRANGE($B$18,$B$19&amp;address(row($H$7),column($H$7))&amp;"":""&amp;address(row($H$7),column($H$7)))"),"")</f>
        <v/>
      </c>
      <c r="X4" s="2" t="str">
        <f>IFERROR(__xludf.DUMMYFUNCTION("IMPORTRANGE($B$18,$B$19&amp;address(row($I$7),column($I$7))&amp;"":""&amp;address(row($I$7),column($I$7)))"),"")</f>
        <v/>
      </c>
      <c r="Y4" s="2" t="str">
        <f>IFERROR(__xludf.DUMMYFUNCTION("IMPORTRANGE($B$18,$B$19&amp;address(row($C$5),column($C$5))&amp;"":""&amp;address(row($C$5),column($C$5)))"),"-")</f>
        <v>-</v>
      </c>
      <c r="Z4" s="86">
        <f>IFERROR(__xludf.DUMMYFUNCTION("IMPORTRANGE($B$18,$B$19&amp;address(row($I$4),column($I$4))&amp;"":""&amp;address(row($I$4),column($I$4)))"),45402.0)</f>
        <v>45402</v>
      </c>
      <c r="AA4" s="2" t="b">
        <f t="shared" si="2"/>
        <v>0</v>
      </c>
    </row>
    <row r="5">
      <c r="A5" s="2" t="str">
        <f>IFERROR(__xludf.DUMMYFUNCTION("IMPORTRANGE($B$18,$B$19&amp;address(row(B15),column(B15))&amp;"":""&amp;address(row(B15),column(B15)))"),"")</f>
        <v/>
      </c>
      <c r="B5" s="2" t="str">
        <f>IFERROR(__xludf.DUMMYFUNCTION("IMPORTRANGE($B$18,$B$19&amp;address(row(E15),column(E15))&amp;"":""&amp;address(row(E15),column(E15)))"),"")</f>
        <v/>
      </c>
      <c r="C5" s="1" t="s">
        <v>157</v>
      </c>
      <c r="D5" s="70" t="str">
        <f>IFERROR(__xludf.DUMMYFUNCTION("IMPORTRANGE($B$18,$B$19&amp;address(row($I$3),column($I$3))&amp;"":""&amp;address(row($I$3),column($I$3)))"),"Albanian Vets")</f>
        <v>Albanian Vets</v>
      </c>
      <c r="E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5" s="2" t="str">
        <f>IFERROR(__xludf.DUMMYFUNCTION("IMPORTRANGE($B$18,$B$19&amp;address(row(I15),column(I15))&amp;"":""&amp;address(row(I15),column(I15)))"),"")</f>
        <v/>
      </c>
      <c r="G5" s="2" t="str">
        <f>IFERROR(__xludf.DUMMYFUNCTION("IMPORTRANGE($B$18,$B$19&amp;address(row(J15),column(J15))&amp;"":""&amp;address(row(J15),column(J15)))"),"")</f>
        <v/>
      </c>
      <c r="H5" s="1" t="str">
        <f>IFERROR(__xludf.DUMMYFUNCTION("IMPORTRANGE($B$18,$B$19&amp;address(row($I$7),column($I$7))&amp;"":""&amp;address(row($I$7),column($I$7)))"),"")</f>
        <v/>
      </c>
      <c r="I5" s="2" t="str">
        <f>IFERROR(__xludf.DUMMYFUNCTION("IMPORTRANGE($B$18,$B$19&amp;address(row(N15),column(N15))&amp;"":""&amp;address(row(N15),column(N15)))"),"")</f>
        <v/>
      </c>
      <c r="J5" s="2" t="str">
        <f>IFERROR(__xludf.DUMMYFUNCTION("IMPORTRANGE($B$18,$B$19&amp;address(row(O15),column(O15))&amp;"":""&amp;address(row(O15),column(O15)))"),"")</f>
        <v/>
      </c>
      <c r="K5" s="2" t="str">
        <f>IFERROR(__xludf.DUMMYFUNCTION("IMPORTRANGE($B$18,$B$19&amp;address(row(P15),column(P15))&amp;"":""&amp;address(row(P15),column(P15)))"),"")</f>
        <v/>
      </c>
      <c r="L5" s="2" t="b">
        <f t="shared" si="1"/>
        <v>1</v>
      </c>
      <c r="M5" s="2" t="str">
        <f>IFERROR(__xludf.DUMMYFUNCTION("IMPORTRANGE($B$18,$B$19&amp;address(row(L15),column(L15))&amp;"":""&amp;address(row(L15),column(L15)))"),"")</f>
        <v/>
      </c>
      <c r="N5" s="2" t="str">
        <f>IFERROR(__xludf.DUMMYFUNCTION("IMPORTRANGE($B$18,$B$19&amp;address(row(K15),column(K15))&amp;"":""&amp;address(row(K15),column(K15)))"),"")</f>
        <v/>
      </c>
      <c r="O5" s="2" t="str">
        <f>IFERROR(__xludf.DUMMYFUNCTION("IMPORTRANGE($B$18,$B$19&amp;address(row(M15),column(M15))&amp;"":""&amp;address(row(M15),column(M15)))"),"")</f>
        <v/>
      </c>
      <c r="P5" s="2">
        <f>IFERROR(__xludf.DUMMYFUNCTION("IF(IMPORTRANGE($B$18,$B$19&amp;address(row($Q$7),column($Q$7))&amp;"":""&amp;address(row($Q$7),column($Q$7)))=A5,1,0)"),1.0)</f>
        <v>1</v>
      </c>
      <c r="Q5" s="2" t="str">
        <f>IFERROR(__xludf.DUMMYFUNCTION("IMPORTRANGE($B$18,$B$19&amp;address(row(G15),column(G15))&amp;"":""&amp;address(row(G15),column(G15)))"),"")</f>
        <v/>
      </c>
      <c r="R5" s="2" t="str">
        <f>IFERROR(__xludf.DUMMYFUNCTION("IMPORTRANGE($B$18,$B$19&amp;address(row(H15),column(H15))&amp;"":""&amp;address(row(H15),column(H15)))"),"")</f>
        <v/>
      </c>
      <c r="S5" s="2" t="str">
        <f>IFERROR(__xludf.DUMMYFUNCTION("IMPORTRANGE($B$18,$B$19&amp;address(row(S15),column(S15))&amp;"":""&amp;address(row(S15),column(S15)))"),"")</f>
        <v/>
      </c>
      <c r="T5" s="2" t="str">
        <f>IFERROR(__xludf.DUMMYFUNCTION("IMPORTRANGE($B$18,$B$19&amp;address(row(T15),column(T15))&amp;"":""&amp;address(row(T15),column(T15)))"),"")</f>
        <v/>
      </c>
      <c r="U5" s="2" t="str">
        <f>IFERROR(__xludf.DUMMYFUNCTION("IMPORTRANGE($B$18,$B$19&amp;address(row($T$4),column($T$4))&amp;"":""&amp;address(row($T$4),column($T$4)))"),"")</f>
        <v/>
      </c>
      <c r="V5" s="2" t="str">
        <f>IFERROR(__xludf.DUMMYFUNCTION("IMPORTRANGE($B$18,$B$19&amp;address(row($T$7),column($T$7))&amp;"":""&amp;address(row($T$7),column($T$7)))"),"")</f>
        <v/>
      </c>
      <c r="W5" s="2" t="str">
        <f>IFERROR(__xludf.DUMMYFUNCTION("IMPORTRANGE($B$18,$B$19&amp;address(row($H$7),column($H$7))&amp;"":""&amp;address(row($H$7),column($H$7)))"),"")</f>
        <v/>
      </c>
      <c r="X5" s="2" t="str">
        <f>IFERROR(__xludf.DUMMYFUNCTION("IMPORTRANGE($B$18,$B$19&amp;address(row($I$7),column($I$7))&amp;"":""&amp;address(row($I$7),column($I$7)))"),"")</f>
        <v/>
      </c>
      <c r="Y5" s="2" t="str">
        <f>IFERROR(__xludf.DUMMYFUNCTION("IMPORTRANGE($B$18,$B$19&amp;address(row($C$5),column($C$5))&amp;"":""&amp;address(row($C$5),column($C$5)))"),"-")</f>
        <v>-</v>
      </c>
      <c r="Z5" s="86">
        <f>IFERROR(__xludf.DUMMYFUNCTION("IMPORTRANGE($B$18,$B$19&amp;address(row($I$4),column($I$4))&amp;"":""&amp;address(row($I$4),column($I$4)))"),45402.0)</f>
        <v>45402</v>
      </c>
      <c r="AA5" s="2" t="b">
        <f t="shared" si="2"/>
        <v>0</v>
      </c>
    </row>
    <row r="6">
      <c r="A6" s="2" t="str">
        <f>IFERROR(__xludf.DUMMYFUNCTION("IMPORTRANGE($B$18,$B$19&amp;address(row(B16),column(B16))&amp;"":""&amp;address(row(B16),column(B16)))"),"")</f>
        <v/>
      </c>
      <c r="B6" s="2" t="str">
        <f>IFERROR(__xludf.DUMMYFUNCTION("IMPORTRANGE($B$18,$B$19&amp;address(row(E16),column(E16))&amp;"":""&amp;address(row(E16),column(E16)))"),"")</f>
        <v/>
      </c>
      <c r="C6" s="1" t="s">
        <v>157</v>
      </c>
      <c r="D6" s="70" t="str">
        <f>IFERROR(__xludf.DUMMYFUNCTION("IMPORTRANGE($B$18,$B$19&amp;address(row($I$3),column($I$3))&amp;"":""&amp;address(row($I$3),column($I$3)))"),"Albanian Vets")</f>
        <v>Albanian Vets</v>
      </c>
      <c r="E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6" s="2" t="str">
        <f>IFERROR(__xludf.DUMMYFUNCTION("IMPORTRANGE($B$18,$B$19&amp;address(row(I16),column(I16))&amp;"":""&amp;address(row(I16),column(I16)))"),"")</f>
        <v/>
      </c>
      <c r="G6" s="2" t="str">
        <f>IFERROR(__xludf.DUMMYFUNCTION("IMPORTRANGE($B$18,$B$19&amp;address(row(J16),column(J16))&amp;"":""&amp;address(row(J16),column(J16)))"),"")</f>
        <v/>
      </c>
      <c r="H6" s="1" t="str">
        <f>IFERROR(__xludf.DUMMYFUNCTION("IMPORTRANGE($B$18,$B$19&amp;address(row($I$7),column($I$7))&amp;"":""&amp;address(row($I$7),column($I$7)))"),"")</f>
        <v/>
      </c>
      <c r="I6" s="2" t="str">
        <f>IFERROR(__xludf.DUMMYFUNCTION("IMPORTRANGE($B$18,$B$19&amp;address(row(N16),column(N16))&amp;"":""&amp;address(row(N16),column(N16)))"),"")</f>
        <v/>
      </c>
      <c r="J6" s="2" t="str">
        <f>IFERROR(__xludf.DUMMYFUNCTION("IMPORTRANGE($B$18,$B$19&amp;address(row(O16),column(O16))&amp;"":""&amp;address(row(O16),column(O16)))"),"")</f>
        <v/>
      </c>
      <c r="K6" s="2" t="str">
        <f>IFERROR(__xludf.DUMMYFUNCTION("IMPORTRANGE($B$18,$B$19&amp;address(row(P16),column(P16))&amp;"":""&amp;address(row(P16),column(P16)))"),"")</f>
        <v/>
      </c>
      <c r="L6" s="2" t="b">
        <f t="shared" si="1"/>
        <v>1</v>
      </c>
      <c r="M6" s="2" t="str">
        <f>IFERROR(__xludf.DUMMYFUNCTION("IMPORTRANGE($B$18,$B$19&amp;address(row(L16),column(L16))&amp;"":""&amp;address(row(L16),column(L16)))"),"")</f>
        <v/>
      </c>
      <c r="N6" s="2" t="str">
        <f>IFERROR(__xludf.DUMMYFUNCTION("IMPORTRANGE($B$18,$B$19&amp;address(row(K16),column(K16))&amp;"":""&amp;address(row(K16),column(K16)))"),"")</f>
        <v/>
      </c>
      <c r="O6" s="2" t="str">
        <f>IFERROR(__xludf.DUMMYFUNCTION("IMPORTRANGE($B$18,$B$19&amp;address(row(M16),column(M16))&amp;"":""&amp;address(row(M16),column(M16)))"),"")</f>
        <v/>
      </c>
      <c r="P6" s="2">
        <f>IFERROR(__xludf.DUMMYFUNCTION("IF(IMPORTRANGE($B$18,$B$19&amp;address(row($Q$7),column($Q$7))&amp;"":""&amp;address(row($Q$7),column($Q$7)))=A6,1,0)"),1.0)</f>
        <v>1</v>
      </c>
      <c r="Q6" s="2" t="str">
        <f>IFERROR(__xludf.DUMMYFUNCTION("IMPORTRANGE($B$18,$B$19&amp;address(row(G16),column(G16))&amp;"":""&amp;address(row(G16),column(G16)))"),"")</f>
        <v/>
      </c>
      <c r="R6" s="2" t="str">
        <f>IFERROR(__xludf.DUMMYFUNCTION("IMPORTRANGE($B$18,$B$19&amp;address(row(H16),column(H16))&amp;"":""&amp;address(row(H16),column(H16)))"),"")</f>
        <v/>
      </c>
      <c r="S6" s="2" t="str">
        <f>IFERROR(__xludf.DUMMYFUNCTION("IMPORTRANGE($B$18,$B$19&amp;address(row(S16),column(S16))&amp;"":""&amp;address(row(S16),column(S16)))"),"")</f>
        <v/>
      </c>
      <c r="T6" s="2" t="str">
        <f>IFERROR(__xludf.DUMMYFUNCTION("IMPORTRANGE($B$18,$B$19&amp;address(row(T16),column(T16))&amp;"":""&amp;address(row(T16),column(T16)))"),"")</f>
        <v/>
      </c>
      <c r="U6" s="2" t="str">
        <f>IFERROR(__xludf.DUMMYFUNCTION("IMPORTRANGE($B$18,$B$19&amp;address(row($T$4),column($T$4))&amp;"":""&amp;address(row($T$4),column($T$4)))"),"")</f>
        <v/>
      </c>
      <c r="V6" s="2" t="str">
        <f>IFERROR(__xludf.DUMMYFUNCTION("IMPORTRANGE($B$18,$B$19&amp;address(row($T$7),column($T$7))&amp;"":""&amp;address(row($T$7),column($T$7)))"),"")</f>
        <v/>
      </c>
      <c r="W6" s="2" t="str">
        <f>IFERROR(__xludf.DUMMYFUNCTION("IMPORTRANGE($B$18,$B$19&amp;address(row($H$7),column($H$7))&amp;"":""&amp;address(row($H$7),column($H$7)))"),"")</f>
        <v/>
      </c>
      <c r="X6" s="2" t="str">
        <f>IFERROR(__xludf.DUMMYFUNCTION("IMPORTRANGE($B$18,$B$19&amp;address(row($I$7),column($I$7))&amp;"":""&amp;address(row($I$7),column($I$7)))"),"")</f>
        <v/>
      </c>
      <c r="Y6" s="2" t="str">
        <f>IFERROR(__xludf.DUMMYFUNCTION("IMPORTRANGE($B$18,$B$19&amp;address(row($C$5),column($C$5))&amp;"":""&amp;address(row($C$5),column($C$5)))"),"-")</f>
        <v>-</v>
      </c>
      <c r="Z6" s="86">
        <f>IFERROR(__xludf.DUMMYFUNCTION("IMPORTRANGE($B$18,$B$19&amp;address(row($I$4),column($I$4))&amp;"":""&amp;address(row($I$4),column($I$4)))"),45402.0)</f>
        <v>45402</v>
      </c>
      <c r="AA6" s="2" t="b">
        <f t="shared" si="2"/>
        <v>0</v>
      </c>
    </row>
    <row r="7">
      <c r="A7" s="2" t="str">
        <f>IFERROR(__xludf.DUMMYFUNCTION("IMPORTRANGE($B$18,$B$19&amp;address(row(B17),column(B17))&amp;"":""&amp;address(row(B17),column(B17)))"),"")</f>
        <v/>
      </c>
      <c r="B7" s="2" t="str">
        <f>IFERROR(__xludf.DUMMYFUNCTION("IMPORTRANGE($B$18,$B$19&amp;address(row(E17),column(E17))&amp;"":""&amp;address(row(E17),column(E17)))"),"")</f>
        <v/>
      </c>
      <c r="C7" s="1" t="s">
        <v>157</v>
      </c>
      <c r="D7" s="70" t="str">
        <f>IFERROR(__xludf.DUMMYFUNCTION("IMPORTRANGE($B$18,$B$19&amp;address(row($I$3),column($I$3))&amp;"":""&amp;address(row($I$3),column($I$3)))"),"Albanian Vets")</f>
        <v>Albanian Vets</v>
      </c>
      <c r="E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7" s="2" t="str">
        <f>IFERROR(__xludf.DUMMYFUNCTION("IMPORTRANGE($B$18,$B$19&amp;address(row(I17),column(I17))&amp;"":""&amp;address(row(I17),column(I17)))"),"")</f>
        <v/>
      </c>
      <c r="G7" s="2" t="str">
        <f>IFERROR(__xludf.DUMMYFUNCTION("IMPORTRANGE($B$18,$B$19&amp;address(row(J17),column(J17))&amp;"":""&amp;address(row(J17),column(J17)))"),"")</f>
        <v/>
      </c>
      <c r="H7" s="1" t="str">
        <f>IFERROR(__xludf.DUMMYFUNCTION("IMPORTRANGE($B$18,$B$19&amp;address(row($I$7),column($I$7))&amp;"":""&amp;address(row($I$7),column($I$7)))"),"")</f>
        <v/>
      </c>
      <c r="I7" s="2" t="str">
        <f>IFERROR(__xludf.DUMMYFUNCTION("IMPORTRANGE($B$18,$B$19&amp;address(row(N17),column(N17))&amp;"":""&amp;address(row(N17),column(N17)))"),"")</f>
        <v/>
      </c>
      <c r="J7" s="2" t="str">
        <f>IFERROR(__xludf.DUMMYFUNCTION("IMPORTRANGE($B$18,$B$19&amp;address(row(O17),column(O17))&amp;"":""&amp;address(row(O17),column(O17)))"),"")</f>
        <v/>
      </c>
      <c r="K7" s="2" t="str">
        <f>IFERROR(__xludf.DUMMYFUNCTION("IMPORTRANGE($B$18,$B$19&amp;address(row(P17),column(P17))&amp;"":""&amp;address(row(P17),column(P17)))"),"")</f>
        <v/>
      </c>
      <c r="L7" s="2" t="b">
        <f t="shared" si="1"/>
        <v>1</v>
      </c>
      <c r="M7" s="2" t="str">
        <f>IFERROR(__xludf.DUMMYFUNCTION("IMPORTRANGE($B$18,$B$19&amp;address(row(L17),column(L17))&amp;"":""&amp;address(row(L17),column(L17)))"),"")</f>
        <v/>
      </c>
      <c r="N7" s="2" t="str">
        <f>IFERROR(__xludf.DUMMYFUNCTION("IMPORTRANGE($B$18,$B$19&amp;address(row(K17),column(K17))&amp;"":""&amp;address(row(K17),column(K17)))"),"")</f>
        <v/>
      </c>
      <c r="O7" s="2" t="str">
        <f>IFERROR(__xludf.DUMMYFUNCTION("IMPORTRANGE($B$18,$B$19&amp;address(row(M17),column(M17))&amp;"":""&amp;address(row(M17),column(M17)))"),"")</f>
        <v/>
      </c>
      <c r="P7" s="2">
        <f>IFERROR(__xludf.DUMMYFUNCTION("IF(IMPORTRANGE($B$18,$B$19&amp;address(row($Q$7),column($Q$7))&amp;"":""&amp;address(row($Q$7),column($Q$7)))=A7,1,0)"),1.0)</f>
        <v>1</v>
      </c>
      <c r="Q7" s="2" t="str">
        <f>IFERROR(__xludf.DUMMYFUNCTION("IMPORTRANGE($B$18,$B$19&amp;address(row(G17),column(G17))&amp;"":""&amp;address(row(G17),column(G17)))"),"")</f>
        <v/>
      </c>
      <c r="R7" s="2" t="str">
        <f>IFERROR(__xludf.DUMMYFUNCTION("IMPORTRANGE($B$18,$B$19&amp;address(row(H17),column(H17))&amp;"":""&amp;address(row(H17),column(H17)))"),"")</f>
        <v/>
      </c>
      <c r="S7" s="2" t="str">
        <f>IFERROR(__xludf.DUMMYFUNCTION("IMPORTRANGE($B$18,$B$19&amp;address(row(S17),column(S17))&amp;"":""&amp;address(row(S17),column(S17)))"),"")</f>
        <v/>
      </c>
      <c r="T7" s="2" t="str">
        <f>IFERROR(__xludf.DUMMYFUNCTION("IMPORTRANGE($B$18,$B$19&amp;address(row(T17),column(T17))&amp;"":""&amp;address(row(T17),column(T17)))"),"")</f>
        <v/>
      </c>
      <c r="U7" s="2" t="str">
        <f>IFERROR(__xludf.DUMMYFUNCTION("IMPORTRANGE($B$18,$B$19&amp;address(row($T$4),column($T$4))&amp;"":""&amp;address(row($T$4),column($T$4)))"),"")</f>
        <v/>
      </c>
      <c r="V7" s="2" t="str">
        <f>IFERROR(__xludf.DUMMYFUNCTION("IMPORTRANGE($B$18,$B$19&amp;address(row($T$7),column($T$7))&amp;"":""&amp;address(row($T$7),column($T$7)))"),"")</f>
        <v/>
      </c>
      <c r="W7" s="2" t="str">
        <f>IFERROR(__xludf.DUMMYFUNCTION("IMPORTRANGE($B$18,$B$19&amp;address(row($H$7),column($H$7))&amp;"":""&amp;address(row($H$7),column($H$7)))"),"")</f>
        <v/>
      </c>
      <c r="X7" s="2" t="str">
        <f>IFERROR(__xludf.DUMMYFUNCTION("IMPORTRANGE($B$18,$B$19&amp;address(row($I$7),column($I$7))&amp;"":""&amp;address(row($I$7),column($I$7)))"),"")</f>
        <v/>
      </c>
      <c r="Y7" s="2" t="str">
        <f>IFERROR(__xludf.DUMMYFUNCTION("IMPORTRANGE($B$18,$B$19&amp;address(row($C$5),column($C$5))&amp;"":""&amp;address(row($C$5),column($C$5)))"),"-")</f>
        <v>-</v>
      </c>
      <c r="Z7" s="86">
        <f>IFERROR(__xludf.DUMMYFUNCTION("IMPORTRANGE($B$18,$B$19&amp;address(row($I$4),column($I$4))&amp;"":""&amp;address(row($I$4),column($I$4)))"),45402.0)</f>
        <v>45402</v>
      </c>
      <c r="AA7" s="2" t="b">
        <f t="shared" si="2"/>
        <v>0</v>
      </c>
    </row>
    <row r="8">
      <c r="A8" s="2" t="str">
        <f>IFERROR(__xludf.DUMMYFUNCTION("IMPORTRANGE($B$18,$B$19&amp;address(row(B18),column(B18))&amp;"":""&amp;address(row(B18),column(B18)))"),"")</f>
        <v/>
      </c>
      <c r="B8" s="2" t="str">
        <f>IFERROR(__xludf.DUMMYFUNCTION("IMPORTRANGE($B$18,$B$19&amp;address(row(E18),column(E18))&amp;"":""&amp;address(row(E18),column(E18)))"),"")</f>
        <v/>
      </c>
      <c r="C8" s="1" t="s">
        <v>157</v>
      </c>
      <c r="D8" s="70" t="str">
        <f>IFERROR(__xludf.DUMMYFUNCTION("IMPORTRANGE($B$18,$B$19&amp;address(row($I$3),column($I$3))&amp;"":""&amp;address(row($I$3),column($I$3)))"),"Albanian Vets")</f>
        <v>Albanian Vets</v>
      </c>
      <c r="E8"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8" s="2" t="str">
        <f>IFERROR(__xludf.DUMMYFUNCTION("IMPORTRANGE($B$18,$B$19&amp;address(row(I18),column(I18))&amp;"":""&amp;address(row(I18),column(I18)))"),"")</f>
        <v/>
      </c>
      <c r="G8" s="2" t="str">
        <f>IFERROR(__xludf.DUMMYFUNCTION("IMPORTRANGE($B$18,$B$19&amp;address(row(J18),column(J18))&amp;"":""&amp;address(row(J18),column(J18)))"),"")</f>
        <v/>
      </c>
      <c r="H8" s="1" t="str">
        <f>IFERROR(__xludf.DUMMYFUNCTION("IMPORTRANGE($B$18,$B$19&amp;address(row($I$7),column($I$7))&amp;"":""&amp;address(row($I$7),column($I$7)))"),"")</f>
        <v/>
      </c>
      <c r="I8" s="2" t="str">
        <f>IFERROR(__xludf.DUMMYFUNCTION("IMPORTRANGE($B$18,$B$19&amp;address(row(N18),column(N18))&amp;"":""&amp;address(row(N18),column(N18)))"),"")</f>
        <v/>
      </c>
      <c r="J8" s="2" t="str">
        <f>IFERROR(__xludf.DUMMYFUNCTION("IMPORTRANGE($B$18,$B$19&amp;address(row(O18),column(O18))&amp;"":""&amp;address(row(O18),column(O18)))"),"")</f>
        <v/>
      </c>
      <c r="K8" s="2" t="str">
        <f>IFERROR(__xludf.DUMMYFUNCTION("IMPORTRANGE($B$18,$B$19&amp;address(row(P18),column(P18))&amp;"":""&amp;address(row(P18),column(P18)))"),"")</f>
        <v/>
      </c>
      <c r="L8" s="2" t="b">
        <f t="shared" si="1"/>
        <v>1</v>
      </c>
      <c r="M8" s="2" t="str">
        <f>IFERROR(__xludf.DUMMYFUNCTION("IMPORTRANGE($B$18,$B$19&amp;address(row(L18),column(L18))&amp;"":""&amp;address(row(L18),column(L18)))"),"")</f>
        <v/>
      </c>
      <c r="N8" s="2" t="str">
        <f>IFERROR(__xludf.DUMMYFUNCTION("IMPORTRANGE($B$18,$B$19&amp;address(row(K18),column(K18))&amp;"":""&amp;address(row(K18),column(K18)))"),"")</f>
        <v/>
      </c>
      <c r="O8" s="2" t="str">
        <f>IFERROR(__xludf.DUMMYFUNCTION("IMPORTRANGE($B$18,$B$19&amp;address(row(M18),column(M18))&amp;"":""&amp;address(row(M18),column(M18)))"),"")</f>
        <v/>
      </c>
      <c r="P8" s="2">
        <f>IFERROR(__xludf.DUMMYFUNCTION("IF(IMPORTRANGE($B$18,$B$19&amp;address(row($Q$7),column($Q$7))&amp;"":""&amp;address(row($Q$7),column($Q$7)))=A8,1,0)"),1.0)</f>
        <v>1</v>
      </c>
      <c r="Q8" s="2" t="str">
        <f>IFERROR(__xludf.DUMMYFUNCTION("IMPORTRANGE($B$18,$B$19&amp;address(row(G18),column(G18))&amp;"":""&amp;address(row(G18),column(G18)))"),"")</f>
        <v/>
      </c>
      <c r="R8" s="2" t="str">
        <f>IFERROR(__xludf.DUMMYFUNCTION("IMPORTRANGE($B$18,$B$19&amp;address(row(H18),column(H18))&amp;"":""&amp;address(row(H18),column(H18)))"),"")</f>
        <v/>
      </c>
      <c r="S8" s="2" t="str">
        <f>IFERROR(__xludf.DUMMYFUNCTION("IMPORTRANGE($B$18,$B$19&amp;address(row(S18),column(S18))&amp;"":""&amp;address(row(S18),column(S18)))"),"")</f>
        <v/>
      </c>
      <c r="T8" s="2" t="str">
        <f>IFERROR(__xludf.DUMMYFUNCTION("IMPORTRANGE($B$18,$B$19&amp;address(row(T18),column(T18))&amp;"":""&amp;address(row(T18),column(T18)))"),"")</f>
        <v/>
      </c>
      <c r="U8" s="2" t="str">
        <f>IFERROR(__xludf.DUMMYFUNCTION("IMPORTRANGE($B$18,$B$19&amp;address(row($T$4),column($T$4))&amp;"":""&amp;address(row($T$4),column($T$4)))"),"")</f>
        <v/>
      </c>
      <c r="V8" s="2" t="str">
        <f>IFERROR(__xludf.DUMMYFUNCTION("IMPORTRANGE($B$18,$B$19&amp;address(row($T$7),column($T$7))&amp;"":""&amp;address(row($T$7),column($T$7)))"),"")</f>
        <v/>
      </c>
      <c r="W8" s="2" t="str">
        <f>IFERROR(__xludf.DUMMYFUNCTION("IMPORTRANGE($B$18,$B$19&amp;address(row($H$7),column($H$7))&amp;"":""&amp;address(row($H$7),column($H$7)))"),"")</f>
        <v/>
      </c>
      <c r="X8" s="2" t="str">
        <f>IFERROR(__xludf.DUMMYFUNCTION("IMPORTRANGE($B$18,$B$19&amp;address(row($I$7),column($I$7))&amp;"":""&amp;address(row($I$7),column($I$7)))"),"")</f>
        <v/>
      </c>
      <c r="Y8" s="2" t="str">
        <f>IFERROR(__xludf.DUMMYFUNCTION("IMPORTRANGE($B$18,$B$19&amp;address(row($C$5),column($C$5))&amp;"":""&amp;address(row($C$5),column($C$5)))"),"-")</f>
        <v>-</v>
      </c>
      <c r="Z8" s="86">
        <f>IFERROR(__xludf.DUMMYFUNCTION("IMPORTRANGE($B$18,$B$19&amp;address(row($I$4),column($I$4))&amp;"":""&amp;address(row($I$4),column($I$4)))"),45402.0)</f>
        <v>45402</v>
      </c>
      <c r="AA8" s="2" t="b">
        <f t="shared" si="2"/>
        <v>0</v>
      </c>
    </row>
    <row r="9">
      <c r="A9" s="2" t="str">
        <f>IFERROR(__xludf.DUMMYFUNCTION("IMPORTRANGE($B$18,$B$19&amp;address(row(B19),column(B19))&amp;"":""&amp;address(row(B19),column(B19)))"),"")</f>
        <v/>
      </c>
      <c r="B9" s="2" t="str">
        <f>IFERROR(__xludf.DUMMYFUNCTION("IMPORTRANGE($B$18,$B$19&amp;address(row(E19),column(E19))&amp;"":""&amp;address(row(E19),column(E19)))"),"")</f>
        <v/>
      </c>
      <c r="C9" s="1" t="s">
        <v>157</v>
      </c>
      <c r="D9" s="70" t="str">
        <f>IFERROR(__xludf.DUMMYFUNCTION("IMPORTRANGE($B$18,$B$19&amp;address(row($I$3),column($I$3))&amp;"":""&amp;address(row($I$3),column($I$3)))"),"Albanian Vets")</f>
        <v>Albanian Vets</v>
      </c>
      <c r="E9"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9" s="2" t="str">
        <f>IFERROR(__xludf.DUMMYFUNCTION("IMPORTRANGE($B$18,$B$19&amp;address(row(I19),column(I19))&amp;"":""&amp;address(row(I19),column(I19)))"),"")</f>
        <v/>
      </c>
      <c r="G9" s="2" t="str">
        <f>IFERROR(__xludf.DUMMYFUNCTION("IMPORTRANGE($B$18,$B$19&amp;address(row(J19),column(J19))&amp;"":""&amp;address(row(J19),column(J19)))"),"")</f>
        <v/>
      </c>
      <c r="H9" s="1" t="str">
        <f>IFERROR(__xludf.DUMMYFUNCTION("IMPORTRANGE($B$18,$B$19&amp;address(row($I$7),column($I$7))&amp;"":""&amp;address(row($I$7),column($I$7)))"),"")</f>
        <v/>
      </c>
      <c r="I9" s="2" t="str">
        <f>IFERROR(__xludf.DUMMYFUNCTION("IMPORTRANGE($B$18,$B$19&amp;address(row(N19),column(N19))&amp;"":""&amp;address(row(N19),column(N19)))"),"")</f>
        <v/>
      </c>
      <c r="J9" s="2" t="str">
        <f>IFERROR(__xludf.DUMMYFUNCTION("IMPORTRANGE($B$18,$B$19&amp;address(row(O19),column(O19))&amp;"":""&amp;address(row(O19),column(O19)))"),"")</f>
        <v/>
      </c>
      <c r="K9" s="2" t="str">
        <f>IFERROR(__xludf.DUMMYFUNCTION("IMPORTRANGE($B$18,$B$19&amp;address(row(P19),column(P19))&amp;"":""&amp;address(row(P19),column(P19)))"),"")</f>
        <v/>
      </c>
      <c r="L9" s="2" t="b">
        <f t="shared" si="1"/>
        <v>1</v>
      </c>
      <c r="M9" s="2" t="str">
        <f>IFERROR(__xludf.DUMMYFUNCTION("IMPORTRANGE($B$18,$B$19&amp;address(row(L19),column(L19))&amp;"":""&amp;address(row(L19),column(L19)))"),"")</f>
        <v/>
      </c>
      <c r="N9" s="2" t="str">
        <f>IFERROR(__xludf.DUMMYFUNCTION("IMPORTRANGE($B$18,$B$19&amp;address(row(K19),column(K19))&amp;"":""&amp;address(row(K19),column(K19)))"),"")</f>
        <v/>
      </c>
      <c r="O9" s="2" t="str">
        <f>IFERROR(__xludf.DUMMYFUNCTION("IMPORTRANGE($B$18,$B$19&amp;address(row(M19),column(M19))&amp;"":""&amp;address(row(M19),column(M19)))"),"")</f>
        <v/>
      </c>
      <c r="P9" s="2">
        <f>IFERROR(__xludf.DUMMYFUNCTION("IF(IMPORTRANGE($B$18,$B$19&amp;address(row($Q$7),column($Q$7))&amp;"":""&amp;address(row($Q$7),column($Q$7)))=A9,1,0)"),1.0)</f>
        <v>1</v>
      </c>
      <c r="Q9" s="2" t="str">
        <f>IFERROR(__xludf.DUMMYFUNCTION("IMPORTRANGE($B$18,$B$19&amp;address(row(G19),column(G19))&amp;"":""&amp;address(row(G19),column(G19)))"),"")</f>
        <v/>
      </c>
      <c r="R9" s="2" t="str">
        <f>IFERROR(__xludf.DUMMYFUNCTION("IMPORTRANGE($B$18,$B$19&amp;address(row(H19),column(H19))&amp;"":""&amp;address(row(H19),column(H19)))"),"")</f>
        <v/>
      </c>
      <c r="S9" s="2" t="str">
        <f>IFERROR(__xludf.DUMMYFUNCTION("IMPORTRANGE($B$18,$B$19&amp;address(row(S19),column(S19))&amp;"":""&amp;address(row(S19),column(S19)))"),"")</f>
        <v/>
      </c>
      <c r="T9" s="2" t="str">
        <f>IFERROR(__xludf.DUMMYFUNCTION("IMPORTRANGE($B$18,$B$19&amp;address(row(T19),column(T19))&amp;"":""&amp;address(row(T19),column(T19)))"),"")</f>
        <v/>
      </c>
      <c r="U9" s="2" t="str">
        <f>IFERROR(__xludf.DUMMYFUNCTION("IMPORTRANGE($B$18,$B$19&amp;address(row($T$4),column($T$4))&amp;"":""&amp;address(row($T$4),column($T$4)))"),"")</f>
        <v/>
      </c>
      <c r="V9" s="2" t="str">
        <f>IFERROR(__xludf.DUMMYFUNCTION("IMPORTRANGE($B$18,$B$19&amp;address(row($T$7),column($T$7))&amp;"":""&amp;address(row($T$7),column($T$7)))"),"")</f>
        <v/>
      </c>
      <c r="W9" s="2" t="str">
        <f>IFERROR(__xludf.DUMMYFUNCTION("IMPORTRANGE($B$18,$B$19&amp;address(row($H$7),column($H$7))&amp;"":""&amp;address(row($H$7),column($H$7)))"),"")</f>
        <v/>
      </c>
      <c r="X9" s="2" t="str">
        <f>IFERROR(__xludf.DUMMYFUNCTION("IMPORTRANGE($B$18,$B$19&amp;address(row($I$7),column($I$7))&amp;"":""&amp;address(row($I$7),column($I$7)))"),"")</f>
        <v/>
      </c>
      <c r="Y9" s="2" t="str">
        <f>IFERROR(__xludf.DUMMYFUNCTION("IMPORTRANGE($B$18,$B$19&amp;address(row($C$5),column($C$5))&amp;"":""&amp;address(row($C$5),column($C$5)))"),"-")</f>
        <v>-</v>
      </c>
      <c r="Z9" s="86">
        <f>IFERROR(__xludf.DUMMYFUNCTION("IMPORTRANGE($B$18,$B$19&amp;address(row($I$4),column($I$4))&amp;"":""&amp;address(row($I$4),column($I$4)))"),45402.0)</f>
        <v>45402</v>
      </c>
      <c r="AA9" s="2" t="b">
        <f t="shared" si="2"/>
        <v>0</v>
      </c>
    </row>
    <row r="10">
      <c r="A10" s="2" t="str">
        <f>IFERROR(__xludf.DUMMYFUNCTION("IMPORTRANGE($B$18,$B$19&amp;address(row(B20),column(B20))&amp;"":""&amp;address(row(B20),column(B20)))"),"")</f>
        <v/>
      </c>
      <c r="B10" s="2" t="str">
        <f>IFERROR(__xludf.DUMMYFUNCTION("IMPORTRANGE($B$18,$B$19&amp;address(row(E20),column(E20))&amp;"":""&amp;address(row(E20),column(E20)))"),"")</f>
        <v/>
      </c>
      <c r="C10" s="1" t="s">
        <v>157</v>
      </c>
      <c r="D10" s="70" t="str">
        <f>IFERROR(__xludf.DUMMYFUNCTION("IMPORTRANGE($B$18,$B$19&amp;address(row($I$3),column($I$3))&amp;"":""&amp;address(row($I$3),column($I$3)))"),"Albanian Vets")</f>
        <v>Albanian Vets</v>
      </c>
      <c r="E10"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0" s="2" t="str">
        <f>IFERROR(__xludf.DUMMYFUNCTION("IMPORTRANGE($B$18,$B$19&amp;address(row(I20),column(I20))&amp;"":""&amp;address(row(I20),column(I20)))"),"")</f>
        <v/>
      </c>
      <c r="G10" s="2" t="str">
        <f>IFERROR(__xludf.DUMMYFUNCTION("IMPORTRANGE($B$18,$B$19&amp;address(row(J20),column(J20))&amp;"":""&amp;address(row(J20),column(J20)))"),"")</f>
        <v/>
      </c>
      <c r="H10" s="1" t="str">
        <f>IFERROR(__xludf.DUMMYFUNCTION("IMPORTRANGE($B$18,$B$19&amp;address(row($I$7),column($I$7))&amp;"":""&amp;address(row($I$7),column($I$7)))"),"")</f>
        <v/>
      </c>
      <c r="I10" s="2" t="str">
        <f>IFERROR(__xludf.DUMMYFUNCTION("IMPORTRANGE($B$18,$B$19&amp;address(row(N20),column(N20))&amp;"":""&amp;address(row(N20),column(N20)))"),"")</f>
        <v/>
      </c>
      <c r="J10" s="2" t="str">
        <f>IFERROR(__xludf.DUMMYFUNCTION("IMPORTRANGE($B$18,$B$19&amp;address(row(O20),column(O20))&amp;"":""&amp;address(row(O20),column(O20)))"),"")</f>
        <v/>
      </c>
      <c r="K10" s="2" t="str">
        <f>IFERROR(__xludf.DUMMYFUNCTION("IMPORTRANGE($B$18,$B$19&amp;address(row(P20),column(P20))&amp;"":""&amp;address(row(P20),column(P20)))"),"")</f>
        <v/>
      </c>
      <c r="L10" s="2" t="b">
        <f t="shared" si="1"/>
        <v>1</v>
      </c>
      <c r="M10" s="2" t="str">
        <f>IFERROR(__xludf.DUMMYFUNCTION("IMPORTRANGE($B$18,$B$19&amp;address(row(L20),column(L20))&amp;"":""&amp;address(row(L20),column(L20)))"),"")</f>
        <v/>
      </c>
      <c r="N10" s="2" t="str">
        <f>IFERROR(__xludf.DUMMYFUNCTION("IMPORTRANGE($B$18,$B$19&amp;address(row(K20),column(K20))&amp;"":""&amp;address(row(K20),column(K20)))"),"")</f>
        <v/>
      </c>
      <c r="O10" s="2" t="str">
        <f>IFERROR(__xludf.DUMMYFUNCTION("IMPORTRANGE($B$18,$B$19&amp;address(row(M20),column(M20))&amp;"":""&amp;address(row(M20),column(M20)))"),"")</f>
        <v/>
      </c>
      <c r="P10" s="2">
        <f>IFERROR(__xludf.DUMMYFUNCTION("IF(IMPORTRANGE($B$18,$B$19&amp;address(row($Q$7),column($Q$7))&amp;"":""&amp;address(row($Q$7),column($Q$7)))=A10,1,0)"),1.0)</f>
        <v>1</v>
      </c>
      <c r="Q10" s="2" t="str">
        <f>IFERROR(__xludf.DUMMYFUNCTION("IMPORTRANGE($B$18,$B$19&amp;address(row(G20),column(G20))&amp;"":""&amp;address(row(G20),column(G20)))"),"")</f>
        <v/>
      </c>
      <c r="R10" s="2" t="str">
        <f>IFERROR(__xludf.DUMMYFUNCTION("IMPORTRANGE($B$18,$B$19&amp;address(row(H20),column(H20))&amp;"":""&amp;address(row(H20),column(H20)))"),"")</f>
        <v/>
      </c>
      <c r="S10" s="2" t="str">
        <f>IFERROR(__xludf.DUMMYFUNCTION("IMPORTRANGE($B$18,$B$19&amp;address(row(S20),column(S20))&amp;"":""&amp;address(row(S20),column(S20)))"),"")</f>
        <v/>
      </c>
      <c r="T10" s="2" t="str">
        <f>IFERROR(__xludf.DUMMYFUNCTION("IMPORTRANGE($B$18,$B$19&amp;address(row(T20),column(T20))&amp;"":""&amp;address(row(T20),column(T20)))"),"")</f>
        <v/>
      </c>
      <c r="U10" s="2" t="str">
        <f>IFERROR(__xludf.DUMMYFUNCTION("IMPORTRANGE($B$18,$B$19&amp;address(row($T$4),column($T$4))&amp;"":""&amp;address(row($T$4),column($T$4)))"),"")</f>
        <v/>
      </c>
      <c r="V10" s="2" t="str">
        <f>IFERROR(__xludf.DUMMYFUNCTION("IMPORTRANGE($B$18,$B$19&amp;address(row($T$7),column($T$7))&amp;"":""&amp;address(row($T$7),column($T$7)))"),"")</f>
        <v/>
      </c>
      <c r="W10" s="2" t="str">
        <f>IFERROR(__xludf.DUMMYFUNCTION("IMPORTRANGE($B$18,$B$19&amp;address(row($H$7),column($H$7))&amp;"":""&amp;address(row($H$7),column($H$7)))"),"")</f>
        <v/>
      </c>
      <c r="X10" s="2" t="str">
        <f>IFERROR(__xludf.DUMMYFUNCTION("IMPORTRANGE($B$18,$B$19&amp;address(row($I$7),column($I$7))&amp;"":""&amp;address(row($I$7),column($I$7)))"),"")</f>
        <v/>
      </c>
      <c r="Y10" s="2" t="str">
        <f>IFERROR(__xludf.DUMMYFUNCTION("IMPORTRANGE($B$18,$B$19&amp;address(row($C$5),column($C$5))&amp;"":""&amp;address(row($C$5),column($C$5)))"),"-")</f>
        <v>-</v>
      </c>
      <c r="Z10" s="86">
        <f>IFERROR(__xludf.DUMMYFUNCTION("IMPORTRANGE($B$18,$B$19&amp;address(row($I$4),column($I$4))&amp;"":""&amp;address(row($I$4),column($I$4)))"),45402.0)</f>
        <v>45402</v>
      </c>
      <c r="AA10" s="2" t="b">
        <f t="shared" si="2"/>
        <v>0</v>
      </c>
    </row>
    <row r="11">
      <c r="A11" s="2" t="str">
        <f>IFERROR(__xludf.DUMMYFUNCTION("IMPORTRANGE($B$18,$B$19&amp;address(row(B21),column(B21))&amp;"":""&amp;address(row(B21),column(B21)))"),"")</f>
        <v/>
      </c>
      <c r="B11" s="2" t="str">
        <f>IFERROR(__xludf.DUMMYFUNCTION("IMPORTRANGE($B$18,$B$19&amp;address(row(E21),column(E21))&amp;"":""&amp;address(row(E21),column(E21)))"),"")</f>
        <v/>
      </c>
      <c r="C11" s="1" t="s">
        <v>157</v>
      </c>
      <c r="D11" s="70" t="str">
        <f>IFERROR(__xludf.DUMMYFUNCTION("IMPORTRANGE($B$18,$B$19&amp;address(row($I$3),column($I$3))&amp;"":""&amp;address(row($I$3),column($I$3)))"),"Albanian Vets")</f>
        <v>Albanian Vets</v>
      </c>
      <c r="E11"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1" s="2" t="str">
        <f>IFERROR(__xludf.DUMMYFUNCTION("IMPORTRANGE($B$18,$B$19&amp;address(row(I21),column(I21))&amp;"":""&amp;address(row(I21),column(I21)))"),"")</f>
        <v/>
      </c>
      <c r="G11" s="2" t="str">
        <f>IFERROR(__xludf.DUMMYFUNCTION("IMPORTRANGE($B$18,$B$19&amp;address(row(J21),column(J21))&amp;"":""&amp;address(row(J21),column(J21)))"),"")</f>
        <v/>
      </c>
      <c r="H11" s="1" t="str">
        <f>IFERROR(__xludf.DUMMYFUNCTION("IMPORTRANGE($B$18,$B$19&amp;address(row($I$7),column($I$7))&amp;"":""&amp;address(row($I$7),column($I$7)))"),"")</f>
        <v/>
      </c>
      <c r="I11" s="2" t="str">
        <f>IFERROR(__xludf.DUMMYFUNCTION("IMPORTRANGE($B$18,$B$19&amp;address(row(N21),column(N21))&amp;"":""&amp;address(row(N21),column(N21)))"),"")</f>
        <v/>
      </c>
      <c r="J11" s="2" t="str">
        <f>IFERROR(__xludf.DUMMYFUNCTION("IMPORTRANGE($B$18,$B$19&amp;address(row(O21),column(O21))&amp;"":""&amp;address(row(O21),column(O21)))"),"")</f>
        <v/>
      </c>
      <c r="K11" s="2" t="str">
        <f>IFERROR(__xludf.DUMMYFUNCTION("IMPORTRANGE($B$18,$B$19&amp;address(row(P21),column(P21))&amp;"":""&amp;address(row(P21),column(P21)))"),"")</f>
        <v/>
      </c>
      <c r="L11" s="2" t="b">
        <f t="shared" si="1"/>
        <v>1</v>
      </c>
      <c r="M11" s="2" t="str">
        <f>IFERROR(__xludf.DUMMYFUNCTION("IMPORTRANGE($B$18,$B$19&amp;address(row(L21),column(L21))&amp;"":""&amp;address(row(L21),column(L21)))"),"")</f>
        <v/>
      </c>
      <c r="N11" s="2" t="str">
        <f>IFERROR(__xludf.DUMMYFUNCTION("IMPORTRANGE($B$18,$B$19&amp;address(row(K21),column(K21))&amp;"":""&amp;address(row(K21),column(K21)))"),"")</f>
        <v/>
      </c>
      <c r="O11" s="2" t="str">
        <f>IFERROR(__xludf.DUMMYFUNCTION("IMPORTRANGE($B$18,$B$19&amp;address(row(M21),column(M21))&amp;"":""&amp;address(row(M21),column(M21)))"),"")</f>
        <v/>
      </c>
      <c r="P11" s="2">
        <f>IFERROR(__xludf.DUMMYFUNCTION("IF(IMPORTRANGE($B$18,$B$19&amp;address(row($Q$7),column($Q$7))&amp;"":""&amp;address(row($Q$7),column($Q$7)))=A11,1,0)"),1.0)</f>
        <v>1</v>
      </c>
      <c r="Q11" s="2" t="str">
        <f>IFERROR(__xludf.DUMMYFUNCTION("IMPORTRANGE($B$18,$B$19&amp;address(row(G21),column(G21))&amp;"":""&amp;address(row(G21),column(G21)))"),"")</f>
        <v/>
      </c>
      <c r="R11" s="2" t="str">
        <f>IFERROR(__xludf.DUMMYFUNCTION("IMPORTRANGE($B$18,$B$19&amp;address(row(H21),column(H21))&amp;"":""&amp;address(row(H21),column(H21)))"),"")</f>
        <v/>
      </c>
      <c r="S11" s="2" t="str">
        <f>IFERROR(__xludf.DUMMYFUNCTION("IMPORTRANGE($B$18,$B$19&amp;address(row(S21),column(S21))&amp;"":""&amp;address(row(S21),column(S21)))"),"")</f>
        <v/>
      </c>
      <c r="T11" s="2" t="str">
        <f>IFERROR(__xludf.DUMMYFUNCTION("IMPORTRANGE($B$18,$B$19&amp;address(row(T21),column(T21))&amp;"":""&amp;address(row(T21),column(T21)))"),"")</f>
        <v/>
      </c>
      <c r="U11" s="2" t="str">
        <f>IFERROR(__xludf.DUMMYFUNCTION("IMPORTRANGE($B$18,$B$19&amp;address(row($T$4),column($T$4))&amp;"":""&amp;address(row($T$4),column($T$4)))"),"")</f>
        <v/>
      </c>
      <c r="V11" s="2" t="str">
        <f>IFERROR(__xludf.DUMMYFUNCTION("IMPORTRANGE($B$18,$B$19&amp;address(row($T$7),column($T$7))&amp;"":""&amp;address(row($T$7),column($T$7)))"),"")</f>
        <v/>
      </c>
      <c r="W11" s="2" t="str">
        <f>IFERROR(__xludf.DUMMYFUNCTION("IMPORTRANGE($B$18,$B$19&amp;address(row($H$7),column($H$7))&amp;"":""&amp;address(row($H$7),column($H$7)))"),"")</f>
        <v/>
      </c>
      <c r="X11" s="2" t="str">
        <f>IFERROR(__xludf.DUMMYFUNCTION("IMPORTRANGE($B$18,$B$19&amp;address(row($I$7),column($I$7))&amp;"":""&amp;address(row($I$7),column($I$7)))"),"")</f>
        <v/>
      </c>
      <c r="Y11" s="2" t="str">
        <f>IFERROR(__xludf.DUMMYFUNCTION("IMPORTRANGE($B$18,$B$19&amp;address(row($C$5),column($C$5))&amp;"":""&amp;address(row($C$5),column($C$5)))"),"-")</f>
        <v>-</v>
      </c>
      <c r="Z11" s="86">
        <f>IFERROR(__xludf.DUMMYFUNCTION("IMPORTRANGE($B$18,$B$19&amp;address(row($I$4),column($I$4))&amp;"":""&amp;address(row($I$4),column($I$4)))"),45402.0)</f>
        <v>45402</v>
      </c>
      <c r="AA11" s="2" t="b">
        <f t="shared" si="2"/>
        <v>0</v>
      </c>
    </row>
    <row r="12">
      <c r="A12" s="2" t="str">
        <f>IFERROR(__xludf.DUMMYFUNCTION("IMPORTRANGE($B$18,$B$19&amp;address(row(B22),column(B22))&amp;"":""&amp;address(row(B22),column(B22)))"),"")</f>
        <v/>
      </c>
      <c r="B12" s="2" t="str">
        <f>IFERROR(__xludf.DUMMYFUNCTION("IMPORTRANGE($B$18,$B$19&amp;address(row(E22),column(E22))&amp;"":""&amp;address(row(E22),column(E22)))"),"")</f>
        <v/>
      </c>
      <c r="C12" s="1" t="s">
        <v>157</v>
      </c>
      <c r="D12" s="70" t="str">
        <f>IFERROR(__xludf.DUMMYFUNCTION("IMPORTRANGE($B$18,$B$19&amp;address(row($I$3),column($I$3))&amp;"":""&amp;address(row($I$3),column($I$3)))"),"Albanian Vets")</f>
        <v>Albanian Vets</v>
      </c>
      <c r="E12"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2" s="2" t="str">
        <f>IFERROR(__xludf.DUMMYFUNCTION("IMPORTRANGE($B$18,$B$19&amp;address(row(I22),column(I22))&amp;"":""&amp;address(row(I22),column(I22)))"),"")</f>
        <v/>
      </c>
      <c r="G12" s="2" t="str">
        <f>IFERROR(__xludf.DUMMYFUNCTION("IMPORTRANGE($B$18,$B$19&amp;address(row(J22),column(J22))&amp;"":""&amp;address(row(J22),column(J22)))"),"")</f>
        <v/>
      </c>
      <c r="H12" s="1" t="str">
        <f>IFERROR(__xludf.DUMMYFUNCTION("IMPORTRANGE($B$18,$B$19&amp;address(row($I$7),column($I$7))&amp;"":""&amp;address(row($I$7),column($I$7)))"),"")</f>
        <v/>
      </c>
      <c r="I12" s="2" t="str">
        <f>IFERROR(__xludf.DUMMYFUNCTION("IMPORTRANGE($B$18,$B$19&amp;address(row(N22),column(N22))&amp;"":""&amp;address(row(N22),column(N22)))"),"")</f>
        <v/>
      </c>
      <c r="J12" s="2" t="str">
        <f>IFERROR(__xludf.DUMMYFUNCTION("IMPORTRANGE($B$18,$B$19&amp;address(row(O22),column(O22))&amp;"":""&amp;address(row(O22),column(O22)))"),"")</f>
        <v/>
      </c>
      <c r="K12" s="2" t="str">
        <f>IFERROR(__xludf.DUMMYFUNCTION("IMPORTRANGE($B$18,$B$19&amp;address(row(P22),column(P22))&amp;"":""&amp;address(row(P22),column(P22)))"),"")</f>
        <v/>
      </c>
      <c r="L12" s="2" t="b">
        <f t="shared" si="1"/>
        <v>1</v>
      </c>
      <c r="M12" s="2" t="str">
        <f>IFERROR(__xludf.DUMMYFUNCTION("IMPORTRANGE($B$18,$B$19&amp;address(row(L22),column(L22))&amp;"":""&amp;address(row(L22),column(L22)))"),"")</f>
        <v/>
      </c>
      <c r="N12" s="2" t="str">
        <f>IFERROR(__xludf.DUMMYFUNCTION("IMPORTRANGE($B$18,$B$19&amp;address(row(K22),column(K22))&amp;"":""&amp;address(row(K22),column(K22)))"),"")</f>
        <v/>
      </c>
      <c r="O12" s="2" t="str">
        <f>IFERROR(__xludf.DUMMYFUNCTION("IMPORTRANGE($B$18,$B$19&amp;address(row(M22),column(M22))&amp;"":""&amp;address(row(M22),column(M22)))"),"")</f>
        <v/>
      </c>
      <c r="P12" s="2">
        <f>IFERROR(__xludf.DUMMYFUNCTION("IF(IMPORTRANGE($B$18,$B$19&amp;address(row($Q$7),column($Q$7))&amp;"":""&amp;address(row($Q$7),column($Q$7)))=A12,1,0)"),1.0)</f>
        <v>1</v>
      </c>
      <c r="Q12" s="2" t="str">
        <f>IFERROR(__xludf.DUMMYFUNCTION("IMPORTRANGE($B$18,$B$19&amp;address(row(G22),column(G22))&amp;"":""&amp;address(row(G22),column(G22)))"),"")</f>
        <v/>
      </c>
      <c r="R12" s="2" t="str">
        <f>IFERROR(__xludf.DUMMYFUNCTION("IMPORTRANGE($B$18,$B$19&amp;address(row(H22),column(H22))&amp;"":""&amp;address(row(H22),column(H22)))"),"")</f>
        <v/>
      </c>
      <c r="S12" s="2" t="str">
        <f>IFERROR(__xludf.DUMMYFUNCTION("IMPORTRANGE($B$18,$B$19&amp;address(row(S22),column(S22))&amp;"":""&amp;address(row(S22),column(S22)))"),"")</f>
        <v/>
      </c>
      <c r="T12" s="2" t="str">
        <f>IFERROR(__xludf.DUMMYFUNCTION("IMPORTRANGE($B$18,$B$19&amp;address(row(T22),column(T22))&amp;"":""&amp;address(row(T22),column(T22)))"),"")</f>
        <v/>
      </c>
      <c r="U12" s="2" t="str">
        <f>IFERROR(__xludf.DUMMYFUNCTION("IMPORTRANGE($B$18,$B$19&amp;address(row($T$4),column($T$4))&amp;"":""&amp;address(row($T$4),column($T$4)))"),"")</f>
        <v/>
      </c>
      <c r="V12" s="2" t="str">
        <f>IFERROR(__xludf.DUMMYFUNCTION("IMPORTRANGE($B$18,$B$19&amp;address(row($T$7),column($T$7))&amp;"":""&amp;address(row($T$7),column($T$7)))"),"")</f>
        <v/>
      </c>
      <c r="W12" s="2" t="str">
        <f>IFERROR(__xludf.DUMMYFUNCTION("IMPORTRANGE($B$18,$B$19&amp;address(row($H$7),column($H$7))&amp;"":""&amp;address(row($H$7),column($H$7)))"),"")</f>
        <v/>
      </c>
      <c r="X12" s="2" t="str">
        <f>IFERROR(__xludf.DUMMYFUNCTION("IMPORTRANGE($B$18,$B$19&amp;address(row($I$7),column($I$7))&amp;"":""&amp;address(row($I$7),column($I$7)))"),"")</f>
        <v/>
      </c>
      <c r="Y12" s="2" t="str">
        <f>IFERROR(__xludf.DUMMYFUNCTION("IMPORTRANGE($B$18,$B$19&amp;address(row($C$5),column($C$5))&amp;"":""&amp;address(row($C$5),column($C$5)))"),"-")</f>
        <v>-</v>
      </c>
      <c r="Z12" s="86">
        <f>IFERROR(__xludf.DUMMYFUNCTION("IMPORTRANGE($B$18,$B$19&amp;address(row($I$4),column($I$4))&amp;"":""&amp;address(row($I$4),column($I$4)))"),45402.0)</f>
        <v>45402</v>
      </c>
      <c r="AA12" s="2" t="b">
        <f t="shared" si="2"/>
        <v>0</v>
      </c>
    </row>
    <row r="13">
      <c r="A13" s="2" t="str">
        <f>IFERROR(__xludf.DUMMYFUNCTION("IMPORTRANGE($B$18,$B$19&amp;address(row(B23),column(B23))&amp;"":""&amp;address(row(B23),column(B23)))"),"")</f>
        <v/>
      </c>
      <c r="B13" s="2" t="str">
        <f>IFERROR(__xludf.DUMMYFUNCTION("IMPORTRANGE($B$18,$B$19&amp;address(row(E23),column(E23))&amp;"":""&amp;address(row(E23),column(E23)))"),"")</f>
        <v/>
      </c>
      <c r="C13" s="1" t="s">
        <v>157</v>
      </c>
      <c r="D13" s="70" t="str">
        <f>IFERROR(__xludf.DUMMYFUNCTION("IMPORTRANGE($B$18,$B$19&amp;address(row($I$3),column($I$3))&amp;"":""&amp;address(row($I$3),column($I$3)))"),"Albanian Vets")</f>
        <v>Albanian Vets</v>
      </c>
      <c r="E13"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3" s="2" t="str">
        <f>IFERROR(__xludf.DUMMYFUNCTION("IMPORTRANGE($B$18,$B$19&amp;address(row(I23),column(I23))&amp;"":""&amp;address(row(I23),column(I23)))"),"")</f>
        <v/>
      </c>
      <c r="G13" s="2" t="str">
        <f>IFERROR(__xludf.DUMMYFUNCTION("IMPORTRANGE($B$18,$B$19&amp;address(row(J23),column(J23))&amp;"":""&amp;address(row(J23),column(J23)))"),"")</f>
        <v/>
      </c>
      <c r="H13" s="1" t="str">
        <f>IFERROR(__xludf.DUMMYFUNCTION("IMPORTRANGE($B$18,$B$19&amp;address(row($I$7),column($I$7))&amp;"":""&amp;address(row($I$7),column($I$7)))"),"")</f>
        <v/>
      </c>
      <c r="I13" s="2" t="str">
        <f>IFERROR(__xludf.DUMMYFUNCTION("IMPORTRANGE($B$18,$B$19&amp;address(row(N23),column(N23))&amp;"":""&amp;address(row(N23),column(N23)))"),"")</f>
        <v/>
      </c>
      <c r="J13" s="2" t="str">
        <f>IFERROR(__xludf.DUMMYFUNCTION("IMPORTRANGE($B$18,$B$19&amp;address(row(O23),column(O23))&amp;"":""&amp;address(row(O23),column(O23)))"),"")</f>
        <v/>
      </c>
      <c r="K13" s="2" t="str">
        <f>IFERROR(__xludf.DUMMYFUNCTION("IMPORTRANGE($B$18,$B$19&amp;address(row(P23),column(P23))&amp;"":""&amp;address(row(P23),column(P23)))"),"")</f>
        <v/>
      </c>
      <c r="L13" s="2" t="b">
        <f t="shared" si="1"/>
        <v>1</v>
      </c>
      <c r="M13" s="2" t="str">
        <f>IFERROR(__xludf.DUMMYFUNCTION("IMPORTRANGE($B$18,$B$19&amp;address(row(L23),column(L23))&amp;"":""&amp;address(row(L23),column(L23)))"),"")</f>
        <v/>
      </c>
      <c r="N13" s="2" t="str">
        <f>IFERROR(__xludf.DUMMYFUNCTION("IMPORTRANGE($B$18,$B$19&amp;address(row(K23),column(K23))&amp;"":""&amp;address(row(K23),column(K23)))"),"")</f>
        <v/>
      </c>
      <c r="O13" s="2" t="str">
        <f>IFERROR(__xludf.DUMMYFUNCTION("IMPORTRANGE($B$18,$B$19&amp;address(row(M23),column(M23))&amp;"":""&amp;address(row(M23),column(M23)))"),"")</f>
        <v/>
      </c>
      <c r="P13" s="2">
        <f>IFERROR(__xludf.DUMMYFUNCTION("IF(IMPORTRANGE($B$18,$B$19&amp;address(row($Q$7),column($Q$7))&amp;"":""&amp;address(row($Q$7),column($Q$7)))=A13,1,0)"),1.0)</f>
        <v>1</v>
      </c>
      <c r="Q13" s="2" t="str">
        <f>IFERROR(__xludf.DUMMYFUNCTION("IMPORTRANGE($B$18,$B$19&amp;address(row(G23),column(G23))&amp;"":""&amp;address(row(G23),column(G23)))"),"")</f>
        <v/>
      </c>
      <c r="R13" s="2" t="str">
        <f>IFERROR(__xludf.DUMMYFUNCTION("IMPORTRANGE($B$18,$B$19&amp;address(row(H23),column(H23))&amp;"":""&amp;address(row(H23),column(H23)))"),"")</f>
        <v/>
      </c>
      <c r="S13" s="2" t="str">
        <f>IFERROR(__xludf.DUMMYFUNCTION("IMPORTRANGE($B$18,$B$19&amp;address(row(S23),column(S23))&amp;"":""&amp;address(row(S23),column(S23)))"),"")</f>
        <v/>
      </c>
      <c r="T13" s="2" t="str">
        <f>IFERROR(__xludf.DUMMYFUNCTION("IMPORTRANGE($B$18,$B$19&amp;address(row(T23),column(T23))&amp;"":""&amp;address(row(T23),column(T23)))"),"")</f>
        <v/>
      </c>
      <c r="U13" s="2" t="str">
        <f>IFERROR(__xludf.DUMMYFUNCTION("IMPORTRANGE($B$18,$B$19&amp;address(row($T$4),column($T$4))&amp;"":""&amp;address(row($T$4),column($T$4)))"),"")</f>
        <v/>
      </c>
      <c r="V13" s="2" t="str">
        <f>IFERROR(__xludf.DUMMYFUNCTION("IMPORTRANGE($B$18,$B$19&amp;address(row($T$7),column($T$7))&amp;"":""&amp;address(row($T$7),column($T$7)))"),"")</f>
        <v/>
      </c>
      <c r="W13" s="2" t="str">
        <f>IFERROR(__xludf.DUMMYFUNCTION("IMPORTRANGE($B$18,$B$19&amp;address(row($H$7),column($H$7))&amp;"":""&amp;address(row($H$7),column($H$7)))"),"")</f>
        <v/>
      </c>
      <c r="X13" s="2" t="str">
        <f>IFERROR(__xludf.DUMMYFUNCTION("IMPORTRANGE($B$18,$B$19&amp;address(row($I$7),column($I$7))&amp;"":""&amp;address(row($I$7),column($I$7)))"),"")</f>
        <v/>
      </c>
      <c r="Y13" s="2" t="str">
        <f>IFERROR(__xludf.DUMMYFUNCTION("IMPORTRANGE($B$18,$B$19&amp;address(row($C$5),column($C$5))&amp;"":""&amp;address(row($C$5),column($C$5)))"),"-")</f>
        <v>-</v>
      </c>
      <c r="Z13" s="86">
        <f>IFERROR(__xludf.DUMMYFUNCTION("IMPORTRANGE($B$18,$B$19&amp;address(row($I$4),column($I$4))&amp;"":""&amp;address(row($I$4),column($I$4)))"),45402.0)</f>
        <v>45402</v>
      </c>
      <c r="AA13" s="2" t="b">
        <f t="shared" si="2"/>
        <v>0</v>
      </c>
    </row>
    <row r="14">
      <c r="A14" s="2" t="str">
        <f>IFERROR(__xludf.DUMMYFUNCTION("IMPORTRANGE($B$18,$B$19&amp;address(row(B24),column(B24))&amp;"":""&amp;address(row(B24),column(B24)))"),"")</f>
        <v/>
      </c>
      <c r="B14" s="2" t="str">
        <f>IFERROR(__xludf.DUMMYFUNCTION("IMPORTRANGE($B$18,$B$19&amp;address(row(E24),column(E24))&amp;"":""&amp;address(row(E24),column(E24)))"),"")</f>
        <v/>
      </c>
      <c r="C14" s="1" t="s">
        <v>157</v>
      </c>
      <c r="D14" s="70" t="str">
        <f>IFERROR(__xludf.DUMMYFUNCTION("IMPORTRANGE($B$18,$B$19&amp;address(row($I$3),column($I$3))&amp;"":""&amp;address(row($I$3),column($I$3)))"),"Albanian Vets")</f>
        <v>Albanian Vets</v>
      </c>
      <c r="E14"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4" s="2" t="str">
        <f>IFERROR(__xludf.DUMMYFUNCTION("IMPORTRANGE($B$18,$B$19&amp;address(row(I24),column(I24))&amp;"":""&amp;address(row(I24),column(I24)))"),"")</f>
        <v/>
      </c>
      <c r="G14" s="2" t="str">
        <f>IFERROR(__xludf.DUMMYFUNCTION("IMPORTRANGE($B$18,$B$19&amp;address(row(J24),column(J24))&amp;"":""&amp;address(row(J24),column(J24)))"),"")</f>
        <v/>
      </c>
      <c r="H14" s="1" t="str">
        <f>IFERROR(__xludf.DUMMYFUNCTION("IMPORTRANGE($B$18,$B$19&amp;address(row($I$7),column($I$7))&amp;"":""&amp;address(row($I$7),column($I$7)))"),"")</f>
        <v/>
      </c>
      <c r="I14" s="2" t="str">
        <f>IFERROR(__xludf.DUMMYFUNCTION("IMPORTRANGE($B$18,$B$19&amp;address(row(N24),column(N24))&amp;"":""&amp;address(row(N24),column(N24)))"),"")</f>
        <v/>
      </c>
      <c r="J14" s="2" t="str">
        <f>IFERROR(__xludf.DUMMYFUNCTION("IMPORTRANGE($B$18,$B$19&amp;address(row(O24),column(O24))&amp;"":""&amp;address(row(O24),column(O24)))"),"")</f>
        <v/>
      </c>
      <c r="K14" s="2" t="str">
        <f>IFERROR(__xludf.DUMMYFUNCTION("IMPORTRANGE($B$18,$B$19&amp;address(row(P24),column(P24))&amp;"":""&amp;address(row(P24),column(P24)))"),"")</f>
        <v/>
      </c>
      <c r="L14" s="2" t="b">
        <f t="shared" si="1"/>
        <v>1</v>
      </c>
      <c r="M14" s="2" t="str">
        <f>IFERROR(__xludf.DUMMYFUNCTION("IMPORTRANGE($B$18,$B$19&amp;address(row(L24),column(L24))&amp;"":""&amp;address(row(L24),column(L24)))"),"")</f>
        <v/>
      </c>
      <c r="N14" s="2" t="str">
        <f>IFERROR(__xludf.DUMMYFUNCTION("IMPORTRANGE($B$18,$B$19&amp;address(row(K24),column(K24))&amp;"":""&amp;address(row(K24),column(K24)))"),"")</f>
        <v/>
      </c>
      <c r="O14" s="2" t="str">
        <f>IFERROR(__xludf.DUMMYFUNCTION("IMPORTRANGE($B$18,$B$19&amp;address(row(M24),column(M24))&amp;"":""&amp;address(row(M24),column(M24)))"),"")</f>
        <v/>
      </c>
      <c r="P14" s="2">
        <f>IFERROR(__xludf.DUMMYFUNCTION("IF(IMPORTRANGE($B$18,$B$19&amp;address(row($Q$7),column($Q$7))&amp;"":""&amp;address(row($Q$7),column($Q$7)))=A14,1,0)"),1.0)</f>
        <v>1</v>
      </c>
      <c r="Q14" s="2" t="str">
        <f>IFERROR(__xludf.DUMMYFUNCTION("IMPORTRANGE($B$18,$B$19&amp;address(row(G24),column(G24))&amp;"":""&amp;address(row(G24),column(G24)))"),"")</f>
        <v/>
      </c>
      <c r="R14" s="2" t="str">
        <f>IFERROR(__xludf.DUMMYFUNCTION("IMPORTRANGE($B$18,$B$19&amp;address(row(H24),column(H24))&amp;"":""&amp;address(row(H24),column(H24)))"),"")</f>
        <v/>
      </c>
      <c r="S14" s="2" t="str">
        <f>IFERROR(__xludf.DUMMYFUNCTION("IMPORTRANGE($B$18,$B$19&amp;address(row(S24),column(S24))&amp;"":""&amp;address(row(S24),column(S24)))"),"")</f>
        <v/>
      </c>
      <c r="T14" s="2" t="str">
        <f>IFERROR(__xludf.DUMMYFUNCTION("IMPORTRANGE($B$18,$B$19&amp;address(row(T24),column(T24))&amp;"":""&amp;address(row(T24),column(T24)))"),"")</f>
        <v/>
      </c>
      <c r="U14" s="2" t="str">
        <f>IFERROR(__xludf.DUMMYFUNCTION("IMPORTRANGE($B$18,$B$19&amp;address(row($T$4),column($T$4))&amp;"":""&amp;address(row($T$4),column($T$4)))"),"")</f>
        <v/>
      </c>
      <c r="V14" s="2" t="str">
        <f>IFERROR(__xludf.DUMMYFUNCTION("IMPORTRANGE($B$18,$B$19&amp;address(row($T$7),column($T$7))&amp;"":""&amp;address(row($T$7),column($T$7)))"),"")</f>
        <v/>
      </c>
      <c r="W14" s="2" t="str">
        <f>IFERROR(__xludf.DUMMYFUNCTION("IMPORTRANGE($B$18,$B$19&amp;address(row($H$7),column($H$7))&amp;"":""&amp;address(row($H$7),column($H$7)))"),"")</f>
        <v/>
      </c>
      <c r="X14" s="2" t="str">
        <f>IFERROR(__xludf.DUMMYFUNCTION("IMPORTRANGE($B$18,$B$19&amp;address(row($I$7),column($I$7))&amp;"":""&amp;address(row($I$7),column($I$7)))"),"")</f>
        <v/>
      </c>
      <c r="Y14" s="2" t="str">
        <f>IFERROR(__xludf.DUMMYFUNCTION("IMPORTRANGE($B$18,$B$19&amp;address(row($C$5),column($C$5))&amp;"":""&amp;address(row($C$5),column($C$5)))"),"-")</f>
        <v>-</v>
      </c>
      <c r="Z14" s="86">
        <f>IFERROR(__xludf.DUMMYFUNCTION("IMPORTRANGE($B$18,$B$19&amp;address(row($I$4),column($I$4))&amp;"":""&amp;address(row($I$4),column($I$4)))"),45402.0)</f>
        <v>45402</v>
      </c>
      <c r="AA14" s="2" t="b">
        <f t="shared" si="2"/>
        <v>0</v>
      </c>
    </row>
    <row r="15">
      <c r="A15" s="2" t="str">
        <f>IFERROR(__xludf.DUMMYFUNCTION("IMPORTRANGE($B$18,$B$19&amp;address(row(B25),column(B25))&amp;"":""&amp;address(row(B25),column(B25)))"),"")</f>
        <v/>
      </c>
      <c r="B15" s="2" t="str">
        <f>IFERROR(__xludf.DUMMYFUNCTION("IMPORTRANGE($B$18,$B$19&amp;address(row(E25),column(E25))&amp;"":""&amp;address(row(E25),column(E25)))"),"")</f>
        <v/>
      </c>
      <c r="C15" s="1" t="s">
        <v>157</v>
      </c>
      <c r="D15" s="70" t="str">
        <f>IFERROR(__xludf.DUMMYFUNCTION("IMPORTRANGE($B$18,$B$19&amp;address(row($I$3),column($I$3))&amp;"":""&amp;address(row($I$3),column($I$3)))"),"Albanian Vets")</f>
        <v>Albanian Vets</v>
      </c>
      <c r="E15"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5" s="2" t="str">
        <f>IFERROR(__xludf.DUMMYFUNCTION("IMPORTRANGE($B$18,$B$19&amp;address(row(I25),column(I25))&amp;"":""&amp;address(row(I25),column(I25)))"),"")</f>
        <v/>
      </c>
      <c r="G15" s="2" t="str">
        <f>IFERROR(__xludf.DUMMYFUNCTION("IMPORTRANGE($B$18,$B$19&amp;address(row(J25),column(J25))&amp;"":""&amp;address(row(J25),column(J25)))"),"")</f>
        <v/>
      </c>
      <c r="H15" s="1" t="str">
        <f>IFERROR(__xludf.DUMMYFUNCTION("IMPORTRANGE($B$18,$B$19&amp;address(row($I$7),column($I$7))&amp;"":""&amp;address(row($I$7),column($I$7)))"),"")</f>
        <v/>
      </c>
      <c r="I15" s="2" t="str">
        <f>IFERROR(__xludf.DUMMYFUNCTION("IMPORTRANGE($B$18,$B$19&amp;address(row(N25),column(N25))&amp;"":""&amp;address(row(N25),column(N25)))"),"")</f>
        <v/>
      </c>
      <c r="J15" s="2" t="str">
        <f>IFERROR(__xludf.DUMMYFUNCTION("IMPORTRANGE($B$18,$B$19&amp;address(row(O25),column(O25))&amp;"":""&amp;address(row(O25),column(O25)))"),"")</f>
        <v/>
      </c>
      <c r="K15" s="2" t="str">
        <f>IFERROR(__xludf.DUMMYFUNCTION("IMPORTRANGE($B$18,$B$19&amp;address(row(P25),column(P25))&amp;"":""&amp;address(row(P25),column(P25)))"),"")</f>
        <v/>
      </c>
      <c r="L15" s="2" t="b">
        <f t="shared" si="1"/>
        <v>1</v>
      </c>
      <c r="M15" s="2" t="str">
        <f>IFERROR(__xludf.DUMMYFUNCTION("IMPORTRANGE($B$18,$B$19&amp;address(row(L25),column(L25))&amp;"":""&amp;address(row(L25),column(L25)))"),"")</f>
        <v/>
      </c>
      <c r="N15" s="2" t="str">
        <f>IFERROR(__xludf.DUMMYFUNCTION("IMPORTRANGE($B$18,$B$19&amp;address(row(K25),column(K25))&amp;"":""&amp;address(row(K25),column(K25)))"),"")</f>
        <v/>
      </c>
      <c r="O15" s="2" t="str">
        <f>IFERROR(__xludf.DUMMYFUNCTION("IMPORTRANGE($B$18,$B$19&amp;address(row(M25),column(M25))&amp;"":""&amp;address(row(M25),column(M25)))"),"")</f>
        <v/>
      </c>
      <c r="P15" s="2">
        <f>IFERROR(__xludf.DUMMYFUNCTION("IF(IMPORTRANGE($B$18,$B$19&amp;address(row($Q$7),column($Q$7))&amp;"":""&amp;address(row($Q$7),column($Q$7)))=A15,1,0)"),1.0)</f>
        <v>1</v>
      </c>
      <c r="Q15" s="2" t="str">
        <f>IFERROR(__xludf.DUMMYFUNCTION("IMPORTRANGE($B$18,$B$19&amp;address(row(G25),column(G25))&amp;"":""&amp;address(row(G25),column(G25)))"),"")</f>
        <v/>
      </c>
      <c r="R15" s="2" t="str">
        <f>IFERROR(__xludf.DUMMYFUNCTION("IMPORTRANGE($B$18,$B$19&amp;address(row(H25),column(H25))&amp;"":""&amp;address(row(H25),column(H25)))"),"")</f>
        <v/>
      </c>
      <c r="S15" s="2" t="str">
        <f>IFERROR(__xludf.DUMMYFUNCTION("IMPORTRANGE($B$18,$B$19&amp;address(row(S25),column(S25))&amp;"":""&amp;address(row(S25),column(S25)))"),"")</f>
        <v/>
      </c>
      <c r="T15" s="2" t="str">
        <f>IFERROR(__xludf.DUMMYFUNCTION("IMPORTRANGE($B$18,$B$19&amp;address(row(T25),column(T25))&amp;"":""&amp;address(row(T25),column(T25)))"),"")</f>
        <v/>
      </c>
      <c r="U15" s="2" t="str">
        <f>IFERROR(__xludf.DUMMYFUNCTION("IMPORTRANGE($B$18,$B$19&amp;address(row($T$4),column($T$4))&amp;"":""&amp;address(row($T$4),column($T$4)))"),"")</f>
        <v/>
      </c>
      <c r="V15" s="2" t="str">
        <f>IFERROR(__xludf.DUMMYFUNCTION("IMPORTRANGE($B$18,$B$19&amp;address(row($T$7),column($T$7))&amp;"":""&amp;address(row($T$7),column($T$7)))"),"")</f>
        <v/>
      </c>
      <c r="W15" s="2" t="str">
        <f>IFERROR(__xludf.DUMMYFUNCTION("IMPORTRANGE($B$18,$B$19&amp;address(row($H$7),column($H$7))&amp;"":""&amp;address(row($H$7),column($H$7)))"),"")</f>
        <v/>
      </c>
      <c r="X15" s="2" t="str">
        <f>IFERROR(__xludf.DUMMYFUNCTION("IMPORTRANGE($B$18,$B$19&amp;address(row($I$7),column($I$7))&amp;"":""&amp;address(row($I$7),column($I$7)))"),"")</f>
        <v/>
      </c>
      <c r="Y15" s="2" t="str">
        <f>IFERROR(__xludf.DUMMYFUNCTION("IMPORTRANGE($B$18,$B$19&amp;address(row($C$5),column($C$5))&amp;"":""&amp;address(row($C$5),column($C$5)))"),"-")</f>
        <v>-</v>
      </c>
      <c r="Z15" s="86">
        <f>IFERROR(__xludf.DUMMYFUNCTION("IMPORTRANGE($B$18,$B$19&amp;address(row($I$4),column($I$4))&amp;"":""&amp;address(row($I$4),column($I$4)))"),45402.0)</f>
        <v>45402</v>
      </c>
      <c r="AA15" s="2" t="b">
        <f t="shared" si="2"/>
        <v>0</v>
      </c>
    </row>
    <row r="16">
      <c r="A16" s="2" t="str">
        <f>IFERROR(__xludf.DUMMYFUNCTION("IMPORTRANGE($B$18,$B$19&amp;address(row(B26),column(B26))&amp;"":""&amp;address(row(B26),column(B26)))"),"")</f>
        <v/>
      </c>
      <c r="B16" s="2" t="str">
        <f>IFERROR(__xludf.DUMMYFUNCTION("IMPORTRANGE($B$18,$B$19&amp;address(row(E26),column(E26))&amp;"":""&amp;address(row(E26),column(E26)))"),"")</f>
        <v/>
      </c>
      <c r="C16" s="1" t="s">
        <v>157</v>
      </c>
      <c r="D16" s="70" t="str">
        <f>IFERROR(__xludf.DUMMYFUNCTION("IMPORTRANGE($B$18,$B$19&amp;address(row($I$3),column($I$3))&amp;"":""&amp;address(row($I$3),column($I$3)))"),"Albanian Vets")</f>
        <v>Albanian Vets</v>
      </c>
      <c r="E16"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6" s="2" t="str">
        <f>IFERROR(__xludf.DUMMYFUNCTION("IMPORTRANGE($B$18,$B$19&amp;address(row(I26),column(I26))&amp;"":""&amp;address(row(I26),column(I26)))"),"")</f>
        <v/>
      </c>
      <c r="G16" s="2" t="str">
        <f>IFERROR(__xludf.DUMMYFUNCTION("IMPORTRANGE($B$18,$B$19&amp;address(row(J26),column(J26))&amp;"":""&amp;address(row(J26),column(J26)))"),"")</f>
        <v/>
      </c>
      <c r="H16" s="1" t="str">
        <f>IFERROR(__xludf.DUMMYFUNCTION("IMPORTRANGE($B$18,$B$19&amp;address(row($I$7),column($I$7))&amp;"":""&amp;address(row($I$7),column($I$7)))"),"")</f>
        <v/>
      </c>
      <c r="I16" s="2" t="str">
        <f>IFERROR(__xludf.DUMMYFUNCTION("IMPORTRANGE($B$18,$B$19&amp;address(row(N26),column(N26))&amp;"":""&amp;address(row(N26),column(N26)))"),"")</f>
        <v/>
      </c>
      <c r="J16" s="2" t="str">
        <f>IFERROR(__xludf.DUMMYFUNCTION("IMPORTRANGE($B$18,$B$19&amp;address(row(O26),column(O26))&amp;"":""&amp;address(row(O26),column(O26)))"),"")</f>
        <v/>
      </c>
      <c r="K16" s="2" t="str">
        <f>IFERROR(__xludf.DUMMYFUNCTION("IMPORTRANGE($B$18,$B$19&amp;address(row(P26),column(P26))&amp;"":""&amp;address(row(P26),column(P26)))"),"")</f>
        <v/>
      </c>
      <c r="L16" s="2" t="b">
        <f t="shared" si="1"/>
        <v>1</v>
      </c>
      <c r="M16" s="2" t="str">
        <f>IFERROR(__xludf.DUMMYFUNCTION("IMPORTRANGE($B$18,$B$19&amp;address(row(L26),column(L26))&amp;"":""&amp;address(row(L26),column(L26)))"),"")</f>
        <v/>
      </c>
      <c r="N16" s="2" t="str">
        <f>IFERROR(__xludf.DUMMYFUNCTION("IMPORTRANGE($B$18,$B$19&amp;address(row(K26),column(K26))&amp;"":""&amp;address(row(K26),column(K26)))"),"")</f>
        <v/>
      </c>
      <c r="O16" s="2" t="str">
        <f>IFERROR(__xludf.DUMMYFUNCTION("IMPORTRANGE($B$18,$B$19&amp;address(row(M26),column(M26))&amp;"":""&amp;address(row(M26),column(M26)))"),"")</f>
        <v/>
      </c>
      <c r="P16" s="2">
        <f>IFERROR(__xludf.DUMMYFUNCTION("IF(IMPORTRANGE($B$18,$B$19&amp;address(row($Q$7),column($Q$7))&amp;"":""&amp;address(row($Q$7),column($Q$7)))=A16,1,0)"),1.0)</f>
        <v>1</v>
      </c>
      <c r="Q16" s="2" t="str">
        <f>IFERROR(__xludf.DUMMYFUNCTION("IMPORTRANGE($B$18,$B$19&amp;address(row(G26),column(G26))&amp;"":""&amp;address(row(G26),column(G26)))"),"")</f>
        <v/>
      </c>
      <c r="R16" s="2" t="str">
        <f>IFERROR(__xludf.DUMMYFUNCTION("IMPORTRANGE($B$18,$B$19&amp;address(row(H26),column(H26))&amp;"":""&amp;address(row(H26),column(H26)))"),"")</f>
        <v/>
      </c>
      <c r="S16" s="2" t="str">
        <f>IFERROR(__xludf.DUMMYFUNCTION("IMPORTRANGE($B$18,$B$19&amp;address(row(S26),column(S26))&amp;"":""&amp;address(row(S26),column(S26)))"),"")</f>
        <v/>
      </c>
      <c r="T16" s="2" t="str">
        <f>IFERROR(__xludf.DUMMYFUNCTION("IMPORTRANGE($B$18,$B$19&amp;address(row(T26),column(T26))&amp;"":""&amp;address(row(T26),column(T26)))"),"")</f>
        <v/>
      </c>
      <c r="U16" s="2" t="str">
        <f>IFERROR(__xludf.DUMMYFUNCTION("IMPORTRANGE($B$18,$B$19&amp;address(row($T$4),column($T$4))&amp;"":""&amp;address(row($T$4),column($T$4)))"),"")</f>
        <v/>
      </c>
      <c r="V16" s="2" t="str">
        <f>IFERROR(__xludf.DUMMYFUNCTION("IMPORTRANGE($B$18,$B$19&amp;address(row($T$7),column($T$7))&amp;"":""&amp;address(row($T$7),column($T$7)))"),"")</f>
        <v/>
      </c>
      <c r="W16" s="2" t="str">
        <f>IFERROR(__xludf.DUMMYFUNCTION("IMPORTRANGE($B$18,$B$19&amp;address(row($H$7),column($H$7))&amp;"":""&amp;address(row($H$7),column($H$7)))"),"")</f>
        <v/>
      </c>
      <c r="X16" s="2" t="str">
        <f>IFERROR(__xludf.DUMMYFUNCTION("IMPORTRANGE($B$18,$B$19&amp;address(row($I$7),column($I$7))&amp;"":""&amp;address(row($I$7),column($I$7)))"),"")</f>
        <v/>
      </c>
      <c r="Y16" s="2" t="str">
        <f>IFERROR(__xludf.DUMMYFUNCTION("IMPORTRANGE($B$18,$B$19&amp;address(row($C$5),column($C$5))&amp;"":""&amp;address(row($C$5),column($C$5)))"),"-")</f>
        <v>-</v>
      </c>
      <c r="Z16" s="86">
        <f>IFERROR(__xludf.DUMMYFUNCTION("IMPORTRANGE($B$18,$B$19&amp;address(row($I$4),column($I$4))&amp;"":""&amp;address(row($I$4),column($I$4)))"),45402.0)</f>
        <v>45402</v>
      </c>
      <c r="AA16" s="2" t="b">
        <f t="shared" si="2"/>
        <v>0</v>
      </c>
    </row>
    <row r="17">
      <c r="A17" s="2" t="str">
        <f>IFERROR(__xludf.DUMMYFUNCTION("IMPORTRANGE($B$18,$B$19&amp;address(row(B27),column(B27))&amp;"":""&amp;address(row(B27),column(B27)))"),"")</f>
        <v/>
      </c>
      <c r="B17" s="2" t="str">
        <f>IFERROR(__xludf.DUMMYFUNCTION("IMPORTRANGE($B$18,$B$19&amp;address(row(E27),column(E27))&amp;"":""&amp;address(row(E27),column(E27)))"),"")</f>
        <v/>
      </c>
      <c r="C17" s="1" t="s">
        <v>157</v>
      </c>
      <c r="D17" s="70" t="str">
        <f>IFERROR(__xludf.DUMMYFUNCTION("IMPORTRANGE($B$18,$B$19&amp;address(row($I$3),column($I$3))&amp;"":""&amp;address(row($I$3),column($I$3)))"),"Albanian Vets")</f>
        <v>Albanian Vets</v>
      </c>
      <c r="E17" s="2" t="str">
        <f>IFERROR(__xludf.DUMMYFUNCTION("IF(IMPORTRANGE($B$18,$B$19&amp;address(row($H$7),column($H$7))&amp;"":""&amp;address(row($H$7),column($H$7)))&gt;IMPORTRANGE($B$18,$B$19&amp;address(row($I$7),column($I$7))&amp;"":""&amp;address(row($I$7),column($I$7))),""WIN"",IF(IMPORTRANGE($B$18,$B$19&amp;address(row($H$7),column($H"&amp;"$7))&amp;"":""&amp;address(row($H$7),column($H$7)))&lt;IMPORTRANGE($B$18,$B$19&amp;address(row($I$7),column($I$7))&amp;"":""&amp;address(row($I$7),column($I$7))),""Loss"",""Draw""))"),"Draw")</f>
        <v>Draw</v>
      </c>
      <c r="F17" s="2" t="str">
        <f>IFERROR(__xludf.DUMMYFUNCTION("IMPORTRANGE($B$18,$B$19&amp;address(row(I27),column(I27))&amp;"":""&amp;address(row(I27),column(I27)))"),"")</f>
        <v/>
      </c>
      <c r="G17" s="2" t="str">
        <f>IFERROR(__xludf.DUMMYFUNCTION("IMPORTRANGE($B$18,$B$19&amp;address(row(J27),column(J27))&amp;"":""&amp;address(row(J27),column(J27)))"),"")</f>
        <v/>
      </c>
      <c r="H17" s="1" t="str">
        <f>IFERROR(__xludf.DUMMYFUNCTION("IMPORTRANGE($B$18,$B$19&amp;address(row($I$7),column($I$7))&amp;"":""&amp;address(row($I$7),column($I$7)))"),"")</f>
        <v/>
      </c>
      <c r="I17" s="2" t="str">
        <f>IFERROR(__xludf.DUMMYFUNCTION("IMPORTRANGE($B$18,$B$19&amp;address(row(N27),column(N27))&amp;"":""&amp;address(row(N27),column(N27)))"),"")</f>
        <v/>
      </c>
      <c r="J17" s="2" t="str">
        <f>IFERROR(__xludf.DUMMYFUNCTION("IMPORTRANGE($B$18,$B$19&amp;address(row(O27),column(O27))&amp;"":""&amp;address(row(O27),column(O27)))"),"")</f>
        <v/>
      </c>
      <c r="K17" s="2" t="str">
        <f>IFERROR(__xludf.DUMMYFUNCTION("IMPORTRANGE($B$18,$B$19&amp;address(row(P27),column(P27))&amp;"":""&amp;address(row(P27),column(P27)))"),"")</f>
        <v/>
      </c>
      <c r="L17" s="2" t="b">
        <f t="shared" si="1"/>
        <v>1</v>
      </c>
      <c r="M17" s="2" t="str">
        <f>IFERROR(__xludf.DUMMYFUNCTION("IMPORTRANGE($B$18,$B$19&amp;address(row(L27),column(L27))&amp;"":""&amp;address(row(L27),column(L27)))"),"")</f>
        <v/>
      </c>
      <c r="N17" s="2" t="str">
        <f>IFERROR(__xludf.DUMMYFUNCTION("IMPORTRANGE($B$18,$B$19&amp;address(row(K27),column(K27))&amp;"":""&amp;address(row(K27),column(K27)))"),"")</f>
        <v/>
      </c>
      <c r="O17" s="2" t="str">
        <f>IFERROR(__xludf.DUMMYFUNCTION("IMPORTRANGE($B$18,$B$19&amp;address(row(M27),column(M27))&amp;"":""&amp;address(row(M27),column(M27)))"),"")</f>
        <v/>
      </c>
      <c r="P17" s="2">
        <f>IFERROR(__xludf.DUMMYFUNCTION("IF(IMPORTRANGE($B$18,$B$19&amp;address(row($Q$7),column($Q$7))&amp;"":""&amp;address(row($Q$7),column($Q$7)))=A17,1,0)"),1.0)</f>
        <v>1</v>
      </c>
      <c r="Q17" s="2" t="str">
        <f>IFERROR(__xludf.DUMMYFUNCTION("IMPORTRANGE($B$18,$B$19&amp;address(row(G27),column(G27))&amp;"":""&amp;address(row(G27),column(G27)))"),"")</f>
        <v/>
      </c>
      <c r="R17" s="2" t="str">
        <f>IFERROR(__xludf.DUMMYFUNCTION("IMPORTRANGE($B$18,$B$19&amp;address(row(H27),column(H27))&amp;"":""&amp;address(row(H27),column(H27)))"),"")</f>
        <v/>
      </c>
      <c r="S17" s="2" t="str">
        <f>IFERROR(__xludf.DUMMYFUNCTION("IMPORTRANGE($B$18,$B$19&amp;address(row(S27),column(S27))&amp;"":""&amp;address(row(S27),column(S27)))"),"")</f>
        <v/>
      </c>
      <c r="T17" s="2" t="str">
        <f>IFERROR(__xludf.DUMMYFUNCTION("IMPORTRANGE($B$18,$B$19&amp;address(row(T27),column(T27))&amp;"":""&amp;address(row(T27),column(T27)))"),"")</f>
        <v/>
      </c>
      <c r="U17" s="2" t="str">
        <f>IFERROR(__xludf.DUMMYFUNCTION("IMPORTRANGE($B$18,$B$19&amp;address(row($T$4),column($T$4))&amp;"":""&amp;address(row($T$4),column($T$4)))"),"")</f>
        <v/>
      </c>
      <c r="V17" s="2" t="str">
        <f>IFERROR(__xludf.DUMMYFUNCTION("IMPORTRANGE($B$18,$B$19&amp;address(row($T$7),column($T$7))&amp;"":""&amp;address(row($T$7),column($T$7)))"),"")</f>
        <v/>
      </c>
      <c r="W17" s="2" t="str">
        <f>IFERROR(__xludf.DUMMYFUNCTION("IMPORTRANGE($B$18,$B$19&amp;address(row($H$7),column($H$7))&amp;"":""&amp;address(row($H$7),column($H$7)))"),"")</f>
        <v/>
      </c>
      <c r="X17" s="2" t="str">
        <f>IFERROR(__xludf.DUMMYFUNCTION("IMPORTRANGE($B$18,$B$19&amp;address(row($I$7),column($I$7))&amp;"":""&amp;address(row($I$7),column($I$7)))"),"")</f>
        <v/>
      </c>
      <c r="Y17" s="2" t="str">
        <f>IFERROR(__xludf.DUMMYFUNCTION("IMPORTRANGE($B$18,$B$19&amp;address(row($C$5),column($C$5))&amp;"":""&amp;address(row($C$5),column($C$5)))"),"-")</f>
        <v>-</v>
      </c>
      <c r="Z17" s="86">
        <f>IFERROR(__xludf.DUMMYFUNCTION("IMPORTRANGE($B$18,$B$19&amp;address(row($I$4),column($I$4))&amp;"":""&amp;address(row($I$4),column($I$4)))"),45402.0)</f>
        <v>45402</v>
      </c>
      <c r="AA17" s="2" t="b">
        <f t="shared" si="2"/>
        <v>0</v>
      </c>
    </row>
    <row r="18">
      <c r="A18" s="1" t="s">
        <v>2258</v>
      </c>
      <c r="B18" s="87" t="s">
        <v>2272</v>
      </c>
      <c r="C18" s="1"/>
      <c r="D18" s="2"/>
      <c r="E18" s="2"/>
      <c r="F18" s="2"/>
      <c r="G18" s="2"/>
      <c r="H18" s="1"/>
      <c r="I18" s="2"/>
      <c r="J18" s="2"/>
      <c r="K18" s="2"/>
      <c r="L18" s="2"/>
      <c r="M18" s="2"/>
      <c r="N18" s="2"/>
      <c r="O18" s="2"/>
      <c r="P18" s="2"/>
      <c r="Q18" s="2"/>
      <c r="R18" s="2"/>
      <c r="S18" s="2"/>
      <c r="T18" s="2"/>
      <c r="U18" s="2"/>
      <c r="V18" s="2"/>
      <c r="W18" s="2"/>
      <c r="X18" s="2"/>
    </row>
    <row r="19">
      <c r="A19" s="1" t="s">
        <v>2260</v>
      </c>
      <c r="B19" s="88" t="s">
        <v>2273</v>
      </c>
      <c r="C19" s="1"/>
      <c r="D19" s="2"/>
      <c r="E19" s="2"/>
      <c r="F19" s="2"/>
      <c r="G19" s="2"/>
      <c r="H19" s="1"/>
      <c r="I19" s="2"/>
      <c r="J19" s="2"/>
      <c r="K19" s="2"/>
      <c r="L19" s="2"/>
      <c r="M19" s="2"/>
      <c r="N19" s="2"/>
      <c r="O19" s="2"/>
      <c r="P19" s="2"/>
      <c r="Q19" s="2"/>
      <c r="R19" s="2"/>
      <c r="S19" s="2"/>
      <c r="T19" s="2"/>
      <c r="U19" s="2"/>
      <c r="V19" s="2"/>
      <c r="W19" s="2"/>
      <c r="X19" s="2"/>
    </row>
    <row r="20">
      <c r="A20" s="2" t="str">
        <f>IFERROR(__xludf.DUMMYFUNCTION("IMPORTRANGE($B$18,$B$19&amp;address(row(B30),column(B30))&amp;"":""&amp;address(row(B30),column(B30)))"),"")</f>
        <v/>
      </c>
      <c r="B20" s="2" t="str">
        <f>IFERROR(__xludf.DUMMYFUNCTION("IMPORTRANGE($B$18,$B$19&amp;address(row(E30),column(E30))&amp;"":""&amp;address(row(E30),column(E30)))"),"")</f>
        <v/>
      </c>
      <c r="C20" s="1"/>
      <c r="D20" s="2"/>
      <c r="E20" s="2"/>
      <c r="F20" s="2"/>
      <c r="G20" s="2"/>
      <c r="H20" s="1"/>
      <c r="I20" s="2"/>
      <c r="J20" s="2"/>
      <c r="K20" s="2"/>
      <c r="L20" s="2"/>
      <c r="M20" s="2"/>
      <c r="N20" s="2"/>
      <c r="O20" s="2"/>
      <c r="P20" s="2"/>
      <c r="Q20" s="2"/>
      <c r="R20" s="2"/>
      <c r="S20" s="2"/>
      <c r="T20" s="2"/>
      <c r="U20" s="2"/>
      <c r="V20" s="2"/>
      <c r="W20" s="2"/>
      <c r="X20" s="2"/>
    </row>
    <row r="21">
      <c r="A21" s="2" t="str">
        <f>IFERROR(__xludf.DUMMYFUNCTION("IMPORTRANGE($B$18,$B$19&amp;address(row(B31),column(B31))&amp;"":""&amp;address(row(B31),column(B31)))"),"")</f>
        <v/>
      </c>
      <c r="B21" s="2" t="str">
        <f>IFERROR(__xludf.DUMMYFUNCTION("IMPORTRANGE($B$18,$B$19&amp;address(row(E31),column(E31))&amp;"":""&amp;address(row(E31),column(E31)))"),"")</f>
        <v/>
      </c>
      <c r="C21" s="1"/>
      <c r="D21" s="2"/>
      <c r="E21" s="2"/>
      <c r="F21" s="2"/>
      <c r="G21" s="2"/>
      <c r="H21" s="1"/>
      <c r="I21" s="2"/>
      <c r="J21" s="2"/>
      <c r="K21" s="2"/>
      <c r="L21" s="2"/>
      <c r="M21" s="2"/>
      <c r="N21" s="2"/>
      <c r="O21" s="2"/>
      <c r="P21" s="2"/>
      <c r="Q21" s="2"/>
      <c r="R21" s="2"/>
      <c r="S21" s="2"/>
      <c r="T21" s="2"/>
      <c r="U21" s="2"/>
      <c r="V21" s="2"/>
      <c r="W21" s="2"/>
      <c r="X21" s="2"/>
    </row>
    <row r="22">
      <c r="A22" s="2" t="str">
        <f>IFERROR(__xludf.DUMMYFUNCTION("IMPORTRANGE($B$18,$B$19&amp;address(row(B32),column(B32))&amp;"":""&amp;address(row(B32),column(B32)))"),"")</f>
        <v/>
      </c>
      <c r="B22" s="2" t="str">
        <f>IFERROR(__xludf.DUMMYFUNCTION("IMPORTRANGE($B$18,$B$19&amp;address(row(E32),column(E32))&amp;"":""&amp;address(row(E32),column(E32)))"),"")</f>
        <v/>
      </c>
      <c r="C22" s="1"/>
      <c r="D22" s="2"/>
      <c r="E22" s="2"/>
      <c r="F22" s="2"/>
      <c r="G22" s="2"/>
      <c r="H22" s="1"/>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C27" s="2"/>
      <c r="D27" s="2"/>
      <c r="E27" s="2"/>
      <c r="F27" s="2"/>
      <c r="G27" s="2"/>
      <c r="H27" s="2"/>
      <c r="I27" s="2"/>
      <c r="J27" s="2"/>
      <c r="K27" s="2"/>
      <c r="L27" s="2"/>
      <c r="M27" s="2"/>
      <c r="N27" s="2"/>
      <c r="O27" s="2"/>
      <c r="P27" s="2"/>
      <c r="Q27" s="2"/>
      <c r="R27" s="2"/>
      <c r="S27" s="2"/>
      <c r="T27" s="2"/>
      <c r="U27" s="2"/>
      <c r="V27" s="2"/>
      <c r="W27" s="2"/>
      <c r="X27" s="2"/>
    </row>
    <row r="28">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sheetData>
  <hyperlinks>
    <hyperlink r:id="rId1" location="gid=1432288565" ref="B18"/>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13"/>
    <col customWidth="1" min="2" max="3" width="14.75"/>
    <col customWidth="1" min="4" max="4" width="7.13"/>
    <col customWidth="1" min="5" max="6" width="14.75"/>
    <col customWidth="1" min="7" max="7" width="7.13"/>
    <col customWidth="1" min="8" max="9" width="14.75"/>
    <col customWidth="1" min="10" max="10" width="7.13"/>
    <col customWidth="1" min="11" max="11" width="20.5"/>
    <col customWidth="1" min="12" max="12" width="14.75"/>
    <col customWidth="1" min="13" max="13" width="7.13"/>
    <col customWidth="1" min="14" max="15" width="14.75"/>
    <col customWidth="1" min="16" max="16" width="7.13"/>
    <col customWidth="1" min="17" max="18" width="14.75"/>
    <col customWidth="1" min="19" max="19" width="7.13"/>
    <col customWidth="1" min="20" max="20" width="12.63"/>
    <col customWidth="1" min="21" max="21" width="11.75"/>
    <col customWidth="1" min="22" max="23" width="7.13"/>
  </cols>
  <sheetData>
    <row r="1">
      <c r="A1" s="90"/>
      <c r="B1" s="90"/>
      <c r="C1" s="90"/>
      <c r="D1" s="91"/>
      <c r="E1" s="91"/>
      <c r="F1" s="91"/>
      <c r="G1" s="91"/>
      <c r="H1" s="91"/>
      <c r="I1" s="91"/>
      <c r="J1" s="91"/>
      <c r="K1" s="91"/>
      <c r="L1" s="91"/>
      <c r="M1" s="91"/>
      <c r="N1" s="91"/>
      <c r="O1" s="91"/>
      <c r="P1" s="91"/>
      <c r="Q1" s="91"/>
      <c r="R1" s="91"/>
      <c r="S1" s="91"/>
      <c r="T1" s="91"/>
      <c r="U1" s="91"/>
      <c r="V1" s="91"/>
      <c r="W1" s="91"/>
    </row>
    <row r="2">
      <c r="A2" s="90"/>
      <c r="B2" s="5" t="s">
        <v>2274</v>
      </c>
      <c r="C2" s="5">
        <v>3.0</v>
      </c>
      <c r="D2" s="91"/>
      <c r="E2" s="91"/>
      <c r="F2" s="91"/>
      <c r="G2" s="91"/>
      <c r="H2" s="91"/>
      <c r="I2" s="91"/>
      <c r="J2" s="91"/>
      <c r="K2" s="91"/>
      <c r="L2" s="91"/>
      <c r="M2" s="91"/>
      <c r="N2" s="91"/>
      <c r="O2" s="91"/>
      <c r="P2" s="91"/>
      <c r="Q2" s="91"/>
      <c r="R2" s="91"/>
      <c r="S2" s="91"/>
      <c r="T2" s="91"/>
      <c r="U2" s="91"/>
      <c r="V2" s="91"/>
      <c r="W2" s="91"/>
    </row>
    <row r="3">
      <c r="A3" s="91"/>
      <c r="B3" s="91"/>
      <c r="C3" s="91"/>
      <c r="D3" s="91"/>
      <c r="E3" s="91"/>
      <c r="F3" s="91"/>
      <c r="G3" s="91"/>
      <c r="H3" s="91"/>
      <c r="I3" s="91"/>
      <c r="J3" s="91"/>
      <c r="K3" s="91"/>
      <c r="L3" s="91"/>
      <c r="M3" s="91"/>
      <c r="N3" s="91"/>
      <c r="O3" s="91"/>
      <c r="P3" s="91"/>
      <c r="Q3" s="91"/>
      <c r="R3" s="91"/>
      <c r="S3" s="91"/>
      <c r="T3" s="91"/>
      <c r="U3" s="91"/>
      <c r="V3" s="91"/>
      <c r="W3" s="91"/>
    </row>
    <row r="4">
      <c r="A4" s="90"/>
      <c r="B4" s="5" t="s">
        <v>2275</v>
      </c>
      <c r="C4" s="5">
        <v>1.0</v>
      </c>
      <c r="D4" s="91"/>
      <c r="E4" s="5" t="s">
        <v>2275</v>
      </c>
      <c r="F4" s="5">
        <v>2.0</v>
      </c>
      <c r="G4" s="91"/>
      <c r="H4" s="5" t="s">
        <v>2275</v>
      </c>
      <c r="I4" s="5">
        <v>3.0</v>
      </c>
      <c r="J4" s="91"/>
      <c r="K4" s="5" t="s">
        <v>2275</v>
      </c>
      <c r="L4" s="5">
        <v>4.0</v>
      </c>
      <c r="M4" s="91"/>
      <c r="N4" s="5" t="s">
        <v>2275</v>
      </c>
      <c r="O4" s="5">
        <v>5.0</v>
      </c>
      <c r="P4" s="91"/>
      <c r="Q4" s="5" t="s">
        <v>2275</v>
      </c>
      <c r="R4" s="5">
        <v>6.0</v>
      </c>
      <c r="S4" s="91"/>
      <c r="T4" s="5" t="s">
        <v>2275</v>
      </c>
      <c r="U4" s="5" t="s">
        <v>157</v>
      </c>
      <c r="V4" s="91"/>
      <c r="W4" s="91"/>
    </row>
    <row r="5">
      <c r="A5" s="91"/>
      <c r="B5" s="91"/>
      <c r="C5" s="91"/>
      <c r="D5" s="91"/>
      <c r="E5" s="91"/>
      <c r="F5" s="91"/>
      <c r="G5" s="91"/>
      <c r="H5" s="91"/>
      <c r="I5" s="91"/>
      <c r="J5" s="91"/>
      <c r="K5" s="91"/>
      <c r="L5" s="91"/>
      <c r="M5" s="91"/>
      <c r="N5" s="91"/>
      <c r="O5" s="91"/>
      <c r="P5" s="91"/>
      <c r="Q5" s="91"/>
      <c r="R5" s="91"/>
      <c r="S5" s="91"/>
      <c r="T5" s="91"/>
      <c r="U5" s="91"/>
      <c r="V5" s="91"/>
      <c r="W5" s="91"/>
    </row>
    <row r="6">
      <c r="A6" s="91"/>
      <c r="B6" s="3" t="str">
        <f>IFERROR(__xludf.DUMMYFUNCTION("query(query('OTPI Scores'!$B:$E,""select C, count(C) where C is not null and B!='Friendly' and E=""&amp;C$4&amp;"" group by C order by count(C) desc LABEL count(C) 'Appearances'"",1),""WHERE Col2 &gt; ""&amp;$C$2)"),"Player Name")</f>
        <v>Player Name</v>
      </c>
      <c r="C6" s="3" t="str">
        <f>IFERROR(__xludf.DUMMYFUNCTION("""COMPUTED_VALUE"""),"Appearances")</f>
        <v>Appearances</v>
      </c>
      <c r="D6" s="91"/>
      <c r="E6" s="3" t="str">
        <f>IFERROR(__xludf.DUMMYFUNCTION("query(query('OTPI Scores'!$B:$E,""select C, count(C) where C is not null and B!='Friendly' and E=""&amp;F$4&amp;"" group by C order by count(C) desc LABEL count(C) 'Appearances'"",1),""WHERE Col2 &gt; ""&amp;$C$2)"),"Player Name")</f>
        <v>Player Name</v>
      </c>
      <c r="F6" s="3" t="str">
        <f>IFERROR(__xludf.DUMMYFUNCTION("""COMPUTED_VALUE"""),"Appearances")</f>
        <v>Appearances</v>
      </c>
      <c r="G6" s="91"/>
      <c r="H6" s="3" t="str">
        <f>IFERROR(__xludf.DUMMYFUNCTION("query(query('OTPI Scores'!$B:$E,""select C, count(C) where C is not null and B!='Friendly' and E=""&amp;I$4&amp;"" group by C order by count(C) desc LABEL count(C) 'Appearances'"",1),""WHERE Col2 &gt; ""&amp;$C$2)"),"Player Name")</f>
        <v>Player Name</v>
      </c>
      <c r="I6" s="3" t="str">
        <f>IFERROR(__xludf.DUMMYFUNCTION("""COMPUTED_VALUE"""),"Appearances")</f>
        <v>Appearances</v>
      </c>
      <c r="J6" s="91"/>
      <c r="K6" s="3" t="str">
        <f>IFERROR(__xludf.DUMMYFUNCTION("query(query('OTPI Scores'!$B:$E,""select C, count(C) where C is not null and B!='Friendly' and E=""&amp;L$4&amp;"" group by C order by count(C) desc LABEL count(C) 'Appearances'"",1),""WHERE Col2 &gt; ""&amp;$C$2)"),"Player Name")</f>
        <v>Player Name</v>
      </c>
      <c r="L6" s="3" t="str">
        <f>IFERROR(__xludf.DUMMYFUNCTION("""COMPUTED_VALUE"""),"Appearances")</f>
        <v>Appearances</v>
      </c>
      <c r="M6" s="91"/>
      <c r="N6" s="3" t="str">
        <f>IFERROR(__xludf.DUMMYFUNCTION("query(query('OTPI Scores'!$B:$E,""select C, count(C) where C is not null and B!='Friendly' and E=""&amp;O$4&amp;"" group by C order by count(C) desc LABEL count(C) 'Appearances'"",1),""WHERE Col2 &gt; ""&amp;$C$2)"),"Player Name")</f>
        <v>Player Name</v>
      </c>
      <c r="O6" s="3" t="str">
        <f>IFERROR(__xludf.DUMMYFUNCTION("""COMPUTED_VALUE"""),"Appearances")</f>
        <v>Appearances</v>
      </c>
      <c r="P6" s="91"/>
      <c r="Q6" s="3" t="str">
        <f>IFERROR(__xludf.DUMMYFUNCTION("query(query('OTPI Scores'!$B:$E,""select C, count(C) where C is not null and B!='Friendly' and E=""&amp;R$4&amp;"" group by C order by count(C) desc LABEL count(C) 'Appearances'"",1),""WHERE Col2 &gt; ""&amp;$C$2)"),"Player Name")</f>
        <v>Player Name</v>
      </c>
      <c r="R6" s="3" t="str">
        <f>IFERROR(__xludf.DUMMYFUNCTION("""COMPUTED_VALUE"""),"Appearances")</f>
        <v>Appearances</v>
      </c>
      <c r="S6" s="91"/>
      <c r="T6" s="3" t="str">
        <f>IFERROR(__xludf.DUMMYFUNCTION("query(query('OTPI Scores'!$B:$E,""select C, count(C) where C is not null and B!='Friendly' and E=""&amp;U$4&amp;"" group by C order by count(C) desc LABEL count(C) 'Appearances'"",1),""WHERE Col2 &gt; ""&amp;$C$2)"),"#VALUE!")</f>
        <v>#VALUE!</v>
      </c>
      <c r="V6" s="91"/>
      <c r="W6" s="91"/>
    </row>
    <row r="7">
      <c r="A7" s="91"/>
      <c r="B7" s="3" t="str">
        <f>IFERROR(__xludf.DUMMYFUNCTION("""COMPUTED_VALUE"""),"Jarvis Cheek")</f>
        <v>Jarvis Cheek</v>
      </c>
      <c r="C7" s="3">
        <f>IFERROR(__xludf.DUMMYFUNCTION("""COMPUTED_VALUE"""),21.0)</f>
        <v>21</v>
      </c>
      <c r="D7" s="91"/>
      <c r="E7" s="3" t="str">
        <f>IFERROR(__xludf.DUMMYFUNCTION("""COMPUTED_VALUE"""),"Alex Dockerill")</f>
        <v>Alex Dockerill</v>
      </c>
      <c r="F7" s="3">
        <f>IFERROR(__xludf.DUMMYFUNCTION("""COMPUTED_VALUE"""),15.0)</f>
        <v>15</v>
      </c>
      <c r="G7" s="91"/>
      <c r="H7" s="3" t="str">
        <f>IFERROR(__xludf.DUMMYFUNCTION("""COMPUTED_VALUE"""),"Will French")</f>
        <v>Will French</v>
      </c>
      <c r="I7" s="3">
        <f>IFERROR(__xludf.DUMMYFUNCTION("""COMPUTED_VALUE"""),19.0)</f>
        <v>19</v>
      </c>
      <c r="J7" s="91"/>
      <c r="K7" s="3" t="str">
        <f>IFERROR(__xludf.DUMMYFUNCTION("""COMPUTED_VALUE"""),"Masood Hamidi")</f>
        <v>Masood Hamidi</v>
      </c>
      <c r="L7" s="3">
        <f>IFERROR(__xludf.DUMMYFUNCTION("""COMPUTED_VALUE"""),20.0)</f>
        <v>20</v>
      </c>
      <c r="M7" s="91"/>
      <c r="N7" s="3" t="str">
        <f>IFERROR(__xludf.DUMMYFUNCTION("""COMPUTED_VALUE"""),"Alex Scott-Ruddock")</f>
        <v>Alex Scott-Ruddock</v>
      </c>
      <c r="O7" s="3">
        <f>IFERROR(__xludf.DUMMYFUNCTION("""COMPUTED_VALUE"""),15.0)</f>
        <v>15</v>
      </c>
      <c r="P7" s="91"/>
      <c r="Q7" s="3" t="str">
        <f>IFERROR(__xludf.DUMMYFUNCTION("""COMPUTED_VALUE"""),"Jason Heath")</f>
        <v>Jason Heath</v>
      </c>
      <c r="R7" s="3">
        <f>IFERROR(__xludf.DUMMYFUNCTION("""COMPUTED_VALUE"""),19.0)</f>
        <v>19</v>
      </c>
      <c r="S7" s="91"/>
      <c r="V7" s="91"/>
      <c r="W7" s="91"/>
    </row>
    <row r="8">
      <c r="A8" s="91"/>
      <c r="B8" s="3" t="str">
        <f>IFERROR(__xludf.DUMMYFUNCTION("""COMPUTED_VALUE"""),"Matt Crowe")</f>
        <v>Matt Crowe</v>
      </c>
      <c r="C8" s="3">
        <f>IFERROR(__xludf.DUMMYFUNCTION("""COMPUTED_VALUE"""),21.0)</f>
        <v>21</v>
      </c>
      <c r="D8" s="91"/>
      <c r="E8" s="3" t="str">
        <f>IFERROR(__xludf.DUMMYFUNCTION("""COMPUTED_VALUE"""),"Finn Coolen")</f>
        <v>Finn Coolen</v>
      </c>
      <c r="F8" s="3">
        <f>IFERROR(__xludf.DUMMYFUNCTION("""COMPUTED_VALUE"""),13.0)</f>
        <v>13</v>
      </c>
      <c r="G8" s="91"/>
      <c r="H8" s="3" t="str">
        <f>IFERROR(__xludf.DUMMYFUNCTION("""COMPUTED_VALUE"""),"Alex Stevens")</f>
        <v>Alex Stevens</v>
      </c>
      <c r="I8" s="3">
        <f>IFERROR(__xludf.DUMMYFUNCTION("""COMPUTED_VALUE"""),17.0)</f>
        <v>17</v>
      </c>
      <c r="J8" s="91"/>
      <c r="K8" s="3" t="str">
        <f>IFERROR(__xludf.DUMMYFUNCTION("""COMPUTED_VALUE"""),"Nima Naghdi")</f>
        <v>Nima Naghdi</v>
      </c>
      <c r="L8" s="3">
        <f>IFERROR(__xludf.DUMMYFUNCTION("""COMPUTED_VALUE"""),20.0)</f>
        <v>20</v>
      </c>
      <c r="M8" s="91"/>
      <c r="N8" s="3" t="str">
        <f>IFERROR(__xludf.DUMMYFUNCTION("""COMPUTED_VALUE"""),"Ciaran Curran")</f>
        <v>Ciaran Curran</v>
      </c>
      <c r="O8" s="3">
        <f>IFERROR(__xludf.DUMMYFUNCTION("""COMPUTED_VALUE"""),15.0)</f>
        <v>15</v>
      </c>
      <c r="P8" s="91"/>
      <c r="Q8" s="3" t="str">
        <f>IFERROR(__xludf.DUMMYFUNCTION("""COMPUTED_VALUE"""),"Martin Goodson")</f>
        <v>Martin Goodson</v>
      </c>
      <c r="R8" s="3">
        <f>IFERROR(__xludf.DUMMYFUNCTION("""COMPUTED_VALUE"""),18.0)</f>
        <v>18</v>
      </c>
      <c r="S8" s="91"/>
      <c r="V8" s="91"/>
      <c r="W8" s="91"/>
    </row>
    <row r="9">
      <c r="A9" s="91"/>
      <c r="B9" s="3" t="str">
        <f>IFERROR(__xludf.DUMMYFUNCTION("""COMPUTED_VALUE"""),"John Harrison")</f>
        <v>John Harrison</v>
      </c>
      <c r="C9" s="3">
        <f>IFERROR(__xludf.DUMMYFUNCTION("""COMPUTED_VALUE"""),20.0)</f>
        <v>20</v>
      </c>
      <c r="D9" s="91"/>
      <c r="E9" s="3" t="str">
        <f>IFERROR(__xludf.DUMMYFUNCTION("""COMPUTED_VALUE"""),"Max Watson")</f>
        <v>Max Watson</v>
      </c>
      <c r="F9" s="3">
        <f>IFERROR(__xludf.DUMMYFUNCTION("""COMPUTED_VALUE"""),12.0)</f>
        <v>12</v>
      </c>
      <c r="G9" s="91"/>
      <c r="H9" s="3" t="str">
        <f>IFERROR(__xludf.DUMMYFUNCTION("""COMPUTED_VALUE"""),"Denver Lalonde")</f>
        <v>Denver Lalonde</v>
      </c>
      <c r="I9" s="3">
        <f>IFERROR(__xludf.DUMMYFUNCTION("""COMPUTED_VALUE"""),17.0)</f>
        <v>17</v>
      </c>
      <c r="J9" s="91"/>
      <c r="K9" s="3" t="str">
        <f>IFERROR(__xludf.DUMMYFUNCTION("""COMPUTED_VALUE"""),"Kevin Gonzalez")</f>
        <v>Kevin Gonzalez</v>
      </c>
      <c r="L9" s="3">
        <f>IFERROR(__xludf.DUMMYFUNCTION("""COMPUTED_VALUE"""),19.0)</f>
        <v>19</v>
      </c>
      <c r="M9" s="91"/>
      <c r="N9" s="3" t="str">
        <f>IFERROR(__xludf.DUMMYFUNCTION("""COMPUTED_VALUE"""),"Anthony Ball")</f>
        <v>Anthony Ball</v>
      </c>
      <c r="O9" s="3">
        <f>IFERROR(__xludf.DUMMYFUNCTION("""COMPUTED_VALUE"""),14.0)</f>
        <v>14</v>
      </c>
      <c r="P9" s="91"/>
      <c r="Q9" s="3" t="str">
        <f>IFERROR(__xludf.DUMMYFUNCTION("""COMPUTED_VALUE"""),"Ellis Forrester")</f>
        <v>Ellis Forrester</v>
      </c>
      <c r="R9" s="3">
        <f>IFERROR(__xludf.DUMMYFUNCTION("""COMPUTED_VALUE"""),16.0)</f>
        <v>16</v>
      </c>
      <c r="S9" s="91"/>
      <c r="V9" s="91"/>
      <c r="W9" s="91"/>
    </row>
    <row r="10">
      <c r="A10" s="91"/>
      <c r="B10" s="3" t="str">
        <f>IFERROR(__xludf.DUMMYFUNCTION("""COMPUTED_VALUE"""),"Josh Sherriff-Jolly")</f>
        <v>Josh Sherriff-Jolly</v>
      </c>
      <c r="C10" s="3">
        <f>IFERROR(__xludf.DUMMYFUNCTION("""COMPUTED_VALUE"""),20.0)</f>
        <v>20</v>
      </c>
      <c r="D10" s="91"/>
      <c r="E10" s="3" t="str">
        <f>IFERROR(__xludf.DUMMYFUNCTION("""COMPUTED_VALUE"""),"Paul Ball")</f>
        <v>Paul Ball</v>
      </c>
      <c r="F10" s="3">
        <f>IFERROR(__xludf.DUMMYFUNCTION("""COMPUTED_VALUE"""),12.0)</f>
        <v>12</v>
      </c>
      <c r="G10" s="91"/>
      <c r="H10" s="3" t="str">
        <f>IFERROR(__xludf.DUMMYFUNCTION("""COMPUTED_VALUE"""),"Dan Russell")</f>
        <v>Dan Russell</v>
      </c>
      <c r="I10" s="3">
        <f>IFERROR(__xludf.DUMMYFUNCTION("""COMPUTED_VALUE"""),14.0)</f>
        <v>14</v>
      </c>
      <c r="J10" s="91"/>
      <c r="K10" s="3" t="str">
        <f>IFERROR(__xludf.DUMMYFUNCTION("""COMPUTED_VALUE"""),"Sean Rowlett")</f>
        <v>Sean Rowlett</v>
      </c>
      <c r="L10" s="3">
        <f>IFERROR(__xludf.DUMMYFUNCTION("""COMPUTED_VALUE"""),17.0)</f>
        <v>17</v>
      </c>
      <c r="M10" s="91"/>
      <c r="N10" s="3" t="str">
        <f>IFERROR(__xludf.DUMMYFUNCTION("""COMPUTED_VALUE"""),"Jack Harris")</f>
        <v>Jack Harris</v>
      </c>
      <c r="O10" s="3">
        <f>IFERROR(__xludf.DUMMYFUNCTION("""COMPUTED_VALUE"""),13.0)</f>
        <v>13</v>
      </c>
      <c r="P10" s="91"/>
      <c r="Q10" s="3" t="str">
        <f>IFERROR(__xludf.DUMMYFUNCTION("""COMPUTED_VALUE"""),"Mark Roberts")</f>
        <v>Mark Roberts</v>
      </c>
      <c r="R10" s="3">
        <f>IFERROR(__xludf.DUMMYFUNCTION("""COMPUTED_VALUE"""),15.0)</f>
        <v>15</v>
      </c>
      <c r="S10" s="91"/>
      <c r="V10" s="91"/>
      <c r="W10" s="91"/>
    </row>
    <row r="11">
      <c r="A11" s="91"/>
      <c r="B11" s="3" t="str">
        <f>IFERROR(__xludf.DUMMYFUNCTION("""COMPUTED_VALUE"""),"Theo Horton")</f>
        <v>Theo Horton</v>
      </c>
      <c r="C11" s="3">
        <f>IFERROR(__xludf.DUMMYFUNCTION("""COMPUTED_VALUE"""),20.0)</f>
        <v>20</v>
      </c>
      <c r="D11" s="91"/>
      <c r="E11" s="3" t="str">
        <f>IFERROR(__xludf.DUMMYFUNCTION("""COMPUTED_VALUE"""),"Seb Curle")</f>
        <v>Seb Curle</v>
      </c>
      <c r="F11" s="3">
        <f>IFERROR(__xludf.DUMMYFUNCTION("""COMPUTED_VALUE"""),12.0)</f>
        <v>12</v>
      </c>
      <c r="G11" s="91"/>
      <c r="H11" s="3" t="str">
        <f>IFERROR(__xludf.DUMMYFUNCTION("""COMPUTED_VALUE"""),"Nathan Baverstock")</f>
        <v>Nathan Baverstock</v>
      </c>
      <c r="I11" s="3">
        <f>IFERROR(__xludf.DUMMYFUNCTION("""COMPUTED_VALUE"""),13.0)</f>
        <v>13</v>
      </c>
      <c r="J11" s="91"/>
      <c r="K11" s="3" t="str">
        <f>IFERROR(__xludf.DUMMYFUNCTION("""COMPUTED_VALUE"""),"Charlie Doe")</f>
        <v>Charlie Doe</v>
      </c>
      <c r="L11" s="3">
        <f>IFERROR(__xludf.DUMMYFUNCTION("""COMPUTED_VALUE"""),11.0)</f>
        <v>11</v>
      </c>
      <c r="M11" s="91"/>
      <c r="N11" s="3" t="str">
        <f>IFERROR(__xludf.DUMMYFUNCTION("""COMPUTED_VALUE"""),"Chris Claeys")</f>
        <v>Chris Claeys</v>
      </c>
      <c r="O11" s="3">
        <f>IFERROR(__xludf.DUMMYFUNCTION("""COMPUTED_VALUE"""),12.0)</f>
        <v>12</v>
      </c>
      <c r="P11" s="91"/>
      <c r="Q11" s="3" t="str">
        <f>IFERROR(__xludf.DUMMYFUNCTION("""COMPUTED_VALUE"""),"Janam Satra")</f>
        <v>Janam Satra</v>
      </c>
      <c r="R11" s="3">
        <f>IFERROR(__xludf.DUMMYFUNCTION("""COMPUTED_VALUE"""),14.0)</f>
        <v>14</v>
      </c>
      <c r="S11" s="91"/>
      <c r="V11" s="91"/>
      <c r="W11" s="91"/>
    </row>
    <row r="12">
      <c r="A12" s="91"/>
      <c r="B12" s="3" t="str">
        <f>IFERROR(__xludf.DUMMYFUNCTION("""COMPUTED_VALUE"""),"James Rodriguez")</f>
        <v>James Rodriguez</v>
      </c>
      <c r="C12" s="3">
        <f>IFERROR(__xludf.DUMMYFUNCTION("""COMPUTED_VALUE"""),18.0)</f>
        <v>18</v>
      </c>
      <c r="D12" s="91"/>
      <c r="E12" s="3" t="str">
        <f>IFERROR(__xludf.DUMMYFUNCTION("""COMPUTED_VALUE"""),"Tom Riley")</f>
        <v>Tom Riley</v>
      </c>
      <c r="F12" s="3">
        <f>IFERROR(__xludf.DUMMYFUNCTION("""COMPUTED_VALUE"""),12.0)</f>
        <v>12</v>
      </c>
      <c r="G12" s="91"/>
      <c r="H12" s="3" t="str">
        <f>IFERROR(__xludf.DUMMYFUNCTION("""COMPUTED_VALUE"""),"Chris Douthwaite")</f>
        <v>Chris Douthwaite</v>
      </c>
      <c r="I12" s="3">
        <f>IFERROR(__xludf.DUMMYFUNCTION("""COMPUTED_VALUE"""),12.0)</f>
        <v>12</v>
      </c>
      <c r="J12" s="91"/>
      <c r="K12" s="3" t="str">
        <f>IFERROR(__xludf.DUMMYFUNCTION("""COMPUTED_VALUE"""),"George Connolly")</f>
        <v>George Connolly</v>
      </c>
      <c r="L12" s="3">
        <f>IFERROR(__xludf.DUMMYFUNCTION("""COMPUTED_VALUE"""),9.0)</f>
        <v>9</v>
      </c>
      <c r="M12" s="91"/>
      <c r="N12" s="3" t="str">
        <f>IFERROR(__xludf.DUMMYFUNCTION("""COMPUTED_VALUE"""),"Harry Fripp")</f>
        <v>Harry Fripp</v>
      </c>
      <c r="O12" s="3">
        <f>IFERROR(__xludf.DUMMYFUNCTION("""COMPUTED_VALUE"""),12.0)</f>
        <v>12</v>
      </c>
      <c r="P12" s="91"/>
      <c r="Q12" s="3" t="str">
        <f>IFERROR(__xludf.DUMMYFUNCTION("""COMPUTED_VALUE"""),"Peter Green")</f>
        <v>Peter Green</v>
      </c>
      <c r="R12" s="3">
        <f>IFERROR(__xludf.DUMMYFUNCTION("""COMPUTED_VALUE"""),11.0)</f>
        <v>11</v>
      </c>
      <c r="S12" s="91"/>
      <c r="V12" s="91"/>
      <c r="W12" s="91"/>
    </row>
    <row r="13">
      <c r="A13" s="91"/>
      <c r="B13" s="3" t="str">
        <f>IFERROR(__xludf.DUMMYFUNCTION("""COMPUTED_VALUE"""),"Jamie Wood")</f>
        <v>Jamie Wood</v>
      </c>
      <c r="C13" s="3">
        <f>IFERROR(__xludf.DUMMYFUNCTION("""COMPUTED_VALUE"""),18.0)</f>
        <v>18</v>
      </c>
      <c r="D13" s="91"/>
      <c r="E13" s="3" t="str">
        <f>IFERROR(__xludf.DUMMYFUNCTION("""COMPUTED_VALUE"""),"Nick Chimonides")</f>
        <v>Nick Chimonides</v>
      </c>
      <c r="F13" s="3">
        <f>IFERROR(__xludf.DUMMYFUNCTION("""COMPUTED_VALUE"""),11.0)</f>
        <v>11</v>
      </c>
      <c r="G13" s="91"/>
      <c r="H13" s="3" t="str">
        <f>IFERROR(__xludf.DUMMYFUNCTION("""COMPUTED_VALUE"""),"Joe Vincent")</f>
        <v>Joe Vincent</v>
      </c>
      <c r="I13" s="3">
        <f>IFERROR(__xludf.DUMMYFUNCTION("""COMPUTED_VALUE"""),12.0)</f>
        <v>12</v>
      </c>
      <c r="J13" s="91"/>
      <c r="K13" s="3" t="str">
        <f>IFERROR(__xludf.DUMMYFUNCTION("""COMPUTED_VALUE"""),"Ed Wightman")</f>
        <v>Ed Wightman</v>
      </c>
      <c r="L13" s="3">
        <f>IFERROR(__xludf.DUMMYFUNCTION("""COMPUTED_VALUE"""),8.0)</f>
        <v>8</v>
      </c>
      <c r="M13" s="91"/>
      <c r="N13" s="3" t="str">
        <f>IFERROR(__xludf.DUMMYFUNCTION("""COMPUTED_VALUE"""),"Sam A'Court")</f>
        <v>Sam A'Court</v>
      </c>
      <c r="O13" s="3">
        <f>IFERROR(__xludf.DUMMYFUNCTION("""COMPUTED_VALUE"""),12.0)</f>
        <v>12</v>
      </c>
      <c r="P13" s="91"/>
      <c r="Q13" s="3" t="str">
        <f>IFERROR(__xludf.DUMMYFUNCTION("""COMPUTED_VALUE"""),"Jabari Dixon")</f>
        <v>Jabari Dixon</v>
      </c>
      <c r="R13" s="3">
        <f>IFERROR(__xludf.DUMMYFUNCTION("""COMPUTED_VALUE"""),10.0)</f>
        <v>10</v>
      </c>
      <c r="S13" s="91"/>
      <c r="V13" s="91"/>
      <c r="W13" s="91"/>
    </row>
    <row r="14">
      <c r="A14" s="91"/>
      <c r="B14" s="3" t="str">
        <f>IFERROR(__xludf.DUMMYFUNCTION("""COMPUTED_VALUE"""),"Yemi Oviosu")</f>
        <v>Yemi Oviosu</v>
      </c>
      <c r="C14" s="3">
        <f>IFERROR(__xludf.DUMMYFUNCTION("""COMPUTED_VALUE"""),18.0)</f>
        <v>18</v>
      </c>
      <c r="D14" s="91"/>
      <c r="E14" s="3" t="str">
        <f>IFERROR(__xludf.DUMMYFUNCTION("""COMPUTED_VALUE"""),"Jonny Simmons")</f>
        <v>Jonny Simmons</v>
      </c>
      <c r="F14" s="3">
        <f>IFERROR(__xludf.DUMMYFUNCTION("""COMPUTED_VALUE"""),10.0)</f>
        <v>10</v>
      </c>
      <c r="G14" s="91"/>
      <c r="H14" s="3" t="str">
        <f>IFERROR(__xludf.DUMMYFUNCTION("""COMPUTED_VALUE"""),"Alex Mansfield")</f>
        <v>Alex Mansfield</v>
      </c>
      <c r="I14" s="3">
        <f>IFERROR(__xludf.DUMMYFUNCTION("""COMPUTED_VALUE"""),11.0)</f>
        <v>11</v>
      </c>
      <c r="J14" s="91"/>
      <c r="K14" s="3" t="str">
        <f>IFERROR(__xludf.DUMMYFUNCTION("""COMPUTED_VALUE"""),"Pearl Bakengela")</f>
        <v>Pearl Bakengela</v>
      </c>
      <c r="L14" s="3">
        <f>IFERROR(__xludf.DUMMYFUNCTION("""COMPUTED_VALUE"""),8.0)</f>
        <v>8</v>
      </c>
      <c r="M14" s="91"/>
      <c r="N14" s="3" t="str">
        <f>IFERROR(__xludf.DUMMYFUNCTION("""COMPUTED_VALUE"""),"Emi Muhadri")</f>
        <v>Emi Muhadri</v>
      </c>
      <c r="O14" s="3">
        <f>IFERROR(__xludf.DUMMYFUNCTION("""COMPUTED_VALUE"""),11.0)</f>
        <v>11</v>
      </c>
      <c r="P14" s="91"/>
      <c r="Q14" s="3" t="str">
        <f>IFERROR(__xludf.DUMMYFUNCTION("""COMPUTED_VALUE"""),"Jack Hind")</f>
        <v>Jack Hind</v>
      </c>
      <c r="R14" s="3">
        <f>IFERROR(__xludf.DUMMYFUNCTION("""COMPUTED_VALUE"""),10.0)</f>
        <v>10</v>
      </c>
      <c r="S14" s="91"/>
      <c r="V14" s="91"/>
      <c r="W14" s="91"/>
    </row>
    <row r="15">
      <c r="A15" s="91"/>
      <c r="B15" s="3" t="str">
        <f>IFERROR(__xludf.DUMMYFUNCTION("""COMPUTED_VALUE"""),"Luke Dyges")</f>
        <v>Luke Dyges</v>
      </c>
      <c r="C15" s="3">
        <f>IFERROR(__xludf.DUMMYFUNCTION("""COMPUTED_VALUE"""),16.0)</f>
        <v>16</v>
      </c>
      <c r="D15" s="91"/>
      <c r="E15" s="3" t="str">
        <f>IFERROR(__xludf.DUMMYFUNCTION("""COMPUTED_VALUE"""),"Harold Kiyingi")</f>
        <v>Harold Kiyingi</v>
      </c>
      <c r="F15" s="3">
        <f>IFERROR(__xludf.DUMMYFUNCTION("""COMPUTED_VALUE"""),9.0)</f>
        <v>9</v>
      </c>
      <c r="G15" s="91"/>
      <c r="H15" s="3" t="str">
        <f>IFERROR(__xludf.DUMMYFUNCTION("""COMPUTED_VALUE"""),"Cameron Pashley")</f>
        <v>Cameron Pashley</v>
      </c>
      <c r="I15" s="3">
        <f>IFERROR(__xludf.DUMMYFUNCTION("""COMPUTED_VALUE"""),11.0)</f>
        <v>11</v>
      </c>
      <c r="J15" s="91"/>
      <c r="K15" s="3" t="str">
        <f>IFERROR(__xludf.DUMMYFUNCTION("""COMPUTED_VALUE"""),"Tom Love")</f>
        <v>Tom Love</v>
      </c>
      <c r="L15" s="3">
        <f>IFERROR(__xludf.DUMMYFUNCTION("""COMPUTED_VALUE"""),8.0)</f>
        <v>8</v>
      </c>
      <c r="M15" s="91"/>
      <c r="N15" s="3" t="str">
        <f>IFERROR(__xludf.DUMMYFUNCTION("""COMPUTED_VALUE"""),"Stu Jordan")</f>
        <v>Stu Jordan</v>
      </c>
      <c r="O15" s="3">
        <f>IFERROR(__xludf.DUMMYFUNCTION("""COMPUTED_VALUE"""),11.0)</f>
        <v>11</v>
      </c>
      <c r="P15" s="91"/>
      <c r="Q15" s="3" t="str">
        <f>IFERROR(__xludf.DUMMYFUNCTION("""COMPUTED_VALUE"""),"James Timmins")</f>
        <v>James Timmins</v>
      </c>
      <c r="R15" s="3">
        <f>IFERROR(__xludf.DUMMYFUNCTION("""COMPUTED_VALUE"""),10.0)</f>
        <v>10</v>
      </c>
      <c r="S15" s="91"/>
      <c r="V15" s="91"/>
      <c r="W15" s="91"/>
    </row>
    <row r="16">
      <c r="A16" s="91"/>
      <c r="B16" s="3" t="str">
        <f>IFERROR(__xludf.DUMMYFUNCTION("""COMPUTED_VALUE"""),"Aaron Snelling")</f>
        <v>Aaron Snelling</v>
      </c>
      <c r="C16" s="3">
        <f>IFERROR(__xludf.DUMMYFUNCTION("""COMPUTED_VALUE"""),15.0)</f>
        <v>15</v>
      </c>
      <c r="D16" s="91"/>
      <c r="E16" s="3" t="str">
        <f>IFERROR(__xludf.DUMMYFUNCTION("""COMPUTED_VALUE"""),"Connor White")</f>
        <v>Connor White</v>
      </c>
      <c r="F16" s="3">
        <f>IFERROR(__xludf.DUMMYFUNCTION("""COMPUTED_VALUE"""),8.0)</f>
        <v>8</v>
      </c>
      <c r="G16" s="91"/>
      <c r="H16" s="3" t="str">
        <f>IFERROR(__xludf.DUMMYFUNCTION("""COMPUTED_VALUE"""),"Rich Lundie")</f>
        <v>Rich Lundie</v>
      </c>
      <c r="I16" s="3">
        <f>IFERROR(__xludf.DUMMYFUNCTION("""COMPUTED_VALUE"""),11.0)</f>
        <v>11</v>
      </c>
      <c r="J16" s="91"/>
      <c r="K16" s="3" t="str">
        <f>IFERROR(__xludf.DUMMYFUNCTION("""COMPUTED_VALUE"""),"Billy King")</f>
        <v>Billy King</v>
      </c>
      <c r="L16" s="3">
        <f>IFERROR(__xludf.DUMMYFUNCTION("""COMPUTED_VALUE"""),7.0)</f>
        <v>7</v>
      </c>
      <c r="M16" s="91"/>
      <c r="N16" s="3" t="str">
        <f>IFERROR(__xludf.DUMMYFUNCTION("""COMPUTED_VALUE"""),"Ade Lawal")</f>
        <v>Ade Lawal</v>
      </c>
      <c r="O16" s="3">
        <f>IFERROR(__xludf.DUMMYFUNCTION("""COMPUTED_VALUE"""),10.0)</f>
        <v>10</v>
      </c>
      <c r="P16" s="91"/>
      <c r="Q16" s="3" t="str">
        <f>IFERROR(__xludf.DUMMYFUNCTION("""COMPUTED_VALUE"""),"Matt Hope")</f>
        <v>Matt Hope</v>
      </c>
      <c r="R16" s="3">
        <f>IFERROR(__xludf.DUMMYFUNCTION("""COMPUTED_VALUE"""),9.0)</f>
        <v>9</v>
      </c>
      <c r="S16" s="91"/>
      <c r="V16" s="91"/>
      <c r="W16" s="91"/>
    </row>
    <row r="17">
      <c r="A17" s="91"/>
      <c r="B17" s="3" t="str">
        <f>IFERROR(__xludf.DUMMYFUNCTION("""COMPUTED_VALUE"""),"Matthew Thomas")</f>
        <v>Matthew Thomas</v>
      </c>
      <c r="C17" s="3">
        <f>IFERROR(__xludf.DUMMYFUNCTION("""COMPUTED_VALUE"""),15.0)</f>
        <v>15</v>
      </c>
      <c r="D17" s="91"/>
      <c r="E17" s="3" t="str">
        <f>IFERROR(__xludf.DUMMYFUNCTION("""COMPUTED_VALUE"""),"Corey Cleave")</f>
        <v>Corey Cleave</v>
      </c>
      <c r="F17" s="3">
        <f>IFERROR(__xludf.DUMMYFUNCTION("""COMPUTED_VALUE"""),7.0)</f>
        <v>7</v>
      </c>
      <c r="G17" s="91"/>
      <c r="H17" s="3" t="str">
        <f>IFERROR(__xludf.DUMMYFUNCTION("""COMPUTED_VALUE"""),"Oli Barton")</f>
        <v>Oli Barton</v>
      </c>
      <c r="I17" s="3">
        <f>IFERROR(__xludf.DUMMYFUNCTION("""COMPUTED_VALUE"""),9.0)</f>
        <v>9</v>
      </c>
      <c r="J17" s="91"/>
      <c r="K17" s="3" t="str">
        <f>IFERROR(__xludf.DUMMYFUNCTION("""COMPUTED_VALUE"""),"Chris Claeys")</f>
        <v>Chris Claeys</v>
      </c>
      <c r="L17" s="3">
        <f>IFERROR(__xludf.DUMMYFUNCTION("""COMPUTED_VALUE"""),7.0)</f>
        <v>7</v>
      </c>
      <c r="M17" s="91"/>
      <c r="N17" s="3" t="str">
        <f>IFERROR(__xludf.DUMMYFUNCTION("""COMPUTED_VALUE"""),"David Holmes-White")</f>
        <v>David Holmes-White</v>
      </c>
      <c r="O17" s="3">
        <f>IFERROR(__xludf.DUMMYFUNCTION("""COMPUTED_VALUE"""),9.0)</f>
        <v>9</v>
      </c>
      <c r="P17" s="91"/>
      <c r="Q17" s="3" t="str">
        <f>IFERROR(__xludf.DUMMYFUNCTION("""COMPUTED_VALUE"""),"Calum Edwards")</f>
        <v>Calum Edwards</v>
      </c>
      <c r="R17" s="3">
        <f>IFERROR(__xludf.DUMMYFUNCTION("""COMPUTED_VALUE"""),8.0)</f>
        <v>8</v>
      </c>
      <c r="S17" s="91"/>
      <c r="V17" s="91"/>
      <c r="W17" s="91"/>
    </row>
    <row r="18">
      <c r="A18" s="91"/>
      <c r="B18" s="3" t="str">
        <f>IFERROR(__xludf.DUMMYFUNCTION("""COMPUTED_VALUE"""),"Ollie Sewell")</f>
        <v>Ollie Sewell</v>
      </c>
      <c r="C18" s="3">
        <f>IFERROR(__xludf.DUMMYFUNCTION("""COMPUTED_VALUE"""),15.0)</f>
        <v>15</v>
      </c>
      <c r="D18" s="91"/>
      <c r="E18" s="3" t="str">
        <f>IFERROR(__xludf.DUMMYFUNCTION("""COMPUTED_VALUE"""),"Sean Staunton")</f>
        <v>Sean Staunton</v>
      </c>
      <c r="F18" s="3">
        <f>IFERROR(__xludf.DUMMYFUNCTION("""COMPUTED_VALUE"""),7.0)</f>
        <v>7</v>
      </c>
      <c r="G18" s="91"/>
      <c r="H18" s="3" t="str">
        <f>IFERROR(__xludf.DUMMYFUNCTION("""COMPUTED_VALUE"""),"Richard Jones")</f>
        <v>Richard Jones</v>
      </c>
      <c r="I18" s="3">
        <f>IFERROR(__xludf.DUMMYFUNCTION("""COMPUTED_VALUE"""),9.0)</f>
        <v>9</v>
      </c>
      <c r="J18" s="91"/>
      <c r="K18" s="3" t="str">
        <f>IFERROR(__xludf.DUMMYFUNCTION("""COMPUTED_VALUE"""),"Max Miles")</f>
        <v>Max Miles</v>
      </c>
      <c r="L18" s="3">
        <f>IFERROR(__xludf.DUMMYFUNCTION("""COMPUTED_VALUE"""),7.0)</f>
        <v>7</v>
      </c>
      <c r="M18" s="91"/>
      <c r="N18" s="3" t="str">
        <f>IFERROR(__xludf.DUMMYFUNCTION("""COMPUTED_VALUE"""),"Kai Clack")</f>
        <v>Kai Clack</v>
      </c>
      <c r="O18" s="3">
        <f>IFERROR(__xludf.DUMMYFUNCTION("""COMPUTED_VALUE"""),9.0)</f>
        <v>9</v>
      </c>
      <c r="P18" s="91"/>
      <c r="Q18" s="3" t="str">
        <f>IFERROR(__xludf.DUMMYFUNCTION("""COMPUTED_VALUE"""),"Emi Muhadri")</f>
        <v>Emi Muhadri</v>
      </c>
      <c r="R18" s="3">
        <f>IFERROR(__xludf.DUMMYFUNCTION("""COMPUTED_VALUE"""),8.0)</f>
        <v>8</v>
      </c>
      <c r="S18" s="91"/>
      <c r="V18" s="91"/>
      <c r="W18" s="91"/>
    </row>
    <row r="19">
      <c r="A19" s="91"/>
      <c r="B19" s="3" t="str">
        <f>IFERROR(__xludf.DUMMYFUNCTION("""COMPUTED_VALUE"""),"Adam Platten")</f>
        <v>Adam Platten</v>
      </c>
      <c r="C19" s="3">
        <f>IFERROR(__xludf.DUMMYFUNCTION("""COMPUTED_VALUE"""),14.0)</f>
        <v>14</v>
      </c>
      <c r="D19" s="91"/>
      <c r="E19" s="3" t="str">
        <f>IFERROR(__xludf.DUMMYFUNCTION("""COMPUTED_VALUE"""),"Tam de Lacey")</f>
        <v>Tam de Lacey</v>
      </c>
      <c r="F19" s="3">
        <f>IFERROR(__xludf.DUMMYFUNCTION("""COMPUTED_VALUE"""),7.0)</f>
        <v>7</v>
      </c>
      <c r="G19" s="91"/>
      <c r="H19" s="3" t="str">
        <f>IFERROR(__xludf.DUMMYFUNCTION("""COMPUTED_VALUE"""),"Will Sollory")</f>
        <v>Will Sollory</v>
      </c>
      <c r="I19" s="3">
        <f>IFERROR(__xludf.DUMMYFUNCTION("""COMPUTED_VALUE"""),8.0)</f>
        <v>8</v>
      </c>
      <c r="J19" s="91"/>
      <c r="K19" s="3" t="str">
        <f>IFERROR(__xludf.DUMMYFUNCTION("""COMPUTED_VALUE"""),"Sidney Hopper-Kelly")</f>
        <v>Sidney Hopper-Kelly</v>
      </c>
      <c r="L19" s="3">
        <f>IFERROR(__xludf.DUMMYFUNCTION("""COMPUTED_VALUE"""),7.0)</f>
        <v>7</v>
      </c>
      <c r="M19" s="91"/>
      <c r="N19" s="3" t="str">
        <f>IFERROR(__xludf.DUMMYFUNCTION("""COMPUTED_VALUE"""),"Andres Ahlgren")</f>
        <v>Andres Ahlgren</v>
      </c>
      <c r="O19" s="3">
        <f>IFERROR(__xludf.DUMMYFUNCTION("""COMPUTED_VALUE"""),8.0)</f>
        <v>8</v>
      </c>
      <c r="P19" s="91"/>
      <c r="Q19" s="3" t="str">
        <f>IFERROR(__xludf.DUMMYFUNCTION("""COMPUTED_VALUE"""),"Afnan Khan")</f>
        <v>Afnan Khan</v>
      </c>
      <c r="R19" s="3">
        <f>IFERROR(__xludf.DUMMYFUNCTION("""COMPUTED_VALUE"""),7.0)</f>
        <v>7</v>
      </c>
      <c r="S19" s="91"/>
      <c r="V19" s="91"/>
      <c r="W19" s="91"/>
    </row>
    <row r="20">
      <c r="A20" s="91"/>
      <c r="B20" s="3" t="str">
        <f>IFERROR(__xludf.DUMMYFUNCTION("""COMPUTED_VALUE"""),"Ben Dockerill")</f>
        <v>Ben Dockerill</v>
      </c>
      <c r="C20" s="3">
        <f>IFERROR(__xludf.DUMMYFUNCTION("""COMPUTED_VALUE"""),14.0)</f>
        <v>14</v>
      </c>
      <c r="D20" s="91"/>
      <c r="E20" s="3" t="str">
        <f>IFERROR(__xludf.DUMMYFUNCTION("""COMPUTED_VALUE"""),"Alex Mansfield")</f>
        <v>Alex Mansfield</v>
      </c>
      <c r="F20" s="3">
        <f>IFERROR(__xludf.DUMMYFUNCTION("""COMPUTED_VALUE"""),6.0)</f>
        <v>6</v>
      </c>
      <c r="G20" s="91"/>
      <c r="H20" s="3" t="str">
        <f>IFERROR(__xludf.DUMMYFUNCTION("""COMPUTED_VALUE"""),"Hallam Wye")</f>
        <v>Hallam Wye</v>
      </c>
      <c r="I20" s="3">
        <f>IFERROR(__xludf.DUMMYFUNCTION("""COMPUTED_VALUE"""),7.0)</f>
        <v>7</v>
      </c>
      <c r="J20" s="91"/>
      <c r="K20" s="3" t="str">
        <f>IFERROR(__xludf.DUMMYFUNCTION("""COMPUTED_VALUE"""),"George Havord")</f>
        <v>George Havord</v>
      </c>
      <c r="L20" s="3">
        <f>IFERROR(__xludf.DUMMYFUNCTION("""COMPUTED_VALUE"""),6.0)</f>
        <v>6</v>
      </c>
      <c r="M20" s="91"/>
      <c r="N20" s="3" t="str">
        <f>IFERROR(__xludf.DUMMYFUNCTION("""COMPUTED_VALUE"""),"Christian King")</f>
        <v>Christian King</v>
      </c>
      <c r="O20" s="3">
        <f>IFERROR(__xludf.DUMMYFUNCTION("""COMPUTED_VALUE"""),8.0)</f>
        <v>8</v>
      </c>
      <c r="P20" s="91"/>
      <c r="Q20" s="3" t="str">
        <f>IFERROR(__xludf.DUMMYFUNCTION("""COMPUTED_VALUE"""),"Jerome Goncalves")</f>
        <v>Jerome Goncalves</v>
      </c>
      <c r="R20" s="3">
        <f>IFERROR(__xludf.DUMMYFUNCTION("""COMPUTED_VALUE"""),7.0)</f>
        <v>7</v>
      </c>
      <c r="S20" s="91"/>
      <c r="V20" s="91"/>
      <c r="W20" s="91"/>
    </row>
    <row r="21">
      <c r="A21" s="91"/>
      <c r="B21" s="3" t="str">
        <f>IFERROR(__xludf.DUMMYFUNCTION("""COMPUTED_VALUE"""),"Stanley Timms")</f>
        <v>Stanley Timms</v>
      </c>
      <c r="C21" s="3">
        <f>IFERROR(__xludf.DUMMYFUNCTION("""COMPUTED_VALUE"""),14.0)</f>
        <v>14</v>
      </c>
      <c r="D21" s="91"/>
      <c r="E21" s="3" t="str">
        <f>IFERROR(__xludf.DUMMYFUNCTION("""COMPUTED_VALUE"""),"Henry Pepperell")</f>
        <v>Henry Pepperell</v>
      </c>
      <c r="F21" s="3">
        <f>IFERROR(__xludf.DUMMYFUNCTION("""COMPUTED_VALUE"""),6.0)</f>
        <v>6</v>
      </c>
      <c r="G21" s="91"/>
      <c r="H21" s="3" t="str">
        <f>IFERROR(__xludf.DUMMYFUNCTION("""COMPUTED_VALUE"""),"Rob Edmonds")</f>
        <v>Rob Edmonds</v>
      </c>
      <c r="I21" s="3">
        <f>IFERROR(__xludf.DUMMYFUNCTION("""COMPUTED_VALUE"""),7.0)</f>
        <v>7</v>
      </c>
      <c r="J21" s="91"/>
      <c r="K21" s="3" t="str">
        <f>IFERROR(__xludf.DUMMYFUNCTION("""COMPUTED_VALUE"""),"Hallam Wye")</f>
        <v>Hallam Wye</v>
      </c>
      <c r="L21" s="3">
        <f>IFERROR(__xludf.DUMMYFUNCTION("""COMPUTED_VALUE"""),6.0)</f>
        <v>6</v>
      </c>
      <c r="M21" s="91"/>
      <c r="N21" s="3" t="str">
        <f>IFERROR(__xludf.DUMMYFUNCTION("""COMPUTED_VALUE"""),"Daniel Sheehan")</f>
        <v>Daniel Sheehan</v>
      </c>
      <c r="O21" s="3">
        <f>IFERROR(__xludf.DUMMYFUNCTION("""COMPUTED_VALUE"""),8.0)</f>
        <v>8</v>
      </c>
      <c r="P21" s="91"/>
      <c r="Q21" s="3" t="str">
        <f>IFERROR(__xludf.DUMMYFUNCTION("""COMPUTED_VALUE"""),"Leuman Coronado")</f>
        <v>Leuman Coronado</v>
      </c>
      <c r="R21" s="3">
        <f>IFERROR(__xludf.DUMMYFUNCTION("""COMPUTED_VALUE"""),7.0)</f>
        <v>7</v>
      </c>
      <c r="S21" s="91"/>
      <c r="V21" s="91"/>
      <c r="W21" s="91"/>
    </row>
    <row r="22">
      <c r="A22" s="91"/>
      <c r="B22" s="3" t="str">
        <f>IFERROR(__xludf.DUMMYFUNCTION("""COMPUTED_VALUE"""),"Billy Mclean")</f>
        <v>Billy Mclean</v>
      </c>
      <c r="C22" s="3">
        <f>IFERROR(__xludf.DUMMYFUNCTION("""COMPUTED_VALUE"""),13.0)</f>
        <v>13</v>
      </c>
      <c r="D22" s="91"/>
      <c r="E22" s="3" t="str">
        <f>IFERROR(__xludf.DUMMYFUNCTION("""COMPUTED_VALUE"""),"Harry Calvesbert")</f>
        <v>Harry Calvesbert</v>
      </c>
      <c r="F22" s="3">
        <f>IFERROR(__xludf.DUMMYFUNCTION("""COMPUTED_VALUE"""),5.0)</f>
        <v>5</v>
      </c>
      <c r="G22" s="91"/>
      <c r="H22" s="3" t="str">
        <f>IFERROR(__xludf.DUMMYFUNCTION("""COMPUTED_VALUE"""),"Harold Kiyingi")</f>
        <v>Harold Kiyingi</v>
      </c>
      <c r="I22" s="3">
        <f>IFERROR(__xludf.DUMMYFUNCTION("""COMPUTED_VALUE"""),6.0)</f>
        <v>6</v>
      </c>
      <c r="J22" s="91"/>
      <c r="K22" s="3" t="str">
        <f>IFERROR(__xludf.DUMMYFUNCTION("""COMPUTED_VALUE"""),"Joe France")</f>
        <v>Joe France</v>
      </c>
      <c r="L22" s="3">
        <f>IFERROR(__xludf.DUMMYFUNCTION("""COMPUTED_VALUE"""),6.0)</f>
        <v>6</v>
      </c>
      <c r="M22" s="91"/>
      <c r="N22" s="3" t="str">
        <f>IFERROR(__xludf.DUMMYFUNCTION("""COMPUTED_VALUE"""),"Lee Clark")</f>
        <v>Lee Clark</v>
      </c>
      <c r="O22" s="3">
        <f>IFERROR(__xludf.DUMMYFUNCTION("""COMPUTED_VALUE"""),8.0)</f>
        <v>8</v>
      </c>
      <c r="P22" s="91"/>
      <c r="Q22" s="3" t="str">
        <f>IFERROR(__xludf.DUMMYFUNCTION("""COMPUTED_VALUE"""),"Raj Ramful")</f>
        <v>Raj Ramful</v>
      </c>
      <c r="R22" s="3">
        <f>IFERROR(__xludf.DUMMYFUNCTION("""COMPUTED_VALUE"""),7.0)</f>
        <v>7</v>
      </c>
      <c r="S22" s="91"/>
      <c r="V22" s="91"/>
      <c r="W22" s="91"/>
    </row>
    <row r="23">
      <c r="A23" s="91"/>
      <c r="B23" s="3" t="str">
        <f>IFERROR(__xludf.DUMMYFUNCTION("""COMPUTED_VALUE"""),"Parimal Patel")</f>
        <v>Parimal Patel</v>
      </c>
      <c r="C23" s="3">
        <f>IFERROR(__xludf.DUMMYFUNCTION("""COMPUTED_VALUE"""),13.0)</f>
        <v>13</v>
      </c>
      <c r="D23" s="91"/>
      <c r="E23" s="3" t="str">
        <f>IFERROR(__xludf.DUMMYFUNCTION("""COMPUTED_VALUE"""),"Micah Pinnock")</f>
        <v>Micah Pinnock</v>
      </c>
      <c r="F23" s="3">
        <f>IFERROR(__xludf.DUMMYFUNCTION("""COMPUTED_VALUE"""),5.0)</f>
        <v>5</v>
      </c>
      <c r="G23" s="91"/>
      <c r="H23" s="3" t="str">
        <f>IFERROR(__xludf.DUMMYFUNCTION("""COMPUTED_VALUE"""),"Ismail Wall")</f>
        <v>Ismail Wall</v>
      </c>
      <c r="I23" s="3">
        <f>IFERROR(__xludf.DUMMYFUNCTION("""COMPUTED_VALUE"""),6.0)</f>
        <v>6</v>
      </c>
      <c r="J23" s="91"/>
      <c r="K23" s="3" t="str">
        <f>IFERROR(__xludf.DUMMYFUNCTION("""COMPUTED_VALUE"""),"Tom Taylor")</f>
        <v>Tom Taylor</v>
      </c>
      <c r="L23" s="3">
        <f>IFERROR(__xludf.DUMMYFUNCTION("""COMPUTED_VALUE"""),6.0)</f>
        <v>6</v>
      </c>
      <c r="M23" s="91"/>
      <c r="N23" s="3" t="str">
        <f>IFERROR(__xludf.DUMMYFUNCTION("""COMPUTED_VALUE"""),"Calum Bennett")</f>
        <v>Calum Bennett</v>
      </c>
      <c r="O23" s="3">
        <f>IFERROR(__xludf.DUMMYFUNCTION("""COMPUTED_VALUE"""),7.0)</f>
        <v>7</v>
      </c>
      <c r="P23" s="91"/>
      <c r="Q23" s="3" t="str">
        <f>IFERROR(__xludf.DUMMYFUNCTION("""COMPUTED_VALUE"""),"Tom Davidson")</f>
        <v>Tom Davidson</v>
      </c>
      <c r="R23" s="3">
        <f>IFERROR(__xludf.DUMMYFUNCTION("""COMPUTED_VALUE"""),7.0)</f>
        <v>7</v>
      </c>
      <c r="S23" s="91"/>
      <c r="V23" s="91"/>
      <c r="W23" s="91"/>
    </row>
    <row r="24">
      <c r="A24" s="91"/>
      <c r="B24" s="3" t="str">
        <f>IFERROR(__xludf.DUMMYFUNCTION("""COMPUTED_VALUE"""),"Keaton Cohen")</f>
        <v>Keaton Cohen</v>
      </c>
      <c r="C24" s="3">
        <f>IFERROR(__xludf.DUMMYFUNCTION("""COMPUTED_VALUE"""),8.0)</f>
        <v>8</v>
      </c>
      <c r="D24" s="91"/>
      <c r="E24" s="3" t="str">
        <f>IFERROR(__xludf.DUMMYFUNCTION("""COMPUTED_VALUE"""),"Oliver Golzari")</f>
        <v>Oliver Golzari</v>
      </c>
      <c r="F24" s="3">
        <f>IFERROR(__xludf.DUMMYFUNCTION("""COMPUTED_VALUE"""),5.0)</f>
        <v>5</v>
      </c>
      <c r="G24" s="91"/>
      <c r="H24" s="3" t="str">
        <f>IFERROR(__xludf.DUMMYFUNCTION("""COMPUTED_VALUE"""),"Cameron Ward")</f>
        <v>Cameron Ward</v>
      </c>
      <c r="I24" s="3">
        <f>IFERROR(__xludf.DUMMYFUNCTION("""COMPUTED_VALUE"""),5.0)</f>
        <v>5</v>
      </c>
      <c r="J24" s="91"/>
      <c r="K24" s="3" t="str">
        <f>IFERROR(__xludf.DUMMYFUNCTION("""COMPUTED_VALUE"""),"Ade Lawal")</f>
        <v>Ade Lawal</v>
      </c>
      <c r="L24" s="3">
        <f>IFERROR(__xludf.DUMMYFUNCTION("""COMPUTED_VALUE"""),5.0)</f>
        <v>5</v>
      </c>
      <c r="M24" s="91"/>
      <c r="N24" s="3" t="str">
        <f>IFERROR(__xludf.DUMMYFUNCTION("""COMPUTED_VALUE"""),"Aidan Byrne")</f>
        <v>Aidan Byrne</v>
      </c>
      <c r="O24" s="3">
        <f>IFERROR(__xludf.DUMMYFUNCTION("""COMPUTED_VALUE"""),4.0)</f>
        <v>4</v>
      </c>
      <c r="P24" s="91"/>
      <c r="Q24" s="3" t="str">
        <f>IFERROR(__xludf.DUMMYFUNCTION("""COMPUTED_VALUE"""),"Victor Lemmer")</f>
        <v>Victor Lemmer</v>
      </c>
      <c r="R24" s="3">
        <f>IFERROR(__xludf.DUMMYFUNCTION("""COMPUTED_VALUE"""),6.0)</f>
        <v>6</v>
      </c>
      <c r="S24" s="91"/>
      <c r="V24" s="91"/>
      <c r="W24" s="91"/>
    </row>
    <row r="25">
      <c r="A25" s="91"/>
      <c r="D25" s="91"/>
      <c r="E25" s="3" t="str">
        <f>IFERROR(__xludf.DUMMYFUNCTION("""COMPUTED_VALUE"""),"Will Sollory")</f>
        <v>Will Sollory</v>
      </c>
      <c r="F25" s="3">
        <f>IFERROR(__xludf.DUMMYFUNCTION("""COMPUTED_VALUE"""),5.0)</f>
        <v>5</v>
      </c>
      <c r="G25" s="91"/>
      <c r="H25" s="3" t="str">
        <f>IFERROR(__xludf.DUMMYFUNCTION("""COMPUTED_VALUE"""),"Lewis Anderson")</f>
        <v>Lewis Anderson</v>
      </c>
      <c r="I25" s="3">
        <f>IFERROR(__xludf.DUMMYFUNCTION("""COMPUTED_VALUE"""),5.0)</f>
        <v>5</v>
      </c>
      <c r="J25" s="91"/>
      <c r="K25" s="3" t="str">
        <f>IFERROR(__xludf.DUMMYFUNCTION("""COMPUTED_VALUE"""),"Anish Philips")</f>
        <v>Anish Philips</v>
      </c>
      <c r="L25" s="3">
        <f>IFERROR(__xludf.DUMMYFUNCTION("""COMPUTED_VALUE"""),5.0)</f>
        <v>5</v>
      </c>
      <c r="M25" s="91"/>
      <c r="N25" s="3" t="str">
        <f>IFERROR(__xludf.DUMMYFUNCTION("""COMPUTED_VALUE"""),"Anish Philips")</f>
        <v>Anish Philips</v>
      </c>
      <c r="O25" s="3">
        <f>IFERROR(__xludf.DUMMYFUNCTION("""COMPUTED_VALUE"""),4.0)</f>
        <v>4</v>
      </c>
      <c r="P25" s="91"/>
      <c r="Q25" s="3" t="str">
        <f>IFERROR(__xludf.DUMMYFUNCTION("""COMPUTED_VALUE"""),"Harry Fripp")</f>
        <v>Harry Fripp</v>
      </c>
      <c r="R25" s="3">
        <f>IFERROR(__xludf.DUMMYFUNCTION("""COMPUTED_VALUE"""),5.0)</f>
        <v>5</v>
      </c>
      <c r="S25" s="91"/>
      <c r="V25" s="91"/>
      <c r="W25" s="91"/>
    </row>
    <row r="26">
      <c r="A26" s="91"/>
      <c r="D26" s="91"/>
      <c r="E26" s="3" t="str">
        <f>IFERROR(__xludf.DUMMYFUNCTION("""COMPUTED_VALUE"""),"Alex Clark")</f>
        <v>Alex Clark</v>
      </c>
      <c r="F26" s="3">
        <f>IFERROR(__xludf.DUMMYFUNCTION("""COMPUTED_VALUE"""),4.0)</f>
        <v>4</v>
      </c>
      <c r="G26" s="91"/>
      <c r="H26" s="3" t="str">
        <f>IFERROR(__xludf.DUMMYFUNCTION("""COMPUTED_VALUE"""),"Dom Robbins")</f>
        <v>Dom Robbins</v>
      </c>
      <c r="I26" s="3">
        <f>IFERROR(__xludf.DUMMYFUNCTION("""COMPUTED_VALUE"""),4.0)</f>
        <v>4</v>
      </c>
      <c r="J26" s="91"/>
      <c r="K26" s="3" t="str">
        <f>IFERROR(__xludf.DUMMYFUNCTION("""COMPUTED_VALUE"""),"Calum Bennett")</f>
        <v>Calum Bennett</v>
      </c>
      <c r="L26" s="3">
        <f>IFERROR(__xludf.DUMMYFUNCTION("""COMPUTED_VALUE"""),5.0)</f>
        <v>5</v>
      </c>
      <c r="M26" s="91"/>
      <c r="N26" s="3" t="str">
        <f>IFERROR(__xludf.DUMMYFUNCTION("""COMPUTED_VALUE"""),"Josh Billings")</f>
        <v>Josh Billings</v>
      </c>
      <c r="O26" s="3">
        <f>IFERROR(__xludf.DUMMYFUNCTION("""COMPUTED_VALUE"""),4.0)</f>
        <v>4</v>
      </c>
      <c r="P26" s="91"/>
      <c r="Q26" s="3" t="str">
        <f>IFERROR(__xludf.DUMMYFUNCTION("""COMPUTED_VALUE"""),"Jay Mair")</f>
        <v>Jay Mair</v>
      </c>
      <c r="R26" s="3">
        <f>IFERROR(__xludf.DUMMYFUNCTION("""COMPUTED_VALUE"""),5.0)</f>
        <v>5</v>
      </c>
      <c r="S26" s="91"/>
      <c r="V26" s="91"/>
      <c r="W26" s="91"/>
    </row>
    <row r="27">
      <c r="A27" s="91"/>
      <c r="D27" s="91"/>
      <c r="E27" s="3" t="str">
        <f>IFERROR(__xludf.DUMMYFUNCTION("""COMPUTED_VALUE"""),"Claudien Mwalimu")</f>
        <v>Claudien Mwalimu</v>
      </c>
      <c r="F27" s="3">
        <f>IFERROR(__xludf.DUMMYFUNCTION("""COMPUTED_VALUE"""),4.0)</f>
        <v>4</v>
      </c>
      <c r="G27" s="91"/>
      <c r="H27" s="3" t="str">
        <f>IFERROR(__xludf.DUMMYFUNCTION("""COMPUTED_VALUE"""),"Ewan Harris")</f>
        <v>Ewan Harris</v>
      </c>
      <c r="I27" s="3">
        <f>IFERROR(__xludf.DUMMYFUNCTION("""COMPUTED_VALUE"""),4.0)</f>
        <v>4</v>
      </c>
      <c r="J27" s="91"/>
      <c r="K27" s="3" t="str">
        <f>IFERROR(__xludf.DUMMYFUNCTION("""COMPUTED_VALUE"""),"Dan Klin")</f>
        <v>Dan Klin</v>
      </c>
      <c r="L27" s="3">
        <f>IFERROR(__xludf.DUMMYFUNCTION("""COMPUTED_VALUE"""),4.0)</f>
        <v>4</v>
      </c>
      <c r="M27" s="91"/>
      <c r="N27" s="3" t="str">
        <f>IFERROR(__xludf.DUMMYFUNCTION("""COMPUTED_VALUE"""),"Niall Wootten")</f>
        <v>Niall Wootten</v>
      </c>
      <c r="O27" s="3">
        <f>IFERROR(__xludf.DUMMYFUNCTION("""COMPUTED_VALUE"""),4.0)</f>
        <v>4</v>
      </c>
      <c r="P27" s="91"/>
      <c r="Q27" s="3" t="str">
        <f>IFERROR(__xludf.DUMMYFUNCTION("""COMPUTED_VALUE"""),"Joel Wright")</f>
        <v>Joel Wright</v>
      </c>
      <c r="R27" s="3">
        <f>IFERROR(__xludf.DUMMYFUNCTION("""COMPUTED_VALUE"""),5.0)</f>
        <v>5</v>
      </c>
      <c r="S27" s="91"/>
      <c r="V27" s="91"/>
      <c r="W27" s="91"/>
    </row>
    <row r="28">
      <c r="A28" s="91"/>
      <c r="D28" s="91"/>
      <c r="E28" s="3" t="str">
        <f>IFERROR(__xludf.DUMMYFUNCTION("""COMPUTED_VALUE"""),"Joe Docherty")</f>
        <v>Joe Docherty</v>
      </c>
      <c r="F28" s="3">
        <f>IFERROR(__xludf.DUMMYFUNCTION("""COMPUTED_VALUE"""),4.0)</f>
        <v>4</v>
      </c>
      <c r="G28" s="91"/>
      <c r="H28" s="3" t="str">
        <f>IFERROR(__xludf.DUMMYFUNCTION("""COMPUTED_VALUE"""),"Gaz Wheldale")</f>
        <v>Gaz Wheldale</v>
      </c>
      <c r="I28" s="3">
        <f>IFERROR(__xludf.DUMMYFUNCTION("""COMPUTED_VALUE"""),4.0)</f>
        <v>4</v>
      </c>
      <c r="J28" s="91"/>
      <c r="K28" s="3" t="str">
        <f>IFERROR(__xludf.DUMMYFUNCTION("""COMPUTED_VALUE"""),"Emi Muhadri")</f>
        <v>Emi Muhadri</v>
      </c>
      <c r="L28" s="3">
        <f>IFERROR(__xludf.DUMMYFUNCTION("""COMPUTED_VALUE"""),4.0)</f>
        <v>4</v>
      </c>
      <c r="M28" s="91"/>
      <c r="P28" s="91"/>
      <c r="Q28" s="3" t="str">
        <f>IFERROR(__xludf.DUMMYFUNCTION("""COMPUTED_VALUE"""),"Abz Marfa")</f>
        <v>Abz Marfa</v>
      </c>
      <c r="R28" s="3">
        <f>IFERROR(__xludf.DUMMYFUNCTION("""COMPUTED_VALUE"""),4.0)</f>
        <v>4</v>
      </c>
      <c r="S28" s="91"/>
      <c r="V28" s="91"/>
      <c r="W28" s="91"/>
    </row>
    <row r="29">
      <c r="A29" s="91"/>
      <c r="D29" s="91"/>
      <c r="E29" s="3" t="str">
        <f>IFERROR(__xludf.DUMMYFUNCTION("""COMPUTED_VALUE"""),"Keaton Cohen")</f>
        <v>Keaton Cohen</v>
      </c>
      <c r="F29" s="3">
        <f>IFERROR(__xludf.DUMMYFUNCTION("""COMPUTED_VALUE"""),4.0)</f>
        <v>4</v>
      </c>
      <c r="G29" s="91"/>
      <c r="H29" s="3" t="str">
        <f>IFERROR(__xludf.DUMMYFUNCTION("""COMPUTED_VALUE"""),"Jonny Simmons")</f>
        <v>Jonny Simmons</v>
      </c>
      <c r="I29" s="3">
        <f>IFERROR(__xludf.DUMMYFUNCTION("""COMPUTED_VALUE"""),4.0)</f>
        <v>4</v>
      </c>
      <c r="J29" s="91"/>
      <c r="K29" s="3" t="str">
        <f>IFERROR(__xludf.DUMMYFUNCTION("""COMPUTED_VALUE"""),"Joel Wright")</f>
        <v>Joel Wright</v>
      </c>
      <c r="L29" s="3">
        <f>IFERROR(__xludf.DUMMYFUNCTION("""COMPUTED_VALUE"""),4.0)</f>
        <v>4</v>
      </c>
      <c r="M29" s="91"/>
      <c r="P29" s="91"/>
      <c r="Q29" s="3" t="str">
        <f>IFERROR(__xludf.DUMMYFUNCTION("""COMPUTED_VALUE"""),"Max Miles")</f>
        <v>Max Miles</v>
      </c>
      <c r="R29" s="3">
        <f>IFERROR(__xludf.DUMMYFUNCTION("""COMPUTED_VALUE"""),4.0)</f>
        <v>4</v>
      </c>
      <c r="S29" s="91"/>
      <c r="V29" s="91"/>
      <c r="W29" s="91"/>
    </row>
    <row r="30">
      <c r="A30" s="91"/>
      <c r="D30" s="91"/>
      <c r="E30" s="3" t="str">
        <f>IFERROR(__xludf.DUMMYFUNCTION("""COMPUTED_VALUE"""),"Richard Jones")</f>
        <v>Richard Jones</v>
      </c>
      <c r="F30" s="3">
        <f>IFERROR(__xludf.DUMMYFUNCTION("""COMPUTED_VALUE"""),4.0)</f>
        <v>4</v>
      </c>
      <c r="G30" s="91"/>
      <c r="H30" s="3" t="str">
        <f>IFERROR(__xludf.DUMMYFUNCTION("""COMPUTED_VALUE"""),"Nathan Nzau")</f>
        <v>Nathan Nzau</v>
      </c>
      <c r="I30" s="3">
        <f>IFERROR(__xludf.DUMMYFUNCTION("""COMPUTED_VALUE"""),4.0)</f>
        <v>4</v>
      </c>
      <c r="J30" s="91"/>
      <c r="K30" s="3" t="str">
        <f>IFERROR(__xludf.DUMMYFUNCTION("""COMPUTED_VALUE"""),"Joseph Smith")</f>
        <v>Joseph Smith</v>
      </c>
      <c r="L30" s="3">
        <f>IFERROR(__xludf.DUMMYFUNCTION("""COMPUTED_VALUE"""),4.0)</f>
        <v>4</v>
      </c>
      <c r="M30" s="91"/>
      <c r="P30" s="91"/>
      <c r="Q30" s="3" t="str">
        <f>IFERROR(__xludf.DUMMYFUNCTION("""COMPUTED_VALUE"""),"Ryan Cochrane")</f>
        <v>Ryan Cochrane</v>
      </c>
      <c r="R30" s="3">
        <f>IFERROR(__xludf.DUMMYFUNCTION("""COMPUTED_VALUE"""),4.0)</f>
        <v>4</v>
      </c>
      <c r="S30" s="91"/>
      <c r="V30" s="91"/>
      <c r="W30" s="91"/>
    </row>
    <row r="31">
      <c r="A31" s="91"/>
      <c r="D31" s="91"/>
      <c r="G31" s="91"/>
      <c r="H31" s="3" t="str">
        <f>IFERROR(__xludf.DUMMYFUNCTION("""COMPUTED_VALUE"""),"Tam de Lacey")</f>
        <v>Tam de Lacey</v>
      </c>
      <c r="I31" s="3">
        <f>IFERROR(__xludf.DUMMYFUNCTION("""COMPUTED_VALUE"""),4.0)</f>
        <v>4</v>
      </c>
      <c r="J31" s="91"/>
      <c r="M31" s="91"/>
      <c r="P31" s="91"/>
      <c r="S31" s="91"/>
      <c r="V31" s="91"/>
      <c r="W31" s="91"/>
    </row>
    <row r="32">
      <c r="A32" s="91"/>
      <c r="D32" s="91"/>
      <c r="G32" s="91"/>
      <c r="H32" s="3" t="str">
        <f>IFERROR(__xludf.DUMMYFUNCTION("""COMPUTED_VALUE"""),"Tom Love")</f>
        <v>Tom Love</v>
      </c>
      <c r="I32" s="3">
        <f>IFERROR(__xludf.DUMMYFUNCTION("""COMPUTED_VALUE"""),4.0)</f>
        <v>4</v>
      </c>
      <c r="J32" s="91"/>
      <c r="M32" s="91"/>
      <c r="P32" s="91"/>
      <c r="S32" s="91"/>
      <c r="V32" s="91"/>
      <c r="W32" s="91"/>
    </row>
    <row r="33">
      <c r="A33" s="91"/>
      <c r="D33" s="91"/>
      <c r="G33" s="91"/>
      <c r="J33" s="91"/>
      <c r="M33" s="91"/>
      <c r="P33" s="91"/>
      <c r="S33" s="91"/>
      <c r="V33" s="91"/>
      <c r="W33" s="91"/>
    </row>
    <row r="34">
      <c r="A34" s="91"/>
      <c r="D34" s="91"/>
      <c r="G34" s="91"/>
      <c r="J34" s="91"/>
      <c r="M34" s="91"/>
      <c r="P34" s="91"/>
      <c r="S34" s="91"/>
      <c r="V34" s="91"/>
      <c r="W34" s="91"/>
    </row>
    <row r="35">
      <c r="A35" s="91"/>
      <c r="D35" s="91"/>
      <c r="G35" s="91"/>
      <c r="J35" s="91"/>
      <c r="M35" s="91"/>
      <c r="P35" s="91"/>
      <c r="S35" s="91"/>
      <c r="V35" s="91"/>
      <c r="W35" s="91"/>
    </row>
    <row r="36">
      <c r="A36" s="91"/>
      <c r="D36" s="91"/>
      <c r="G36" s="91"/>
      <c r="J36" s="91"/>
      <c r="M36" s="91"/>
      <c r="P36" s="91"/>
      <c r="S36" s="91"/>
      <c r="V36" s="91"/>
      <c r="W36" s="91"/>
    </row>
    <row r="37">
      <c r="A37" s="91"/>
      <c r="D37" s="91"/>
      <c r="G37" s="91"/>
      <c r="J37" s="91"/>
      <c r="M37" s="91"/>
      <c r="P37" s="91"/>
      <c r="S37" s="91"/>
      <c r="V37" s="91"/>
      <c r="W37" s="91"/>
    </row>
    <row r="38">
      <c r="A38" s="91"/>
      <c r="D38" s="91"/>
      <c r="G38" s="91"/>
      <c r="J38" s="91"/>
      <c r="M38" s="91"/>
      <c r="P38" s="91"/>
      <c r="S38" s="91"/>
      <c r="V38" s="91"/>
      <c r="W38" s="91"/>
    </row>
    <row r="39">
      <c r="A39" s="91"/>
      <c r="D39" s="91"/>
      <c r="G39" s="91"/>
      <c r="J39" s="91"/>
      <c r="M39" s="91"/>
      <c r="P39" s="91"/>
      <c r="S39" s="91"/>
      <c r="V39" s="91"/>
      <c r="W39" s="91"/>
    </row>
    <row r="40">
      <c r="A40" s="91"/>
      <c r="D40" s="91"/>
      <c r="G40" s="91"/>
      <c r="J40" s="91"/>
      <c r="M40" s="91"/>
      <c r="P40" s="91"/>
      <c r="S40" s="91"/>
      <c r="V40" s="91"/>
      <c r="W40" s="91"/>
    </row>
    <row r="41">
      <c r="A41" s="91"/>
      <c r="D41" s="91"/>
      <c r="G41" s="91"/>
      <c r="J41" s="91"/>
      <c r="M41" s="91"/>
      <c r="P41" s="91"/>
      <c r="S41" s="91"/>
      <c r="V41" s="91"/>
      <c r="W41" s="91"/>
    </row>
    <row r="42">
      <c r="A42" s="91"/>
      <c r="D42" s="91"/>
      <c r="G42" s="91"/>
      <c r="J42" s="91"/>
      <c r="M42" s="91"/>
      <c r="P42" s="91"/>
      <c r="S42" s="91"/>
      <c r="V42" s="91"/>
      <c r="W42" s="91"/>
    </row>
    <row r="43">
      <c r="A43" s="91"/>
      <c r="D43" s="91"/>
      <c r="G43" s="91"/>
      <c r="J43" s="91"/>
      <c r="M43" s="91"/>
      <c r="P43" s="91"/>
      <c r="S43" s="91"/>
      <c r="V43" s="91"/>
      <c r="W43" s="91"/>
    </row>
    <row r="44">
      <c r="A44" s="91"/>
      <c r="D44" s="91"/>
      <c r="G44" s="91"/>
      <c r="J44" s="91"/>
      <c r="M44" s="91"/>
      <c r="P44" s="91"/>
      <c r="S44" s="91"/>
      <c r="V44" s="91"/>
      <c r="W44" s="91"/>
    </row>
    <row r="45">
      <c r="A45" s="91"/>
      <c r="D45" s="91"/>
      <c r="G45" s="91"/>
      <c r="J45" s="91"/>
      <c r="M45" s="91"/>
      <c r="P45" s="91"/>
      <c r="S45" s="91"/>
      <c r="V45" s="91"/>
      <c r="W45" s="91"/>
    </row>
    <row r="46">
      <c r="A46" s="91"/>
      <c r="D46" s="91"/>
      <c r="G46" s="91"/>
      <c r="J46" s="91"/>
      <c r="M46" s="91"/>
      <c r="P46" s="91"/>
      <c r="S46" s="91"/>
      <c r="V46" s="91"/>
      <c r="W46" s="91"/>
    </row>
    <row r="47">
      <c r="A47" s="91"/>
      <c r="D47" s="91"/>
      <c r="G47" s="91"/>
      <c r="J47" s="91"/>
      <c r="M47" s="91"/>
      <c r="P47" s="91"/>
      <c r="S47" s="91"/>
      <c r="V47" s="91"/>
      <c r="W47" s="91"/>
    </row>
    <row r="48">
      <c r="A48" s="91"/>
      <c r="D48" s="91"/>
      <c r="G48" s="91"/>
      <c r="J48" s="91"/>
      <c r="M48" s="91"/>
      <c r="P48" s="91"/>
      <c r="S48" s="91"/>
      <c r="V48" s="91"/>
      <c r="W48" s="91"/>
    </row>
    <row r="49">
      <c r="A49" s="91"/>
      <c r="D49" s="91"/>
      <c r="G49" s="91"/>
      <c r="J49" s="91"/>
      <c r="M49" s="91"/>
      <c r="P49" s="91"/>
      <c r="S49" s="91"/>
      <c r="V49" s="91"/>
      <c r="W49" s="91"/>
    </row>
    <row r="50">
      <c r="A50" s="91"/>
      <c r="D50" s="91"/>
      <c r="G50" s="91"/>
      <c r="J50" s="91"/>
      <c r="M50" s="91"/>
      <c r="P50" s="91"/>
      <c r="S50" s="91"/>
      <c r="V50" s="91"/>
      <c r="W50" s="91"/>
    </row>
    <row r="51">
      <c r="A51" s="91"/>
      <c r="D51" s="91"/>
      <c r="G51" s="91"/>
      <c r="J51" s="91"/>
      <c r="M51" s="91"/>
      <c r="P51" s="91"/>
      <c r="S51" s="91"/>
      <c r="V51" s="91"/>
      <c r="W51" s="91"/>
    </row>
    <row r="52">
      <c r="A52" s="91"/>
      <c r="D52" s="91"/>
      <c r="G52" s="91"/>
      <c r="J52" s="91"/>
      <c r="M52" s="91"/>
      <c r="P52" s="91"/>
      <c r="S52" s="91"/>
      <c r="V52" s="91"/>
      <c r="W52" s="91"/>
    </row>
    <row r="53">
      <c r="A53" s="91"/>
      <c r="D53" s="91"/>
      <c r="G53" s="91"/>
      <c r="J53" s="91"/>
      <c r="M53" s="91"/>
      <c r="P53" s="91"/>
      <c r="S53" s="91"/>
      <c r="V53" s="91"/>
      <c r="W53" s="91"/>
    </row>
    <row r="54">
      <c r="A54" s="91"/>
      <c r="D54" s="91"/>
      <c r="G54" s="91"/>
      <c r="J54" s="91"/>
      <c r="M54" s="91"/>
      <c r="P54" s="91"/>
      <c r="S54" s="91"/>
      <c r="V54" s="91"/>
      <c r="W54" s="91"/>
    </row>
    <row r="55">
      <c r="A55" s="91"/>
      <c r="D55" s="91"/>
      <c r="G55" s="91"/>
      <c r="J55" s="91"/>
      <c r="M55" s="91"/>
      <c r="P55" s="91"/>
      <c r="S55" s="91"/>
      <c r="V55" s="91"/>
      <c r="W55" s="91"/>
    </row>
    <row r="56">
      <c r="A56" s="91"/>
      <c r="D56" s="91"/>
      <c r="G56" s="91"/>
      <c r="J56" s="91"/>
      <c r="M56" s="91"/>
      <c r="P56" s="91"/>
      <c r="S56" s="91"/>
      <c r="V56" s="91"/>
      <c r="W56" s="91"/>
    </row>
    <row r="57">
      <c r="A57" s="91"/>
      <c r="D57" s="91"/>
      <c r="G57" s="91"/>
      <c r="J57" s="91"/>
      <c r="M57" s="91"/>
      <c r="P57" s="91"/>
      <c r="S57" s="91"/>
      <c r="V57" s="91"/>
      <c r="W57" s="91"/>
    </row>
    <row r="58">
      <c r="A58" s="91"/>
      <c r="D58" s="91"/>
      <c r="G58" s="91"/>
      <c r="J58" s="91"/>
      <c r="M58" s="91"/>
      <c r="P58" s="91"/>
      <c r="S58" s="91"/>
      <c r="V58" s="91"/>
      <c r="W58" s="91"/>
    </row>
    <row r="59">
      <c r="A59" s="91"/>
      <c r="D59" s="91"/>
      <c r="G59" s="91"/>
      <c r="J59" s="91"/>
      <c r="M59" s="91"/>
      <c r="P59" s="91"/>
      <c r="S59" s="91"/>
      <c r="T59" s="91"/>
      <c r="U59" s="91"/>
      <c r="V59" s="91"/>
      <c r="W59" s="91"/>
    </row>
    <row r="60">
      <c r="A60" s="91"/>
      <c r="D60" s="91"/>
      <c r="G60" s="91"/>
      <c r="J60" s="91"/>
      <c r="M60" s="91"/>
      <c r="P60" s="91"/>
      <c r="S60" s="91"/>
      <c r="T60" s="91"/>
      <c r="U60" s="91"/>
      <c r="V60" s="91"/>
      <c r="W60" s="91"/>
    </row>
    <row r="61">
      <c r="A61" s="91"/>
      <c r="D61" s="91"/>
      <c r="G61" s="91"/>
      <c r="J61" s="91"/>
      <c r="M61" s="91"/>
      <c r="P61" s="91"/>
      <c r="S61" s="91"/>
      <c r="T61" s="91"/>
      <c r="U61" s="91"/>
      <c r="V61" s="91"/>
      <c r="W61" s="91"/>
    </row>
    <row r="62">
      <c r="A62" s="91"/>
      <c r="D62" s="91"/>
      <c r="G62" s="91"/>
      <c r="J62" s="91"/>
      <c r="M62" s="91"/>
      <c r="P62" s="91"/>
      <c r="S62" s="91"/>
      <c r="T62" s="91"/>
      <c r="U62" s="91"/>
      <c r="V62" s="91"/>
      <c r="W62" s="91"/>
    </row>
    <row r="63">
      <c r="A63" s="91"/>
      <c r="D63" s="91"/>
      <c r="G63" s="91"/>
      <c r="J63" s="91"/>
      <c r="M63" s="91"/>
      <c r="P63" s="91"/>
      <c r="S63" s="91"/>
      <c r="T63" s="91"/>
      <c r="U63" s="91"/>
      <c r="V63" s="91"/>
      <c r="W63" s="91"/>
    </row>
    <row r="64">
      <c r="A64" s="91"/>
      <c r="D64" s="91"/>
      <c r="G64" s="91"/>
      <c r="J64" s="91"/>
      <c r="M64" s="91"/>
      <c r="P64" s="91"/>
      <c r="S64" s="91"/>
      <c r="T64" s="91"/>
      <c r="U64" s="91"/>
      <c r="V64" s="91"/>
      <c r="W64" s="91"/>
    </row>
    <row r="65">
      <c r="A65" s="91"/>
      <c r="D65" s="91"/>
      <c r="G65" s="91"/>
      <c r="J65" s="91"/>
      <c r="M65" s="91"/>
      <c r="P65" s="91"/>
      <c r="S65" s="91"/>
      <c r="T65" s="91"/>
      <c r="U65" s="91"/>
      <c r="V65" s="91"/>
      <c r="W65" s="91"/>
    </row>
    <row r="66">
      <c r="A66" s="91"/>
      <c r="D66" s="91"/>
      <c r="G66" s="91"/>
      <c r="J66" s="91"/>
      <c r="M66" s="91"/>
      <c r="P66" s="91"/>
      <c r="S66" s="91"/>
      <c r="T66" s="91"/>
      <c r="U66" s="91"/>
      <c r="V66" s="91"/>
      <c r="W66" s="91"/>
    </row>
    <row r="67">
      <c r="A67" s="91"/>
      <c r="D67" s="91"/>
      <c r="G67" s="91"/>
      <c r="J67" s="91"/>
      <c r="M67" s="91"/>
      <c r="P67" s="91"/>
      <c r="S67" s="91"/>
      <c r="T67" s="91"/>
      <c r="U67" s="91"/>
      <c r="V67" s="91"/>
      <c r="W67" s="91"/>
    </row>
    <row r="68">
      <c r="A68" s="91"/>
      <c r="D68" s="91"/>
      <c r="G68" s="91"/>
      <c r="J68" s="91"/>
      <c r="M68" s="91"/>
      <c r="P68" s="91"/>
      <c r="S68" s="91"/>
      <c r="T68" s="91"/>
      <c r="U68" s="91"/>
      <c r="V68" s="91"/>
      <c r="W68" s="91"/>
    </row>
    <row r="69">
      <c r="A69" s="91"/>
      <c r="D69" s="91"/>
      <c r="G69" s="91"/>
      <c r="J69" s="91"/>
      <c r="M69" s="91"/>
      <c r="P69" s="91"/>
      <c r="S69" s="91"/>
      <c r="T69" s="91"/>
      <c r="U69" s="91"/>
      <c r="V69" s="91"/>
      <c r="W69" s="91"/>
    </row>
    <row r="70">
      <c r="A70" s="91"/>
      <c r="D70" s="91"/>
      <c r="G70" s="91"/>
      <c r="J70" s="91"/>
      <c r="M70" s="91"/>
      <c r="P70" s="91"/>
      <c r="S70" s="91"/>
      <c r="T70" s="91"/>
      <c r="U70" s="91"/>
      <c r="V70" s="91"/>
      <c r="W70" s="91"/>
    </row>
    <row r="71">
      <c r="A71" s="91"/>
      <c r="D71" s="91"/>
      <c r="G71" s="91"/>
      <c r="J71" s="91"/>
      <c r="M71" s="91"/>
      <c r="P71" s="91"/>
      <c r="S71" s="91"/>
      <c r="T71" s="91"/>
      <c r="U71" s="91"/>
      <c r="V71" s="91"/>
      <c r="W71" s="91"/>
    </row>
    <row r="72">
      <c r="A72" s="91"/>
      <c r="D72" s="91"/>
      <c r="G72" s="91"/>
      <c r="J72" s="91"/>
      <c r="M72" s="91"/>
      <c r="P72" s="91"/>
      <c r="S72" s="91"/>
      <c r="T72" s="91"/>
      <c r="U72" s="91"/>
      <c r="V72" s="91"/>
      <c r="W72" s="91"/>
    </row>
    <row r="73">
      <c r="A73" s="91"/>
      <c r="D73" s="91"/>
      <c r="G73" s="91"/>
      <c r="J73" s="91"/>
      <c r="M73" s="91"/>
      <c r="P73" s="91"/>
      <c r="S73" s="91"/>
      <c r="T73" s="91"/>
      <c r="U73" s="91"/>
      <c r="V73" s="91"/>
      <c r="W73" s="91"/>
    </row>
    <row r="74">
      <c r="A74" s="91"/>
      <c r="D74" s="91"/>
      <c r="G74" s="91"/>
      <c r="J74" s="91"/>
      <c r="M74" s="91"/>
      <c r="P74" s="91"/>
      <c r="S74" s="91"/>
      <c r="T74" s="91"/>
      <c r="U74" s="91"/>
      <c r="V74" s="91"/>
      <c r="W74" s="91"/>
    </row>
    <row r="75">
      <c r="A75" s="91"/>
      <c r="D75" s="91"/>
      <c r="G75" s="91"/>
      <c r="J75" s="91"/>
      <c r="M75" s="91"/>
      <c r="P75" s="91"/>
      <c r="S75" s="91"/>
      <c r="T75" s="91"/>
      <c r="U75" s="91"/>
      <c r="V75" s="91"/>
      <c r="W75" s="91"/>
    </row>
    <row r="76">
      <c r="A76" s="91"/>
      <c r="D76" s="91"/>
      <c r="G76" s="91"/>
      <c r="J76" s="91"/>
      <c r="M76" s="91"/>
      <c r="P76" s="91"/>
      <c r="S76" s="91"/>
      <c r="T76" s="91"/>
      <c r="U76" s="91"/>
      <c r="V76" s="91"/>
      <c r="W76" s="91"/>
    </row>
    <row r="77">
      <c r="A77" s="91"/>
      <c r="D77" s="91"/>
      <c r="G77" s="91"/>
      <c r="J77" s="91"/>
      <c r="M77" s="91"/>
      <c r="P77" s="91"/>
      <c r="S77" s="91"/>
      <c r="T77" s="91"/>
      <c r="U77" s="91"/>
      <c r="V77" s="91"/>
      <c r="W77" s="91"/>
    </row>
    <row r="78">
      <c r="A78" s="91"/>
      <c r="D78" s="91"/>
      <c r="G78" s="91"/>
      <c r="J78" s="91"/>
      <c r="M78" s="91"/>
      <c r="P78" s="91"/>
      <c r="S78" s="91"/>
      <c r="T78" s="91"/>
      <c r="U78" s="91"/>
      <c r="V78" s="91"/>
      <c r="W78" s="91"/>
    </row>
    <row r="79">
      <c r="A79" s="91"/>
      <c r="D79" s="91"/>
      <c r="G79" s="91"/>
      <c r="J79" s="91"/>
      <c r="M79" s="91"/>
      <c r="P79" s="91"/>
      <c r="S79" s="91"/>
      <c r="T79" s="91"/>
      <c r="U79" s="91"/>
      <c r="V79" s="91"/>
      <c r="W79" s="91"/>
    </row>
    <row r="80">
      <c r="A80" s="91"/>
      <c r="D80" s="91"/>
      <c r="G80" s="91"/>
      <c r="J80" s="91"/>
      <c r="M80" s="91"/>
      <c r="P80" s="91"/>
      <c r="S80" s="91"/>
      <c r="T80" s="91"/>
      <c r="U80" s="91"/>
      <c r="V80" s="91"/>
      <c r="W80" s="91"/>
    </row>
    <row r="81">
      <c r="A81" s="91"/>
      <c r="D81" s="91"/>
      <c r="G81" s="91"/>
      <c r="J81" s="91"/>
      <c r="M81" s="91"/>
      <c r="P81" s="91"/>
      <c r="S81" s="91"/>
      <c r="T81" s="91"/>
      <c r="U81" s="91"/>
      <c r="V81" s="91"/>
      <c r="W81" s="91"/>
    </row>
    <row r="82">
      <c r="A82" s="91"/>
      <c r="D82" s="91"/>
      <c r="G82" s="91"/>
      <c r="J82" s="91"/>
      <c r="M82" s="91"/>
      <c r="P82" s="91"/>
      <c r="S82" s="91"/>
      <c r="T82" s="91"/>
      <c r="U82" s="91"/>
      <c r="V82" s="91"/>
      <c r="W82" s="91"/>
    </row>
    <row r="83">
      <c r="A83" s="91"/>
      <c r="D83" s="91"/>
      <c r="G83" s="91"/>
      <c r="J83" s="91"/>
      <c r="M83" s="91"/>
      <c r="P83" s="91"/>
      <c r="S83" s="91"/>
      <c r="T83" s="91"/>
      <c r="U83" s="91"/>
      <c r="V83" s="91"/>
      <c r="W83" s="91"/>
    </row>
    <row r="84">
      <c r="A84" s="91"/>
      <c r="D84" s="91"/>
      <c r="G84" s="91"/>
      <c r="J84" s="91"/>
      <c r="M84" s="91"/>
      <c r="P84" s="91"/>
      <c r="S84" s="91"/>
      <c r="T84" s="91"/>
      <c r="U84" s="91"/>
      <c r="V84" s="91"/>
      <c r="W84" s="91"/>
    </row>
    <row r="85">
      <c r="A85" s="91"/>
      <c r="D85" s="91"/>
      <c r="G85" s="91"/>
      <c r="J85" s="91"/>
      <c r="M85" s="91"/>
      <c r="P85" s="91"/>
      <c r="S85" s="91"/>
      <c r="T85" s="91"/>
      <c r="U85" s="91"/>
      <c r="V85" s="91"/>
      <c r="W85" s="91"/>
    </row>
    <row r="86">
      <c r="A86" s="91"/>
      <c r="D86" s="91"/>
      <c r="G86" s="91"/>
      <c r="J86" s="91"/>
      <c r="M86" s="91"/>
      <c r="P86" s="91"/>
      <c r="S86" s="91"/>
      <c r="T86" s="91"/>
      <c r="U86" s="91"/>
      <c r="V86" s="91"/>
      <c r="W86" s="91"/>
    </row>
    <row r="87">
      <c r="A87" s="91"/>
      <c r="D87" s="91"/>
      <c r="G87" s="91"/>
      <c r="J87" s="91"/>
      <c r="M87" s="91"/>
      <c r="P87" s="91"/>
      <c r="S87" s="91"/>
      <c r="T87" s="91"/>
      <c r="U87" s="91"/>
      <c r="V87" s="91"/>
      <c r="W87" s="91"/>
    </row>
    <row r="88">
      <c r="A88" s="91"/>
      <c r="D88" s="91"/>
      <c r="G88" s="91"/>
      <c r="J88" s="91"/>
      <c r="M88" s="91"/>
      <c r="P88" s="91"/>
      <c r="S88" s="91"/>
      <c r="T88" s="91"/>
      <c r="U88" s="91"/>
      <c r="V88" s="91"/>
      <c r="W88" s="91"/>
    </row>
    <row r="89">
      <c r="A89" s="91"/>
      <c r="D89" s="91"/>
      <c r="G89" s="91"/>
      <c r="J89" s="91"/>
      <c r="M89" s="91"/>
      <c r="P89" s="91"/>
      <c r="S89" s="91"/>
      <c r="T89" s="91"/>
      <c r="U89" s="91"/>
      <c r="V89" s="91"/>
      <c r="W89" s="91"/>
    </row>
    <row r="90">
      <c r="A90" s="91"/>
      <c r="D90" s="91"/>
      <c r="G90" s="91"/>
      <c r="J90" s="91"/>
      <c r="M90" s="91"/>
      <c r="P90" s="91"/>
      <c r="S90" s="91"/>
      <c r="T90" s="91"/>
      <c r="U90" s="91"/>
      <c r="V90" s="91"/>
      <c r="W90" s="91"/>
    </row>
    <row r="91">
      <c r="A91" s="91"/>
      <c r="D91" s="91"/>
      <c r="G91" s="91"/>
      <c r="J91" s="91"/>
      <c r="M91" s="91"/>
      <c r="P91" s="91"/>
      <c r="S91" s="91"/>
      <c r="T91" s="91"/>
      <c r="U91" s="91"/>
      <c r="V91" s="91"/>
      <c r="W91" s="91"/>
    </row>
    <row r="92">
      <c r="A92" s="91"/>
      <c r="D92" s="91"/>
      <c r="G92" s="91"/>
      <c r="J92" s="91"/>
      <c r="M92" s="91"/>
      <c r="P92" s="91"/>
      <c r="S92" s="91"/>
      <c r="T92" s="91"/>
      <c r="U92" s="91"/>
      <c r="V92" s="91"/>
      <c r="W92" s="91"/>
    </row>
    <row r="93">
      <c r="A93" s="91"/>
      <c r="D93" s="91"/>
      <c r="G93" s="91"/>
      <c r="J93" s="91"/>
      <c r="M93" s="91"/>
      <c r="P93" s="91"/>
      <c r="S93" s="91"/>
      <c r="T93" s="91"/>
      <c r="U93" s="91"/>
      <c r="V93" s="91"/>
      <c r="W93" s="91"/>
    </row>
    <row r="94">
      <c r="A94" s="91"/>
      <c r="D94" s="91"/>
      <c r="G94" s="91"/>
      <c r="J94" s="91"/>
      <c r="M94" s="91"/>
      <c r="P94" s="91"/>
      <c r="S94" s="91"/>
      <c r="T94" s="91"/>
      <c r="U94" s="91"/>
      <c r="V94" s="91"/>
      <c r="W94" s="91"/>
    </row>
    <row r="95">
      <c r="A95" s="91"/>
      <c r="D95" s="91"/>
      <c r="G95" s="91"/>
      <c r="J95" s="91"/>
      <c r="M95" s="91"/>
      <c r="P95" s="91"/>
      <c r="S95" s="91"/>
      <c r="T95" s="91"/>
      <c r="U95" s="91"/>
      <c r="V95" s="91"/>
      <c r="W95" s="91"/>
    </row>
    <row r="96">
      <c r="A96" s="91"/>
      <c r="D96" s="91"/>
      <c r="G96" s="91"/>
      <c r="J96" s="91"/>
      <c r="M96" s="91"/>
      <c r="P96" s="91"/>
      <c r="S96" s="91"/>
      <c r="T96" s="91"/>
      <c r="U96" s="91"/>
      <c r="V96" s="91"/>
      <c r="W96" s="91"/>
    </row>
    <row r="97">
      <c r="A97" s="91"/>
      <c r="D97" s="91"/>
      <c r="G97" s="91"/>
      <c r="J97" s="91"/>
      <c r="M97" s="91"/>
      <c r="P97" s="91"/>
      <c r="S97" s="91"/>
      <c r="T97" s="91"/>
      <c r="U97" s="91"/>
      <c r="V97" s="91"/>
      <c r="W97" s="91"/>
    </row>
    <row r="98">
      <c r="A98" s="91"/>
      <c r="D98" s="91"/>
      <c r="G98" s="91"/>
      <c r="J98" s="91"/>
      <c r="M98" s="91"/>
      <c r="P98" s="91"/>
      <c r="S98" s="91"/>
      <c r="T98" s="91"/>
      <c r="U98" s="91"/>
      <c r="V98" s="91"/>
      <c r="W98" s="91"/>
    </row>
    <row r="99">
      <c r="A99" s="91"/>
      <c r="D99" s="91"/>
      <c r="G99" s="91"/>
      <c r="J99" s="91"/>
      <c r="M99" s="91"/>
      <c r="P99" s="91"/>
      <c r="S99" s="91"/>
      <c r="T99" s="91"/>
      <c r="U99" s="91"/>
      <c r="V99" s="91"/>
      <c r="W99" s="91"/>
    </row>
    <row r="100">
      <c r="A100" s="91"/>
      <c r="D100" s="91"/>
      <c r="G100" s="91"/>
      <c r="J100" s="91"/>
      <c r="M100" s="91"/>
      <c r="P100" s="91"/>
      <c r="S100" s="91"/>
      <c r="T100" s="91"/>
      <c r="U100" s="91"/>
      <c r="V100" s="91"/>
      <c r="W100" s="91"/>
    </row>
    <row r="101">
      <c r="A101" s="91"/>
      <c r="D101" s="91"/>
      <c r="G101" s="91"/>
      <c r="J101" s="91"/>
      <c r="M101" s="91"/>
      <c r="P101" s="91"/>
      <c r="S101" s="91"/>
      <c r="T101" s="91"/>
      <c r="U101" s="91"/>
      <c r="V101" s="91"/>
      <c r="W101" s="91"/>
    </row>
    <row r="102">
      <c r="A102" s="91"/>
      <c r="D102" s="91"/>
      <c r="G102" s="91"/>
      <c r="J102" s="91"/>
      <c r="M102" s="91"/>
      <c r="P102" s="91"/>
      <c r="S102" s="91"/>
      <c r="T102" s="91"/>
      <c r="U102" s="91"/>
      <c r="V102" s="91"/>
      <c r="W102" s="91"/>
    </row>
    <row r="103">
      <c r="A103" s="91"/>
      <c r="D103" s="91"/>
      <c r="G103" s="91"/>
      <c r="J103" s="91"/>
      <c r="M103" s="91"/>
      <c r="P103" s="91"/>
      <c r="S103" s="91"/>
      <c r="T103" s="91"/>
      <c r="U103" s="91"/>
      <c r="V103" s="91"/>
      <c r="W103" s="91"/>
    </row>
    <row r="104">
      <c r="A104" s="91"/>
      <c r="D104" s="91"/>
      <c r="G104" s="91"/>
      <c r="J104" s="91"/>
      <c r="M104" s="91"/>
      <c r="P104" s="91"/>
      <c r="S104" s="91"/>
      <c r="T104" s="91"/>
      <c r="U104" s="91"/>
      <c r="V104" s="91"/>
      <c r="W104" s="91"/>
    </row>
    <row r="105">
      <c r="A105" s="91"/>
      <c r="D105" s="91"/>
      <c r="G105" s="91"/>
      <c r="J105" s="91"/>
      <c r="M105" s="91"/>
      <c r="P105" s="91"/>
      <c r="S105" s="91"/>
      <c r="T105" s="91"/>
      <c r="U105" s="91"/>
      <c r="V105" s="91"/>
      <c r="W105" s="91"/>
    </row>
    <row r="106">
      <c r="A106" s="91"/>
      <c r="D106" s="91"/>
      <c r="G106" s="91"/>
      <c r="J106" s="91"/>
      <c r="M106" s="91"/>
      <c r="P106" s="91"/>
      <c r="S106" s="91"/>
      <c r="T106" s="91"/>
      <c r="U106" s="91"/>
      <c r="V106" s="91"/>
      <c r="W106" s="91"/>
    </row>
    <row r="107">
      <c r="A107" s="91"/>
      <c r="D107" s="91"/>
      <c r="G107" s="91"/>
      <c r="J107" s="91"/>
      <c r="M107" s="91"/>
      <c r="P107" s="91"/>
      <c r="S107" s="91"/>
      <c r="T107" s="91"/>
      <c r="U107" s="91"/>
      <c r="V107" s="91"/>
      <c r="W107" s="91"/>
    </row>
    <row r="108">
      <c r="A108" s="91"/>
      <c r="D108" s="91"/>
      <c r="G108" s="91"/>
      <c r="J108" s="91"/>
      <c r="M108" s="91"/>
      <c r="P108" s="91"/>
      <c r="S108" s="91"/>
      <c r="T108" s="91"/>
      <c r="U108" s="91"/>
      <c r="V108" s="91"/>
      <c r="W108" s="91"/>
    </row>
    <row r="109">
      <c r="A109" s="91"/>
      <c r="D109" s="91"/>
      <c r="G109" s="91"/>
      <c r="J109" s="91"/>
      <c r="M109" s="91"/>
      <c r="P109" s="91"/>
      <c r="S109" s="91"/>
      <c r="T109" s="91"/>
      <c r="U109" s="91"/>
      <c r="V109" s="91"/>
      <c r="W109" s="91"/>
    </row>
    <row r="110">
      <c r="A110" s="91"/>
      <c r="D110" s="91"/>
      <c r="G110" s="91"/>
      <c r="J110" s="91"/>
      <c r="M110" s="91"/>
      <c r="P110" s="91"/>
      <c r="S110" s="91"/>
      <c r="T110" s="91"/>
      <c r="U110" s="91"/>
      <c r="V110" s="91"/>
      <c r="W110" s="91"/>
    </row>
    <row r="111">
      <c r="A111" s="91"/>
      <c r="D111" s="91"/>
      <c r="G111" s="91"/>
      <c r="J111" s="91"/>
      <c r="M111" s="91"/>
      <c r="P111" s="91"/>
      <c r="S111" s="91"/>
      <c r="T111" s="91"/>
      <c r="U111" s="91"/>
      <c r="V111" s="91"/>
      <c r="W111" s="91"/>
    </row>
    <row r="112">
      <c r="A112" s="91"/>
      <c r="D112" s="91"/>
      <c r="G112" s="91"/>
      <c r="J112" s="91"/>
      <c r="M112" s="91"/>
      <c r="P112" s="91"/>
      <c r="S112" s="91"/>
      <c r="T112" s="91"/>
      <c r="U112" s="91"/>
      <c r="V112" s="91"/>
      <c r="W112" s="91"/>
    </row>
    <row r="113">
      <c r="A113" s="91"/>
      <c r="D113" s="91"/>
      <c r="G113" s="91"/>
      <c r="J113" s="91"/>
      <c r="M113" s="91"/>
      <c r="P113" s="91"/>
      <c r="S113" s="91"/>
      <c r="T113" s="91"/>
      <c r="U113" s="91"/>
      <c r="V113" s="91"/>
      <c r="W113" s="91"/>
    </row>
    <row r="114">
      <c r="A114" s="91"/>
      <c r="D114" s="91"/>
      <c r="G114" s="91"/>
      <c r="J114" s="91"/>
      <c r="M114" s="91"/>
      <c r="P114" s="91"/>
      <c r="S114" s="91"/>
      <c r="T114" s="91"/>
      <c r="U114" s="91"/>
      <c r="V114" s="91"/>
      <c r="W114" s="91"/>
    </row>
    <row r="115">
      <c r="A115" s="91"/>
      <c r="D115" s="91"/>
      <c r="G115" s="91"/>
      <c r="J115" s="91"/>
      <c r="M115" s="91"/>
      <c r="P115" s="91"/>
      <c r="S115" s="91"/>
      <c r="T115" s="91"/>
      <c r="U115" s="91"/>
      <c r="V115" s="91"/>
      <c r="W115" s="91"/>
    </row>
    <row r="116">
      <c r="A116" s="91"/>
      <c r="D116" s="91"/>
      <c r="G116" s="91"/>
      <c r="J116" s="91"/>
      <c r="M116" s="91"/>
      <c r="P116" s="91"/>
      <c r="S116" s="91"/>
      <c r="T116" s="91"/>
      <c r="U116" s="91"/>
      <c r="V116" s="91"/>
      <c r="W116" s="91"/>
    </row>
    <row r="117">
      <c r="A117" s="91"/>
      <c r="D117" s="91"/>
      <c r="G117" s="91"/>
      <c r="J117" s="91"/>
      <c r="M117" s="91"/>
      <c r="P117" s="91"/>
      <c r="S117" s="91"/>
      <c r="T117" s="91"/>
      <c r="U117" s="91"/>
      <c r="V117" s="91"/>
      <c r="W117" s="91"/>
    </row>
    <row r="118">
      <c r="A118" s="91"/>
      <c r="D118" s="91"/>
      <c r="G118" s="91"/>
      <c r="J118" s="91"/>
      <c r="M118" s="91"/>
      <c r="P118" s="91"/>
      <c r="S118" s="91"/>
      <c r="T118" s="91"/>
      <c r="U118" s="91"/>
      <c r="V118" s="91"/>
      <c r="W118" s="91"/>
    </row>
    <row r="119">
      <c r="A119" s="91"/>
      <c r="D119" s="91"/>
      <c r="G119" s="91"/>
      <c r="J119" s="91"/>
      <c r="M119" s="91"/>
      <c r="P119" s="91"/>
      <c r="S119" s="91"/>
      <c r="T119" s="91"/>
      <c r="U119" s="91"/>
      <c r="V119" s="91"/>
      <c r="W119" s="91"/>
    </row>
    <row r="120">
      <c r="A120" s="91"/>
      <c r="D120" s="91"/>
      <c r="G120" s="91"/>
      <c r="J120" s="91"/>
      <c r="M120" s="91"/>
      <c r="P120" s="91"/>
      <c r="S120" s="91"/>
      <c r="T120" s="91"/>
      <c r="U120" s="91"/>
      <c r="V120" s="91"/>
      <c r="W120" s="91"/>
    </row>
    <row r="121">
      <c r="A121" s="91"/>
      <c r="D121" s="91"/>
      <c r="G121" s="91"/>
      <c r="J121" s="91"/>
      <c r="M121" s="91"/>
      <c r="P121" s="91"/>
      <c r="S121" s="91"/>
      <c r="T121" s="91"/>
      <c r="U121" s="91"/>
      <c r="V121" s="91"/>
      <c r="W121" s="91"/>
    </row>
    <row r="122">
      <c r="A122" s="91"/>
      <c r="D122" s="91"/>
      <c r="G122" s="91"/>
      <c r="J122" s="91"/>
      <c r="M122" s="91"/>
      <c r="P122" s="91"/>
      <c r="S122" s="91"/>
      <c r="T122" s="91"/>
      <c r="U122" s="91"/>
      <c r="V122" s="91"/>
      <c r="W122" s="91"/>
    </row>
    <row r="123">
      <c r="A123" s="91"/>
      <c r="D123" s="91"/>
      <c r="G123" s="91"/>
      <c r="J123" s="91"/>
      <c r="M123" s="91"/>
      <c r="P123" s="91"/>
      <c r="S123" s="91"/>
      <c r="T123" s="91"/>
      <c r="U123" s="91"/>
      <c r="V123" s="91"/>
      <c r="W123" s="91"/>
    </row>
    <row r="124">
      <c r="A124" s="91"/>
      <c r="D124" s="91"/>
      <c r="G124" s="91"/>
      <c r="J124" s="91"/>
      <c r="M124" s="91"/>
      <c r="P124" s="91"/>
      <c r="S124" s="91"/>
      <c r="T124" s="91"/>
      <c r="U124" s="91"/>
      <c r="V124" s="91"/>
      <c r="W124" s="91"/>
    </row>
    <row r="125">
      <c r="A125" s="91"/>
      <c r="D125" s="91"/>
      <c r="G125" s="91"/>
      <c r="J125" s="91"/>
      <c r="M125" s="91"/>
      <c r="P125" s="91"/>
      <c r="S125" s="91"/>
      <c r="T125" s="91"/>
      <c r="U125" s="91"/>
      <c r="V125" s="91"/>
      <c r="W125" s="91"/>
    </row>
    <row r="126">
      <c r="A126" s="91"/>
      <c r="D126" s="91"/>
      <c r="G126" s="91"/>
      <c r="J126" s="91"/>
      <c r="M126" s="91"/>
      <c r="P126" s="91"/>
      <c r="S126" s="91"/>
      <c r="T126" s="91"/>
      <c r="U126" s="91"/>
      <c r="V126" s="91"/>
      <c r="W126" s="91"/>
    </row>
    <row r="127">
      <c r="A127" s="91"/>
      <c r="D127" s="91"/>
      <c r="G127" s="91"/>
      <c r="J127" s="91"/>
      <c r="M127" s="91"/>
      <c r="P127" s="91"/>
      <c r="S127" s="91"/>
      <c r="T127" s="91"/>
      <c r="U127" s="91"/>
      <c r="V127" s="91"/>
      <c r="W127" s="91"/>
    </row>
    <row r="128">
      <c r="A128" s="91"/>
      <c r="D128" s="91"/>
      <c r="G128" s="91"/>
      <c r="J128" s="91"/>
      <c r="M128" s="91"/>
      <c r="P128" s="91"/>
      <c r="S128" s="91"/>
      <c r="T128" s="91"/>
      <c r="U128" s="91"/>
      <c r="V128" s="91"/>
      <c r="W128" s="91"/>
    </row>
    <row r="129">
      <c r="A129" s="91"/>
      <c r="D129" s="91"/>
      <c r="G129" s="91"/>
      <c r="J129" s="91"/>
      <c r="M129" s="91"/>
      <c r="P129" s="91"/>
      <c r="S129" s="91"/>
      <c r="T129" s="91"/>
      <c r="U129" s="91"/>
      <c r="V129" s="91"/>
      <c r="W129" s="91"/>
    </row>
    <row r="130">
      <c r="A130" s="91"/>
      <c r="D130" s="91"/>
      <c r="G130" s="91"/>
      <c r="J130" s="91"/>
      <c r="M130" s="91"/>
      <c r="P130" s="91"/>
      <c r="S130" s="91"/>
      <c r="T130" s="91"/>
      <c r="U130" s="91"/>
      <c r="V130" s="91"/>
      <c r="W130" s="91"/>
    </row>
    <row r="131">
      <c r="A131" s="91"/>
      <c r="D131" s="91"/>
      <c r="G131" s="91"/>
      <c r="J131" s="91"/>
      <c r="M131" s="91"/>
      <c r="P131" s="91"/>
      <c r="S131" s="91"/>
      <c r="T131" s="91"/>
      <c r="U131" s="91"/>
      <c r="V131" s="91"/>
      <c r="W131" s="91"/>
    </row>
    <row r="132">
      <c r="A132" s="91"/>
      <c r="D132" s="91"/>
      <c r="G132" s="91"/>
      <c r="J132" s="91"/>
      <c r="M132" s="91"/>
      <c r="P132" s="91"/>
      <c r="S132" s="91"/>
      <c r="T132" s="91"/>
      <c r="U132" s="91"/>
      <c r="V132" s="91"/>
      <c r="W132" s="91"/>
    </row>
    <row r="133">
      <c r="A133" s="91"/>
      <c r="D133" s="91"/>
      <c r="G133" s="91"/>
      <c r="J133" s="91"/>
      <c r="M133" s="91"/>
      <c r="P133" s="91"/>
      <c r="S133" s="91"/>
      <c r="T133" s="91"/>
      <c r="U133" s="91"/>
      <c r="V133" s="91"/>
      <c r="W133" s="91"/>
    </row>
    <row r="134">
      <c r="A134" s="91"/>
      <c r="D134" s="91"/>
      <c r="G134" s="91"/>
      <c r="J134" s="91"/>
      <c r="M134" s="91"/>
      <c r="P134" s="91"/>
      <c r="S134" s="91"/>
      <c r="T134" s="91"/>
      <c r="U134" s="91"/>
      <c r="V134" s="91"/>
      <c r="W134" s="91"/>
    </row>
    <row r="135">
      <c r="A135" s="91"/>
      <c r="D135" s="91"/>
      <c r="G135" s="91"/>
      <c r="J135" s="91"/>
      <c r="M135" s="91"/>
      <c r="P135" s="91"/>
      <c r="S135" s="91"/>
      <c r="T135" s="91"/>
      <c r="U135" s="91"/>
      <c r="V135" s="91"/>
      <c r="W135" s="91"/>
    </row>
    <row r="136">
      <c r="A136" s="91"/>
      <c r="D136" s="91"/>
      <c r="G136" s="91"/>
      <c r="J136" s="91"/>
      <c r="M136" s="91"/>
      <c r="P136" s="91"/>
      <c r="S136" s="91"/>
      <c r="T136" s="91"/>
      <c r="U136" s="91"/>
      <c r="V136" s="91"/>
      <c r="W136" s="91"/>
    </row>
    <row r="137">
      <c r="A137" s="91"/>
      <c r="D137" s="91"/>
      <c r="G137" s="91"/>
      <c r="J137" s="91"/>
      <c r="M137" s="91"/>
      <c r="P137" s="91"/>
      <c r="S137" s="91"/>
      <c r="T137" s="91"/>
      <c r="U137" s="91"/>
      <c r="V137" s="91"/>
      <c r="W137" s="91"/>
    </row>
    <row r="138">
      <c r="A138" s="91"/>
      <c r="D138" s="91"/>
      <c r="G138" s="91"/>
      <c r="J138" s="91"/>
      <c r="M138" s="91"/>
      <c r="P138" s="91"/>
      <c r="S138" s="91"/>
      <c r="T138" s="91"/>
      <c r="U138" s="91"/>
      <c r="V138" s="91"/>
      <c r="W138" s="91"/>
    </row>
    <row r="139">
      <c r="A139" s="91"/>
      <c r="D139" s="91"/>
      <c r="G139" s="91"/>
      <c r="J139" s="91"/>
      <c r="M139" s="91"/>
      <c r="P139" s="91"/>
      <c r="S139" s="91"/>
      <c r="T139" s="91"/>
      <c r="U139" s="91"/>
      <c r="V139" s="91"/>
      <c r="W139" s="91"/>
    </row>
    <row r="140">
      <c r="A140" s="91"/>
      <c r="D140" s="91"/>
      <c r="G140" s="91"/>
      <c r="J140" s="91"/>
      <c r="M140" s="91"/>
      <c r="P140" s="91"/>
      <c r="S140" s="91"/>
      <c r="T140" s="91"/>
      <c r="U140" s="91"/>
      <c r="V140" s="91"/>
      <c r="W140" s="91"/>
    </row>
    <row r="141">
      <c r="A141" s="91"/>
      <c r="D141" s="91"/>
      <c r="G141" s="91"/>
      <c r="J141" s="91"/>
      <c r="M141" s="91"/>
      <c r="P141" s="91"/>
      <c r="S141" s="91"/>
      <c r="T141" s="91"/>
      <c r="U141" s="91"/>
      <c r="V141" s="91"/>
      <c r="W141" s="91"/>
    </row>
    <row r="142">
      <c r="A142" s="91"/>
      <c r="D142" s="91"/>
      <c r="G142" s="91"/>
      <c r="J142" s="91"/>
      <c r="M142" s="91"/>
      <c r="P142" s="91"/>
      <c r="S142" s="91"/>
      <c r="T142" s="91"/>
      <c r="U142" s="91"/>
      <c r="V142" s="91"/>
      <c r="W142" s="91"/>
    </row>
    <row r="143">
      <c r="A143" s="91"/>
      <c r="D143" s="91"/>
      <c r="G143" s="91"/>
      <c r="J143" s="91"/>
      <c r="M143" s="91"/>
      <c r="P143" s="91"/>
      <c r="S143" s="91"/>
      <c r="T143" s="91"/>
      <c r="U143" s="91"/>
      <c r="V143" s="91"/>
      <c r="W143" s="91"/>
    </row>
    <row r="144">
      <c r="A144" s="91"/>
      <c r="D144" s="91"/>
      <c r="G144" s="91"/>
      <c r="J144" s="91"/>
      <c r="M144" s="91"/>
      <c r="P144" s="91"/>
      <c r="S144" s="91"/>
      <c r="T144" s="91"/>
      <c r="U144" s="91"/>
      <c r="V144" s="91"/>
      <c r="W144" s="91"/>
    </row>
    <row r="145">
      <c r="A145" s="91"/>
      <c r="D145" s="91"/>
      <c r="G145" s="91"/>
      <c r="J145" s="91"/>
      <c r="M145" s="91"/>
      <c r="P145" s="91"/>
      <c r="S145" s="91"/>
      <c r="T145" s="91"/>
      <c r="U145" s="91"/>
      <c r="V145" s="91"/>
      <c r="W145" s="91"/>
    </row>
    <row r="146">
      <c r="A146" s="91"/>
      <c r="D146" s="91"/>
      <c r="G146" s="91"/>
      <c r="J146" s="91"/>
      <c r="M146" s="91"/>
      <c r="P146" s="91"/>
      <c r="S146" s="91"/>
      <c r="T146" s="91"/>
      <c r="U146" s="91"/>
      <c r="V146" s="91"/>
      <c r="W146" s="91"/>
    </row>
    <row r="147">
      <c r="A147" s="91"/>
      <c r="D147" s="91"/>
      <c r="G147" s="91"/>
      <c r="J147" s="91"/>
      <c r="M147" s="91"/>
      <c r="P147" s="91"/>
      <c r="S147" s="91"/>
      <c r="T147" s="91"/>
      <c r="U147" s="91"/>
      <c r="V147" s="91"/>
      <c r="W147" s="91"/>
    </row>
    <row r="148">
      <c r="A148" s="91"/>
      <c r="D148" s="91"/>
      <c r="G148" s="91"/>
      <c r="J148" s="91"/>
      <c r="M148" s="91"/>
      <c r="P148" s="91"/>
      <c r="S148" s="91"/>
      <c r="T148" s="91"/>
      <c r="U148" s="91"/>
      <c r="V148" s="91"/>
      <c r="W148" s="91"/>
    </row>
    <row r="149">
      <c r="A149" s="91"/>
      <c r="D149" s="91"/>
      <c r="G149" s="91"/>
      <c r="J149" s="91"/>
      <c r="M149" s="91"/>
      <c r="P149" s="91"/>
      <c r="S149" s="91"/>
      <c r="T149" s="91"/>
      <c r="U149" s="91"/>
      <c r="V149" s="91"/>
      <c r="W149" s="91"/>
    </row>
    <row r="150">
      <c r="A150" s="91"/>
      <c r="D150" s="91"/>
      <c r="G150" s="91"/>
      <c r="J150" s="91"/>
      <c r="M150" s="91"/>
      <c r="P150" s="91"/>
      <c r="S150" s="91"/>
      <c r="T150" s="91"/>
      <c r="U150" s="91"/>
      <c r="V150" s="91"/>
      <c r="W150" s="91"/>
    </row>
    <row r="151">
      <c r="A151" s="91"/>
      <c r="D151" s="91"/>
      <c r="G151" s="91"/>
      <c r="J151" s="91"/>
      <c r="M151" s="91"/>
      <c r="P151" s="91"/>
      <c r="S151" s="91"/>
      <c r="T151" s="91"/>
      <c r="U151" s="91"/>
      <c r="V151" s="91"/>
      <c r="W151" s="91"/>
    </row>
    <row r="152">
      <c r="A152" s="91"/>
      <c r="D152" s="91"/>
      <c r="G152" s="91"/>
      <c r="J152" s="91"/>
      <c r="M152" s="91"/>
      <c r="P152" s="91"/>
      <c r="S152" s="91"/>
      <c r="T152" s="91"/>
      <c r="U152" s="91"/>
      <c r="V152" s="91"/>
      <c r="W152" s="91"/>
    </row>
    <row r="153">
      <c r="A153" s="91"/>
      <c r="D153" s="91"/>
      <c r="G153" s="91"/>
      <c r="J153" s="91"/>
      <c r="M153" s="91"/>
      <c r="P153" s="91"/>
      <c r="S153" s="91"/>
      <c r="T153" s="91"/>
      <c r="U153" s="91"/>
      <c r="V153" s="91"/>
      <c r="W153" s="91"/>
    </row>
    <row r="154">
      <c r="A154" s="91"/>
      <c r="D154" s="91"/>
      <c r="G154" s="91"/>
      <c r="J154" s="91"/>
      <c r="M154" s="91"/>
      <c r="P154" s="91"/>
      <c r="S154" s="91"/>
      <c r="T154" s="91"/>
      <c r="U154" s="91"/>
      <c r="V154" s="91"/>
      <c r="W154" s="91"/>
    </row>
    <row r="155">
      <c r="A155" s="91"/>
      <c r="D155" s="91"/>
      <c r="G155" s="91"/>
      <c r="J155" s="91"/>
      <c r="M155" s="91"/>
      <c r="P155" s="91"/>
      <c r="S155" s="91"/>
      <c r="T155" s="91"/>
      <c r="U155" s="91"/>
      <c r="V155" s="91"/>
      <c r="W155" s="91"/>
    </row>
    <row r="156">
      <c r="A156" s="91"/>
      <c r="D156" s="91"/>
      <c r="G156" s="91"/>
      <c r="J156" s="91"/>
      <c r="M156" s="91"/>
      <c r="P156" s="91"/>
      <c r="S156" s="91"/>
      <c r="T156" s="91"/>
      <c r="U156" s="91"/>
      <c r="V156" s="91"/>
      <c r="W156" s="91"/>
    </row>
    <row r="157">
      <c r="A157" s="91"/>
      <c r="D157" s="91"/>
      <c r="G157" s="91"/>
      <c r="J157" s="91"/>
      <c r="M157" s="91"/>
      <c r="P157" s="91"/>
      <c r="S157" s="91"/>
      <c r="T157" s="91"/>
      <c r="U157" s="91"/>
      <c r="V157" s="91"/>
      <c r="W157" s="91"/>
    </row>
    <row r="158">
      <c r="A158" s="91"/>
      <c r="D158" s="91"/>
      <c r="G158" s="91"/>
      <c r="J158" s="91"/>
      <c r="M158" s="91"/>
      <c r="P158" s="91"/>
      <c r="S158" s="91"/>
      <c r="T158" s="91"/>
      <c r="U158" s="91"/>
      <c r="V158" s="91"/>
      <c r="W158" s="91"/>
    </row>
    <row r="159">
      <c r="A159" s="91"/>
      <c r="D159" s="91"/>
      <c r="G159" s="91"/>
      <c r="J159" s="91"/>
      <c r="M159" s="91"/>
      <c r="P159" s="91"/>
      <c r="S159" s="91"/>
      <c r="T159" s="91"/>
      <c r="U159" s="91"/>
      <c r="V159" s="91"/>
      <c r="W159" s="91"/>
    </row>
    <row r="160">
      <c r="A160" s="91"/>
      <c r="D160" s="91"/>
      <c r="G160" s="91"/>
      <c r="J160" s="91"/>
      <c r="M160" s="91"/>
      <c r="P160" s="91"/>
      <c r="S160" s="91"/>
      <c r="T160" s="91"/>
      <c r="U160" s="91"/>
      <c r="V160" s="91"/>
      <c r="W160" s="91"/>
    </row>
    <row r="161">
      <c r="A161" s="91"/>
      <c r="D161" s="91"/>
      <c r="G161" s="91"/>
      <c r="J161" s="91"/>
      <c r="M161" s="91"/>
      <c r="P161" s="91"/>
      <c r="S161" s="91"/>
      <c r="T161" s="91"/>
      <c r="U161" s="91"/>
      <c r="V161" s="91"/>
      <c r="W161" s="91"/>
    </row>
    <row r="162">
      <c r="A162" s="91"/>
      <c r="D162" s="91"/>
      <c r="G162" s="91"/>
      <c r="J162" s="91"/>
      <c r="M162" s="91"/>
      <c r="P162" s="91"/>
      <c r="S162" s="91"/>
      <c r="T162" s="91"/>
      <c r="U162" s="91"/>
      <c r="V162" s="91"/>
      <c r="W162" s="91"/>
    </row>
    <row r="163">
      <c r="A163" s="91"/>
      <c r="D163" s="91"/>
      <c r="G163" s="91"/>
      <c r="J163" s="91"/>
      <c r="M163" s="91"/>
      <c r="P163" s="91"/>
      <c r="S163" s="91"/>
      <c r="T163" s="91"/>
      <c r="U163" s="91"/>
      <c r="V163" s="91"/>
      <c r="W163" s="91"/>
    </row>
    <row r="164">
      <c r="A164" s="91"/>
      <c r="D164" s="91"/>
      <c r="G164" s="91"/>
      <c r="J164" s="91"/>
      <c r="M164" s="91"/>
      <c r="P164" s="91"/>
      <c r="S164" s="91"/>
      <c r="T164" s="91"/>
      <c r="U164" s="91"/>
      <c r="V164" s="91"/>
      <c r="W164" s="91"/>
    </row>
    <row r="165">
      <c r="A165" s="91"/>
      <c r="D165" s="91"/>
      <c r="G165" s="91"/>
      <c r="J165" s="91"/>
      <c r="M165" s="91"/>
      <c r="P165" s="91"/>
      <c r="S165" s="91"/>
      <c r="T165" s="91"/>
      <c r="U165" s="91"/>
      <c r="V165" s="91"/>
      <c r="W165" s="91"/>
    </row>
    <row r="166">
      <c r="A166" s="91"/>
      <c r="D166" s="91"/>
      <c r="G166" s="91"/>
      <c r="J166" s="91"/>
      <c r="M166" s="91"/>
      <c r="P166" s="91"/>
      <c r="S166" s="91"/>
      <c r="T166" s="91"/>
      <c r="U166" s="91"/>
      <c r="V166" s="91"/>
      <c r="W166" s="91"/>
    </row>
    <row r="167">
      <c r="A167" s="91"/>
      <c r="D167" s="91"/>
      <c r="G167" s="91"/>
      <c r="J167" s="91"/>
      <c r="M167" s="91"/>
      <c r="P167" s="91"/>
      <c r="S167" s="91"/>
      <c r="T167" s="91"/>
      <c r="U167" s="91"/>
      <c r="V167" s="91"/>
      <c r="W167" s="91"/>
    </row>
    <row r="168">
      <c r="A168" s="91"/>
      <c r="D168" s="91"/>
      <c r="G168" s="91"/>
      <c r="J168" s="91"/>
      <c r="M168" s="91"/>
      <c r="P168" s="91"/>
      <c r="S168" s="91"/>
      <c r="T168" s="91"/>
      <c r="U168" s="91"/>
      <c r="V168" s="91"/>
      <c r="W168" s="91"/>
    </row>
    <row r="169">
      <c r="A169" s="91"/>
      <c r="D169" s="91"/>
      <c r="G169" s="91"/>
      <c r="J169" s="91"/>
      <c r="M169" s="91"/>
      <c r="P169" s="91"/>
      <c r="S169" s="91"/>
      <c r="T169" s="91"/>
      <c r="U169" s="91"/>
      <c r="V169" s="91"/>
      <c r="W169" s="91"/>
    </row>
    <row r="170">
      <c r="A170" s="91"/>
      <c r="D170" s="91"/>
      <c r="G170" s="91"/>
      <c r="J170" s="91"/>
      <c r="M170" s="91"/>
      <c r="P170" s="91"/>
      <c r="S170" s="91"/>
      <c r="T170" s="91"/>
      <c r="U170" s="91"/>
      <c r="V170" s="91"/>
      <c r="W170" s="91"/>
    </row>
    <row r="171">
      <c r="A171" s="91"/>
      <c r="D171" s="91"/>
      <c r="G171" s="91"/>
      <c r="J171" s="91"/>
      <c r="M171" s="91"/>
      <c r="P171" s="91"/>
      <c r="S171" s="91"/>
      <c r="T171" s="91"/>
      <c r="U171" s="91"/>
      <c r="V171" s="91"/>
      <c r="W171" s="91"/>
    </row>
    <row r="172">
      <c r="A172" s="91"/>
      <c r="D172" s="91"/>
      <c r="G172" s="91"/>
      <c r="J172" s="91"/>
      <c r="M172" s="91"/>
      <c r="P172" s="91"/>
      <c r="S172" s="91"/>
      <c r="T172" s="91"/>
      <c r="U172" s="91"/>
      <c r="V172" s="91"/>
      <c r="W172" s="91"/>
    </row>
    <row r="173">
      <c r="A173" s="91"/>
      <c r="D173" s="91"/>
      <c r="G173" s="91"/>
      <c r="J173" s="91"/>
      <c r="M173" s="91"/>
      <c r="P173" s="91"/>
      <c r="S173" s="91"/>
      <c r="T173" s="91"/>
      <c r="U173" s="91"/>
      <c r="V173" s="91"/>
      <c r="W173" s="91"/>
    </row>
    <row r="174">
      <c r="A174" s="91"/>
      <c r="D174" s="91"/>
      <c r="G174" s="91"/>
      <c r="J174" s="91"/>
      <c r="M174" s="91"/>
      <c r="P174" s="91"/>
      <c r="S174" s="91"/>
      <c r="T174" s="91"/>
      <c r="U174" s="91"/>
      <c r="V174" s="91"/>
      <c r="W174" s="91"/>
    </row>
    <row r="175">
      <c r="A175" s="91"/>
      <c r="D175" s="91"/>
      <c r="G175" s="91"/>
      <c r="J175" s="91"/>
      <c r="M175" s="91"/>
      <c r="P175" s="91"/>
      <c r="S175" s="91"/>
      <c r="T175" s="91"/>
      <c r="U175" s="91"/>
      <c r="V175" s="91"/>
      <c r="W175" s="91"/>
    </row>
    <row r="176">
      <c r="A176" s="91"/>
      <c r="D176" s="91"/>
      <c r="G176" s="91"/>
      <c r="J176" s="91"/>
      <c r="M176" s="91"/>
      <c r="P176" s="91"/>
      <c r="S176" s="91"/>
      <c r="T176" s="91"/>
      <c r="U176" s="91"/>
      <c r="V176" s="91"/>
      <c r="W176" s="91"/>
    </row>
    <row r="177">
      <c r="A177" s="91"/>
      <c r="D177" s="91"/>
      <c r="G177" s="91"/>
      <c r="J177" s="91"/>
      <c r="M177" s="91"/>
      <c r="P177" s="91"/>
      <c r="S177" s="91"/>
      <c r="T177" s="91"/>
      <c r="U177" s="91"/>
      <c r="V177" s="91"/>
      <c r="W177" s="91"/>
    </row>
    <row r="178">
      <c r="A178" s="91"/>
      <c r="D178" s="91"/>
      <c r="G178" s="91"/>
      <c r="J178" s="91"/>
      <c r="M178" s="91"/>
      <c r="P178" s="91"/>
      <c r="S178" s="91"/>
      <c r="T178" s="91"/>
      <c r="U178" s="91"/>
      <c r="V178" s="91"/>
      <c r="W178" s="91"/>
    </row>
    <row r="179">
      <c r="A179" s="91"/>
      <c r="D179" s="91"/>
      <c r="G179" s="91"/>
      <c r="J179" s="91"/>
      <c r="M179" s="91"/>
      <c r="P179" s="91"/>
      <c r="S179" s="91"/>
      <c r="T179" s="91"/>
      <c r="U179" s="91"/>
      <c r="V179" s="91"/>
      <c r="W179" s="91"/>
    </row>
    <row r="180">
      <c r="A180" s="91"/>
      <c r="D180" s="91"/>
      <c r="G180" s="91"/>
      <c r="J180" s="91"/>
      <c r="M180" s="91"/>
      <c r="P180" s="91"/>
      <c r="S180" s="91"/>
      <c r="T180" s="91"/>
      <c r="U180" s="91"/>
      <c r="V180" s="91"/>
      <c r="W180" s="91"/>
    </row>
    <row r="181">
      <c r="A181" s="91"/>
      <c r="D181" s="91"/>
      <c r="G181" s="91"/>
      <c r="J181" s="91"/>
      <c r="M181" s="91"/>
      <c r="P181" s="91"/>
      <c r="S181" s="91"/>
      <c r="T181" s="91"/>
      <c r="U181" s="91"/>
      <c r="V181" s="91"/>
      <c r="W181" s="91"/>
    </row>
    <row r="182">
      <c r="A182" s="91"/>
      <c r="D182" s="91"/>
      <c r="G182" s="91"/>
      <c r="J182" s="91"/>
      <c r="M182" s="91"/>
      <c r="P182" s="91"/>
      <c r="S182" s="91"/>
      <c r="T182" s="91"/>
      <c r="U182" s="91"/>
      <c r="V182" s="91"/>
      <c r="W182" s="91"/>
    </row>
    <row r="183">
      <c r="A183" s="91"/>
      <c r="D183" s="91"/>
      <c r="G183" s="91"/>
      <c r="J183" s="91"/>
      <c r="M183" s="91"/>
      <c r="P183" s="91"/>
      <c r="S183" s="91"/>
      <c r="T183" s="91"/>
      <c r="U183" s="91"/>
      <c r="V183" s="91"/>
      <c r="W183" s="91"/>
    </row>
    <row r="184">
      <c r="A184" s="91"/>
      <c r="D184" s="91"/>
      <c r="G184" s="91"/>
      <c r="J184" s="91"/>
      <c r="M184" s="91"/>
      <c r="P184" s="91"/>
      <c r="S184" s="91"/>
      <c r="T184" s="91"/>
      <c r="U184" s="91"/>
      <c r="V184" s="91"/>
      <c r="W184" s="91"/>
    </row>
    <row r="185">
      <c r="A185" s="91"/>
      <c r="D185" s="91"/>
      <c r="G185" s="91"/>
      <c r="J185" s="91"/>
      <c r="M185" s="91"/>
      <c r="P185" s="91"/>
      <c r="S185" s="91"/>
      <c r="T185" s="91"/>
      <c r="U185" s="91"/>
      <c r="V185" s="91"/>
      <c r="W185" s="91"/>
    </row>
    <row r="186">
      <c r="A186" s="91"/>
      <c r="D186" s="91"/>
      <c r="G186" s="91"/>
      <c r="J186" s="91"/>
      <c r="M186" s="91"/>
      <c r="P186" s="91"/>
      <c r="S186" s="91"/>
      <c r="T186" s="91"/>
      <c r="U186" s="91"/>
      <c r="V186" s="91"/>
      <c r="W186" s="91"/>
    </row>
    <row r="187">
      <c r="A187" s="91"/>
      <c r="D187" s="91"/>
      <c r="G187" s="91"/>
      <c r="J187" s="91"/>
      <c r="M187" s="91"/>
      <c r="P187" s="91"/>
      <c r="S187" s="91"/>
      <c r="T187" s="91"/>
      <c r="U187" s="91"/>
      <c r="V187" s="91"/>
      <c r="W187" s="91"/>
    </row>
    <row r="188">
      <c r="A188" s="91"/>
      <c r="D188" s="91"/>
      <c r="G188" s="91"/>
      <c r="J188" s="91"/>
      <c r="M188" s="91"/>
      <c r="P188" s="91"/>
      <c r="S188" s="91"/>
      <c r="T188" s="91"/>
      <c r="U188" s="91"/>
      <c r="V188" s="91"/>
      <c r="W188" s="91"/>
    </row>
    <row r="189">
      <c r="A189" s="91"/>
      <c r="D189" s="91"/>
      <c r="G189" s="91"/>
      <c r="J189" s="91"/>
      <c r="M189" s="91"/>
      <c r="P189" s="91"/>
      <c r="S189" s="91"/>
      <c r="T189" s="91"/>
      <c r="U189" s="91"/>
      <c r="V189" s="91"/>
      <c r="W189" s="91"/>
    </row>
    <row r="190">
      <c r="A190" s="91"/>
      <c r="D190" s="91"/>
      <c r="G190" s="91"/>
      <c r="J190" s="91"/>
      <c r="M190" s="91"/>
      <c r="P190" s="91"/>
      <c r="S190" s="91"/>
      <c r="T190" s="91"/>
      <c r="U190" s="91"/>
      <c r="V190" s="91"/>
      <c r="W190" s="91"/>
    </row>
    <row r="191">
      <c r="A191" s="91"/>
      <c r="D191" s="91"/>
      <c r="G191" s="91"/>
      <c r="J191" s="91"/>
      <c r="M191" s="91"/>
      <c r="P191" s="91"/>
      <c r="S191" s="91"/>
      <c r="T191" s="91"/>
      <c r="U191" s="91"/>
      <c r="V191" s="91"/>
      <c r="W191" s="91"/>
    </row>
    <row r="192">
      <c r="A192" s="91"/>
      <c r="D192" s="91"/>
      <c r="G192" s="91"/>
      <c r="J192" s="91"/>
      <c r="M192" s="91"/>
      <c r="P192" s="91"/>
      <c r="S192" s="91"/>
      <c r="T192" s="91"/>
      <c r="U192" s="91"/>
      <c r="V192" s="91"/>
      <c r="W192" s="91"/>
    </row>
    <row r="193">
      <c r="A193" s="91"/>
      <c r="D193" s="91"/>
      <c r="G193" s="91"/>
      <c r="J193" s="91"/>
      <c r="M193" s="91"/>
      <c r="P193" s="91"/>
      <c r="S193" s="91"/>
      <c r="T193" s="91"/>
      <c r="U193" s="91"/>
      <c r="V193" s="91"/>
      <c r="W193" s="91"/>
    </row>
    <row r="194">
      <c r="A194" s="91"/>
      <c r="D194" s="91"/>
      <c r="G194" s="91"/>
      <c r="J194" s="91"/>
      <c r="M194" s="91"/>
      <c r="P194" s="91"/>
      <c r="S194" s="91"/>
      <c r="T194" s="91"/>
      <c r="U194" s="91"/>
      <c r="V194" s="91"/>
      <c r="W194" s="91"/>
    </row>
    <row r="195">
      <c r="A195" s="91"/>
      <c r="D195" s="91"/>
      <c r="G195" s="91"/>
      <c r="J195" s="91"/>
      <c r="M195" s="91"/>
      <c r="P195" s="91"/>
      <c r="S195" s="91"/>
      <c r="T195" s="91"/>
      <c r="U195" s="91"/>
      <c r="V195" s="91"/>
      <c r="W195" s="91"/>
    </row>
    <row r="196">
      <c r="A196" s="91"/>
      <c r="D196" s="91"/>
      <c r="G196" s="91"/>
      <c r="J196" s="91"/>
      <c r="M196" s="91"/>
      <c r="P196" s="91"/>
      <c r="S196" s="91"/>
      <c r="T196" s="91"/>
      <c r="U196" s="91"/>
      <c r="V196" s="91"/>
      <c r="W196" s="91"/>
    </row>
    <row r="197">
      <c r="A197" s="91"/>
      <c r="D197" s="91"/>
      <c r="G197" s="91"/>
      <c r="J197" s="91"/>
      <c r="M197" s="91"/>
      <c r="P197" s="91"/>
      <c r="S197" s="91"/>
      <c r="T197" s="91"/>
      <c r="U197" s="91"/>
      <c r="V197" s="91"/>
      <c r="W197" s="91"/>
    </row>
    <row r="198">
      <c r="A198" s="91"/>
      <c r="D198" s="91"/>
      <c r="G198" s="91"/>
      <c r="J198" s="91"/>
      <c r="M198" s="91"/>
      <c r="P198" s="91"/>
      <c r="S198" s="91"/>
      <c r="T198" s="91"/>
      <c r="U198" s="91"/>
      <c r="V198" s="91"/>
      <c r="W198" s="91"/>
    </row>
    <row r="199">
      <c r="A199" s="91"/>
      <c r="D199" s="91"/>
      <c r="G199" s="91"/>
      <c r="J199" s="91"/>
      <c r="M199" s="91"/>
      <c r="P199" s="91"/>
      <c r="S199" s="91"/>
      <c r="T199" s="91"/>
      <c r="U199" s="91"/>
      <c r="V199" s="91"/>
      <c r="W199" s="91"/>
    </row>
    <row r="200">
      <c r="A200" s="91"/>
      <c r="D200" s="91"/>
      <c r="G200" s="91"/>
      <c r="J200" s="91"/>
      <c r="M200" s="91"/>
      <c r="P200" s="91"/>
      <c r="S200" s="91"/>
      <c r="T200" s="91"/>
      <c r="U200" s="91"/>
      <c r="V200" s="91"/>
      <c r="W200" s="91"/>
    </row>
    <row r="201">
      <c r="A201" s="91"/>
      <c r="D201" s="91"/>
      <c r="G201" s="91"/>
      <c r="J201" s="91"/>
      <c r="M201" s="91"/>
      <c r="P201" s="91"/>
      <c r="S201" s="91"/>
      <c r="T201" s="91"/>
      <c r="U201" s="91"/>
      <c r="V201" s="91"/>
      <c r="W201" s="91"/>
    </row>
    <row r="202">
      <c r="A202" s="91"/>
      <c r="D202" s="91"/>
      <c r="G202" s="91"/>
      <c r="J202" s="91"/>
      <c r="M202" s="91"/>
      <c r="P202" s="91"/>
      <c r="S202" s="91"/>
      <c r="T202" s="91"/>
      <c r="U202" s="91"/>
      <c r="V202" s="91"/>
      <c r="W202" s="91"/>
    </row>
    <row r="203">
      <c r="A203" s="91"/>
      <c r="D203" s="91"/>
      <c r="G203" s="91"/>
      <c r="J203" s="91"/>
      <c r="M203" s="91"/>
      <c r="P203" s="91"/>
      <c r="S203" s="91"/>
      <c r="T203" s="91"/>
      <c r="U203" s="91"/>
      <c r="V203" s="91"/>
      <c r="W203" s="91"/>
    </row>
    <row r="204">
      <c r="A204" s="91"/>
      <c r="D204" s="91"/>
      <c r="G204" s="91"/>
      <c r="J204" s="91"/>
      <c r="M204" s="91"/>
      <c r="P204" s="91"/>
      <c r="S204" s="91"/>
      <c r="T204" s="91"/>
      <c r="U204" s="91"/>
      <c r="V204" s="91"/>
      <c r="W204" s="91"/>
    </row>
    <row r="205">
      <c r="A205" s="91"/>
      <c r="D205" s="91"/>
      <c r="G205" s="91"/>
      <c r="J205" s="91"/>
      <c r="M205" s="91"/>
      <c r="P205" s="91"/>
      <c r="S205" s="91"/>
      <c r="T205" s="91"/>
      <c r="U205" s="91"/>
      <c r="V205" s="91"/>
      <c r="W205" s="91"/>
    </row>
    <row r="206">
      <c r="A206" s="91"/>
      <c r="D206" s="91"/>
      <c r="G206" s="91"/>
      <c r="J206" s="91"/>
      <c r="M206" s="91"/>
      <c r="P206" s="91"/>
      <c r="S206" s="91"/>
      <c r="T206" s="91"/>
      <c r="U206" s="91"/>
      <c r="V206" s="91"/>
      <c r="W206" s="91"/>
    </row>
    <row r="207">
      <c r="A207" s="91"/>
      <c r="D207" s="91"/>
      <c r="G207" s="91"/>
      <c r="J207" s="91"/>
      <c r="M207" s="91"/>
      <c r="P207" s="91"/>
      <c r="S207" s="91"/>
      <c r="T207" s="91"/>
      <c r="U207" s="91"/>
      <c r="V207" s="91"/>
      <c r="W207" s="91"/>
    </row>
    <row r="208">
      <c r="A208" s="91"/>
      <c r="D208" s="91"/>
      <c r="G208" s="91"/>
      <c r="J208" s="91"/>
      <c r="M208" s="91"/>
      <c r="P208" s="91"/>
      <c r="S208" s="91"/>
      <c r="T208" s="91"/>
      <c r="U208" s="91"/>
      <c r="V208" s="91"/>
      <c r="W208" s="91"/>
    </row>
    <row r="209">
      <c r="A209" s="91"/>
      <c r="D209" s="91"/>
      <c r="G209" s="91"/>
      <c r="J209" s="91"/>
      <c r="M209" s="91"/>
      <c r="P209" s="91"/>
      <c r="S209" s="91"/>
      <c r="T209" s="91"/>
      <c r="U209" s="91"/>
      <c r="V209" s="91"/>
      <c r="W209" s="91"/>
    </row>
    <row r="210">
      <c r="A210" s="91"/>
      <c r="D210" s="91"/>
      <c r="G210" s="91"/>
      <c r="J210" s="91"/>
      <c r="M210" s="91"/>
      <c r="P210" s="91"/>
      <c r="S210" s="91"/>
      <c r="T210" s="91"/>
      <c r="U210" s="91"/>
      <c r="V210" s="91"/>
      <c r="W210" s="91"/>
    </row>
    <row r="211">
      <c r="A211" s="91"/>
      <c r="D211" s="91"/>
      <c r="G211" s="91"/>
      <c r="J211" s="91"/>
      <c r="M211" s="91"/>
      <c r="P211" s="91"/>
      <c r="S211" s="91"/>
      <c r="T211" s="91"/>
      <c r="U211" s="91"/>
      <c r="V211" s="91"/>
      <c r="W211" s="91"/>
    </row>
    <row r="212">
      <c r="A212" s="91"/>
      <c r="D212" s="91"/>
      <c r="G212" s="91"/>
      <c r="J212" s="91"/>
      <c r="M212" s="91"/>
      <c r="P212" s="91"/>
      <c r="S212" s="91"/>
      <c r="T212" s="91"/>
      <c r="U212" s="91"/>
      <c r="V212" s="91"/>
      <c r="W212" s="91"/>
    </row>
    <row r="213">
      <c r="A213" s="91"/>
      <c r="D213" s="91"/>
      <c r="G213" s="91"/>
      <c r="J213" s="91"/>
      <c r="M213" s="91"/>
      <c r="P213" s="91"/>
      <c r="S213" s="91"/>
      <c r="T213" s="91"/>
      <c r="U213" s="91"/>
      <c r="V213" s="91"/>
      <c r="W213" s="91"/>
    </row>
    <row r="214">
      <c r="A214" s="91"/>
      <c r="D214" s="91"/>
      <c r="G214" s="91"/>
      <c r="J214" s="91"/>
      <c r="M214" s="91"/>
      <c r="P214" s="91"/>
      <c r="S214" s="91"/>
      <c r="T214" s="91"/>
      <c r="U214" s="91"/>
      <c r="V214" s="91"/>
      <c r="W214" s="91"/>
    </row>
    <row r="215">
      <c r="A215" s="91"/>
      <c r="D215" s="91"/>
      <c r="G215" s="91"/>
      <c r="J215" s="91"/>
      <c r="M215" s="91"/>
      <c r="P215" s="91"/>
      <c r="S215" s="91"/>
      <c r="T215" s="91"/>
      <c r="U215" s="91"/>
      <c r="V215" s="91"/>
      <c r="W215" s="91"/>
    </row>
    <row r="216">
      <c r="A216" s="91"/>
      <c r="D216" s="91"/>
      <c r="G216" s="91"/>
      <c r="J216" s="91"/>
      <c r="M216" s="91"/>
      <c r="P216" s="91"/>
      <c r="S216" s="91"/>
      <c r="T216" s="91"/>
      <c r="U216" s="91"/>
      <c r="V216" s="91"/>
      <c r="W216" s="91"/>
    </row>
    <row r="217">
      <c r="A217" s="91"/>
      <c r="D217" s="91"/>
      <c r="G217" s="91"/>
      <c r="J217" s="91"/>
      <c r="M217" s="91"/>
      <c r="P217" s="91"/>
      <c r="S217" s="91"/>
      <c r="T217" s="91"/>
      <c r="U217" s="91"/>
      <c r="V217" s="91"/>
      <c r="W217" s="91"/>
    </row>
    <row r="218">
      <c r="A218" s="91"/>
      <c r="D218" s="91"/>
      <c r="G218" s="91"/>
      <c r="J218" s="91"/>
      <c r="M218" s="91"/>
      <c r="P218" s="91"/>
      <c r="S218" s="91"/>
      <c r="T218" s="91"/>
      <c r="U218" s="91"/>
      <c r="V218" s="91"/>
      <c r="W218" s="91"/>
    </row>
    <row r="219">
      <c r="A219" s="91"/>
      <c r="D219" s="91"/>
      <c r="G219" s="91"/>
      <c r="J219" s="91"/>
      <c r="M219" s="91"/>
      <c r="P219" s="91"/>
      <c r="S219" s="91"/>
      <c r="T219" s="91"/>
      <c r="U219" s="91"/>
      <c r="V219" s="91"/>
      <c r="W219" s="91"/>
    </row>
    <row r="220">
      <c r="A220" s="91"/>
      <c r="D220" s="91"/>
      <c r="G220" s="91"/>
      <c r="J220" s="91"/>
      <c r="M220" s="91"/>
      <c r="P220" s="91"/>
      <c r="S220" s="91"/>
      <c r="T220" s="91"/>
      <c r="U220" s="91"/>
      <c r="V220" s="91"/>
      <c r="W220" s="91"/>
    </row>
    <row r="221">
      <c r="A221" s="91"/>
      <c r="D221" s="91"/>
      <c r="G221" s="91"/>
      <c r="J221" s="91"/>
      <c r="M221" s="91"/>
      <c r="P221" s="91"/>
      <c r="S221" s="91"/>
      <c r="T221" s="91"/>
      <c r="U221" s="91"/>
      <c r="V221" s="91"/>
      <c r="W221" s="91"/>
    </row>
    <row r="222">
      <c r="A222" s="91"/>
      <c r="D222" s="91"/>
      <c r="G222" s="91"/>
      <c r="J222" s="91"/>
      <c r="M222" s="91"/>
      <c r="P222" s="91"/>
      <c r="S222" s="91"/>
      <c r="T222" s="91"/>
      <c r="U222" s="91"/>
      <c r="V222" s="91"/>
      <c r="W222" s="91"/>
    </row>
    <row r="223">
      <c r="A223" s="91"/>
      <c r="D223" s="91"/>
      <c r="G223" s="91"/>
      <c r="J223" s="91"/>
      <c r="M223" s="91"/>
      <c r="P223" s="91"/>
      <c r="S223" s="91"/>
      <c r="T223" s="91"/>
      <c r="U223" s="91"/>
      <c r="V223" s="91"/>
      <c r="W223" s="91"/>
    </row>
    <row r="224">
      <c r="A224" s="91"/>
      <c r="D224" s="91"/>
      <c r="G224" s="91"/>
      <c r="J224" s="91"/>
      <c r="M224" s="91"/>
      <c r="P224" s="91"/>
      <c r="S224" s="91"/>
      <c r="T224" s="91"/>
      <c r="U224" s="91"/>
      <c r="V224" s="91"/>
      <c r="W224" s="91"/>
    </row>
    <row r="225">
      <c r="A225" s="91"/>
      <c r="D225" s="91"/>
      <c r="G225" s="91"/>
      <c r="J225" s="91"/>
      <c r="M225" s="91"/>
      <c r="P225" s="91"/>
      <c r="S225" s="91"/>
      <c r="T225" s="91"/>
      <c r="U225" s="91"/>
      <c r="V225" s="91"/>
      <c r="W225" s="91"/>
    </row>
    <row r="226">
      <c r="A226" s="91"/>
      <c r="D226" s="91"/>
      <c r="G226" s="91"/>
      <c r="J226" s="91"/>
      <c r="M226" s="91"/>
      <c r="P226" s="91"/>
      <c r="S226" s="91"/>
      <c r="T226" s="91"/>
      <c r="U226" s="91"/>
      <c r="V226" s="91"/>
      <c r="W226" s="91"/>
    </row>
    <row r="227">
      <c r="A227" s="91"/>
      <c r="D227" s="91"/>
      <c r="G227" s="91"/>
      <c r="J227" s="91"/>
      <c r="M227" s="91"/>
      <c r="P227" s="91"/>
      <c r="S227" s="91"/>
      <c r="T227" s="91"/>
      <c r="U227" s="91"/>
      <c r="V227" s="91"/>
      <c r="W227" s="91"/>
    </row>
    <row r="228">
      <c r="A228" s="91"/>
      <c r="D228" s="91"/>
      <c r="G228" s="91"/>
      <c r="J228" s="91"/>
      <c r="M228" s="91"/>
      <c r="P228" s="91"/>
      <c r="S228" s="91"/>
      <c r="T228" s="91"/>
      <c r="U228" s="91"/>
      <c r="V228" s="91"/>
      <c r="W228" s="91"/>
    </row>
    <row r="229">
      <c r="A229" s="91"/>
      <c r="D229" s="91"/>
      <c r="G229" s="91"/>
      <c r="J229" s="91"/>
      <c r="M229" s="91"/>
      <c r="P229" s="91"/>
      <c r="S229" s="91"/>
      <c r="T229" s="91"/>
      <c r="U229" s="91"/>
      <c r="V229" s="91"/>
      <c r="W229" s="91"/>
    </row>
    <row r="230">
      <c r="A230" s="91"/>
      <c r="D230" s="91"/>
      <c r="G230" s="91"/>
      <c r="J230" s="91"/>
      <c r="M230" s="91"/>
      <c r="P230" s="91"/>
      <c r="S230" s="91"/>
      <c r="T230" s="91"/>
      <c r="U230" s="91"/>
      <c r="V230" s="91"/>
      <c r="W230" s="91"/>
    </row>
    <row r="231">
      <c r="A231" s="91"/>
      <c r="D231" s="91"/>
      <c r="G231" s="91"/>
      <c r="J231" s="91"/>
      <c r="M231" s="91"/>
      <c r="P231" s="91"/>
      <c r="S231" s="91"/>
      <c r="T231" s="91"/>
      <c r="U231" s="91"/>
      <c r="V231" s="91"/>
      <c r="W231" s="91"/>
    </row>
    <row r="232">
      <c r="A232" s="91"/>
      <c r="D232" s="91"/>
      <c r="G232" s="91"/>
      <c r="J232" s="91"/>
      <c r="M232" s="91"/>
      <c r="P232" s="91"/>
      <c r="S232" s="91"/>
      <c r="T232" s="91"/>
      <c r="U232" s="91"/>
      <c r="V232" s="91"/>
      <c r="W232" s="91"/>
    </row>
    <row r="233">
      <c r="A233" s="91"/>
      <c r="D233" s="91"/>
      <c r="G233" s="91"/>
      <c r="J233" s="91"/>
      <c r="M233" s="91"/>
      <c r="P233" s="91"/>
      <c r="S233" s="91"/>
      <c r="T233" s="91"/>
      <c r="U233" s="91"/>
      <c r="V233" s="91"/>
      <c r="W233" s="91"/>
    </row>
    <row r="234">
      <c r="A234" s="91"/>
      <c r="D234" s="91"/>
      <c r="G234" s="91"/>
      <c r="J234" s="91"/>
      <c r="M234" s="91"/>
      <c r="P234" s="91"/>
      <c r="S234" s="91"/>
      <c r="T234" s="91"/>
      <c r="U234" s="91"/>
      <c r="V234" s="91"/>
      <c r="W234" s="91"/>
    </row>
    <row r="235">
      <c r="A235" s="91"/>
      <c r="D235" s="91"/>
      <c r="G235" s="91"/>
      <c r="J235" s="91"/>
      <c r="M235" s="91"/>
      <c r="P235" s="91"/>
      <c r="S235" s="91"/>
      <c r="T235" s="91"/>
      <c r="U235" s="91"/>
      <c r="V235" s="91"/>
      <c r="W235" s="91"/>
    </row>
    <row r="236">
      <c r="A236" s="91"/>
      <c r="D236" s="91"/>
      <c r="G236" s="91"/>
      <c r="J236" s="91"/>
      <c r="M236" s="91"/>
      <c r="P236" s="91"/>
      <c r="S236" s="91"/>
      <c r="T236" s="91"/>
      <c r="U236" s="91"/>
      <c r="V236" s="91"/>
      <c r="W236" s="91"/>
    </row>
    <row r="237">
      <c r="A237" s="91"/>
      <c r="D237" s="91"/>
      <c r="G237" s="91"/>
      <c r="J237" s="91"/>
      <c r="M237" s="91"/>
      <c r="P237" s="91"/>
      <c r="S237" s="91"/>
      <c r="T237" s="91"/>
      <c r="U237" s="91"/>
      <c r="V237" s="91"/>
      <c r="W237" s="91"/>
    </row>
    <row r="238">
      <c r="A238" s="91"/>
      <c r="D238" s="91"/>
      <c r="G238" s="91"/>
      <c r="J238" s="91"/>
      <c r="M238" s="91"/>
      <c r="P238" s="91"/>
      <c r="S238" s="91"/>
      <c r="T238" s="91"/>
      <c r="U238" s="91"/>
      <c r="V238" s="91"/>
      <c r="W238" s="91"/>
    </row>
    <row r="239">
      <c r="A239" s="91"/>
      <c r="D239" s="91"/>
      <c r="G239" s="91"/>
      <c r="J239" s="91"/>
      <c r="M239" s="91"/>
      <c r="P239" s="91"/>
      <c r="S239" s="91"/>
      <c r="T239" s="91"/>
      <c r="U239" s="91"/>
      <c r="V239" s="91"/>
      <c r="W239" s="91"/>
    </row>
    <row r="240">
      <c r="A240" s="91"/>
      <c r="D240" s="91"/>
      <c r="G240" s="91"/>
      <c r="J240" s="91"/>
      <c r="M240" s="91"/>
      <c r="P240" s="91"/>
      <c r="S240" s="91"/>
      <c r="T240" s="91"/>
      <c r="U240" s="91"/>
      <c r="V240" s="91"/>
      <c r="W240" s="91"/>
    </row>
    <row r="241">
      <c r="A241" s="91"/>
      <c r="D241" s="91"/>
      <c r="G241" s="91"/>
      <c r="J241" s="91"/>
      <c r="M241" s="91"/>
      <c r="P241" s="91"/>
      <c r="S241" s="91"/>
      <c r="T241" s="91"/>
      <c r="U241" s="91"/>
      <c r="V241" s="91"/>
      <c r="W241" s="91"/>
    </row>
    <row r="242">
      <c r="A242" s="91"/>
      <c r="D242" s="91"/>
      <c r="G242" s="91"/>
      <c r="J242" s="91"/>
      <c r="M242" s="91"/>
      <c r="P242" s="91"/>
      <c r="S242" s="91"/>
      <c r="T242" s="91"/>
      <c r="U242" s="91"/>
      <c r="V242" s="91"/>
      <c r="W242" s="91"/>
    </row>
    <row r="243">
      <c r="A243" s="91"/>
      <c r="D243" s="91"/>
      <c r="G243" s="91"/>
      <c r="J243" s="91"/>
      <c r="M243" s="91"/>
      <c r="P243" s="91"/>
      <c r="S243" s="91"/>
      <c r="T243" s="91"/>
      <c r="U243" s="91"/>
      <c r="V243" s="91"/>
      <c r="W243" s="91"/>
    </row>
    <row r="244">
      <c r="A244" s="91"/>
      <c r="D244" s="91"/>
      <c r="G244" s="91"/>
      <c r="J244" s="91"/>
      <c r="M244" s="91"/>
      <c r="P244" s="91"/>
      <c r="S244" s="91"/>
      <c r="T244" s="91"/>
      <c r="U244" s="91"/>
      <c r="V244" s="91"/>
      <c r="W244" s="91"/>
    </row>
    <row r="245">
      <c r="A245" s="91"/>
      <c r="D245" s="91"/>
      <c r="G245" s="91"/>
      <c r="J245" s="91"/>
      <c r="M245" s="91"/>
      <c r="P245" s="91"/>
      <c r="S245" s="91"/>
      <c r="T245" s="91"/>
      <c r="U245" s="91"/>
      <c r="V245" s="91"/>
      <c r="W245" s="91"/>
    </row>
    <row r="246">
      <c r="A246" s="91"/>
      <c r="D246" s="91"/>
      <c r="G246" s="91"/>
      <c r="J246" s="91"/>
      <c r="M246" s="91"/>
      <c r="P246" s="91"/>
      <c r="S246" s="91"/>
      <c r="T246" s="91"/>
      <c r="U246" s="91"/>
      <c r="V246" s="91"/>
      <c r="W246" s="91"/>
    </row>
    <row r="247">
      <c r="A247" s="91"/>
      <c r="D247" s="91"/>
      <c r="G247" s="91"/>
      <c r="J247" s="91"/>
      <c r="M247" s="91"/>
      <c r="P247" s="91"/>
      <c r="S247" s="91"/>
      <c r="T247" s="91"/>
      <c r="U247" s="91"/>
      <c r="V247" s="91"/>
      <c r="W247" s="91"/>
    </row>
    <row r="248">
      <c r="A248" s="91"/>
      <c r="D248" s="91"/>
      <c r="G248" s="91"/>
      <c r="J248" s="91"/>
      <c r="M248" s="91"/>
      <c r="P248" s="91"/>
      <c r="S248" s="91"/>
      <c r="T248" s="91"/>
      <c r="U248" s="91"/>
      <c r="V248" s="91"/>
      <c r="W248" s="91"/>
    </row>
    <row r="249">
      <c r="A249" s="91"/>
      <c r="D249" s="91"/>
      <c r="G249" s="91"/>
      <c r="J249" s="91"/>
      <c r="M249" s="91"/>
      <c r="P249" s="91"/>
      <c r="S249" s="91"/>
      <c r="T249" s="91"/>
      <c r="U249" s="91"/>
      <c r="V249" s="91"/>
      <c r="W249" s="91"/>
    </row>
    <row r="250">
      <c r="A250" s="91"/>
      <c r="D250" s="91"/>
      <c r="G250" s="91"/>
      <c r="J250" s="91"/>
      <c r="M250" s="91"/>
      <c r="P250" s="91"/>
      <c r="S250" s="91"/>
      <c r="T250" s="91"/>
      <c r="U250" s="91"/>
      <c r="V250" s="91"/>
      <c r="W250" s="91"/>
    </row>
    <row r="251">
      <c r="A251" s="91"/>
      <c r="D251" s="91"/>
      <c r="G251" s="91"/>
      <c r="J251" s="91"/>
      <c r="M251" s="91"/>
      <c r="P251" s="91"/>
      <c r="S251" s="91"/>
      <c r="T251" s="91"/>
      <c r="U251" s="91"/>
      <c r="V251" s="91"/>
      <c r="W251" s="91"/>
    </row>
    <row r="252">
      <c r="A252" s="91"/>
      <c r="D252" s="91"/>
      <c r="G252" s="91"/>
      <c r="J252" s="91"/>
      <c r="M252" s="91"/>
      <c r="P252" s="91"/>
      <c r="S252" s="91"/>
      <c r="T252" s="91"/>
      <c r="U252" s="91"/>
      <c r="V252" s="91"/>
      <c r="W252" s="91"/>
    </row>
    <row r="253">
      <c r="A253" s="91"/>
      <c r="D253" s="91"/>
      <c r="G253" s="91"/>
      <c r="J253" s="91"/>
      <c r="M253" s="91"/>
      <c r="P253" s="91"/>
      <c r="S253" s="91"/>
      <c r="T253" s="91"/>
      <c r="U253" s="91"/>
      <c r="V253" s="91"/>
      <c r="W253" s="91"/>
    </row>
    <row r="254">
      <c r="A254" s="91"/>
      <c r="D254" s="91"/>
      <c r="G254" s="91"/>
      <c r="J254" s="91"/>
      <c r="M254" s="91"/>
      <c r="P254" s="91"/>
      <c r="S254" s="91"/>
      <c r="T254" s="91"/>
      <c r="U254" s="91"/>
      <c r="V254" s="91"/>
      <c r="W254" s="91"/>
    </row>
    <row r="255">
      <c r="A255" s="91"/>
      <c r="D255" s="91"/>
      <c r="G255" s="91"/>
      <c r="J255" s="91"/>
      <c r="M255" s="91"/>
      <c r="P255" s="91"/>
      <c r="S255" s="91"/>
      <c r="T255" s="91"/>
      <c r="U255" s="91"/>
      <c r="V255" s="91"/>
      <c r="W255" s="91"/>
    </row>
    <row r="256">
      <c r="A256" s="91"/>
      <c r="D256" s="91"/>
      <c r="G256" s="91"/>
      <c r="J256" s="91"/>
      <c r="M256" s="91"/>
      <c r="P256" s="91"/>
      <c r="S256" s="91"/>
      <c r="T256" s="91"/>
      <c r="U256" s="91"/>
      <c r="V256" s="91"/>
      <c r="W256" s="91"/>
    </row>
    <row r="257">
      <c r="A257" s="91"/>
      <c r="D257" s="91"/>
      <c r="G257" s="91"/>
      <c r="J257" s="91"/>
      <c r="M257" s="91"/>
      <c r="P257" s="91"/>
      <c r="S257" s="91"/>
      <c r="T257" s="91"/>
      <c r="U257" s="91"/>
      <c r="V257" s="91"/>
      <c r="W257" s="91"/>
    </row>
    <row r="258">
      <c r="A258" s="91"/>
      <c r="D258" s="91"/>
      <c r="G258" s="91"/>
      <c r="J258" s="91"/>
      <c r="M258" s="91"/>
      <c r="P258" s="91"/>
      <c r="S258" s="91"/>
      <c r="T258" s="91"/>
      <c r="U258" s="91"/>
      <c r="V258" s="91"/>
      <c r="W258" s="91"/>
    </row>
    <row r="259">
      <c r="A259" s="91"/>
      <c r="D259" s="91"/>
      <c r="G259" s="91"/>
      <c r="J259" s="91"/>
      <c r="M259" s="91"/>
      <c r="P259" s="91"/>
      <c r="S259" s="91"/>
      <c r="T259" s="91"/>
      <c r="U259" s="91"/>
      <c r="V259" s="91"/>
      <c r="W259" s="91"/>
    </row>
    <row r="260">
      <c r="A260" s="91"/>
      <c r="D260" s="91"/>
      <c r="G260" s="91"/>
      <c r="J260" s="91"/>
      <c r="M260" s="91"/>
      <c r="P260" s="91"/>
      <c r="S260" s="91"/>
      <c r="T260" s="91"/>
      <c r="U260" s="91"/>
      <c r="V260" s="91"/>
      <c r="W260" s="91"/>
    </row>
    <row r="261">
      <c r="A261" s="91"/>
      <c r="D261" s="91"/>
      <c r="G261" s="91"/>
      <c r="J261" s="91"/>
      <c r="M261" s="91"/>
      <c r="P261" s="91"/>
      <c r="S261" s="91"/>
      <c r="T261" s="91"/>
      <c r="U261" s="91"/>
      <c r="V261" s="91"/>
      <c r="W261" s="91"/>
    </row>
    <row r="262">
      <c r="A262" s="91"/>
      <c r="D262" s="91"/>
      <c r="G262" s="91"/>
      <c r="J262" s="91"/>
      <c r="M262" s="91"/>
      <c r="P262" s="91"/>
      <c r="S262" s="91"/>
      <c r="T262" s="91"/>
      <c r="U262" s="91"/>
      <c r="V262" s="91"/>
      <c r="W262" s="91"/>
    </row>
    <row r="263">
      <c r="A263" s="91"/>
      <c r="D263" s="91"/>
      <c r="G263" s="91"/>
      <c r="J263" s="91"/>
      <c r="M263" s="91"/>
      <c r="P263" s="91"/>
      <c r="S263" s="91"/>
      <c r="T263" s="91"/>
      <c r="U263" s="91"/>
      <c r="V263" s="91"/>
      <c r="W263" s="91"/>
    </row>
    <row r="264">
      <c r="A264" s="91"/>
      <c r="D264" s="91"/>
      <c r="G264" s="91"/>
      <c r="J264" s="91"/>
      <c r="M264" s="91"/>
      <c r="P264" s="91"/>
      <c r="S264" s="91"/>
      <c r="T264" s="91"/>
      <c r="U264" s="91"/>
      <c r="V264" s="91"/>
      <c r="W264" s="91"/>
    </row>
    <row r="265">
      <c r="A265" s="91"/>
      <c r="D265" s="91"/>
      <c r="G265" s="91"/>
      <c r="J265" s="91"/>
      <c r="M265" s="91"/>
      <c r="P265" s="91"/>
      <c r="S265" s="91"/>
      <c r="T265" s="91"/>
      <c r="U265" s="91"/>
      <c r="V265" s="91"/>
      <c r="W265" s="91"/>
    </row>
    <row r="266">
      <c r="A266" s="91"/>
      <c r="D266" s="91"/>
      <c r="G266" s="91"/>
      <c r="J266" s="91"/>
      <c r="M266" s="91"/>
      <c r="P266" s="91"/>
      <c r="S266" s="91"/>
      <c r="T266" s="91"/>
      <c r="U266" s="91"/>
      <c r="V266" s="91"/>
      <c r="W266" s="91"/>
    </row>
    <row r="267">
      <c r="A267" s="91"/>
      <c r="D267" s="91"/>
      <c r="G267" s="91"/>
      <c r="J267" s="91"/>
      <c r="M267" s="91"/>
      <c r="P267" s="91"/>
      <c r="S267" s="91"/>
      <c r="T267" s="91"/>
      <c r="U267" s="91"/>
      <c r="V267" s="91"/>
      <c r="W267" s="91"/>
    </row>
    <row r="268">
      <c r="A268" s="91"/>
      <c r="D268" s="91"/>
      <c r="G268" s="91"/>
      <c r="J268" s="91"/>
      <c r="M268" s="91"/>
      <c r="P268" s="91"/>
      <c r="S268" s="91"/>
      <c r="T268" s="91"/>
      <c r="U268" s="91"/>
      <c r="V268" s="91"/>
      <c r="W268" s="91"/>
    </row>
    <row r="269">
      <c r="A269" s="91"/>
      <c r="D269" s="91"/>
      <c r="G269" s="91"/>
      <c r="J269" s="91"/>
      <c r="M269" s="91"/>
      <c r="P269" s="91"/>
      <c r="S269" s="91"/>
      <c r="T269" s="91"/>
      <c r="U269" s="91"/>
      <c r="V269" s="91"/>
      <c r="W269" s="91"/>
    </row>
    <row r="270">
      <c r="A270" s="91"/>
      <c r="D270" s="91"/>
      <c r="G270" s="91"/>
      <c r="J270" s="91"/>
      <c r="M270" s="91"/>
      <c r="P270" s="91"/>
      <c r="S270" s="91"/>
      <c r="T270" s="91"/>
      <c r="U270" s="91"/>
      <c r="V270" s="91"/>
      <c r="W270" s="91"/>
    </row>
    <row r="271">
      <c r="A271" s="91"/>
      <c r="D271" s="91"/>
      <c r="G271" s="91"/>
      <c r="J271" s="91"/>
      <c r="M271" s="91"/>
      <c r="P271" s="91"/>
      <c r="S271" s="91"/>
      <c r="T271" s="91"/>
      <c r="U271" s="91"/>
      <c r="V271" s="91"/>
      <c r="W271" s="91"/>
    </row>
    <row r="272">
      <c r="A272" s="91"/>
      <c r="D272" s="91"/>
      <c r="G272" s="91"/>
      <c r="J272" s="91"/>
      <c r="M272" s="91"/>
      <c r="P272" s="91"/>
      <c r="S272" s="91"/>
      <c r="T272" s="91"/>
      <c r="U272" s="91"/>
      <c r="V272" s="91"/>
      <c r="W272" s="91"/>
    </row>
    <row r="273">
      <c r="A273" s="91"/>
      <c r="D273" s="91"/>
      <c r="G273" s="91"/>
      <c r="J273" s="91"/>
      <c r="M273" s="91"/>
      <c r="P273" s="91"/>
      <c r="S273" s="91"/>
      <c r="T273" s="91"/>
      <c r="U273" s="91"/>
      <c r="V273" s="91"/>
      <c r="W273" s="91"/>
    </row>
    <row r="274">
      <c r="A274" s="91"/>
      <c r="D274" s="91"/>
      <c r="G274" s="91"/>
      <c r="J274" s="91"/>
      <c r="M274" s="91"/>
      <c r="P274" s="91"/>
      <c r="S274" s="91"/>
      <c r="T274" s="91"/>
      <c r="U274" s="91"/>
      <c r="V274" s="91"/>
      <c r="W274" s="91"/>
    </row>
    <row r="275">
      <c r="A275" s="91"/>
      <c r="D275" s="91"/>
      <c r="G275" s="91"/>
      <c r="J275" s="91"/>
      <c r="M275" s="91"/>
      <c r="P275" s="91"/>
      <c r="S275" s="91"/>
      <c r="T275" s="91"/>
      <c r="U275" s="91"/>
      <c r="V275" s="91"/>
      <c r="W275" s="91"/>
    </row>
    <row r="276">
      <c r="A276" s="91"/>
      <c r="D276" s="91"/>
      <c r="G276" s="91"/>
      <c r="J276" s="91"/>
      <c r="M276" s="91"/>
      <c r="P276" s="91"/>
      <c r="S276" s="91"/>
      <c r="T276" s="91"/>
      <c r="U276" s="91"/>
      <c r="V276" s="91"/>
      <c r="W276" s="91"/>
    </row>
    <row r="277">
      <c r="A277" s="91"/>
      <c r="D277" s="91"/>
      <c r="G277" s="91"/>
      <c r="J277" s="91"/>
      <c r="M277" s="91"/>
      <c r="P277" s="91"/>
      <c r="S277" s="91"/>
      <c r="T277" s="91"/>
      <c r="U277" s="91"/>
      <c r="V277" s="91"/>
      <c r="W277" s="91"/>
    </row>
    <row r="278">
      <c r="A278" s="91"/>
      <c r="D278" s="91"/>
      <c r="G278" s="91"/>
      <c r="J278" s="91"/>
      <c r="M278" s="91"/>
      <c r="P278" s="91"/>
      <c r="S278" s="91"/>
      <c r="T278" s="91"/>
      <c r="U278" s="91"/>
      <c r="V278" s="91"/>
      <c r="W278" s="91"/>
    </row>
    <row r="279">
      <c r="A279" s="91"/>
      <c r="D279" s="91"/>
      <c r="G279" s="91"/>
      <c r="J279" s="91"/>
      <c r="M279" s="91"/>
      <c r="P279" s="91"/>
      <c r="S279" s="91"/>
      <c r="T279" s="91"/>
      <c r="U279" s="91"/>
      <c r="V279" s="91"/>
      <c r="W279" s="91"/>
    </row>
    <row r="280">
      <c r="A280" s="91"/>
      <c r="D280" s="91"/>
      <c r="G280" s="91"/>
      <c r="J280" s="91"/>
      <c r="M280" s="91"/>
      <c r="P280" s="91"/>
      <c r="S280" s="91"/>
      <c r="T280" s="91"/>
      <c r="U280" s="91"/>
      <c r="V280" s="91"/>
      <c r="W280" s="91"/>
    </row>
    <row r="281">
      <c r="A281" s="91"/>
      <c r="D281" s="91"/>
      <c r="G281" s="91"/>
      <c r="J281" s="91"/>
      <c r="M281" s="91"/>
      <c r="P281" s="91"/>
      <c r="S281" s="91"/>
      <c r="T281" s="91"/>
      <c r="U281" s="91"/>
      <c r="V281" s="91"/>
      <c r="W281" s="91"/>
    </row>
    <row r="282">
      <c r="A282" s="91"/>
      <c r="D282" s="91"/>
      <c r="G282" s="91"/>
      <c r="J282" s="91"/>
      <c r="M282" s="91"/>
      <c r="P282" s="91"/>
      <c r="S282" s="91"/>
      <c r="T282" s="91"/>
      <c r="U282" s="91"/>
      <c r="V282" s="91"/>
      <c r="W282" s="91"/>
    </row>
    <row r="283">
      <c r="A283" s="91"/>
      <c r="D283" s="91"/>
      <c r="G283" s="91"/>
      <c r="J283" s="91"/>
      <c r="M283" s="91"/>
      <c r="P283" s="91"/>
      <c r="S283" s="91"/>
      <c r="T283" s="91"/>
      <c r="U283" s="91"/>
      <c r="V283" s="91"/>
      <c r="W283" s="91"/>
    </row>
    <row r="284">
      <c r="A284" s="91"/>
      <c r="D284" s="91"/>
      <c r="G284" s="91"/>
      <c r="J284" s="91"/>
      <c r="M284" s="91"/>
      <c r="P284" s="91"/>
      <c r="S284" s="91"/>
      <c r="T284" s="91"/>
      <c r="U284" s="91"/>
      <c r="V284" s="91"/>
      <c r="W284" s="91"/>
    </row>
    <row r="285">
      <c r="A285" s="91"/>
      <c r="D285" s="91"/>
      <c r="G285" s="91"/>
      <c r="J285" s="91"/>
      <c r="M285" s="91"/>
      <c r="P285" s="91"/>
      <c r="S285" s="91"/>
      <c r="T285" s="91"/>
      <c r="U285" s="91"/>
      <c r="V285" s="91"/>
      <c r="W285" s="91"/>
    </row>
    <row r="286">
      <c r="A286" s="91"/>
      <c r="D286" s="91"/>
      <c r="G286" s="91"/>
      <c r="J286" s="91"/>
      <c r="M286" s="91"/>
      <c r="P286" s="91"/>
      <c r="S286" s="91"/>
      <c r="T286" s="91"/>
      <c r="U286" s="91"/>
      <c r="V286" s="91"/>
      <c r="W286" s="91"/>
    </row>
    <row r="287">
      <c r="A287" s="91"/>
      <c r="D287" s="91"/>
      <c r="G287" s="91"/>
      <c r="J287" s="91"/>
      <c r="M287" s="91"/>
      <c r="P287" s="91"/>
      <c r="S287" s="91"/>
      <c r="T287" s="91"/>
      <c r="U287" s="91"/>
      <c r="V287" s="91"/>
      <c r="W287" s="91"/>
    </row>
    <row r="288">
      <c r="A288" s="91"/>
      <c r="D288" s="91"/>
      <c r="G288" s="91"/>
      <c r="J288" s="91"/>
      <c r="M288" s="91"/>
      <c r="P288" s="91"/>
      <c r="S288" s="91"/>
      <c r="T288" s="91"/>
      <c r="U288" s="91"/>
      <c r="V288" s="91"/>
      <c r="W288" s="91"/>
    </row>
    <row r="289">
      <c r="A289" s="91"/>
      <c r="D289" s="91"/>
      <c r="G289" s="91"/>
      <c r="J289" s="91"/>
      <c r="M289" s="91"/>
      <c r="P289" s="91"/>
      <c r="S289" s="91"/>
      <c r="T289" s="91"/>
      <c r="U289" s="91"/>
      <c r="V289" s="91"/>
      <c r="W289" s="91"/>
    </row>
    <row r="290">
      <c r="A290" s="91"/>
      <c r="D290" s="91"/>
      <c r="G290" s="91"/>
      <c r="J290" s="91"/>
      <c r="M290" s="91"/>
      <c r="P290" s="91"/>
      <c r="S290" s="91"/>
      <c r="T290" s="91"/>
      <c r="U290" s="91"/>
      <c r="V290" s="91"/>
      <c r="W290" s="91"/>
    </row>
    <row r="291">
      <c r="A291" s="91"/>
      <c r="D291" s="91"/>
      <c r="G291" s="91"/>
      <c r="J291" s="91"/>
      <c r="M291" s="91"/>
      <c r="P291" s="91"/>
      <c r="S291" s="91"/>
      <c r="T291" s="91"/>
      <c r="U291" s="91"/>
      <c r="V291" s="91"/>
      <c r="W291" s="91"/>
    </row>
    <row r="292">
      <c r="A292" s="91"/>
      <c r="D292" s="91"/>
      <c r="G292" s="91"/>
      <c r="J292" s="91"/>
      <c r="M292" s="91"/>
      <c r="P292" s="91"/>
      <c r="S292" s="91"/>
      <c r="T292" s="91"/>
      <c r="U292" s="91"/>
      <c r="V292" s="91"/>
      <c r="W292" s="91"/>
    </row>
    <row r="293">
      <c r="A293" s="91"/>
      <c r="D293" s="91"/>
      <c r="G293" s="91"/>
      <c r="J293" s="91"/>
      <c r="M293" s="91"/>
      <c r="P293" s="91"/>
      <c r="S293" s="91"/>
      <c r="T293" s="91"/>
      <c r="U293" s="91"/>
      <c r="V293" s="91"/>
      <c r="W293" s="91"/>
    </row>
    <row r="294">
      <c r="A294" s="91"/>
      <c r="D294" s="91"/>
      <c r="G294" s="91"/>
      <c r="J294" s="91"/>
      <c r="M294" s="91"/>
      <c r="P294" s="91"/>
      <c r="S294" s="91"/>
      <c r="T294" s="91"/>
      <c r="U294" s="91"/>
      <c r="V294" s="91"/>
      <c r="W294" s="91"/>
    </row>
    <row r="295">
      <c r="A295" s="91"/>
      <c r="D295" s="91"/>
      <c r="G295" s="91"/>
      <c r="J295" s="91"/>
      <c r="M295" s="91"/>
      <c r="P295" s="91"/>
      <c r="S295" s="91"/>
      <c r="T295" s="91"/>
      <c r="U295" s="91"/>
      <c r="V295" s="91"/>
      <c r="W295" s="91"/>
    </row>
    <row r="296">
      <c r="A296" s="91"/>
      <c r="D296" s="91"/>
      <c r="G296" s="91"/>
      <c r="J296" s="91"/>
      <c r="M296" s="91"/>
      <c r="P296" s="91"/>
      <c r="S296" s="91"/>
      <c r="T296" s="91"/>
      <c r="U296" s="91"/>
      <c r="V296" s="91"/>
      <c r="W296" s="91"/>
    </row>
    <row r="297">
      <c r="A297" s="91"/>
      <c r="D297" s="91"/>
      <c r="G297" s="91"/>
      <c r="J297" s="91"/>
      <c r="M297" s="91"/>
      <c r="P297" s="91"/>
      <c r="S297" s="91"/>
      <c r="T297" s="91"/>
      <c r="U297" s="91"/>
      <c r="V297" s="91"/>
      <c r="W297" s="91"/>
    </row>
    <row r="298">
      <c r="A298" s="91"/>
      <c r="D298" s="91"/>
      <c r="G298" s="91"/>
      <c r="J298" s="91"/>
      <c r="M298" s="91"/>
      <c r="P298" s="91"/>
      <c r="S298" s="91"/>
      <c r="T298" s="91"/>
      <c r="U298" s="91"/>
      <c r="V298" s="91"/>
      <c r="W298" s="91"/>
    </row>
    <row r="299">
      <c r="A299" s="91"/>
      <c r="D299" s="91"/>
      <c r="G299" s="91"/>
      <c r="J299" s="91"/>
      <c r="M299" s="91"/>
      <c r="P299" s="91"/>
      <c r="S299" s="91"/>
      <c r="T299" s="91"/>
      <c r="U299" s="91"/>
      <c r="V299" s="91"/>
      <c r="W299" s="91"/>
    </row>
    <row r="300">
      <c r="A300" s="91"/>
      <c r="D300" s="91"/>
      <c r="G300" s="91"/>
      <c r="J300" s="91"/>
      <c r="M300" s="91"/>
      <c r="P300" s="91"/>
      <c r="S300" s="91"/>
      <c r="T300" s="91"/>
      <c r="U300" s="91"/>
      <c r="V300" s="91"/>
      <c r="W300" s="91"/>
    </row>
    <row r="301">
      <c r="A301" s="91"/>
      <c r="D301" s="91"/>
      <c r="G301" s="91"/>
      <c r="J301" s="91"/>
      <c r="M301" s="91"/>
      <c r="P301" s="91"/>
      <c r="S301" s="91"/>
      <c r="T301" s="91"/>
      <c r="U301" s="91"/>
      <c r="V301" s="91"/>
      <c r="W301" s="91"/>
    </row>
    <row r="302">
      <c r="A302" s="91"/>
      <c r="D302" s="91"/>
      <c r="G302" s="91"/>
      <c r="J302" s="91"/>
      <c r="M302" s="91"/>
      <c r="P302" s="91"/>
      <c r="S302" s="91"/>
      <c r="T302" s="91"/>
      <c r="U302" s="91"/>
      <c r="V302" s="91"/>
      <c r="W302" s="91"/>
    </row>
    <row r="303">
      <c r="A303" s="91"/>
      <c r="D303" s="91"/>
      <c r="G303" s="91"/>
      <c r="J303" s="91"/>
      <c r="M303" s="91"/>
      <c r="P303" s="91"/>
      <c r="S303" s="91"/>
      <c r="T303" s="91"/>
      <c r="U303" s="91"/>
      <c r="V303" s="91"/>
      <c r="W303" s="91"/>
    </row>
    <row r="304">
      <c r="A304" s="91"/>
      <c r="D304" s="91"/>
      <c r="G304" s="91"/>
      <c r="J304" s="91"/>
      <c r="M304" s="91"/>
      <c r="P304" s="91"/>
      <c r="S304" s="91"/>
      <c r="T304" s="91"/>
      <c r="U304" s="91"/>
      <c r="V304" s="91"/>
      <c r="W304" s="91"/>
    </row>
    <row r="305">
      <c r="A305" s="91"/>
      <c r="D305" s="91"/>
      <c r="G305" s="91"/>
      <c r="J305" s="91"/>
      <c r="M305" s="91"/>
      <c r="P305" s="91"/>
      <c r="S305" s="91"/>
      <c r="T305" s="91"/>
      <c r="U305" s="91"/>
      <c r="V305" s="91"/>
      <c r="W305" s="91"/>
    </row>
    <row r="306">
      <c r="A306" s="91"/>
      <c r="D306" s="91"/>
      <c r="G306" s="91"/>
      <c r="J306" s="91"/>
      <c r="M306" s="91"/>
      <c r="P306" s="91"/>
      <c r="S306" s="91"/>
      <c r="T306" s="91"/>
      <c r="U306" s="91"/>
      <c r="V306" s="91"/>
      <c r="W306" s="91"/>
    </row>
    <row r="307">
      <c r="A307" s="91"/>
      <c r="D307" s="91"/>
      <c r="G307" s="91"/>
      <c r="J307" s="91"/>
      <c r="M307" s="91"/>
      <c r="P307" s="91"/>
      <c r="S307" s="91"/>
      <c r="T307" s="91"/>
      <c r="U307" s="91"/>
      <c r="V307" s="91"/>
      <c r="W307" s="91"/>
    </row>
    <row r="308">
      <c r="A308" s="91"/>
      <c r="D308" s="91"/>
      <c r="G308" s="91"/>
      <c r="J308" s="91"/>
      <c r="M308" s="91"/>
      <c r="P308" s="91"/>
      <c r="S308" s="91"/>
      <c r="T308" s="91"/>
      <c r="U308" s="91"/>
      <c r="V308" s="91"/>
      <c r="W308" s="91"/>
    </row>
    <row r="309">
      <c r="A309" s="91"/>
      <c r="D309" s="91"/>
      <c r="G309" s="91"/>
      <c r="J309" s="91"/>
      <c r="M309" s="91"/>
      <c r="P309" s="91"/>
      <c r="S309" s="91"/>
      <c r="T309" s="91"/>
      <c r="U309" s="91"/>
      <c r="V309" s="91"/>
      <c r="W309" s="91"/>
    </row>
    <row r="310">
      <c r="A310" s="91"/>
      <c r="D310" s="91"/>
      <c r="G310" s="91"/>
      <c r="J310" s="91"/>
      <c r="M310" s="91"/>
      <c r="P310" s="91"/>
      <c r="S310" s="91"/>
      <c r="T310" s="91"/>
      <c r="U310" s="91"/>
      <c r="V310" s="91"/>
      <c r="W310" s="91"/>
    </row>
    <row r="311">
      <c r="A311" s="91"/>
      <c r="D311" s="91"/>
      <c r="G311" s="91"/>
      <c r="J311" s="91"/>
      <c r="M311" s="91"/>
      <c r="P311" s="91"/>
      <c r="S311" s="91"/>
      <c r="T311" s="91"/>
      <c r="U311" s="91"/>
      <c r="V311" s="91"/>
      <c r="W311" s="91"/>
    </row>
    <row r="312">
      <c r="A312" s="91"/>
      <c r="D312" s="91"/>
      <c r="G312" s="91"/>
      <c r="J312" s="91"/>
      <c r="M312" s="91"/>
      <c r="P312" s="91"/>
      <c r="S312" s="91"/>
      <c r="T312" s="91"/>
      <c r="U312" s="91"/>
      <c r="V312" s="91"/>
      <c r="W312" s="91"/>
    </row>
    <row r="313">
      <c r="A313" s="91"/>
      <c r="D313" s="91"/>
      <c r="G313" s="91"/>
      <c r="J313" s="91"/>
      <c r="M313" s="91"/>
      <c r="P313" s="91"/>
      <c r="S313" s="91"/>
      <c r="T313" s="91"/>
      <c r="U313" s="91"/>
      <c r="V313" s="91"/>
      <c r="W313" s="91"/>
    </row>
    <row r="314">
      <c r="A314" s="91"/>
      <c r="D314" s="91"/>
      <c r="G314" s="91"/>
      <c r="J314" s="91"/>
      <c r="M314" s="91"/>
      <c r="P314" s="91"/>
      <c r="S314" s="91"/>
      <c r="T314" s="91"/>
      <c r="U314" s="91"/>
      <c r="V314" s="91"/>
      <c r="W314" s="91"/>
    </row>
    <row r="315">
      <c r="A315" s="91"/>
      <c r="D315" s="91"/>
      <c r="G315" s="91"/>
      <c r="J315" s="91"/>
      <c r="M315" s="91"/>
      <c r="P315" s="91"/>
      <c r="S315" s="91"/>
      <c r="T315" s="91"/>
      <c r="U315" s="91"/>
      <c r="V315" s="91"/>
      <c r="W315" s="91"/>
    </row>
    <row r="316">
      <c r="A316" s="91"/>
      <c r="D316" s="91"/>
      <c r="G316" s="91"/>
      <c r="J316" s="91"/>
      <c r="M316" s="91"/>
      <c r="P316" s="91"/>
      <c r="S316" s="91"/>
      <c r="T316" s="91"/>
      <c r="U316" s="91"/>
      <c r="V316" s="91"/>
      <c r="W316" s="91"/>
    </row>
    <row r="317">
      <c r="A317" s="91"/>
      <c r="D317" s="91"/>
      <c r="G317" s="91"/>
      <c r="J317" s="91"/>
      <c r="M317" s="91"/>
      <c r="P317" s="91"/>
      <c r="S317" s="91"/>
      <c r="T317" s="91"/>
      <c r="U317" s="91"/>
      <c r="V317" s="91"/>
      <c r="W317" s="91"/>
    </row>
    <row r="318">
      <c r="A318" s="91"/>
      <c r="D318" s="91"/>
      <c r="G318" s="91"/>
      <c r="J318" s="91"/>
      <c r="M318" s="91"/>
      <c r="P318" s="91"/>
      <c r="S318" s="91"/>
      <c r="T318" s="91"/>
      <c r="U318" s="91"/>
      <c r="V318" s="91"/>
      <c r="W318" s="91"/>
    </row>
    <row r="319">
      <c r="A319" s="91"/>
      <c r="D319" s="91"/>
      <c r="G319" s="91"/>
      <c r="J319" s="91"/>
      <c r="M319" s="91"/>
      <c r="P319" s="91"/>
      <c r="S319" s="91"/>
      <c r="T319" s="91"/>
      <c r="U319" s="91"/>
      <c r="V319" s="91"/>
      <c r="W319" s="91"/>
    </row>
    <row r="320">
      <c r="A320" s="91"/>
      <c r="D320" s="91"/>
      <c r="G320" s="91"/>
      <c r="J320" s="91"/>
      <c r="M320" s="91"/>
      <c r="P320" s="91"/>
      <c r="S320" s="91"/>
      <c r="T320" s="91"/>
      <c r="U320" s="91"/>
      <c r="V320" s="91"/>
      <c r="W320" s="91"/>
    </row>
    <row r="321">
      <c r="A321" s="91"/>
      <c r="D321" s="91"/>
      <c r="G321" s="91"/>
      <c r="J321" s="91"/>
      <c r="M321" s="91"/>
      <c r="P321" s="91"/>
      <c r="S321" s="91"/>
      <c r="T321" s="91"/>
      <c r="U321" s="91"/>
      <c r="V321" s="91"/>
      <c r="W321" s="91"/>
    </row>
    <row r="322">
      <c r="A322" s="91"/>
      <c r="D322" s="91"/>
      <c r="G322" s="91"/>
      <c r="J322" s="91"/>
      <c r="M322" s="91"/>
      <c r="P322" s="91"/>
      <c r="S322" s="91"/>
      <c r="T322" s="91"/>
      <c r="U322" s="91"/>
      <c r="V322" s="91"/>
      <c r="W322" s="91"/>
    </row>
    <row r="323">
      <c r="A323" s="91"/>
      <c r="D323" s="91"/>
      <c r="G323" s="91"/>
      <c r="J323" s="91"/>
      <c r="M323" s="91"/>
      <c r="P323" s="91"/>
      <c r="S323" s="91"/>
      <c r="T323" s="91"/>
      <c r="U323" s="91"/>
      <c r="V323" s="91"/>
      <c r="W323" s="91"/>
    </row>
    <row r="324">
      <c r="A324" s="91"/>
      <c r="D324" s="91"/>
      <c r="G324" s="91"/>
      <c r="J324" s="91"/>
      <c r="M324" s="91"/>
      <c r="P324" s="91"/>
      <c r="S324" s="91"/>
      <c r="T324" s="91"/>
      <c r="U324" s="91"/>
      <c r="V324" s="91"/>
      <c r="W324" s="91"/>
    </row>
    <row r="325">
      <c r="A325" s="91"/>
      <c r="D325" s="91"/>
      <c r="G325" s="91"/>
      <c r="J325" s="91"/>
      <c r="M325" s="91"/>
      <c r="P325" s="91"/>
      <c r="S325" s="91"/>
      <c r="T325" s="91"/>
      <c r="U325" s="91"/>
      <c r="V325" s="91"/>
      <c r="W325" s="91"/>
    </row>
    <row r="326">
      <c r="A326" s="91"/>
      <c r="D326" s="91"/>
      <c r="G326" s="91"/>
      <c r="J326" s="91"/>
      <c r="M326" s="91"/>
      <c r="P326" s="91"/>
      <c r="S326" s="91"/>
      <c r="T326" s="91"/>
      <c r="U326" s="91"/>
      <c r="V326" s="91"/>
      <c r="W326" s="91"/>
    </row>
    <row r="327">
      <c r="A327" s="91"/>
      <c r="D327" s="91"/>
      <c r="G327" s="91"/>
      <c r="J327" s="91"/>
      <c r="M327" s="91"/>
      <c r="P327" s="91"/>
      <c r="S327" s="91"/>
      <c r="T327" s="91"/>
      <c r="U327" s="91"/>
      <c r="V327" s="91"/>
      <c r="W327" s="91"/>
    </row>
    <row r="328">
      <c r="A328" s="91"/>
      <c r="D328" s="91"/>
      <c r="G328" s="91"/>
      <c r="J328" s="91"/>
      <c r="M328" s="91"/>
      <c r="P328" s="91"/>
      <c r="S328" s="91"/>
      <c r="T328" s="91"/>
      <c r="U328" s="91"/>
      <c r="V328" s="91"/>
      <c r="W328" s="91"/>
    </row>
    <row r="329">
      <c r="A329" s="91"/>
      <c r="D329" s="91"/>
      <c r="G329" s="91"/>
      <c r="J329" s="91"/>
      <c r="M329" s="91"/>
      <c r="P329" s="91"/>
      <c r="S329" s="91"/>
      <c r="T329" s="91"/>
      <c r="U329" s="91"/>
      <c r="V329" s="91"/>
      <c r="W329" s="91"/>
    </row>
    <row r="330">
      <c r="A330" s="91"/>
      <c r="D330" s="91"/>
      <c r="G330" s="91"/>
      <c r="J330" s="91"/>
      <c r="M330" s="91"/>
      <c r="P330" s="91"/>
      <c r="S330" s="91"/>
      <c r="T330" s="91"/>
      <c r="U330" s="91"/>
      <c r="V330" s="91"/>
      <c r="W330" s="91"/>
    </row>
    <row r="331">
      <c r="A331" s="91"/>
      <c r="D331" s="91"/>
      <c r="G331" s="91"/>
      <c r="J331" s="91"/>
      <c r="M331" s="91"/>
      <c r="P331" s="91"/>
      <c r="S331" s="91"/>
      <c r="T331" s="91"/>
      <c r="U331" s="91"/>
      <c r="V331" s="91"/>
      <c r="W331" s="91"/>
    </row>
    <row r="332">
      <c r="A332" s="91"/>
      <c r="D332" s="91"/>
      <c r="G332" s="91"/>
      <c r="J332" s="91"/>
      <c r="M332" s="91"/>
      <c r="P332" s="91"/>
      <c r="S332" s="91"/>
      <c r="T332" s="91"/>
      <c r="U332" s="91"/>
      <c r="V332" s="91"/>
      <c r="W332" s="91"/>
    </row>
    <row r="333">
      <c r="A333" s="91"/>
      <c r="D333" s="91"/>
      <c r="G333" s="91"/>
      <c r="J333" s="91"/>
      <c r="M333" s="91"/>
      <c r="P333" s="91"/>
      <c r="S333" s="91"/>
      <c r="T333" s="91"/>
      <c r="U333" s="91"/>
      <c r="V333" s="91"/>
      <c r="W333" s="91"/>
    </row>
    <row r="334">
      <c r="A334" s="91"/>
      <c r="D334" s="91"/>
      <c r="G334" s="91"/>
      <c r="J334" s="91"/>
      <c r="M334" s="91"/>
      <c r="P334" s="91"/>
      <c r="S334" s="91"/>
      <c r="T334" s="91"/>
      <c r="U334" s="91"/>
      <c r="V334" s="91"/>
      <c r="W334" s="91"/>
    </row>
    <row r="335">
      <c r="A335" s="91"/>
      <c r="D335" s="91"/>
      <c r="G335" s="91"/>
      <c r="J335" s="91"/>
      <c r="M335" s="91"/>
      <c r="P335" s="91"/>
      <c r="S335" s="91"/>
      <c r="T335" s="91"/>
      <c r="U335" s="91"/>
      <c r="V335" s="91"/>
      <c r="W335" s="91"/>
    </row>
    <row r="336">
      <c r="A336" s="91"/>
      <c r="D336" s="91"/>
      <c r="G336" s="91"/>
      <c r="J336" s="91"/>
      <c r="M336" s="91"/>
      <c r="P336" s="91"/>
      <c r="S336" s="91"/>
      <c r="T336" s="91"/>
      <c r="U336" s="91"/>
      <c r="V336" s="91"/>
      <c r="W336" s="91"/>
    </row>
    <row r="337">
      <c r="A337" s="91"/>
      <c r="D337" s="91"/>
      <c r="G337" s="91"/>
      <c r="J337" s="91"/>
      <c r="M337" s="91"/>
      <c r="P337" s="91"/>
      <c r="S337" s="91"/>
      <c r="T337" s="91"/>
      <c r="U337" s="91"/>
      <c r="V337" s="91"/>
      <c r="W337" s="91"/>
    </row>
    <row r="338">
      <c r="A338" s="91"/>
      <c r="D338" s="91"/>
      <c r="G338" s="91"/>
      <c r="J338" s="91"/>
      <c r="M338" s="91"/>
      <c r="P338" s="91"/>
      <c r="S338" s="91"/>
      <c r="T338" s="91"/>
      <c r="U338" s="91"/>
      <c r="V338" s="91"/>
      <c r="W338" s="91"/>
    </row>
    <row r="339">
      <c r="A339" s="91"/>
      <c r="D339" s="91"/>
      <c r="G339" s="91"/>
      <c r="J339" s="91"/>
      <c r="M339" s="91"/>
      <c r="P339" s="91"/>
      <c r="S339" s="91"/>
      <c r="T339" s="91"/>
      <c r="U339" s="91"/>
      <c r="V339" s="91"/>
      <c r="W339" s="91"/>
    </row>
    <row r="340">
      <c r="A340" s="91"/>
      <c r="D340" s="91"/>
      <c r="G340" s="91"/>
      <c r="J340" s="91"/>
      <c r="M340" s="91"/>
      <c r="P340" s="91"/>
      <c r="S340" s="91"/>
      <c r="T340" s="91"/>
      <c r="U340" s="91"/>
      <c r="V340" s="91"/>
      <c r="W340" s="91"/>
    </row>
    <row r="341">
      <c r="A341" s="91"/>
      <c r="D341" s="91"/>
      <c r="G341" s="91"/>
      <c r="J341" s="91"/>
      <c r="M341" s="91"/>
      <c r="P341" s="91"/>
      <c r="S341" s="91"/>
      <c r="T341" s="91"/>
      <c r="U341" s="91"/>
      <c r="V341" s="91"/>
      <c r="W341" s="91"/>
    </row>
    <row r="342">
      <c r="A342" s="91"/>
      <c r="D342" s="91"/>
      <c r="G342" s="91"/>
      <c r="J342" s="91"/>
      <c r="M342" s="91"/>
      <c r="P342" s="91"/>
      <c r="S342" s="91"/>
      <c r="T342" s="91"/>
      <c r="U342" s="91"/>
      <c r="V342" s="91"/>
      <c r="W342" s="91"/>
    </row>
    <row r="343">
      <c r="A343" s="91"/>
      <c r="D343" s="91"/>
      <c r="G343" s="91"/>
      <c r="J343" s="91"/>
      <c r="M343" s="91"/>
      <c r="P343" s="91"/>
      <c r="S343" s="91"/>
      <c r="T343" s="91"/>
      <c r="U343" s="91"/>
      <c r="V343" s="91"/>
      <c r="W343" s="91"/>
    </row>
    <row r="344">
      <c r="A344" s="91"/>
      <c r="D344" s="91"/>
      <c r="G344" s="91"/>
      <c r="J344" s="91"/>
      <c r="M344" s="91"/>
      <c r="P344" s="91"/>
      <c r="S344" s="91"/>
      <c r="T344" s="91"/>
      <c r="U344" s="91"/>
      <c r="V344" s="91"/>
      <c r="W344" s="91"/>
    </row>
    <row r="345">
      <c r="A345" s="91"/>
      <c r="D345" s="91"/>
      <c r="G345" s="91"/>
      <c r="J345" s="91"/>
      <c r="M345" s="91"/>
      <c r="P345" s="91"/>
      <c r="S345" s="91"/>
      <c r="T345" s="91"/>
      <c r="U345" s="91"/>
      <c r="V345" s="91"/>
      <c r="W345" s="91"/>
    </row>
    <row r="346">
      <c r="A346" s="91"/>
      <c r="D346" s="91"/>
      <c r="G346" s="91"/>
      <c r="J346" s="91"/>
      <c r="M346" s="91"/>
      <c r="P346" s="91"/>
      <c r="S346" s="91"/>
      <c r="T346" s="91"/>
      <c r="U346" s="91"/>
      <c r="V346" s="91"/>
      <c r="W346" s="91"/>
    </row>
    <row r="347">
      <c r="A347" s="91"/>
      <c r="D347" s="91"/>
      <c r="G347" s="91"/>
      <c r="J347" s="91"/>
      <c r="M347" s="91"/>
      <c r="P347" s="91"/>
      <c r="S347" s="91"/>
      <c r="T347" s="91"/>
      <c r="U347" s="91"/>
      <c r="V347" s="91"/>
      <c r="W347" s="91"/>
    </row>
    <row r="348">
      <c r="A348" s="91"/>
      <c r="D348" s="91"/>
      <c r="G348" s="91"/>
      <c r="J348" s="91"/>
      <c r="M348" s="91"/>
      <c r="P348" s="91"/>
      <c r="S348" s="91"/>
      <c r="T348" s="91"/>
      <c r="U348" s="91"/>
      <c r="V348" s="91"/>
      <c r="W348" s="91"/>
    </row>
    <row r="349">
      <c r="A349" s="91"/>
      <c r="D349" s="91"/>
      <c r="G349" s="91"/>
      <c r="J349" s="91"/>
      <c r="M349" s="91"/>
      <c r="P349" s="91"/>
      <c r="S349" s="91"/>
      <c r="T349" s="91"/>
      <c r="U349" s="91"/>
      <c r="V349" s="91"/>
      <c r="W349" s="91"/>
    </row>
    <row r="350">
      <c r="A350" s="91"/>
      <c r="D350" s="91"/>
      <c r="G350" s="91"/>
      <c r="J350" s="91"/>
      <c r="M350" s="91"/>
      <c r="P350" s="91"/>
      <c r="S350" s="91"/>
      <c r="T350" s="91"/>
      <c r="U350" s="91"/>
      <c r="V350" s="91"/>
      <c r="W350" s="91"/>
    </row>
    <row r="351">
      <c r="A351" s="91"/>
      <c r="D351" s="91"/>
      <c r="G351" s="91"/>
      <c r="J351" s="91"/>
      <c r="M351" s="91"/>
      <c r="P351" s="91"/>
      <c r="S351" s="91"/>
      <c r="T351" s="91"/>
      <c r="U351" s="91"/>
      <c r="V351" s="91"/>
      <c r="W351" s="91"/>
    </row>
    <row r="352">
      <c r="A352" s="91"/>
      <c r="D352" s="91"/>
      <c r="G352" s="91"/>
      <c r="J352" s="91"/>
      <c r="M352" s="91"/>
      <c r="P352" s="91"/>
      <c r="S352" s="91"/>
      <c r="T352" s="91"/>
      <c r="U352" s="91"/>
      <c r="V352" s="91"/>
      <c r="W352" s="91"/>
    </row>
    <row r="353">
      <c r="A353" s="91"/>
      <c r="D353" s="91"/>
      <c r="G353" s="91"/>
      <c r="J353" s="91"/>
      <c r="M353" s="91"/>
      <c r="P353" s="91"/>
      <c r="S353" s="91"/>
      <c r="T353" s="91"/>
      <c r="U353" s="91"/>
      <c r="V353" s="91"/>
      <c r="W353" s="91"/>
    </row>
    <row r="354">
      <c r="A354" s="91"/>
      <c r="D354" s="91"/>
      <c r="G354" s="91"/>
      <c r="J354" s="91"/>
      <c r="M354" s="91"/>
      <c r="P354" s="91"/>
      <c r="S354" s="91"/>
      <c r="T354" s="91"/>
      <c r="U354" s="91"/>
      <c r="V354" s="91"/>
      <c r="W354" s="91"/>
    </row>
    <row r="355">
      <c r="A355" s="91"/>
      <c r="D355" s="91"/>
      <c r="G355" s="91"/>
      <c r="J355" s="91"/>
      <c r="M355" s="91"/>
      <c r="P355" s="91"/>
      <c r="S355" s="91"/>
      <c r="T355" s="91"/>
      <c r="U355" s="91"/>
      <c r="V355" s="91"/>
      <c r="W355" s="91"/>
    </row>
    <row r="356">
      <c r="A356" s="91"/>
      <c r="D356" s="91"/>
      <c r="G356" s="91"/>
      <c r="J356" s="91"/>
      <c r="M356" s="91"/>
      <c r="P356" s="91"/>
      <c r="S356" s="91"/>
      <c r="T356" s="91"/>
      <c r="U356" s="91"/>
      <c r="V356" s="91"/>
      <c r="W356" s="91"/>
    </row>
    <row r="357">
      <c r="A357" s="91"/>
      <c r="D357" s="91"/>
      <c r="G357" s="91"/>
      <c r="J357" s="91"/>
      <c r="M357" s="91"/>
      <c r="P357" s="91"/>
      <c r="S357" s="91"/>
      <c r="T357" s="91"/>
      <c r="U357" s="91"/>
      <c r="V357" s="91"/>
      <c r="W357" s="91"/>
    </row>
    <row r="358">
      <c r="A358" s="91"/>
      <c r="D358" s="91"/>
      <c r="G358" s="91"/>
      <c r="J358" s="91"/>
      <c r="M358" s="91"/>
      <c r="P358" s="91"/>
      <c r="S358" s="91"/>
      <c r="T358" s="91"/>
      <c r="U358" s="91"/>
      <c r="V358" s="91"/>
      <c r="W358" s="91"/>
    </row>
    <row r="359">
      <c r="A359" s="91"/>
      <c r="D359" s="91"/>
      <c r="G359" s="91"/>
      <c r="J359" s="91"/>
      <c r="M359" s="91"/>
      <c r="P359" s="91"/>
      <c r="S359" s="91"/>
      <c r="T359" s="91"/>
      <c r="U359" s="91"/>
      <c r="V359" s="91"/>
      <c r="W359" s="91"/>
    </row>
    <row r="360">
      <c r="A360" s="91"/>
      <c r="D360" s="91"/>
      <c r="G360" s="91"/>
      <c r="J360" s="91"/>
      <c r="M360" s="91"/>
      <c r="P360" s="91"/>
      <c r="S360" s="91"/>
      <c r="T360" s="91"/>
      <c r="U360" s="91"/>
      <c r="V360" s="91"/>
      <c r="W360" s="91"/>
    </row>
    <row r="361">
      <c r="A361" s="91"/>
      <c r="D361" s="91"/>
      <c r="G361" s="91"/>
      <c r="J361" s="91"/>
      <c r="M361" s="91"/>
      <c r="P361" s="91"/>
      <c r="S361" s="91"/>
      <c r="T361" s="91"/>
      <c r="U361" s="91"/>
      <c r="V361" s="91"/>
      <c r="W361" s="91"/>
    </row>
    <row r="362">
      <c r="A362" s="91"/>
      <c r="D362" s="91"/>
      <c r="G362" s="91"/>
      <c r="J362" s="91"/>
      <c r="M362" s="91"/>
      <c r="P362" s="91"/>
      <c r="S362" s="91"/>
      <c r="T362" s="91"/>
      <c r="U362" s="91"/>
      <c r="V362" s="91"/>
      <c r="W362" s="91"/>
    </row>
    <row r="363">
      <c r="A363" s="91"/>
      <c r="D363" s="91"/>
      <c r="G363" s="91"/>
      <c r="J363" s="91"/>
      <c r="M363" s="91"/>
      <c r="P363" s="91"/>
      <c r="S363" s="91"/>
      <c r="T363" s="91"/>
      <c r="U363" s="91"/>
      <c r="V363" s="91"/>
      <c r="W363" s="91"/>
    </row>
    <row r="364">
      <c r="A364" s="91"/>
      <c r="D364" s="91"/>
      <c r="G364" s="91"/>
      <c r="J364" s="91"/>
      <c r="M364" s="91"/>
      <c r="P364" s="91"/>
      <c r="S364" s="91"/>
      <c r="T364" s="91"/>
      <c r="U364" s="91"/>
      <c r="V364" s="91"/>
      <c r="W364" s="91"/>
    </row>
    <row r="365">
      <c r="A365" s="91"/>
      <c r="D365" s="91"/>
      <c r="G365" s="91"/>
      <c r="J365" s="91"/>
      <c r="M365" s="91"/>
      <c r="P365" s="91"/>
      <c r="S365" s="91"/>
      <c r="T365" s="91"/>
      <c r="U365" s="91"/>
      <c r="V365" s="91"/>
      <c r="W365" s="91"/>
    </row>
    <row r="366">
      <c r="A366" s="91"/>
      <c r="D366" s="91"/>
      <c r="G366" s="91"/>
      <c r="J366" s="91"/>
      <c r="M366" s="91"/>
      <c r="P366" s="91"/>
      <c r="S366" s="91"/>
      <c r="T366" s="91"/>
      <c r="U366" s="91"/>
      <c r="V366" s="91"/>
      <c r="W366" s="91"/>
    </row>
    <row r="367">
      <c r="A367" s="91"/>
      <c r="D367" s="91"/>
      <c r="G367" s="91"/>
      <c r="J367" s="91"/>
      <c r="M367" s="91"/>
      <c r="P367" s="91"/>
      <c r="S367" s="91"/>
      <c r="T367" s="91"/>
      <c r="U367" s="91"/>
      <c r="V367" s="91"/>
      <c r="W367" s="91"/>
    </row>
    <row r="368">
      <c r="A368" s="91"/>
      <c r="D368" s="91"/>
      <c r="G368" s="91"/>
      <c r="J368" s="91"/>
      <c r="M368" s="91"/>
      <c r="P368" s="91"/>
      <c r="S368" s="91"/>
      <c r="T368" s="91"/>
      <c r="U368" s="91"/>
      <c r="V368" s="91"/>
      <c r="W368" s="91"/>
    </row>
    <row r="369">
      <c r="A369" s="91"/>
      <c r="D369" s="91"/>
      <c r="G369" s="91"/>
      <c r="J369" s="91"/>
      <c r="M369" s="91"/>
      <c r="P369" s="91"/>
      <c r="S369" s="91"/>
      <c r="T369" s="91"/>
      <c r="U369" s="91"/>
      <c r="V369" s="91"/>
      <c r="W369" s="91"/>
    </row>
    <row r="370">
      <c r="A370" s="91"/>
      <c r="D370" s="91"/>
      <c r="G370" s="91"/>
      <c r="J370" s="91"/>
      <c r="M370" s="91"/>
      <c r="P370" s="91"/>
      <c r="S370" s="91"/>
      <c r="T370" s="91"/>
      <c r="U370" s="91"/>
      <c r="V370" s="91"/>
      <c r="W370" s="91"/>
    </row>
    <row r="371">
      <c r="A371" s="91"/>
      <c r="D371" s="91"/>
      <c r="G371" s="91"/>
      <c r="J371" s="91"/>
      <c r="M371" s="91"/>
      <c r="P371" s="91"/>
      <c r="S371" s="91"/>
      <c r="T371" s="91"/>
      <c r="U371" s="91"/>
      <c r="V371" s="91"/>
      <c r="W371" s="91"/>
    </row>
    <row r="372">
      <c r="A372" s="91"/>
      <c r="D372" s="91"/>
      <c r="G372" s="91"/>
      <c r="J372" s="91"/>
      <c r="M372" s="91"/>
      <c r="P372" s="91"/>
      <c r="S372" s="91"/>
      <c r="T372" s="91"/>
      <c r="U372" s="91"/>
      <c r="V372" s="91"/>
      <c r="W372" s="91"/>
    </row>
    <row r="373">
      <c r="A373" s="91"/>
      <c r="D373" s="91"/>
      <c r="G373" s="91"/>
      <c r="J373" s="91"/>
      <c r="M373" s="91"/>
      <c r="P373" s="91"/>
      <c r="S373" s="91"/>
      <c r="T373" s="91"/>
      <c r="U373" s="91"/>
      <c r="V373" s="91"/>
      <c r="W373" s="91"/>
    </row>
    <row r="374">
      <c r="A374" s="91"/>
      <c r="D374" s="91"/>
      <c r="G374" s="91"/>
      <c r="J374" s="91"/>
      <c r="M374" s="91"/>
      <c r="P374" s="91"/>
      <c r="S374" s="91"/>
      <c r="T374" s="91"/>
      <c r="U374" s="91"/>
      <c r="V374" s="91"/>
      <c r="W374" s="91"/>
    </row>
    <row r="375">
      <c r="A375" s="91"/>
      <c r="D375" s="91"/>
      <c r="G375" s="91"/>
      <c r="J375" s="91"/>
      <c r="M375" s="91"/>
      <c r="P375" s="91"/>
      <c r="S375" s="91"/>
      <c r="T375" s="91"/>
      <c r="U375" s="91"/>
      <c r="V375" s="91"/>
      <c r="W375" s="91"/>
    </row>
    <row r="376">
      <c r="A376" s="91"/>
      <c r="D376" s="91"/>
      <c r="G376" s="91"/>
      <c r="J376" s="91"/>
      <c r="M376" s="91"/>
      <c r="P376" s="91"/>
      <c r="S376" s="91"/>
      <c r="T376" s="91"/>
      <c r="U376" s="91"/>
      <c r="V376" s="91"/>
      <c r="W376" s="91"/>
    </row>
    <row r="377">
      <c r="A377" s="91"/>
      <c r="D377" s="91"/>
      <c r="G377" s="91"/>
      <c r="J377" s="91"/>
      <c r="M377" s="91"/>
      <c r="P377" s="91"/>
      <c r="S377" s="91"/>
      <c r="T377" s="91"/>
      <c r="U377" s="91"/>
      <c r="V377" s="91"/>
      <c r="W377" s="91"/>
    </row>
    <row r="378">
      <c r="A378" s="91"/>
      <c r="D378" s="91"/>
      <c r="G378" s="91"/>
      <c r="J378" s="91"/>
      <c r="M378" s="91"/>
      <c r="P378" s="91"/>
      <c r="S378" s="91"/>
      <c r="T378" s="91"/>
      <c r="U378" s="91"/>
      <c r="V378" s="91"/>
      <c r="W378" s="91"/>
    </row>
    <row r="379">
      <c r="A379" s="91"/>
      <c r="D379" s="91"/>
      <c r="G379" s="91"/>
      <c r="J379" s="91"/>
      <c r="M379" s="91"/>
      <c r="P379" s="91"/>
      <c r="S379" s="91"/>
      <c r="T379" s="91"/>
      <c r="U379" s="91"/>
      <c r="V379" s="91"/>
      <c r="W379" s="91"/>
    </row>
    <row r="380">
      <c r="A380" s="91"/>
      <c r="D380" s="91"/>
      <c r="G380" s="91"/>
      <c r="J380" s="91"/>
      <c r="M380" s="91"/>
      <c r="P380" s="91"/>
      <c r="S380" s="91"/>
      <c r="T380" s="91"/>
      <c r="U380" s="91"/>
      <c r="V380" s="91"/>
      <c r="W380" s="91"/>
    </row>
    <row r="381">
      <c r="A381" s="91"/>
      <c r="D381" s="91"/>
      <c r="G381" s="91"/>
      <c r="J381" s="91"/>
      <c r="M381" s="91"/>
      <c r="P381" s="91"/>
      <c r="S381" s="91"/>
      <c r="T381" s="91"/>
      <c r="U381" s="91"/>
      <c r="V381" s="91"/>
      <c r="W381" s="91"/>
    </row>
    <row r="382">
      <c r="A382" s="91"/>
      <c r="D382" s="91"/>
      <c r="G382" s="91"/>
      <c r="J382" s="91"/>
      <c r="M382" s="91"/>
      <c r="P382" s="91"/>
      <c r="S382" s="91"/>
      <c r="T382" s="91"/>
      <c r="U382" s="91"/>
      <c r="V382" s="91"/>
      <c r="W382" s="91"/>
    </row>
    <row r="383">
      <c r="A383" s="91"/>
      <c r="D383" s="91"/>
      <c r="G383" s="91"/>
      <c r="J383" s="91"/>
      <c r="M383" s="91"/>
      <c r="P383" s="91"/>
      <c r="S383" s="91"/>
      <c r="T383" s="91"/>
      <c r="U383" s="91"/>
      <c r="V383" s="91"/>
      <c r="W383" s="91"/>
    </row>
    <row r="384">
      <c r="A384" s="91"/>
      <c r="D384" s="91"/>
      <c r="G384" s="91"/>
      <c r="J384" s="91"/>
      <c r="M384" s="91"/>
      <c r="P384" s="91"/>
      <c r="S384" s="91"/>
      <c r="T384" s="91"/>
      <c r="U384" s="91"/>
      <c r="V384" s="91"/>
      <c r="W384" s="91"/>
    </row>
    <row r="385">
      <c r="A385" s="91"/>
      <c r="D385" s="91"/>
      <c r="G385" s="91"/>
      <c r="J385" s="91"/>
      <c r="M385" s="91"/>
      <c r="P385" s="91"/>
      <c r="S385" s="91"/>
      <c r="T385" s="91"/>
      <c r="U385" s="91"/>
      <c r="V385" s="91"/>
      <c r="W385" s="91"/>
    </row>
    <row r="386">
      <c r="A386" s="91"/>
      <c r="D386" s="91"/>
      <c r="G386" s="91"/>
      <c r="J386" s="91"/>
      <c r="M386" s="91"/>
      <c r="P386" s="91"/>
      <c r="S386" s="91"/>
      <c r="T386" s="91"/>
      <c r="U386" s="91"/>
      <c r="V386" s="91"/>
      <c r="W386" s="91"/>
    </row>
    <row r="387">
      <c r="A387" s="91"/>
      <c r="D387" s="91"/>
      <c r="G387" s="91"/>
      <c r="J387" s="91"/>
      <c r="M387" s="91"/>
      <c r="P387" s="91"/>
      <c r="S387" s="91"/>
      <c r="T387" s="91"/>
      <c r="U387" s="91"/>
      <c r="V387" s="91"/>
      <c r="W387" s="91"/>
    </row>
    <row r="388">
      <c r="A388" s="91"/>
      <c r="D388" s="91"/>
      <c r="G388" s="91"/>
      <c r="J388" s="91"/>
      <c r="M388" s="91"/>
      <c r="P388" s="91"/>
      <c r="S388" s="91"/>
      <c r="T388" s="91"/>
      <c r="U388" s="91"/>
      <c r="V388" s="91"/>
      <c r="W388" s="91"/>
    </row>
    <row r="389">
      <c r="A389" s="91"/>
      <c r="D389" s="91"/>
      <c r="G389" s="91"/>
      <c r="J389" s="91"/>
      <c r="M389" s="91"/>
      <c r="P389" s="91"/>
      <c r="S389" s="91"/>
      <c r="T389" s="91"/>
      <c r="U389" s="91"/>
      <c r="V389" s="91"/>
      <c r="W389" s="91"/>
    </row>
    <row r="390">
      <c r="A390" s="91"/>
      <c r="D390" s="91"/>
      <c r="G390" s="91"/>
      <c r="J390" s="91"/>
      <c r="M390" s="91"/>
      <c r="P390" s="91"/>
      <c r="S390" s="91"/>
      <c r="T390" s="91"/>
      <c r="U390" s="91"/>
      <c r="V390" s="91"/>
      <c r="W390" s="91"/>
    </row>
    <row r="391">
      <c r="A391" s="91"/>
      <c r="D391" s="91"/>
      <c r="G391" s="91"/>
      <c r="J391" s="91"/>
      <c r="M391" s="91"/>
      <c r="P391" s="91"/>
      <c r="S391" s="91"/>
      <c r="T391" s="91"/>
      <c r="U391" s="91"/>
      <c r="V391" s="91"/>
      <c r="W391" s="91"/>
    </row>
    <row r="392">
      <c r="A392" s="91"/>
      <c r="D392" s="91"/>
      <c r="G392" s="91"/>
      <c r="J392" s="91"/>
      <c r="M392" s="91"/>
      <c r="P392" s="91"/>
      <c r="S392" s="91"/>
      <c r="T392" s="91"/>
      <c r="U392" s="91"/>
      <c r="V392" s="91"/>
      <c r="W392" s="91"/>
    </row>
    <row r="393">
      <c r="A393" s="91"/>
      <c r="D393" s="91"/>
      <c r="G393" s="91"/>
      <c r="J393" s="91"/>
      <c r="M393" s="91"/>
      <c r="P393" s="91"/>
      <c r="S393" s="91"/>
      <c r="T393" s="91"/>
      <c r="U393" s="91"/>
      <c r="V393" s="91"/>
      <c r="W393" s="91"/>
    </row>
    <row r="394">
      <c r="A394" s="91"/>
      <c r="D394" s="91"/>
      <c r="G394" s="91"/>
      <c r="J394" s="91"/>
      <c r="M394" s="91"/>
      <c r="P394" s="91"/>
      <c r="S394" s="91"/>
      <c r="T394" s="91"/>
      <c r="U394" s="91"/>
      <c r="V394" s="91"/>
      <c r="W394" s="91"/>
    </row>
    <row r="395">
      <c r="A395" s="91"/>
      <c r="D395" s="91"/>
      <c r="G395" s="91"/>
      <c r="J395" s="91"/>
      <c r="M395" s="91"/>
      <c r="P395" s="91"/>
      <c r="S395" s="91"/>
      <c r="T395" s="91"/>
      <c r="U395" s="91"/>
      <c r="V395" s="91"/>
      <c r="W395" s="91"/>
    </row>
    <row r="396">
      <c r="A396" s="91"/>
      <c r="D396" s="91"/>
      <c r="G396" s="91"/>
      <c r="J396" s="91"/>
      <c r="M396" s="91"/>
      <c r="P396" s="91"/>
      <c r="S396" s="91"/>
      <c r="T396" s="91"/>
      <c r="U396" s="91"/>
      <c r="V396" s="91"/>
      <c r="W396" s="91"/>
    </row>
    <row r="397">
      <c r="A397" s="91"/>
      <c r="D397" s="91"/>
      <c r="G397" s="91"/>
      <c r="J397" s="91"/>
      <c r="M397" s="91"/>
      <c r="P397" s="91"/>
      <c r="S397" s="91"/>
      <c r="T397" s="91"/>
      <c r="U397" s="91"/>
      <c r="V397" s="91"/>
      <c r="W397" s="91"/>
    </row>
    <row r="398">
      <c r="A398" s="91"/>
      <c r="D398" s="91"/>
      <c r="G398" s="91"/>
      <c r="J398" s="91"/>
      <c r="M398" s="91"/>
      <c r="P398" s="91"/>
      <c r="S398" s="91"/>
      <c r="T398" s="91"/>
      <c r="U398" s="91"/>
      <c r="V398" s="91"/>
      <c r="W398" s="91"/>
    </row>
    <row r="399">
      <c r="A399" s="91"/>
      <c r="D399" s="91"/>
      <c r="G399" s="91"/>
      <c r="J399" s="91"/>
      <c r="M399" s="91"/>
      <c r="P399" s="91"/>
      <c r="S399" s="91"/>
      <c r="T399" s="91"/>
      <c r="U399" s="91"/>
      <c r="V399" s="91"/>
      <c r="W399" s="91"/>
    </row>
    <row r="400">
      <c r="A400" s="91"/>
      <c r="D400" s="91"/>
      <c r="G400" s="91"/>
      <c r="J400" s="91"/>
      <c r="M400" s="91"/>
      <c r="P400" s="91"/>
      <c r="S400" s="91"/>
      <c r="T400" s="91"/>
      <c r="U400" s="91"/>
      <c r="V400" s="91"/>
      <c r="W400" s="91"/>
    </row>
    <row r="401">
      <c r="A401" s="91"/>
      <c r="D401" s="91"/>
      <c r="G401" s="91"/>
      <c r="J401" s="91"/>
      <c r="M401" s="91"/>
      <c r="P401" s="91"/>
      <c r="S401" s="91"/>
      <c r="T401" s="91"/>
      <c r="U401" s="91"/>
      <c r="V401" s="91"/>
      <c r="W401" s="91"/>
    </row>
    <row r="402">
      <c r="A402" s="91"/>
      <c r="D402" s="91"/>
      <c r="G402" s="91"/>
      <c r="J402" s="91"/>
      <c r="M402" s="91"/>
      <c r="P402" s="91"/>
      <c r="S402" s="91"/>
      <c r="T402" s="91"/>
      <c r="U402" s="91"/>
      <c r="V402" s="91"/>
      <c r="W402" s="91"/>
    </row>
    <row r="403">
      <c r="A403" s="91"/>
      <c r="D403" s="91"/>
      <c r="G403" s="91"/>
      <c r="J403" s="91"/>
      <c r="M403" s="91"/>
      <c r="P403" s="91"/>
      <c r="S403" s="91"/>
      <c r="T403" s="91"/>
      <c r="U403" s="91"/>
      <c r="V403" s="91"/>
      <c r="W403" s="91"/>
    </row>
    <row r="404">
      <c r="A404" s="91"/>
      <c r="D404" s="91"/>
      <c r="G404" s="91"/>
      <c r="J404" s="91"/>
      <c r="M404" s="91"/>
      <c r="P404" s="91"/>
      <c r="S404" s="91"/>
      <c r="T404" s="91"/>
      <c r="U404" s="91"/>
      <c r="V404" s="91"/>
      <c r="W404" s="91"/>
    </row>
    <row r="405">
      <c r="A405" s="91"/>
      <c r="D405" s="91"/>
      <c r="G405" s="91"/>
      <c r="J405" s="91"/>
      <c r="M405" s="91"/>
      <c r="P405" s="91"/>
      <c r="S405" s="91"/>
      <c r="T405" s="91"/>
      <c r="U405" s="91"/>
      <c r="V405" s="91"/>
      <c r="W405" s="91"/>
    </row>
    <row r="406">
      <c r="A406" s="91"/>
      <c r="D406" s="91"/>
      <c r="G406" s="91"/>
      <c r="J406" s="91"/>
      <c r="M406" s="91"/>
      <c r="P406" s="91"/>
      <c r="S406" s="91"/>
      <c r="T406" s="91"/>
      <c r="U406" s="91"/>
      <c r="V406" s="91"/>
      <c r="W406" s="91"/>
    </row>
    <row r="407">
      <c r="A407" s="91"/>
      <c r="D407" s="91"/>
      <c r="G407" s="91"/>
      <c r="J407" s="91"/>
      <c r="M407" s="91"/>
      <c r="P407" s="91"/>
      <c r="S407" s="91"/>
      <c r="T407" s="91"/>
      <c r="U407" s="91"/>
      <c r="V407" s="91"/>
      <c r="W407" s="91"/>
    </row>
    <row r="408">
      <c r="A408" s="91"/>
      <c r="D408" s="91"/>
      <c r="G408" s="91"/>
      <c r="J408" s="91"/>
      <c r="M408" s="91"/>
      <c r="P408" s="91"/>
      <c r="S408" s="91"/>
      <c r="T408" s="91"/>
      <c r="U408" s="91"/>
      <c r="V408" s="91"/>
      <c r="W408" s="91"/>
    </row>
    <row r="409">
      <c r="A409" s="91"/>
      <c r="D409" s="91"/>
      <c r="G409" s="91"/>
      <c r="J409" s="91"/>
      <c r="M409" s="91"/>
      <c r="P409" s="91"/>
      <c r="S409" s="91"/>
      <c r="T409" s="91"/>
      <c r="U409" s="91"/>
      <c r="V409" s="91"/>
      <c r="W409" s="91"/>
    </row>
    <row r="410">
      <c r="A410" s="91"/>
      <c r="D410" s="91"/>
      <c r="G410" s="91"/>
      <c r="J410" s="91"/>
      <c r="M410" s="91"/>
      <c r="P410" s="91"/>
      <c r="S410" s="91"/>
      <c r="T410" s="91"/>
      <c r="U410" s="91"/>
      <c r="V410" s="91"/>
      <c r="W410" s="91"/>
    </row>
    <row r="411">
      <c r="A411" s="91"/>
      <c r="D411" s="91"/>
      <c r="G411" s="91"/>
      <c r="J411" s="91"/>
      <c r="M411" s="91"/>
      <c r="P411" s="91"/>
      <c r="S411" s="91"/>
      <c r="T411" s="91"/>
      <c r="U411" s="91"/>
      <c r="V411" s="91"/>
      <c r="W411" s="91"/>
    </row>
    <row r="412">
      <c r="A412" s="91"/>
      <c r="D412" s="91"/>
      <c r="G412" s="91"/>
      <c r="J412" s="91"/>
      <c r="M412" s="91"/>
      <c r="P412" s="91"/>
      <c r="S412" s="91"/>
      <c r="T412" s="91"/>
      <c r="U412" s="91"/>
      <c r="V412" s="91"/>
      <c r="W412" s="91"/>
    </row>
    <row r="413">
      <c r="A413" s="91"/>
      <c r="D413" s="91"/>
      <c r="G413" s="91"/>
      <c r="J413" s="91"/>
      <c r="M413" s="91"/>
      <c r="P413" s="91"/>
      <c r="S413" s="91"/>
      <c r="T413" s="91"/>
      <c r="U413" s="91"/>
      <c r="V413" s="91"/>
      <c r="W413" s="91"/>
    </row>
    <row r="414">
      <c r="A414" s="91"/>
      <c r="D414" s="91"/>
      <c r="G414" s="91"/>
      <c r="J414" s="91"/>
      <c r="M414" s="91"/>
      <c r="P414" s="91"/>
      <c r="S414" s="91"/>
      <c r="T414" s="91"/>
      <c r="U414" s="91"/>
      <c r="V414" s="91"/>
      <c r="W414" s="91"/>
    </row>
    <row r="415">
      <c r="A415" s="91"/>
      <c r="D415" s="91"/>
      <c r="G415" s="91"/>
      <c r="J415" s="91"/>
      <c r="M415" s="91"/>
      <c r="P415" s="91"/>
      <c r="S415" s="91"/>
      <c r="T415" s="91"/>
      <c r="U415" s="91"/>
      <c r="V415" s="91"/>
      <c r="W415" s="91"/>
    </row>
    <row r="416">
      <c r="A416" s="91"/>
      <c r="D416" s="91"/>
      <c r="G416" s="91"/>
      <c r="J416" s="91"/>
      <c r="M416" s="91"/>
      <c r="P416" s="91"/>
      <c r="S416" s="91"/>
      <c r="T416" s="91"/>
      <c r="U416" s="91"/>
      <c r="V416" s="91"/>
      <c r="W416" s="91"/>
    </row>
    <row r="417">
      <c r="A417" s="91"/>
      <c r="D417" s="91"/>
      <c r="G417" s="91"/>
      <c r="J417" s="91"/>
      <c r="M417" s="91"/>
      <c r="P417" s="91"/>
      <c r="S417" s="91"/>
      <c r="T417" s="91"/>
      <c r="U417" s="91"/>
      <c r="V417" s="91"/>
      <c r="W417" s="91"/>
    </row>
    <row r="418">
      <c r="A418" s="91"/>
      <c r="D418" s="91"/>
      <c r="G418" s="91"/>
      <c r="J418" s="91"/>
      <c r="M418" s="91"/>
      <c r="P418" s="91"/>
      <c r="S418" s="91"/>
      <c r="T418" s="91"/>
      <c r="U418" s="91"/>
      <c r="V418" s="91"/>
      <c r="W418" s="91"/>
    </row>
    <row r="419">
      <c r="A419" s="91"/>
      <c r="D419" s="91"/>
      <c r="G419" s="91"/>
      <c r="J419" s="91"/>
      <c r="M419" s="91"/>
      <c r="P419" s="91"/>
      <c r="S419" s="91"/>
      <c r="T419" s="91"/>
      <c r="U419" s="91"/>
      <c r="V419" s="91"/>
      <c r="W419" s="91"/>
    </row>
    <row r="420">
      <c r="A420" s="91"/>
      <c r="D420" s="91"/>
      <c r="G420" s="91"/>
      <c r="J420" s="91"/>
      <c r="M420" s="91"/>
      <c r="P420" s="91"/>
      <c r="S420" s="91"/>
      <c r="T420" s="91"/>
      <c r="U420" s="91"/>
      <c r="V420" s="91"/>
      <c r="W420" s="91"/>
    </row>
    <row r="421">
      <c r="A421" s="91"/>
      <c r="D421" s="91"/>
      <c r="G421" s="91"/>
      <c r="J421" s="91"/>
      <c r="M421" s="91"/>
      <c r="P421" s="91"/>
      <c r="S421" s="91"/>
      <c r="T421" s="91"/>
      <c r="U421" s="91"/>
      <c r="V421" s="91"/>
      <c r="W421" s="91"/>
    </row>
    <row r="422">
      <c r="A422" s="91"/>
      <c r="D422" s="91"/>
      <c r="G422" s="91"/>
      <c r="J422" s="91"/>
      <c r="M422" s="91"/>
      <c r="P422" s="91"/>
      <c r="S422" s="91"/>
      <c r="T422" s="91"/>
      <c r="U422" s="91"/>
      <c r="V422" s="91"/>
      <c r="W422" s="91"/>
    </row>
    <row r="423">
      <c r="A423" s="91"/>
      <c r="D423" s="91"/>
      <c r="G423" s="91"/>
      <c r="J423" s="91"/>
      <c r="M423" s="91"/>
      <c r="P423" s="91"/>
      <c r="S423" s="91"/>
      <c r="T423" s="91"/>
      <c r="U423" s="91"/>
      <c r="V423" s="91"/>
      <c r="W423" s="91"/>
    </row>
    <row r="424">
      <c r="A424" s="91"/>
      <c r="D424" s="91"/>
      <c r="G424" s="91"/>
      <c r="J424" s="91"/>
      <c r="M424" s="91"/>
      <c r="P424" s="91"/>
      <c r="S424" s="91"/>
      <c r="T424" s="91"/>
      <c r="U424" s="91"/>
      <c r="V424" s="91"/>
      <c r="W424" s="91"/>
    </row>
    <row r="425">
      <c r="A425" s="91"/>
      <c r="D425" s="91"/>
      <c r="G425" s="91"/>
      <c r="J425" s="91"/>
      <c r="M425" s="91"/>
      <c r="P425" s="91"/>
      <c r="S425" s="91"/>
      <c r="T425" s="91"/>
      <c r="U425" s="91"/>
      <c r="V425" s="91"/>
      <c r="W425" s="91"/>
    </row>
    <row r="426">
      <c r="A426" s="91"/>
      <c r="D426" s="91"/>
      <c r="G426" s="91"/>
      <c r="J426" s="91"/>
      <c r="M426" s="91"/>
      <c r="P426" s="91"/>
      <c r="S426" s="91"/>
      <c r="T426" s="91"/>
      <c r="U426" s="91"/>
      <c r="V426" s="91"/>
      <c r="W426" s="91"/>
    </row>
    <row r="427">
      <c r="A427" s="91"/>
      <c r="D427" s="91"/>
      <c r="G427" s="91"/>
      <c r="J427" s="91"/>
      <c r="M427" s="91"/>
      <c r="P427" s="91"/>
      <c r="S427" s="91"/>
      <c r="T427" s="91"/>
      <c r="U427" s="91"/>
      <c r="V427" s="91"/>
      <c r="W427" s="91"/>
    </row>
    <row r="428">
      <c r="A428" s="91"/>
      <c r="D428" s="91"/>
      <c r="G428" s="91"/>
      <c r="J428" s="91"/>
      <c r="M428" s="91"/>
      <c r="P428" s="91"/>
      <c r="S428" s="91"/>
      <c r="T428" s="91"/>
      <c r="U428" s="91"/>
      <c r="V428" s="91"/>
      <c r="W428" s="91"/>
    </row>
    <row r="429">
      <c r="A429" s="91"/>
      <c r="D429" s="91"/>
      <c r="G429" s="91"/>
      <c r="J429" s="91"/>
      <c r="M429" s="91"/>
      <c r="P429" s="91"/>
      <c r="S429" s="91"/>
      <c r="T429" s="91"/>
      <c r="U429" s="91"/>
      <c r="V429" s="91"/>
      <c r="W429" s="91"/>
    </row>
    <row r="430">
      <c r="A430" s="91"/>
      <c r="D430" s="91"/>
      <c r="G430" s="91"/>
      <c r="J430" s="91"/>
      <c r="M430" s="91"/>
      <c r="P430" s="91"/>
      <c r="S430" s="91"/>
      <c r="T430" s="91"/>
      <c r="U430" s="91"/>
      <c r="V430" s="91"/>
      <c r="W430" s="91"/>
    </row>
    <row r="431">
      <c r="A431" s="91"/>
      <c r="D431" s="91"/>
      <c r="G431" s="91"/>
      <c r="J431" s="91"/>
      <c r="M431" s="91"/>
      <c r="P431" s="91"/>
      <c r="S431" s="91"/>
      <c r="T431" s="91"/>
      <c r="U431" s="91"/>
      <c r="V431" s="91"/>
      <c r="W431" s="91"/>
    </row>
    <row r="432">
      <c r="A432" s="91"/>
      <c r="D432" s="91"/>
      <c r="G432" s="91"/>
      <c r="J432" s="91"/>
      <c r="M432" s="91"/>
      <c r="P432" s="91"/>
      <c r="S432" s="91"/>
      <c r="T432" s="91"/>
      <c r="U432" s="91"/>
      <c r="V432" s="91"/>
      <c r="W432" s="91"/>
    </row>
    <row r="433">
      <c r="A433" s="91"/>
      <c r="D433" s="91"/>
      <c r="G433" s="91"/>
      <c r="J433" s="91"/>
      <c r="M433" s="91"/>
      <c r="P433" s="91"/>
      <c r="S433" s="91"/>
      <c r="T433" s="91"/>
      <c r="U433" s="91"/>
      <c r="V433" s="91"/>
      <c r="W433" s="91"/>
    </row>
    <row r="434">
      <c r="A434" s="91"/>
      <c r="D434" s="91"/>
      <c r="G434" s="91"/>
      <c r="J434" s="91"/>
      <c r="M434" s="91"/>
      <c r="P434" s="91"/>
      <c r="S434" s="91"/>
      <c r="T434" s="91"/>
      <c r="U434" s="91"/>
      <c r="V434" s="91"/>
      <c r="W434" s="91"/>
    </row>
    <row r="435">
      <c r="A435" s="91"/>
      <c r="D435" s="91"/>
      <c r="G435" s="91"/>
      <c r="J435" s="91"/>
      <c r="M435" s="91"/>
      <c r="P435" s="91"/>
      <c r="S435" s="91"/>
      <c r="T435" s="91"/>
      <c r="U435" s="91"/>
      <c r="V435" s="91"/>
      <c r="W435" s="91"/>
    </row>
    <row r="436">
      <c r="A436" s="91"/>
      <c r="D436" s="91"/>
      <c r="G436" s="91"/>
      <c r="J436" s="91"/>
      <c r="M436" s="91"/>
      <c r="P436" s="91"/>
      <c r="S436" s="91"/>
      <c r="T436" s="91"/>
      <c r="U436" s="91"/>
      <c r="V436" s="91"/>
      <c r="W436" s="91"/>
    </row>
    <row r="437">
      <c r="A437" s="91"/>
      <c r="D437" s="91"/>
      <c r="G437" s="91"/>
      <c r="J437" s="91"/>
      <c r="M437" s="91"/>
      <c r="P437" s="91"/>
      <c r="S437" s="91"/>
      <c r="T437" s="91"/>
      <c r="U437" s="91"/>
      <c r="V437" s="91"/>
      <c r="W437" s="91"/>
    </row>
    <row r="438">
      <c r="A438" s="91"/>
      <c r="D438" s="91"/>
      <c r="G438" s="91"/>
      <c r="J438" s="91"/>
      <c r="M438" s="91"/>
      <c r="P438" s="91"/>
      <c r="S438" s="91"/>
      <c r="T438" s="91"/>
      <c r="U438" s="91"/>
      <c r="V438" s="91"/>
      <c r="W438" s="91"/>
    </row>
    <row r="439">
      <c r="A439" s="91"/>
      <c r="D439" s="91"/>
      <c r="G439" s="91"/>
      <c r="J439" s="91"/>
      <c r="M439" s="91"/>
      <c r="P439" s="91"/>
      <c r="S439" s="91"/>
      <c r="T439" s="91"/>
      <c r="U439" s="91"/>
      <c r="V439" s="91"/>
      <c r="W439" s="91"/>
    </row>
    <row r="440">
      <c r="A440" s="91"/>
      <c r="D440" s="91"/>
      <c r="G440" s="91"/>
      <c r="J440" s="91"/>
      <c r="M440" s="91"/>
      <c r="P440" s="91"/>
      <c r="S440" s="91"/>
      <c r="T440" s="91"/>
      <c r="U440" s="91"/>
      <c r="V440" s="91"/>
      <c r="W440" s="91"/>
    </row>
    <row r="441">
      <c r="A441" s="91"/>
      <c r="D441" s="91"/>
      <c r="G441" s="91"/>
      <c r="J441" s="91"/>
      <c r="M441" s="91"/>
      <c r="P441" s="91"/>
      <c r="S441" s="91"/>
      <c r="T441" s="91"/>
      <c r="U441" s="91"/>
      <c r="V441" s="91"/>
      <c r="W441" s="91"/>
    </row>
    <row r="442">
      <c r="A442" s="91"/>
      <c r="D442" s="91"/>
      <c r="G442" s="91"/>
      <c r="J442" s="91"/>
      <c r="M442" s="91"/>
      <c r="P442" s="91"/>
      <c r="S442" s="91"/>
      <c r="T442" s="91"/>
      <c r="U442" s="91"/>
      <c r="V442" s="91"/>
      <c r="W442" s="91"/>
    </row>
    <row r="443">
      <c r="A443" s="91"/>
      <c r="D443" s="91"/>
      <c r="G443" s="91"/>
      <c r="J443" s="91"/>
      <c r="M443" s="91"/>
      <c r="P443" s="91"/>
      <c r="S443" s="91"/>
      <c r="T443" s="91"/>
      <c r="U443" s="91"/>
      <c r="V443" s="91"/>
      <c r="W443" s="91"/>
    </row>
    <row r="444">
      <c r="A444" s="91"/>
      <c r="D444" s="91"/>
      <c r="G444" s="91"/>
      <c r="J444" s="91"/>
      <c r="M444" s="91"/>
      <c r="P444" s="91"/>
      <c r="S444" s="91"/>
      <c r="T444" s="91"/>
      <c r="U444" s="91"/>
      <c r="V444" s="91"/>
      <c r="W444" s="91"/>
    </row>
    <row r="445">
      <c r="A445" s="91"/>
      <c r="D445" s="91"/>
      <c r="G445" s="91"/>
      <c r="J445" s="91"/>
      <c r="M445" s="91"/>
      <c r="P445" s="91"/>
      <c r="S445" s="91"/>
      <c r="T445" s="91"/>
      <c r="U445" s="91"/>
      <c r="V445" s="91"/>
      <c r="W445" s="91"/>
    </row>
    <row r="446">
      <c r="A446" s="91"/>
      <c r="D446" s="91"/>
      <c r="G446" s="91"/>
      <c r="J446" s="91"/>
      <c r="M446" s="91"/>
      <c r="P446" s="91"/>
      <c r="S446" s="91"/>
      <c r="T446" s="91"/>
      <c r="U446" s="91"/>
      <c r="V446" s="91"/>
      <c r="W446" s="91"/>
    </row>
    <row r="447">
      <c r="A447" s="91"/>
      <c r="D447" s="91"/>
      <c r="G447" s="91"/>
      <c r="J447" s="91"/>
      <c r="M447" s="91"/>
      <c r="P447" s="91"/>
      <c r="S447" s="91"/>
      <c r="T447" s="91"/>
      <c r="U447" s="91"/>
      <c r="V447" s="91"/>
      <c r="W447" s="91"/>
    </row>
    <row r="448">
      <c r="A448" s="91"/>
      <c r="D448" s="91"/>
      <c r="G448" s="91"/>
      <c r="J448" s="91"/>
      <c r="M448" s="91"/>
      <c r="P448" s="91"/>
      <c r="S448" s="91"/>
      <c r="T448" s="91"/>
      <c r="U448" s="91"/>
      <c r="V448" s="91"/>
      <c r="W448" s="91"/>
    </row>
    <row r="449">
      <c r="A449" s="91"/>
      <c r="D449" s="91"/>
      <c r="G449" s="91"/>
      <c r="J449" s="91"/>
      <c r="M449" s="91"/>
      <c r="P449" s="91"/>
      <c r="S449" s="91"/>
      <c r="T449" s="91"/>
      <c r="U449" s="91"/>
      <c r="V449" s="91"/>
      <c r="W449" s="91"/>
    </row>
    <row r="450">
      <c r="A450" s="91"/>
      <c r="D450" s="91"/>
      <c r="G450" s="91"/>
      <c r="J450" s="91"/>
      <c r="M450" s="91"/>
      <c r="P450" s="91"/>
      <c r="S450" s="91"/>
      <c r="T450" s="91"/>
      <c r="U450" s="91"/>
      <c r="V450" s="91"/>
      <c r="W450" s="91"/>
    </row>
    <row r="451">
      <c r="A451" s="91"/>
      <c r="D451" s="91"/>
      <c r="G451" s="91"/>
      <c r="J451" s="91"/>
      <c r="M451" s="91"/>
      <c r="P451" s="91"/>
      <c r="S451" s="91"/>
      <c r="T451" s="91"/>
      <c r="U451" s="91"/>
      <c r="V451" s="91"/>
      <c r="W451" s="91"/>
    </row>
    <row r="452">
      <c r="A452" s="91"/>
      <c r="D452" s="91"/>
      <c r="G452" s="91"/>
      <c r="J452" s="91"/>
      <c r="M452" s="91"/>
      <c r="P452" s="91"/>
      <c r="S452" s="91"/>
      <c r="T452" s="91"/>
      <c r="U452" s="91"/>
      <c r="V452" s="91"/>
      <c r="W452" s="91"/>
    </row>
    <row r="453">
      <c r="A453" s="91"/>
      <c r="D453" s="91"/>
      <c r="G453" s="91"/>
      <c r="J453" s="91"/>
      <c r="M453" s="91"/>
      <c r="P453" s="91"/>
      <c r="S453" s="91"/>
      <c r="T453" s="91"/>
      <c r="U453" s="91"/>
      <c r="V453" s="91"/>
      <c r="W453" s="91"/>
    </row>
    <row r="454">
      <c r="A454" s="91"/>
      <c r="D454" s="91"/>
      <c r="G454" s="91"/>
      <c r="J454" s="91"/>
      <c r="M454" s="91"/>
      <c r="P454" s="91"/>
      <c r="S454" s="91"/>
      <c r="T454" s="91"/>
      <c r="U454" s="91"/>
      <c r="V454" s="91"/>
      <c r="W454" s="91"/>
    </row>
    <row r="455">
      <c r="A455" s="91"/>
      <c r="D455" s="91"/>
      <c r="G455" s="91"/>
      <c r="J455" s="91"/>
      <c r="M455" s="91"/>
      <c r="P455" s="91"/>
      <c r="S455" s="91"/>
      <c r="T455" s="91"/>
      <c r="U455" s="91"/>
      <c r="V455" s="91"/>
      <c r="W455" s="91"/>
    </row>
    <row r="456">
      <c r="A456" s="91"/>
      <c r="D456" s="91"/>
      <c r="G456" s="91"/>
      <c r="J456" s="91"/>
      <c r="M456" s="91"/>
      <c r="P456" s="91"/>
      <c r="S456" s="91"/>
      <c r="T456" s="91"/>
      <c r="U456" s="91"/>
      <c r="V456" s="91"/>
      <c r="W456" s="91"/>
    </row>
    <row r="457">
      <c r="A457" s="91"/>
      <c r="D457" s="91"/>
      <c r="G457" s="91"/>
      <c r="J457" s="91"/>
      <c r="M457" s="91"/>
      <c r="P457" s="91"/>
      <c r="S457" s="91"/>
      <c r="T457" s="91"/>
      <c r="U457" s="91"/>
      <c r="V457" s="91"/>
      <c r="W457" s="91"/>
    </row>
    <row r="458">
      <c r="A458" s="91"/>
      <c r="D458" s="91"/>
      <c r="G458" s="91"/>
      <c r="J458" s="91"/>
      <c r="M458" s="91"/>
      <c r="P458" s="91"/>
      <c r="S458" s="91"/>
      <c r="T458" s="91"/>
      <c r="U458" s="91"/>
      <c r="V458" s="91"/>
      <c r="W458" s="91"/>
    </row>
    <row r="459">
      <c r="A459" s="91"/>
      <c r="D459" s="91"/>
      <c r="G459" s="91"/>
      <c r="J459" s="91"/>
      <c r="M459" s="91"/>
      <c r="P459" s="91"/>
      <c r="S459" s="91"/>
      <c r="T459" s="91"/>
      <c r="U459" s="91"/>
      <c r="V459" s="91"/>
      <c r="W459" s="91"/>
    </row>
    <row r="460">
      <c r="A460" s="91"/>
      <c r="D460" s="91"/>
      <c r="G460" s="91"/>
      <c r="J460" s="91"/>
      <c r="M460" s="91"/>
      <c r="P460" s="91"/>
      <c r="S460" s="91"/>
      <c r="T460" s="91"/>
      <c r="U460" s="91"/>
      <c r="V460" s="91"/>
      <c r="W460" s="91"/>
    </row>
    <row r="461">
      <c r="A461" s="91"/>
      <c r="D461" s="91"/>
      <c r="G461" s="91"/>
      <c r="J461" s="91"/>
      <c r="M461" s="91"/>
      <c r="P461" s="91"/>
      <c r="S461" s="91"/>
      <c r="T461" s="91"/>
      <c r="U461" s="91"/>
      <c r="V461" s="91"/>
      <c r="W461" s="91"/>
    </row>
    <row r="462">
      <c r="A462" s="91"/>
      <c r="D462" s="91"/>
      <c r="G462" s="91"/>
      <c r="J462" s="91"/>
      <c r="M462" s="91"/>
      <c r="P462" s="91"/>
      <c r="S462" s="91"/>
      <c r="T462" s="91"/>
      <c r="U462" s="91"/>
      <c r="V462" s="91"/>
      <c r="W462" s="91"/>
    </row>
    <row r="463">
      <c r="A463" s="91"/>
      <c r="D463" s="91"/>
      <c r="G463" s="91"/>
      <c r="J463" s="91"/>
      <c r="M463" s="91"/>
      <c r="P463" s="91"/>
      <c r="S463" s="91"/>
      <c r="T463" s="91"/>
      <c r="U463" s="91"/>
      <c r="V463" s="91"/>
      <c r="W463" s="91"/>
    </row>
    <row r="464">
      <c r="A464" s="91"/>
      <c r="D464" s="91"/>
      <c r="G464" s="91"/>
      <c r="J464" s="91"/>
      <c r="M464" s="91"/>
      <c r="P464" s="91"/>
      <c r="S464" s="91"/>
      <c r="T464" s="91"/>
      <c r="U464" s="91"/>
      <c r="V464" s="91"/>
      <c r="W464" s="91"/>
    </row>
    <row r="465">
      <c r="A465" s="91"/>
      <c r="D465" s="91"/>
      <c r="G465" s="91"/>
      <c r="J465" s="91"/>
      <c r="M465" s="91"/>
      <c r="P465" s="91"/>
      <c r="S465" s="91"/>
      <c r="T465" s="91"/>
      <c r="U465" s="91"/>
      <c r="V465" s="91"/>
      <c r="W465" s="91"/>
    </row>
    <row r="466">
      <c r="A466" s="91"/>
      <c r="D466" s="91"/>
      <c r="G466" s="91"/>
      <c r="J466" s="91"/>
      <c r="M466" s="91"/>
      <c r="P466" s="91"/>
      <c r="S466" s="91"/>
      <c r="T466" s="91"/>
      <c r="U466" s="91"/>
      <c r="V466" s="91"/>
      <c r="W466" s="91"/>
    </row>
    <row r="467">
      <c r="A467" s="91"/>
      <c r="D467" s="91"/>
      <c r="G467" s="91"/>
      <c r="J467" s="91"/>
      <c r="M467" s="91"/>
      <c r="P467" s="91"/>
      <c r="S467" s="91"/>
      <c r="T467" s="91"/>
      <c r="U467" s="91"/>
      <c r="V467" s="91"/>
      <c r="W467" s="91"/>
    </row>
    <row r="468">
      <c r="A468" s="91"/>
      <c r="D468" s="91"/>
      <c r="G468" s="91"/>
      <c r="J468" s="91"/>
      <c r="M468" s="91"/>
      <c r="P468" s="91"/>
      <c r="S468" s="91"/>
      <c r="T468" s="91"/>
      <c r="U468" s="91"/>
      <c r="V468" s="91"/>
      <c r="W468" s="91"/>
    </row>
    <row r="469">
      <c r="A469" s="91"/>
      <c r="D469" s="91"/>
      <c r="G469" s="91"/>
      <c r="J469" s="91"/>
      <c r="M469" s="91"/>
      <c r="P469" s="91"/>
      <c r="S469" s="91"/>
      <c r="T469" s="91"/>
      <c r="U469" s="91"/>
      <c r="V469" s="91"/>
      <c r="W469" s="91"/>
    </row>
    <row r="470">
      <c r="A470" s="91"/>
      <c r="D470" s="91"/>
      <c r="G470" s="91"/>
      <c r="J470" s="91"/>
      <c r="M470" s="91"/>
      <c r="P470" s="91"/>
      <c r="S470" s="91"/>
      <c r="T470" s="91"/>
      <c r="U470" s="91"/>
      <c r="V470" s="91"/>
      <c r="W470" s="91"/>
    </row>
    <row r="471">
      <c r="A471" s="91"/>
      <c r="D471" s="91"/>
      <c r="G471" s="91"/>
      <c r="J471" s="91"/>
      <c r="M471" s="91"/>
      <c r="P471" s="91"/>
      <c r="S471" s="91"/>
      <c r="T471" s="91"/>
      <c r="U471" s="91"/>
      <c r="V471" s="91"/>
      <c r="W471" s="91"/>
    </row>
    <row r="472">
      <c r="A472" s="91"/>
      <c r="D472" s="91"/>
      <c r="G472" s="91"/>
      <c r="J472" s="91"/>
      <c r="M472" s="91"/>
      <c r="P472" s="91"/>
      <c r="S472" s="91"/>
      <c r="T472" s="91"/>
      <c r="U472" s="91"/>
      <c r="V472" s="91"/>
      <c r="W472" s="91"/>
    </row>
    <row r="473">
      <c r="A473" s="91"/>
      <c r="D473" s="91"/>
      <c r="G473" s="91"/>
      <c r="J473" s="91"/>
      <c r="M473" s="91"/>
      <c r="P473" s="91"/>
      <c r="S473" s="91"/>
      <c r="T473" s="91"/>
      <c r="U473" s="91"/>
      <c r="V473" s="91"/>
      <c r="W473" s="91"/>
    </row>
    <row r="474">
      <c r="A474" s="91"/>
      <c r="D474" s="91"/>
      <c r="G474" s="91"/>
      <c r="J474" s="91"/>
      <c r="M474" s="91"/>
      <c r="P474" s="91"/>
      <c r="S474" s="91"/>
      <c r="T474" s="91"/>
      <c r="U474" s="91"/>
      <c r="V474" s="91"/>
      <c r="W474" s="91"/>
    </row>
    <row r="475">
      <c r="A475" s="91"/>
      <c r="D475" s="91"/>
      <c r="G475" s="91"/>
      <c r="J475" s="91"/>
      <c r="M475" s="91"/>
      <c r="P475" s="91"/>
      <c r="S475" s="91"/>
      <c r="T475" s="91"/>
      <c r="U475" s="91"/>
      <c r="V475" s="91"/>
      <c r="W475" s="91"/>
    </row>
    <row r="476">
      <c r="A476" s="91"/>
      <c r="D476" s="91"/>
      <c r="G476" s="91"/>
      <c r="J476" s="91"/>
      <c r="M476" s="91"/>
      <c r="P476" s="91"/>
      <c r="S476" s="91"/>
      <c r="T476" s="91"/>
      <c r="U476" s="91"/>
      <c r="V476" s="91"/>
      <c r="W476" s="91"/>
    </row>
    <row r="477">
      <c r="A477" s="91"/>
      <c r="D477" s="91"/>
      <c r="G477" s="91"/>
      <c r="J477" s="91"/>
      <c r="M477" s="91"/>
      <c r="P477" s="91"/>
      <c r="S477" s="91"/>
      <c r="T477" s="91"/>
      <c r="U477" s="91"/>
      <c r="V477" s="91"/>
      <c r="W477" s="91"/>
    </row>
    <row r="478">
      <c r="A478" s="91"/>
      <c r="D478" s="91"/>
      <c r="G478" s="91"/>
      <c r="J478" s="91"/>
      <c r="M478" s="91"/>
      <c r="P478" s="91"/>
      <c r="S478" s="91"/>
      <c r="T478" s="91"/>
      <c r="U478" s="91"/>
      <c r="V478" s="91"/>
      <c r="W478" s="91"/>
    </row>
    <row r="479">
      <c r="A479" s="91"/>
      <c r="D479" s="91"/>
      <c r="G479" s="91"/>
      <c r="J479" s="91"/>
      <c r="M479" s="91"/>
      <c r="P479" s="91"/>
      <c r="S479" s="91"/>
      <c r="T479" s="91"/>
      <c r="U479" s="91"/>
      <c r="V479" s="91"/>
      <c r="W479" s="91"/>
    </row>
    <row r="480">
      <c r="A480" s="91"/>
      <c r="D480" s="91"/>
      <c r="G480" s="91"/>
      <c r="J480" s="91"/>
      <c r="M480" s="91"/>
      <c r="P480" s="91"/>
      <c r="S480" s="91"/>
      <c r="T480" s="91"/>
      <c r="U480" s="91"/>
      <c r="V480" s="91"/>
      <c r="W480" s="91"/>
    </row>
    <row r="481">
      <c r="A481" s="91"/>
      <c r="D481" s="91"/>
      <c r="G481" s="91"/>
      <c r="J481" s="91"/>
      <c r="M481" s="91"/>
      <c r="P481" s="91"/>
      <c r="S481" s="91"/>
      <c r="T481" s="91"/>
      <c r="U481" s="91"/>
      <c r="V481" s="91"/>
      <c r="W481" s="91"/>
    </row>
    <row r="482">
      <c r="A482" s="91"/>
      <c r="D482" s="91"/>
      <c r="G482" s="91"/>
      <c r="J482" s="91"/>
      <c r="M482" s="91"/>
      <c r="P482" s="91"/>
      <c r="S482" s="91"/>
      <c r="T482" s="91"/>
      <c r="U482" s="91"/>
      <c r="V482" s="91"/>
      <c r="W482" s="91"/>
    </row>
    <row r="483">
      <c r="A483" s="91"/>
      <c r="D483" s="91"/>
      <c r="G483" s="91"/>
      <c r="J483" s="91"/>
      <c r="M483" s="91"/>
      <c r="P483" s="91"/>
      <c r="S483" s="91"/>
      <c r="T483" s="91"/>
      <c r="U483" s="91"/>
      <c r="V483" s="91"/>
      <c r="W483" s="91"/>
    </row>
    <row r="484">
      <c r="A484" s="91"/>
      <c r="D484" s="91"/>
      <c r="G484" s="91"/>
      <c r="J484" s="91"/>
      <c r="M484" s="91"/>
      <c r="P484" s="91"/>
      <c r="S484" s="91"/>
      <c r="T484" s="91"/>
      <c r="U484" s="91"/>
      <c r="V484" s="91"/>
      <c r="W484" s="91"/>
    </row>
    <row r="485">
      <c r="A485" s="91"/>
      <c r="D485" s="91"/>
      <c r="G485" s="91"/>
      <c r="J485" s="91"/>
      <c r="M485" s="91"/>
      <c r="P485" s="91"/>
      <c r="S485" s="91"/>
      <c r="T485" s="91"/>
      <c r="U485" s="91"/>
      <c r="V485" s="91"/>
      <c r="W485" s="91"/>
    </row>
    <row r="486">
      <c r="A486" s="91"/>
      <c r="D486" s="91"/>
      <c r="G486" s="91"/>
      <c r="J486" s="91"/>
      <c r="M486" s="91"/>
      <c r="P486" s="91"/>
      <c r="S486" s="91"/>
      <c r="T486" s="91"/>
      <c r="U486" s="91"/>
      <c r="V486" s="91"/>
      <c r="W486" s="91"/>
    </row>
    <row r="487">
      <c r="A487" s="91"/>
      <c r="D487" s="91"/>
      <c r="G487" s="91"/>
      <c r="J487" s="91"/>
      <c r="M487" s="91"/>
      <c r="P487" s="91"/>
      <c r="S487" s="91"/>
      <c r="T487" s="91"/>
      <c r="U487" s="91"/>
      <c r="V487" s="91"/>
      <c r="W487" s="91"/>
    </row>
    <row r="488">
      <c r="A488" s="91"/>
      <c r="D488" s="91"/>
      <c r="G488" s="91"/>
      <c r="J488" s="91"/>
      <c r="M488" s="91"/>
      <c r="P488" s="91"/>
      <c r="S488" s="91"/>
      <c r="T488" s="91"/>
      <c r="U488" s="91"/>
      <c r="V488" s="91"/>
      <c r="W488" s="91"/>
    </row>
    <row r="489">
      <c r="A489" s="91"/>
      <c r="D489" s="91"/>
      <c r="G489" s="91"/>
      <c r="J489" s="91"/>
      <c r="M489" s="91"/>
      <c r="P489" s="91"/>
      <c r="S489" s="91"/>
      <c r="T489" s="91"/>
      <c r="U489" s="91"/>
      <c r="V489" s="91"/>
      <c r="W489" s="91"/>
    </row>
    <row r="490">
      <c r="A490" s="91"/>
      <c r="D490" s="91"/>
      <c r="G490" s="91"/>
      <c r="J490" s="91"/>
      <c r="M490" s="91"/>
      <c r="P490" s="91"/>
      <c r="S490" s="91"/>
      <c r="T490" s="91"/>
      <c r="U490" s="91"/>
      <c r="V490" s="91"/>
      <c r="W490" s="91"/>
    </row>
    <row r="491">
      <c r="A491" s="91"/>
      <c r="D491" s="91"/>
      <c r="G491" s="91"/>
      <c r="J491" s="91"/>
      <c r="M491" s="91"/>
      <c r="P491" s="91"/>
      <c r="S491" s="91"/>
      <c r="T491" s="91"/>
      <c r="U491" s="91"/>
      <c r="V491" s="91"/>
      <c r="W491" s="91"/>
    </row>
    <row r="492">
      <c r="A492" s="91"/>
      <c r="D492" s="91"/>
      <c r="G492" s="91"/>
      <c r="J492" s="91"/>
      <c r="M492" s="91"/>
      <c r="P492" s="91"/>
      <c r="S492" s="91"/>
      <c r="T492" s="91"/>
      <c r="U492" s="91"/>
      <c r="V492" s="91"/>
      <c r="W492" s="91"/>
    </row>
    <row r="493">
      <c r="A493" s="91"/>
      <c r="D493" s="91"/>
      <c r="G493" s="91"/>
      <c r="J493" s="91"/>
      <c r="M493" s="91"/>
      <c r="P493" s="91"/>
      <c r="S493" s="91"/>
      <c r="T493" s="91"/>
      <c r="U493" s="91"/>
      <c r="V493" s="91"/>
      <c r="W493" s="91"/>
    </row>
    <row r="494">
      <c r="A494" s="91"/>
      <c r="D494" s="91"/>
      <c r="G494" s="91"/>
      <c r="J494" s="91"/>
      <c r="M494" s="91"/>
      <c r="P494" s="91"/>
      <c r="S494" s="91"/>
      <c r="T494" s="91"/>
      <c r="U494" s="91"/>
      <c r="V494" s="91"/>
      <c r="W494" s="91"/>
    </row>
    <row r="495">
      <c r="A495" s="91"/>
      <c r="D495" s="91"/>
      <c r="G495" s="91"/>
      <c r="J495" s="91"/>
      <c r="M495" s="91"/>
      <c r="P495" s="91"/>
      <c r="S495" s="91"/>
      <c r="T495" s="91"/>
      <c r="U495" s="91"/>
      <c r="V495" s="91"/>
      <c r="W495" s="91"/>
    </row>
    <row r="496">
      <c r="A496" s="91"/>
      <c r="D496" s="91"/>
      <c r="G496" s="91"/>
      <c r="J496" s="91"/>
      <c r="M496" s="91"/>
      <c r="P496" s="91"/>
      <c r="S496" s="91"/>
      <c r="T496" s="91"/>
      <c r="U496" s="91"/>
      <c r="V496" s="91"/>
      <c r="W496" s="91"/>
    </row>
    <row r="497">
      <c r="A497" s="91"/>
      <c r="D497" s="91"/>
      <c r="G497" s="91"/>
      <c r="J497" s="91"/>
      <c r="M497" s="91"/>
      <c r="P497" s="91"/>
      <c r="S497" s="91"/>
      <c r="T497" s="91"/>
      <c r="U497" s="91"/>
      <c r="V497" s="91"/>
      <c r="W497" s="91"/>
    </row>
    <row r="498">
      <c r="A498" s="91"/>
      <c r="D498" s="91"/>
      <c r="G498" s="91"/>
      <c r="J498" s="91"/>
      <c r="M498" s="91"/>
      <c r="P498" s="91"/>
      <c r="S498" s="91"/>
      <c r="T498" s="91"/>
      <c r="U498" s="91"/>
      <c r="V498" s="91"/>
      <c r="W498" s="91"/>
    </row>
    <row r="499">
      <c r="A499" s="91"/>
      <c r="D499" s="91"/>
      <c r="G499" s="91"/>
      <c r="J499" s="91"/>
      <c r="M499" s="91"/>
      <c r="P499" s="91"/>
      <c r="S499" s="91"/>
      <c r="T499" s="91"/>
      <c r="U499" s="91"/>
      <c r="V499" s="91"/>
      <c r="W499" s="91"/>
    </row>
    <row r="500">
      <c r="A500" s="91"/>
      <c r="D500" s="91"/>
      <c r="G500" s="91"/>
      <c r="J500" s="91"/>
      <c r="M500" s="91"/>
      <c r="P500" s="91"/>
      <c r="S500" s="91"/>
      <c r="T500" s="91"/>
      <c r="U500" s="91"/>
      <c r="V500" s="91"/>
      <c r="W500" s="91"/>
    </row>
    <row r="501">
      <c r="A501" s="91"/>
      <c r="D501" s="91"/>
      <c r="G501" s="91"/>
      <c r="J501" s="91"/>
      <c r="M501" s="91"/>
      <c r="P501" s="91"/>
      <c r="S501" s="91"/>
      <c r="T501" s="91"/>
      <c r="U501" s="91"/>
      <c r="V501" s="91"/>
      <c r="W501" s="91"/>
    </row>
    <row r="502">
      <c r="A502" s="91"/>
      <c r="D502" s="91"/>
      <c r="G502" s="91"/>
      <c r="J502" s="91"/>
      <c r="M502" s="91"/>
      <c r="P502" s="91"/>
      <c r="S502" s="91"/>
      <c r="T502" s="91"/>
      <c r="U502" s="91"/>
      <c r="V502" s="91"/>
      <c r="W502" s="91"/>
    </row>
    <row r="503">
      <c r="A503" s="91"/>
      <c r="D503" s="91"/>
      <c r="G503" s="91"/>
      <c r="J503" s="91"/>
      <c r="M503" s="91"/>
      <c r="P503" s="91"/>
      <c r="S503" s="91"/>
      <c r="T503" s="91"/>
      <c r="U503" s="91"/>
      <c r="V503" s="91"/>
      <c r="W503" s="91"/>
    </row>
    <row r="504">
      <c r="A504" s="91"/>
      <c r="D504" s="91"/>
      <c r="G504" s="91"/>
      <c r="J504" s="91"/>
      <c r="M504" s="91"/>
      <c r="P504" s="91"/>
      <c r="S504" s="91"/>
      <c r="T504" s="91"/>
      <c r="U504" s="91"/>
      <c r="V504" s="91"/>
      <c r="W504" s="91"/>
    </row>
    <row r="505">
      <c r="A505" s="91"/>
      <c r="D505" s="91"/>
      <c r="G505" s="91"/>
      <c r="J505" s="91"/>
      <c r="M505" s="91"/>
      <c r="P505" s="91"/>
      <c r="S505" s="91"/>
      <c r="T505" s="91"/>
      <c r="U505" s="91"/>
      <c r="V505" s="91"/>
      <c r="W505" s="91"/>
    </row>
    <row r="506">
      <c r="A506" s="91"/>
      <c r="D506" s="91"/>
      <c r="G506" s="91"/>
      <c r="J506" s="91"/>
      <c r="M506" s="91"/>
      <c r="P506" s="91"/>
      <c r="S506" s="91"/>
      <c r="T506" s="91"/>
      <c r="U506" s="91"/>
      <c r="V506" s="91"/>
      <c r="W506" s="91"/>
    </row>
    <row r="507">
      <c r="A507" s="91"/>
      <c r="D507" s="91"/>
      <c r="G507" s="91"/>
      <c r="J507" s="91"/>
      <c r="M507" s="91"/>
      <c r="P507" s="91"/>
      <c r="S507" s="91"/>
      <c r="T507" s="91"/>
      <c r="U507" s="91"/>
      <c r="V507" s="91"/>
      <c r="W507" s="91"/>
    </row>
    <row r="508">
      <c r="A508" s="91"/>
      <c r="D508" s="91"/>
      <c r="G508" s="91"/>
      <c r="J508" s="91"/>
      <c r="M508" s="91"/>
      <c r="P508" s="91"/>
      <c r="S508" s="91"/>
      <c r="T508" s="91"/>
      <c r="U508" s="91"/>
      <c r="V508" s="91"/>
      <c r="W508" s="91"/>
    </row>
    <row r="509">
      <c r="A509" s="91"/>
      <c r="D509" s="91"/>
      <c r="G509" s="91"/>
      <c r="J509" s="91"/>
      <c r="M509" s="91"/>
      <c r="P509" s="91"/>
      <c r="S509" s="91"/>
      <c r="T509" s="91"/>
      <c r="U509" s="91"/>
      <c r="V509" s="91"/>
      <c r="W509" s="91"/>
    </row>
    <row r="510">
      <c r="A510" s="91"/>
      <c r="D510" s="91"/>
      <c r="G510" s="91"/>
      <c r="J510" s="91"/>
      <c r="M510" s="91"/>
      <c r="P510" s="91"/>
      <c r="S510" s="91"/>
      <c r="T510" s="91"/>
      <c r="U510" s="91"/>
      <c r="V510" s="91"/>
      <c r="W510" s="91"/>
    </row>
    <row r="511">
      <c r="A511" s="91"/>
      <c r="D511" s="91"/>
      <c r="G511" s="91"/>
      <c r="J511" s="91"/>
      <c r="M511" s="91"/>
      <c r="P511" s="91"/>
      <c r="S511" s="91"/>
      <c r="T511" s="91"/>
      <c r="U511" s="91"/>
      <c r="V511" s="91"/>
      <c r="W511" s="91"/>
    </row>
    <row r="512">
      <c r="A512" s="91"/>
      <c r="D512" s="91"/>
      <c r="G512" s="91"/>
      <c r="J512" s="91"/>
      <c r="M512" s="91"/>
      <c r="P512" s="91"/>
      <c r="S512" s="91"/>
      <c r="T512" s="91"/>
      <c r="U512" s="91"/>
      <c r="V512" s="91"/>
      <c r="W512" s="91"/>
    </row>
    <row r="513">
      <c r="A513" s="91"/>
      <c r="D513" s="91"/>
      <c r="G513" s="91"/>
      <c r="J513" s="91"/>
      <c r="M513" s="91"/>
      <c r="P513" s="91"/>
      <c r="S513" s="91"/>
      <c r="T513" s="91"/>
      <c r="U513" s="91"/>
      <c r="V513" s="91"/>
      <c r="W513" s="91"/>
    </row>
    <row r="514">
      <c r="A514" s="91"/>
      <c r="D514" s="91"/>
      <c r="G514" s="91"/>
      <c r="J514" s="91"/>
      <c r="M514" s="91"/>
      <c r="P514" s="91"/>
      <c r="S514" s="91"/>
      <c r="T514" s="91"/>
      <c r="U514" s="91"/>
      <c r="V514" s="91"/>
      <c r="W514" s="91"/>
    </row>
    <row r="515">
      <c r="A515" s="91"/>
      <c r="D515" s="91"/>
      <c r="G515" s="91"/>
      <c r="J515" s="91"/>
      <c r="M515" s="91"/>
      <c r="P515" s="91"/>
      <c r="S515" s="91"/>
      <c r="T515" s="91"/>
      <c r="U515" s="91"/>
      <c r="V515" s="91"/>
      <c r="W515" s="91"/>
    </row>
    <row r="516">
      <c r="A516" s="91"/>
      <c r="D516" s="91"/>
      <c r="G516" s="91"/>
      <c r="J516" s="91"/>
      <c r="M516" s="91"/>
      <c r="P516" s="91"/>
      <c r="S516" s="91"/>
      <c r="T516" s="91"/>
      <c r="U516" s="91"/>
      <c r="V516" s="91"/>
      <c r="W516" s="91"/>
    </row>
    <row r="517">
      <c r="A517" s="91"/>
      <c r="D517" s="91"/>
      <c r="G517" s="91"/>
      <c r="J517" s="91"/>
      <c r="M517" s="91"/>
      <c r="P517" s="91"/>
      <c r="S517" s="91"/>
      <c r="T517" s="91"/>
      <c r="U517" s="91"/>
      <c r="V517" s="91"/>
      <c r="W517" s="91"/>
    </row>
    <row r="518">
      <c r="A518" s="91"/>
      <c r="D518" s="91"/>
      <c r="G518" s="91"/>
      <c r="J518" s="91"/>
      <c r="M518" s="91"/>
      <c r="P518" s="91"/>
      <c r="S518" s="91"/>
      <c r="T518" s="91"/>
      <c r="U518" s="91"/>
      <c r="V518" s="91"/>
      <c r="W518" s="91"/>
    </row>
    <row r="519">
      <c r="A519" s="91"/>
      <c r="D519" s="91"/>
      <c r="G519" s="91"/>
      <c r="J519" s="91"/>
      <c r="M519" s="91"/>
      <c r="P519" s="91"/>
      <c r="S519" s="91"/>
      <c r="T519" s="91"/>
      <c r="U519" s="91"/>
      <c r="V519" s="91"/>
      <c r="W519" s="91"/>
    </row>
    <row r="520">
      <c r="A520" s="91"/>
      <c r="D520" s="91"/>
      <c r="G520" s="91"/>
      <c r="J520" s="91"/>
      <c r="M520" s="91"/>
      <c r="P520" s="91"/>
      <c r="S520" s="91"/>
      <c r="T520" s="91"/>
      <c r="U520" s="91"/>
      <c r="V520" s="91"/>
      <c r="W520" s="91"/>
    </row>
    <row r="521">
      <c r="A521" s="91"/>
      <c r="D521" s="91"/>
      <c r="G521" s="91"/>
      <c r="J521" s="91"/>
      <c r="M521" s="91"/>
      <c r="P521" s="91"/>
      <c r="S521" s="91"/>
      <c r="T521" s="91"/>
      <c r="U521" s="91"/>
      <c r="V521" s="91"/>
      <c r="W521" s="91"/>
    </row>
    <row r="522">
      <c r="A522" s="91"/>
      <c r="D522" s="91"/>
      <c r="G522" s="91"/>
      <c r="J522" s="91"/>
      <c r="M522" s="91"/>
      <c r="P522" s="91"/>
      <c r="S522" s="91"/>
      <c r="T522" s="91"/>
      <c r="U522" s="91"/>
      <c r="V522" s="91"/>
      <c r="W522" s="91"/>
    </row>
    <row r="523">
      <c r="A523" s="91"/>
      <c r="D523" s="91"/>
      <c r="G523" s="91"/>
      <c r="J523" s="91"/>
      <c r="M523" s="91"/>
      <c r="P523" s="91"/>
      <c r="S523" s="91"/>
      <c r="T523" s="91"/>
      <c r="U523" s="91"/>
      <c r="V523" s="91"/>
      <c r="W523" s="91"/>
    </row>
    <row r="524">
      <c r="A524" s="91"/>
      <c r="D524" s="91"/>
      <c r="G524" s="91"/>
      <c r="J524" s="91"/>
      <c r="M524" s="91"/>
      <c r="P524" s="91"/>
      <c r="S524" s="91"/>
      <c r="T524" s="91"/>
      <c r="U524" s="91"/>
      <c r="V524" s="91"/>
      <c r="W524" s="91"/>
    </row>
    <row r="525">
      <c r="A525" s="91"/>
      <c r="D525" s="91"/>
      <c r="G525" s="91"/>
      <c r="J525" s="91"/>
      <c r="M525" s="91"/>
      <c r="P525" s="91"/>
      <c r="S525" s="91"/>
      <c r="T525" s="91"/>
      <c r="U525" s="91"/>
      <c r="V525" s="91"/>
      <c r="W525" s="91"/>
    </row>
    <row r="526">
      <c r="A526" s="91"/>
      <c r="D526" s="91"/>
      <c r="G526" s="91"/>
      <c r="J526" s="91"/>
      <c r="M526" s="91"/>
      <c r="P526" s="91"/>
      <c r="S526" s="91"/>
      <c r="T526" s="91"/>
      <c r="U526" s="91"/>
      <c r="V526" s="91"/>
      <c r="W526" s="91"/>
    </row>
    <row r="527">
      <c r="A527" s="91"/>
      <c r="D527" s="91"/>
      <c r="G527" s="91"/>
      <c r="J527" s="91"/>
      <c r="M527" s="91"/>
      <c r="P527" s="91"/>
      <c r="S527" s="91"/>
      <c r="T527" s="91"/>
      <c r="U527" s="91"/>
      <c r="V527" s="91"/>
      <c r="W527" s="91"/>
    </row>
    <row r="528">
      <c r="A528" s="91"/>
      <c r="D528" s="91"/>
      <c r="G528" s="91"/>
      <c r="J528" s="91"/>
      <c r="M528" s="91"/>
      <c r="P528" s="91"/>
      <c r="S528" s="91"/>
      <c r="T528" s="91"/>
      <c r="U528" s="91"/>
      <c r="V528" s="91"/>
      <c r="W528" s="91"/>
    </row>
    <row r="529">
      <c r="A529" s="91"/>
      <c r="D529" s="91"/>
      <c r="G529" s="91"/>
      <c r="J529" s="91"/>
      <c r="M529" s="91"/>
      <c r="P529" s="91"/>
      <c r="S529" s="91"/>
      <c r="T529" s="91"/>
      <c r="U529" s="91"/>
      <c r="V529" s="91"/>
      <c r="W529" s="91"/>
    </row>
    <row r="530">
      <c r="A530" s="91"/>
      <c r="D530" s="91"/>
      <c r="G530" s="91"/>
      <c r="J530" s="91"/>
      <c r="M530" s="91"/>
      <c r="P530" s="91"/>
      <c r="S530" s="91"/>
      <c r="T530" s="91"/>
      <c r="U530" s="91"/>
      <c r="V530" s="91"/>
      <c r="W530" s="91"/>
    </row>
    <row r="531">
      <c r="A531" s="91"/>
      <c r="D531" s="91"/>
      <c r="G531" s="91"/>
      <c r="J531" s="91"/>
      <c r="M531" s="91"/>
      <c r="P531" s="91"/>
      <c r="S531" s="91"/>
      <c r="T531" s="91"/>
      <c r="U531" s="91"/>
      <c r="V531" s="91"/>
      <c r="W531" s="91"/>
    </row>
    <row r="532">
      <c r="A532" s="91"/>
      <c r="D532" s="91"/>
      <c r="G532" s="91"/>
      <c r="J532" s="91"/>
      <c r="M532" s="91"/>
      <c r="P532" s="91"/>
      <c r="S532" s="91"/>
      <c r="T532" s="91"/>
      <c r="U532" s="91"/>
      <c r="V532" s="91"/>
      <c r="W532" s="91"/>
    </row>
    <row r="533">
      <c r="A533" s="91"/>
      <c r="D533" s="91"/>
      <c r="G533" s="91"/>
      <c r="J533" s="91"/>
      <c r="M533" s="91"/>
      <c r="P533" s="91"/>
      <c r="S533" s="91"/>
      <c r="T533" s="91"/>
      <c r="U533" s="91"/>
      <c r="V533" s="91"/>
      <c r="W533" s="91"/>
    </row>
    <row r="534">
      <c r="A534" s="91"/>
      <c r="D534" s="91"/>
      <c r="G534" s="91"/>
      <c r="J534" s="91"/>
      <c r="M534" s="91"/>
      <c r="P534" s="91"/>
      <c r="S534" s="91"/>
      <c r="T534" s="91"/>
      <c r="U534" s="91"/>
      <c r="V534" s="91"/>
      <c r="W534" s="91"/>
    </row>
    <row r="535">
      <c r="A535" s="91"/>
      <c r="D535" s="91"/>
      <c r="G535" s="91"/>
      <c r="J535" s="91"/>
      <c r="M535" s="91"/>
      <c r="P535" s="91"/>
      <c r="S535" s="91"/>
      <c r="T535" s="91"/>
      <c r="U535" s="91"/>
      <c r="V535" s="91"/>
      <c r="W535" s="91"/>
    </row>
    <row r="536">
      <c r="A536" s="91"/>
      <c r="D536" s="91"/>
      <c r="G536" s="91"/>
      <c r="J536" s="91"/>
      <c r="M536" s="91"/>
      <c r="P536" s="91"/>
      <c r="S536" s="91"/>
      <c r="T536" s="91"/>
      <c r="U536" s="91"/>
      <c r="V536" s="91"/>
      <c r="W536" s="91"/>
    </row>
    <row r="537">
      <c r="A537" s="91"/>
      <c r="D537" s="91"/>
      <c r="G537" s="91"/>
      <c r="J537" s="91"/>
      <c r="M537" s="91"/>
      <c r="P537" s="91"/>
      <c r="S537" s="91"/>
      <c r="T537" s="91"/>
      <c r="U537" s="91"/>
      <c r="V537" s="91"/>
      <c r="W537" s="91"/>
    </row>
    <row r="538">
      <c r="A538" s="91"/>
      <c r="D538" s="91"/>
      <c r="G538" s="91"/>
      <c r="J538" s="91"/>
      <c r="M538" s="91"/>
      <c r="P538" s="91"/>
      <c r="S538" s="91"/>
      <c r="T538" s="91"/>
      <c r="U538" s="91"/>
      <c r="V538" s="91"/>
      <c r="W538" s="91"/>
    </row>
    <row r="539">
      <c r="A539" s="91"/>
      <c r="D539" s="91"/>
      <c r="G539" s="91"/>
      <c r="J539" s="91"/>
      <c r="M539" s="91"/>
      <c r="P539" s="91"/>
      <c r="S539" s="91"/>
      <c r="T539" s="91"/>
      <c r="U539" s="91"/>
      <c r="V539" s="91"/>
      <c r="W539" s="91"/>
    </row>
    <row r="540">
      <c r="A540" s="91"/>
      <c r="D540" s="91"/>
      <c r="G540" s="91"/>
      <c r="J540" s="91"/>
      <c r="M540" s="91"/>
      <c r="P540" s="91"/>
      <c r="S540" s="91"/>
      <c r="T540" s="91"/>
      <c r="U540" s="91"/>
      <c r="V540" s="91"/>
      <c r="W540" s="91"/>
    </row>
    <row r="541">
      <c r="A541" s="91"/>
      <c r="D541" s="91"/>
      <c r="G541" s="91"/>
      <c r="J541" s="91"/>
      <c r="M541" s="91"/>
      <c r="P541" s="91"/>
      <c r="S541" s="91"/>
      <c r="T541" s="91"/>
      <c r="U541" s="91"/>
      <c r="V541" s="91"/>
      <c r="W541" s="91"/>
    </row>
    <row r="542">
      <c r="A542" s="91"/>
      <c r="D542" s="91"/>
      <c r="G542" s="91"/>
      <c r="J542" s="91"/>
      <c r="M542" s="91"/>
      <c r="P542" s="91"/>
      <c r="S542" s="91"/>
      <c r="T542" s="91"/>
      <c r="U542" s="91"/>
      <c r="V542" s="91"/>
      <c r="W542" s="91"/>
    </row>
    <row r="543">
      <c r="A543" s="91"/>
      <c r="D543" s="91"/>
      <c r="G543" s="91"/>
      <c r="J543" s="91"/>
      <c r="M543" s="91"/>
      <c r="P543" s="91"/>
      <c r="S543" s="91"/>
      <c r="T543" s="91"/>
      <c r="U543" s="91"/>
      <c r="V543" s="91"/>
      <c r="W543" s="91"/>
    </row>
    <row r="544">
      <c r="A544" s="91"/>
      <c r="D544" s="91"/>
      <c r="G544" s="91"/>
      <c r="J544" s="91"/>
      <c r="M544" s="91"/>
      <c r="P544" s="91"/>
      <c r="S544" s="91"/>
      <c r="T544" s="91"/>
      <c r="U544" s="91"/>
      <c r="V544" s="91"/>
      <c r="W544" s="91"/>
    </row>
    <row r="545">
      <c r="A545" s="91"/>
      <c r="D545" s="91"/>
      <c r="G545" s="91"/>
      <c r="J545" s="91"/>
      <c r="M545" s="91"/>
      <c r="P545" s="91"/>
      <c r="S545" s="91"/>
      <c r="T545" s="91"/>
      <c r="U545" s="91"/>
      <c r="V545" s="91"/>
      <c r="W545" s="91"/>
    </row>
    <row r="546">
      <c r="A546" s="91"/>
      <c r="D546" s="91"/>
      <c r="G546" s="91"/>
      <c r="J546" s="91"/>
      <c r="M546" s="91"/>
      <c r="P546" s="91"/>
      <c r="S546" s="91"/>
      <c r="T546" s="91"/>
      <c r="U546" s="91"/>
      <c r="V546" s="91"/>
      <c r="W546" s="91"/>
    </row>
    <row r="547">
      <c r="A547" s="91"/>
      <c r="D547" s="91"/>
      <c r="G547" s="91"/>
      <c r="J547" s="91"/>
      <c r="M547" s="91"/>
      <c r="P547" s="91"/>
      <c r="S547" s="91"/>
      <c r="T547" s="91"/>
      <c r="U547" s="91"/>
      <c r="V547" s="91"/>
      <c r="W547" s="91"/>
    </row>
    <row r="548">
      <c r="A548" s="91"/>
      <c r="D548" s="91"/>
      <c r="G548" s="91"/>
      <c r="J548" s="91"/>
      <c r="M548" s="91"/>
      <c r="P548" s="91"/>
      <c r="S548" s="91"/>
      <c r="T548" s="91"/>
      <c r="U548" s="91"/>
      <c r="V548" s="91"/>
      <c r="W548" s="91"/>
    </row>
    <row r="549">
      <c r="A549" s="91"/>
      <c r="D549" s="91"/>
      <c r="G549" s="91"/>
      <c r="J549" s="91"/>
      <c r="M549" s="91"/>
      <c r="P549" s="91"/>
      <c r="S549" s="91"/>
      <c r="T549" s="91"/>
      <c r="U549" s="91"/>
      <c r="V549" s="91"/>
      <c r="W549" s="91"/>
    </row>
    <row r="550">
      <c r="A550" s="91"/>
      <c r="D550" s="91"/>
      <c r="G550" s="91"/>
      <c r="J550" s="91"/>
      <c r="M550" s="91"/>
      <c r="P550" s="91"/>
      <c r="S550" s="91"/>
      <c r="T550" s="91"/>
      <c r="U550" s="91"/>
      <c r="V550" s="91"/>
      <c r="W550" s="91"/>
    </row>
    <row r="551">
      <c r="A551" s="91"/>
      <c r="D551" s="91"/>
      <c r="G551" s="91"/>
      <c r="J551" s="91"/>
      <c r="M551" s="91"/>
      <c r="P551" s="91"/>
      <c r="S551" s="91"/>
      <c r="T551" s="91"/>
      <c r="U551" s="91"/>
      <c r="V551" s="91"/>
      <c r="W551" s="91"/>
    </row>
    <row r="552">
      <c r="A552" s="91"/>
      <c r="D552" s="91"/>
      <c r="G552" s="91"/>
      <c r="J552" s="91"/>
      <c r="M552" s="91"/>
      <c r="P552" s="91"/>
      <c r="S552" s="91"/>
      <c r="T552" s="91"/>
      <c r="U552" s="91"/>
      <c r="V552" s="91"/>
      <c r="W552" s="91"/>
    </row>
    <row r="553">
      <c r="A553" s="91"/>
      <c r="D553" s="91"/>
      <c r="G553" s="91"/>
      <c r="J553" s="91"/>
      <c r="M553" s="91"/>
      <c r="P553" s="91"/>
      <c r="S553" s="91"/>
      <c r="T553" s="91"/>
      <c r="U553" s="91"/>
      <c r="V553" s="91"/>
      <c r="W553" s="91"/>
    </row>
    <row r="554">
      <c r="A554" s="91"/>
      <c r="D554" s="91"/>
      <c r="G554" s="91"/>
      <c r="J554" s="91"/>
      <c r="M554" s="91"/>
      <c r="P554" s="91"/>
      <c r="S554" s="91"/>
      <c r="T554" s="91"/>
      <c r="U554" s="91"/>
      <c r="V554" s="91"/>
      <c r="W554" s="91"/>
    </row>
    <row r="555">
      <c r="A555" s="91"/>
      <c r="D555" s="91"/>
      <c r="G555" s="91"/>
      <c r="J555" s="91"/>
      <c r="M555" s="91"/>
      <c r="P555" s="91"/>
      <c r="S555" s="91"/>
      <c r="T555" s="91"/>
      <c r="U555" s="91"/>
      <c r="V555" s="91"/>
      <c r="W555" s="91"/>
    </row>
    <row r="556">
      <c r="A556" s="91"/>
      <c r="D556" s="91"/>
      <c r="G556" s="91"/>
      <c r="J556" s="91"/>
      <c r="M556" s="91"/>
      <c r="P556" s="91"/>
      <c r="S556" s="91"/>
      <c r="T556" s="91"/>
      <c r="U556" s="91"/>
      <c r="V556" s="91"/>
      <c r="W556" s="91"/>
    </row>
    <row r="557">
      <c r="A557" s="91"/>
      <c r="D557" s="91"/>
      <c r="G557" s="91"/>
      <c r="J557" s="91"/>
      <c r="M557" s="91"/>
      <c r="P557" s="91"/>
      <c r="S557" s="91"/>
      <c r="T557" s="91"/>
      <c r="U557" s="91"/>
      <c r="V557" s="91"/>
      <c r="W557" s="91"/>
    </row>
    <row r="558">
      <c r="A558" s="91"/>
      <c r="D558" s="91"/>
      <c r="G558" s="91"/>
      <c r="J558" s="91"/>
      <c r="M558" s="91"/>
      <c r="P558" s="91"/>
      <c r="S558" s="91"/>
      <c r="T558" s="91"/>
      <c r="U558" s="91"/>
      <c r="V558" s="91"/>
      <c r="W558" s="91"/>
    </row>
    <row r="559">
      <c r="A559" s="91"/>
      <c r="D559" s="91"/>
      <c r="G559" s="91"/>
      <c r="J559" s="91"/>
      <c r="M559" s="91"/>
      <c r="P559" s="91"/>
      <c r="S559" s="91"/>
      <c r="T559" s="91"/>
      <c r="U559" s="91"/>
      <c r="V559" s="91"/>
      <c r="W559" s="91"/>
    </row>
    <row r="560">
      <c r="A560" s="91"/>
      <c r="D560" s="91"/>
      <c r="G560" s="91"/>
      <c r="J560" s="91"/>
      <c r="M560" s="91"/>
      <c r="P560" s="91"/>
      <c r="S560" s="91"/>
      <c r="T560" s="91"/>
      <c r="U560" s="91"/>
      <c r="V560" s="91"/>
      <c r="W560" s="91"/>
    </row>
    <row r="561">
      <c r="A561" s="91"/>
      <c r="D561" s="91"/>
      <c r="G561" s="91"/>
      <c r="J561" s="91"/>
      <c r="M561" s="91"/>
      <c r="P561" s="91"/>
      <c r="S561" s="91"/>
      <c r="T561" s="91"/>
      <c r="U561" s="91"/>
      <c r="V561" s="91"/>
      <c r="W561" s="91"/>
    </row>
    <row r="562">
      <c r="A562" s="91"/>
      <c r="D562" s="91"/>
      <c r="G562" s="91"/>
      <c r="J562" s="91"/>
      <c r="M562" s="91"/>
      <c r="P562" s="91"/>
      <c r="S562" s="91"/>
      <c r="T562" s="91"/>
      <c r="U562" s="91"/>
      <c r="V562" s="91"/>
      <c r="W562" s="91"/>
    </row>
    <row r="563">
      <c r="A563" s="91"/>
      <c r="D563" s="91"/>
      <c r="G563" s="91"/>
      <c r="J563" s="91"/>
      <c r="M563" s="91"/>
      <c r="P563" s="91"/>
      <c r="S563" s="91"/>
      <c r="T563" s="91"/>
      <c r="U563" s="91"/>
      <c r="V563" s="91"/>
      <c r="W563" s="91"/>
    </row>
    <row r="564">
      <c r="A564" s="91"/>
      <c r="D564" s="91"/>
      <c r="G564" s="91"/>
      <c r="J564" s="91"/>
      <c r="M564" s="91"/>
      <c r="P564" s="91"/>
      <c r="S564" s="91"/>
      <c r="T564" s="91"/>
      <c r="U564" s="91"/>
      <c r="V564" s="91"/>
      <c r="W564" s="91"/>
    </row>
    <row r="565">
      <c r="A565" s="91"/>
      <c r="D565" s="91"/>
      <c r="G565" s="91"/>
      <c r="J565" s="91"/>
      <c r="M565" s="91"/>
      <c r="P565" s="91"/>
      <c r="S565" s="91"/>
      <c r="T565" s="91"/>
      <c r="U565" s="91"/>
      <c r="V565" s="91"/>
      <c r="W565" s="91"/>
    </row>
    <row r="566">
      <c r="A566" s="91"/>
      <c r="D566" s="91"/>
      <c r="G566" s="91"/>
      <c r="J566" s="91"/>
      <c r="M566" s="91"/>
      <c r="P566" s="91"/>
      <c r="S566" s="91"/>
      <c r="T566" s="91"/>
      <c r="U566" s="91"/>
      <c r="V566" s="91"/>
      <c r="W566" s="91"/>
    </row>
    <row r="567">
      <c r="A567" s="91"/>
      <c r="D567" s="91"/>
      <c r="G567" s="91"/>
      <c r="J567" s="91"/>
      <c r="M567" s="91"/>
      <c r="P567" s="91"/>
      <c r="S567" s="91"/>
      <c r="T567" s="91"/>
      <c r="U567" s="91"/>
      <c r="V567" s="91"/>
      <c r="W567" s="91"/>
    </row>
    <row r="568">
      <c r="A568" s="91"/>
      <c r="D568" s="91"/>
      <c r="G568" s="91"/>
      <c r="J568" s="91"/>
      <c r="M568" s="91"/>
      <c r="P568" s="91"/>
      <c r="S568" s="91"/>
      <c r="T568" s="91"/>
      <c r="U568" s="91"/>
      <c r="V568" s="91"/>
      <c r="W568" s="91"/>
    </row>
    <row r="569">
      <c r="A569" s="91"/>
      <c r="D569" s="91"/>
      <c r="G569" s="91"/>
      <c r="J569" s="91"/>
      <c r="M569" s="91"/>
      <c r="P569" s="91"/>
      <c r="S569" s="91"/>
      <c r="T569" s="91"/>
      <c r="U569" s="91"/>
      <c r="V569" s="91"/>
      <c r="W569" s="91"/>
    </row>
    <row r="570">
      <c r="A570" s="91"/>
      <c r="D570" s="91"/>
      <c r="G570" s="91"/>
      <c r="J570" s="91"/>
      <c r="M570" s="91"/>
      <c r="P570" s="91"/>
      <c r="S570" s="91"/>
      <c r="T570" s="91"/>
      <c r="U570" s="91"/>
      <c r="V570" s="91"/>
      <c r="W570" s="91"/>
    </row>
    <row r="571">
      <c r="A571" s="91"/>
      <c r="D571" s="91"/>
      <c r="G571" s="91"/>
      <c r="J571" s="91"/>
      <c r="M571" s="91"/>
      <c r="P571" s="91"/>
      <c r="S571" s="91"/>
      <c r="T571" s="91"/>
      <c r="U571" s="91"/>
      <c r="V571" s="91"/>
      <c r="W571" s="91"/>
    </row>
    <row r="572">
      <c r="A572" s="91"/>
      <c r="D572" s="91"/>
      <c r="G572" s="91"/>
      <c r="J572" s="91"/>
      <c r="M572" s="91"/>
      <c r="P572" s="91"/>
      <c r="S572" s="91"/>
      <c r="T572" s="91"/>
      <c r="U572" s="91"/>
      <c r="V572" s="91"/>
      <c r="W572" s="91"/>
    </row>
    <row r="573">
      <c r="A573" s="91"/>
      <c r="D573" s="91"/>
      <c r="G573" s="91"/>
      <c r="J573" s="91"/>
      <c r="M573" s="91"/>
      <c r="P573" s="91"/>
      <c r="S573" s="91"/>
      <c r="T573" s="91"/>
      <c r="U573" s="91"/>
      <c r="V573" s="91"/>
      <c r="W573" s="91"/>
    </row>
    <row r="574">
      <c r="A574" s="91"/>
      <c r="D574" s="91"/>
      <c r="G574" s="91"/>
      <c r="J574" s="91"/>
      <c r="M574" s="91"/>
      <c r="P574" s="91"/>
      <c r="S574" s="91"/>
      <c r="T574" s="91"/>
      <c r="U574" s="91"/>
      <c r="V574" s="91"/>
      <c r="W574" s="91"/>
    </row>
    <row r="575">
      <c r="A575" s="91"/>
      <c r="D575" s="91"/>
      <c r="G575" s="91"/>
      <c r="J575" s="91"/>
      <c r="M575" s="91"/>
      <c r="P575" s="91"/>
      <c r="S575" s="91"/>
      <c r="T575" s="91"/>
      <c r="U575" s="91"/>
      <c r="V575" s="91"/>
      <c r="W575" s="91"/>
    </row>
    <row r="576">
      <c r="A576" s="91"/>
      <c r="D576" s="91"/>
      <c r="G576" s="91"/>
      <c r="J576" s="91"/>
      <c r="M576" s="91"/>
      <c r="P576" s="91"/>
      <c r="S576" s="91"/>
      <c r="T576" s="91"/>
      <c r="U576" s="91"/>
      <c r="V576" s="91"/>
      <c r="W576" s="91"/>
    </row>
    <row r="577">
      <c r="A577" s="91"/>
      <c r="D577" s="91"/>
      <c r="G577" s="91"/>
      <c r="J577" s="91"/>
      <c r="M577" s="91"/>
      <c r="P577" s="91"/>
      <c r="S577" s="91"/>
      <c r="T577" s="91"/>
      <c r="U577" s="91"/>
      <c r="V577" s="91"/>
      <c r="W577" s="91"/>
    </row>
    <row r="578">
      <c r="A578" s="91"/>
      <c r="D578" s="91"/>
      <c r="G578" s="91"/>
      <c r="J578" s="91"/>
      <c r="M578" s="91"/>
      <c r="P578" s="91"/>
      <c r="S578" s="91"/>
      <c r="T578" s="91"/>
      <c r="U578" s="91"/>
      <c r="V578" s="91"/>
      <c r="W578" s="91"/>
    </row>
    <row r="579">
      <c r="A579" s="91"/>
      <c r="D579" s="91"/>
      <c r="G579" s="91"/>
      <c r="J579" s="91"/>
      <c r="M579" s="91"/>
      <c r="P579" s="91"/>
      <c r="S579" s="91"/>
      <c r="T579" s="91"/>
      <c r="U579" s="91"/>
      <c r="V579" s="91"/>
      <c r="W579" s="91"/>
    </row>
    <row r="580">
      <c r="A580" s="91"/>
      <c r="D580" s="91"/>
      <c r="G580" s="91"/>
      <c r="J580" s="91"/>
      <c r="M580" s="91"/>
      <c r="P580" s="91"/>
      <c r="S580" s="91"/>
      <c r="T580" s="91"/>
      <c r="U580" s="91"/>
      <c r="V580" s="91"/>
      <c r="W580" s="91"/>
    </row>
    <row r="581">
      <c r="A581" s="91"/>
      <c r="D581" s="91"/>
      <c r="G581" s="91"/>
      <c r="J581" s="91"/>
      <c r="M581" s="91"/>
      <c r="P581" s="91"/>
      <c r="S581" s="91"/>
      <c r="T581" s="91"/>
      <c r="U581" s="91"/>
      <c r="V581" s="91"/>
      <c r="W581" s="91"/>
    </row>
    <row r="582">
      <c r="A582" s="91"/>
      <c r="D582" s="91"/>
      <c r="G582" s="91"/>
      <c r="J582" s="91"/>
      <c r="M582" s="91"/>
      <c r="P582" s="91"/>
      <c r="S582" s="91"/>
      <c r="T582" s="91"/>
      <c r="U582" s="91"/>
      <c r="V582" s="91"/>
      <c r="W582" s="91"/>
    </row>
    <row r="583">
      <c r="A583" s="91"/>
      <c r="D583" s="91"/>
      <c r="G583" s="91"/>
      <c r="J583" s="91"/>
      <c r="M583" s="91"/>
      <c r="P583" s="91"/>
      <c r="S583" s="91"/>
      <c r="T583" s="91"/>
      <c r="U583" s="91"/>
      <c r="V583" s="91"/>
      <c r="W583" s="91"/>
    </row>
    <row r="584">
      <c r="A584" s="91"/>
      <c r="D584" s="91"/>
      <c r="G584" s="91"/>
      <c r="J584" s="91"/>
      <c r="M584" s="91"/>
      <c r="P584" s="91"/>
      <c r="S584" s="91"/>
      <c r="T584" s="91"/>
      <c r="U584" s="91"/>
      <c r="V584" s="91"/>
      <c r="W584" s="91"/>
    </row>
    <row r="585">
      <c r="A585" s="91"/>
      <c r="D585" s="91"/>
      <c r="G585" s="91"/>
      <c r="J585" s="91"/>
      <c r="M585" s="91"/>
      <c r="P585" s="91"/>
      <c r="S585" s="91"/>
      <c r="T585" s="91"/>
      <c r="U585" s="91"/>
      <c r="V585" s="91"/>
      <c r="W585" s="91"/>
    </row>
    <row r="586">
      <c r="A586" s="91"/>
      <c r="D586" s="91"/>
      <c r="G586" s="91"/>
      <c r="J586" s="91"/>
      <c r="M586" s="91"/>
      <c r="P586" s="91"/>
      <c r="S586" s="91"/>
      <c r="T586" s="91"/>
      <c r="U586" s="91"/>
      <c r="V586" s="91"/>
      <c r="W586" s="91"/>
    </row>
    <row r="587">
      <c r="A587" s="91"/>
      <c r="D587" s="91"/>
      <c r="G587" s="91"/>
      <c r="J587" s="91"/>
      <c r="M587" s="91"/>
      <c r="P587" s="91"/>
      <c r="S587" s="91"/>
      <c r="T587" s="91"/>
      <c r="U587" s="91"/>
      <c r="V587" s="91"/>
      <c r="W587" s="91"/>
    </row>
    <row r="588">
      <c r="A588" s="91"/>
      <c r="D588" s="91"/>
      <c r="G588" s="91"/>
      <c r="J588" s="91"/>
      <c r="M588" s="91"/>
      <c r="P588" s="91"/>
      <c r="S588" s="91"/>
      <c r="T588" s="91"/>
      <c r="U588" s="91"/>
      <c r="V588" s="91"/>
      <c r="W588" s="91"/>
    </row>
    <row r="589">
      <c r="A589" s="91"/>
      <c r="D589" s="91"/>
      <c r="G589" s="91"/>
      <c r="J589" s="91"/>
      <c r="M589" s="91"/>
      <c r="P589" s="91"/>
      <c r="S589" s="91"/>
      <c r="T589" s="91"/>
      <c r="U589" s="91"/>
      <c r="V589" s="91"/>
      <c r="W589" s="91"/>
    </row>
    <row r="590">
      <c r="A590" s="91"/>
      <c r="D590" s="91"/>
      <c r="G590" s="91"/>
      <c r="J590" s="91"/>
      <c r="M590" s="91"/>
      <c r="P590" s="91"/>
      <c r="S590" s="91"/>
      <c r="T590" s="91"/>
      <c r="U590" s="91"/>
      <c r="V590" s="91"/>
      <c r="W590" s="91"/>
    </row>
    <row r="591">
      <c r="A591" s="91"/>
      <c r="D591" s="91"/>
      <c r="G591" s="91"/>
      <c r="J591" s="91"/>
      <c r="M591" s="91"/>
      <c r="P591" s="91"/>
      <c r="S591" s="91"/>
      <c r="T591" s="91"/>
      <c r="U591" s="91"/>
      <c r="V591" s="91"/>
      <c r="W591" s="91"/>
    </row>
    <row r="592">
      <c r="A592" s="91"/>
      <c r="D592" s="91"/>
      <c r="G592" s="91"/>
      <c r="J592" s="91"/>
      <c r="M592" s="91"/>
      <c r="P592" s="91"/>
      <c r="S592" s="91"/>
      <c r="T592" s="91"/>
      <c r="U592" s="91"/>
      <c r="V592" s="91"/>
      <c r="W592" s="91"/>
    </row>
    <row r="593">
      <c r="A593" s="91"/>
      <c r="D593" s="91"/>
      <c r="G593" s="91"/>
      <c r="J593" s="91"/>
      <c r="M593" s="91"/>
      <c r="P593" s="91"/>
      <c r="S593" s="91"/>
      <c r="T593" s="91"/>
      <c r="U593" s="91"/>
      <c r="V593" s="91"/>
      <c r="W593" s="91"/>
    </row>
    <row r="594">
      <c r="A594" s="91"/>
      <c r="D594" s="91"/>
      <c r="G594" s="91"/>
      <c r="J594" s="91"/>
      <c r="M594" s="91"/>
      <c r="P594" s="91"/>
      <c r="S594" s="91"/>
      <c r="T594" s="91"/>
      <c r="U594" s="91"/>
      <c r="V594" s="91"/>
      <c r="W594" s="91"/>
    </row>
    <row r="595">
      <c r="A595" s="91"/>
      <c r="D595" s="91"/>
      <c r="G595" s="91"/>
      <c r="J595" s="91"/>
      <c r="M595" s="91"/>
      <c r="P595" s="91"/>
      <c r="S595" s="91"/>
      <c r="T595" s="91"/>
      <c r="U595" s="91"/>
      <c r="V595" s="91"/>
      <c r="W595" s="91"/>
    </row>
    <row r="596">
      <c r="A596" s="91"/>
      <c r="D596" s="91"/>
      <c r="G596" s="91"/>
      <c r="J596" s="91"/>
      <c r="M596" s="91"/>
      <c r="P596" s="91"/>
      <c r="S596" s="91"/>
      <c r="T596" s="91"/>
      <c r="U596" s="91"/>
      <c r="V596" s="91"/>
      <c r="W596" s="91"/>
    </row>
    <row r="597">
      <c r="A597" s="91"/>
      <c r="D597" s="91"/>
      <c r="G597" s="91"/>
      <c r="J597" s="91"/>
      <c r="M597" s="91"/>
      <c r="P597" s="91"/>
      <c r="S597" s="91"/>
      <c r="T597" s="91"/>
      <c r="U597" s="91"/>
      <c r="V597" s="91"/>
      <c r="W597" s="91"/>
    </row>
    <row r="598">
      <c r="A598" s="91"/>
      <c r="D598" s="91"/>
      <c r="G598" s="91"/>
      <c r="J598" s="91"/>
      <c r="M598" s="91"/>
      <c r="P598" s="91"/>
      <c r="S598" s="91"/>
      <c r="T598" s="91"/>
      <c r="U598" s="91"/>
      <c r="V598" s="91"/>
      <c r="W598" s="91"/>
    </row>
    <row r="599">
      <c r="A599" s="91"/>
      <c r="D599" s="91"/>
      <c r="G599" s="91"/>
      <c r="J599" s="91"/>
      <c r="M599" s="91"/>
      <c r="P599" s="91"/>
      <c r="S599" s="91"/>
      <c r="T599" s="91"/>
      <c r="U599" s="91"/>
      <c r="V599" s="91"/>
      <c r="W599" s="91"/>
    </row>
    <row r="600">
      <c r="A600" s="91"/>
      <c r="D600" s="91"/>
      <c r="G600" s="91"/>
      <c r="J600" s="91"/>
      <c r="M600" s="91"/>
      <c r="P600" s="91"/>
      <c r="S600" s="91"/>
      <c r="T600" s="91"/>
      <c r="U600" s="91"/>
      <c r="V600" s="91"/>
      <c r="W600" s="91"/>
    </row>
    <row r="601">
      <c r="A601" s="91"/>
      <c r="D601" s="91"/>
      <c r="G601" s="91"/>
      <c r="J601" s="91"/>
      <c r="M601" s="91"/>
      <c r="P601" s="91"/>
      <c r="S601" s="91"/>
      <c r="T601" s="91"/>
      <c r="U601" s="91"/>
      <c r="V601" s="91"/>
      <c r="W601" s="91"/>
    </row>
    <row r="602">
      <c r="A602" s="91"/>
      <c r="D602" s="91"/>
      <c r="G602" s="91"/>
      <c r="J602" s="91"/>
      <c r="M602" s="91"/>
      <c r="P602" s="91"/>
      <c r="S602" s="91"/>
      <c r="T602" s="91"/>
      <c r="U602" s="91"/>
      <c r="V602" s="91"/>
      <c r="W602" s="91"/>
    </row>
    <row r="603">
      <c r="A603" s="91"/>
      <c r="D603" s="91"/>
      <c r="G603" s="91"/>
      <c r="J603" s="91"/>
      <c r="M603" s="91"/>
      <c r="P603" s="91"/>
      <c r="S603" s="91"/>
      <c r="T603" s="91"/>
      <c r="U603" s="91"/>
      <c r="V603" s="91"/>
      <c r="W603" s="91"/>
    </row>
    <row r="604">
      <c r="A604" s="91"/>
      <c r="D604" s="91"/>
      <c r="G604" s="91"/>
      <c r="J604" s="91"/>
      <c r="M604" s="91"/>
      <c r="P604" s="91"/>
      <c r="S604" s="91"/>
      <c r="T604" s="91"/>
      <c r="U604" s="91"/>
      <c r="V604" s="91"/>
      <c r="W604" s="91"/>
    </row>
    <row r="605">
      <c r="A605" s="91"/>
      <c r="D605" s="91"/>
      <c r="G605" s="91"/>
      <c r="J605" s="91"/>
      <c r="M605" s="91"/>
      <c r="P605" s="91"/>
      <c r="S605" s="91"/>
      <c r="T605" s="91"/>
      <c r="U605" s="91"/>
      <c r="V605" s="91"/>
      <c r="W605" s="91"/>
    </row>
    <row r="606">
      <c r="A606" s="91"/>
      <c r="D606" s="91"/>
      <c r="G606" s="91"/>
      <c r="J606" s="91"/>
      <c r="M606" s="91"/>
      <c r="P606" s="91"/>
      <c r="S606" s="91"/>
      <c r="T606" s="91"/>
      <c r="U606" s="91"/>
      <c r="V606" s="91"/>
      <c r="W606" s="91"/>
    </row>
    <row r="607">
      <c r="A607" s="91"/>
      <c r="D607" s="91"/>
      <c r="G607" s="91"/>
      <c r="J607" s="91"/>
      <c r="M607" s="91"/>
      <c r="P607" s="91"/>
      <c r="S607" s="91"/>
      <c r="T607" s="91"/>
      <c r="U607" s="91"/>
      <c r="V607" s="91"/>
      <c r="W607" s="91"/>
    </row>
    <row r="608">
      <c r="A608" s="91"/>
      <c r="D608" s="91"/>
      <c r="G608" s="91"/>
      <c r="J608" s="91"/>
      <c r="M608" s="91"/>
      <c r="P608" s="91"/>
      <c r="S608" s="91"/>
      <c r="T608" s="91"/>
      <c r="U608" s="91"/>
      <c r="V608" s="91"/>
      <c r="W608" s="91"/>
    </row>
    <row r="609">
      <c r="A609" s="91"/>
      <c r="D609" s="91"/>
      <c r="G609" s="91"/>
      <c r="J609" s="91"/>
      <c r="M609" s="91"/>
      <c r="P609" s="91"/>
      <c r="S609" s="91"/>
      <c r="T609" s="91"/>
      <c r="U609" s="91"/>
      <c r="V609" s="91"/>
      <c r="W609" s="91"/>
    </row>
    <row r="610">
      <c r="A610" s="91"/>
      <c r="D610" s="91"/>
      <c r="G610" s="91"/>
      <c r="J610" s="91"/>
      <c r="M610" s="91"/>
      <c r="P610" s="91"/>
      <c r="S610" s="91"/>
      <c r="T610" s="91"/>
      <c r="U610" s="91"/>
      <c r="V610" s="91"/>
      <c r="W610" s="91"/>
    </row>
    <row r="611">
      <c r="A611" s="91"/>
      <c r="D611" s="91"/>
      <c r="G611" s="91"/>
      <c r="J611" s="91"/>
      <c r="M611" s="91"/>
      <c r="P611" s="91"/>
      <c r="S611" s="91"/>
      <c r="T611" s="91"/>
      <c r="U611" s="91"/>
      <c r="V611" s="91"/>
      <c r="W611" s="91"/>
    </row>
    <row r="612">
      <c r="A612" s="91"/>
      <c r="D612" s="91"/>
      <c r="G612" s="91"/>
      <c r="J612" s="91"/>
      <c r="M612" s="91"/>
      <c r="P612" s="91"/>
      <c r="S612" s="91"/>
      <c r="T612" s="91"/>
      <c r="U612" s="91"/>
      <c r="V612" s="91"/>
      <c r="W612" s="91"/>
    </row>
    <row r="613">
      <c r="A613" s="91"/>
      <c r="D613" s="91"/>
      <c r="G613" s="91"/>
      <c r="J613" s="91"/>
      <c r="M613" s="91"/>
      <c r="P613" s="91"/>
      <c r="S613" s="91"/>
      <c r="T613" s="91"/>
      <c r="U613" s="91"/>
      <c r="V613" s="91"/>
      <c r="W613" s="91"/>
    </row>
    <row r="614">
      <c r="A614" s="91"/>
      <c r="D614" s="91"/>
      <c r="G614" s="91"/>
      <c r="J614" s="91"/>
      <c r="M614" s="91"/>
      <c r="P614" s="91"/>
      <c r="S614" s="91"/>
      <c r="T614" s="91"/>
      <c r="U614" s="91"/>
      <c r="V614" s="91"/>
      <c r="W614" s="91"/>
    </row>
    <row r="615">
      <c r="A615" s="91"/>
      <c r="D615" s="91"/>
      <c r="G615" s="91"/>
      <c r="J615" s="91"/>
      <c r="M615" s="91"/>
      <c r="P615" s="91"/>
      <c r="S615" s="91"/>
      <c r="T615" s="91"/>
      <c r="U615" s="91"/>
      <c r="V615" s="91"/>
      <c r="W615" s="91"/>
    </row>
    <row r="616">
      <c r="A616" s="91"/>
      <c r="D616" s="91"/>
      <c r="G616" s="91"/>
      <c r="J616" s="91"/>
      <c r="M616" s="91"/>
      <c r="P616" s="91"/>
      <c r="S616" s="91"/>
      <c r="T616" s="91"/>
      <c r="U616" s="91"/>
      <c r="V616" s="91"/>
      <c r="W616" s="91"/>
    </row>
    <row r="617">
      <c r="A617" s="91"/>
      <c r="D617" s="91"/>
      <c r="G617" s="91"/>
      <c r="J617" s="91"/>
      <c r="M617" s="91"/>
      <c r="P617" s="91"/>
      <c r="S617" s="91"/>
      <c r="T617" s="91"/>
      <c r="U617" s="91"/>
      <c r="V617" s="91"/>
      <c r="W617" s="91"/>
    </row>
    <row r="618">
      <c r="A618" s="91"/>
      <c r="D618" s="91"/>
      <c r="G618" s="91"/>
      <c r="J618" s="91"/>
      <c r="M618" s="91"/>
      <c r="P618" s="91"/>
      <c r="S618" s="91"/>
      <c r="T618" s="91"/>
      <c r="U618" s="91"/>
      <c r="V618" s="91"/>
      <c r="W618" s="91"/>
    </row>
    <row r="619">
      <c r="A619" s="91"/>
      <c r="D619" s="91"/>
      <c r="G619" s="91"/>
      <c r="J619" s="91"/>
      <c r="M619" s="91"/>
      <c r="P619" s="91"/>
      <c r="S619" s="91"/>
      <c r="T619" s="91"/>
      <c r="U619" s="91"/>
      <c r="V619" s="91"/>
      <c r="W619" s="91"/>
    </row>
    <row r="620">
      <c r="A620" s="91"/>
      <c r="D620" s="91"/>
      <c r="G620" s="91"/>
      <c r="J620" s="91"/>
      <c r="M620" s="91"/>
      <c r="P620" s="91"/>
      <c r="S620" s="91"/>
      <c r="T620" s="91"/>
      <c r="U620" s="91"/>
      <c r="V620" s="91"/>
      <c r="W620" s="91"/>
    </row>
    <row r="621">
      <c r="A621" s="91"/>
      <c r="D621" s="91"/>
      <c r="G621" s="91"/>
      <c r="J621" s="91"/>
      <c r="M621" s="91"/>
      <c r="P621" s="91"/>
      <c r="S621" s="91"/>
      <c r="T621" s="91"/>
      <c r="U621" s="91"/>
      <c r="V621" s="91"/>
      <c r="W621" s="91"/>
    </row>
    <row r="622">
      <c r="A622" s="91"/>
      <c r="D622" s="91"/>
      <c r="G622" s="91"/>
      <c r="J622" s="91"/>
      <c r="M622" s="91"/>
      <c r="P622" s="91"/>
      <c r="S622" s="91"/>
      <c r="T622" s="91"/>
      <c r="U622" s="91"/>
      <c r="V622" s="91"/>
      <c r="W622" s="91"/>
    </row>
    <row r="623">
      <c r="A623" s="91"/>
      <c r="D623" s="91"/>
      <c r="G623" s="91"/>
      <c r="J623" s="91"/>
      <c r="M623" s="91"/>
      <c r="P623" s="91"/>
      <c r="S623" s="91"/>
      <c r="T623" s="91"/>
      <c r="U623" s="91"/>
      <c r="V623" s="91"/>
      <c r="W623" s="91"/>
    </row>
    <row r="624">
      <c r="A624" s="91"/>
      <c r="D624" s="91"/>
      <c r="G624" s="91"/>
      <c r="J624" s="91"/>
      <c r="M624" s="91"/>
      <c r="P624" s="91"/>
      <c r="S624" s="91"/>
      <c r="T624" s="91"/>
      <c r="U624" s="91"/>
      <c r="V624" s="91"/>
      <c r="W624" s="91"/>
    </row>
    <row r="625">
      <c r="A625" s="91"/>
      <c r="D625" s="91"/>
      <c r="G625" s="91"/>
      <c r="J625" s="91"/>
      <c r="M625" s="91"/>
      <c r="P625" s="91"/>
      <c r="S625" s="91"/>
      <c r="T625" s="91"/>
      <c r="U625" s="91"/>
      <c r="V625" s="91"/>
      <c r="W625" s="91"/>
    </row>
    <row r="626">
      <c r="A626" s="91"/>
      <c r="D626" s="91"/>
      <c r="G626" s="91"/>
      <c r="J626" s="91"/>
      <c r="M626" s="91"/>
      <c r="P626" s="91"/>
      <c r="S626" s="91"/>
      <c r="T626" s="91"/>
      <c r="U626" s="91"/>
      <c r="V626" s="91"/>
      <c r="W626" s="91"/>
    </row>
    <row r="627">
      <c r="A627" s="91"/>
      <c r="D627" s="91"/>
      <c r="G627" s="91"/>
      <c r="J627" s="91"/>
      <c r="M627" s="91"/>
      <c r="P627" s="91"/>
      <c r="S627" s="91"/>
      <c r="T627" s="91"/>
      <c r="U627" s="91"/>
      <c r="V627" s="91"/>
      <c r="W627" s="91"/>
    </row>
    <row r="628">
      <c r="A628" s="91"/>
      <c r="D628" s="91"/>
      <c r="G628" s="91"/>
      <c r="J628" s="91"/>
      <c r="M628" s="91"/>
      <c r="P628" s="91"/>
      <c r="S628" s="91"/>
      <c r="T628" s="91"/>
      <c r="U628" s="91"/>
      <c r="V628" s="91"/>
      <c r="W628" s="91"/>
    </row>
    <row r="629">
      <c r="A629" s="91"/>
      <c r="D629" s="91"/>
      <c r="G629" s="91"/>
      <c r="J629" s="91"/>
      <c r="M629" s="91"/>
      <c r="P629" s="91"/>
      <c r="S629" s="91"/>
      <c r="T629" s="91"/>
      <c r="U629" s="91"/>
      <c r="V629" s="91"/>
      <c r="W629" s="91"/>
    </row>
    <row r="630">
      <c r="A630" s="91"/>
      <c r="D630" s="91"/>
      <c r="G630" s="91"/>
      <c r="J630" s="91"/>
      <c r="M630" s="91"/>
      <c r="P630" s="91"/>
      <c r="S630" s="91"/>
      <c r="T630" s="91"/>
      <c r="U630" s="91"/>
      <c r="V630" s="91"/>
      <c r="W630" s="91"/>
    </row>
    <row r="631">
      <c r="A631" s="91"/>
      <c r="D631" s="91"/>
      <c r="G631" s="91"/>
      <c r="J631" s="91"/>
      <c r="M631" s="91"/>
      <c r="P631" s="91"/>
      <c r="S631" s="91"/>
      <c r="T631" s="91"/>
      <c r="U631" s="91"/>
      <c r="V631" s="91"/>
      <c r="W631" s="91"/>
    </row>
    <row r="632">
      <c r="A632" s="91"/>
      <c r="D632" s="91"/>
      <c r="G632" s="91"/>
      <c r="J632" s="91"/>
      <c r="M632" s="91"/>
      <c r="P632" s="91"/>
      <c r="S632" s="91"/>
      <c r="T632" s="91"/>
      <c r="U632" s="91"/>
      <c r="V632" s="91"/>
      <c r="W632" s="91"/>
    </row>
    <row r="633">
      <c r="A633" s="91"/>
      <c r="D633" s="91"/>
      <c r="G633" s="91"/>
      <c r="J633" s="91"/>
      <c r="M633" s="91"/>
      <c r="P633" s="91"/>
      <c r="S633" s="91"/>
      <c r="T633" s="91"/>
      <c r="U633" s="91"/>
      <c r="V633" s="91"/>
      <c r="W633" s="91"/>
    </row>
    <row r="634">
      <c r="A634" s="91"/>
      <c r="D634" s="91"/>
      <c r="G634" s="91"/>
      <c r="J634" s="91"/>
      <c r="M634" s="91"/>
      <c r="P634" s="91"/>
      <c r="S634" s="91"/>
      <c r="T634" s="91"/>
      <c r="U634" s="91"/>
      <c r="V634" s="91"/>
      <c r="W634" s="91"/>
    </row>
    <row r="635">
      <c r="A635" s="91"/>
      <c r="D635" s="91"/>
      <c r="G635" s="91"/>
      <c r="J635" s="91"/>
      <c r="M635" s="91"/>
      <c r="P635" s="91"/>
      <c r="S635" s="91"/>
      <c r="T635" s="91"/>
      <c r="U635" s="91"/>
      <c r="V635" s="91"/>
      <c r="W635" s="91"/>
    </row>
    <row r="636">
      <c r="A636" s="91"/>
      <c r="D636" s="91"/>
      <c r="G636" s="91"/>
      <c r="J636" s="91"/>
      <c r="M636" s="91"/>
      <c r="P636" s="91"/>
      <c r="S636" s="91"/>
      <c r="T636" s="91"/>
      <c r="U636" s="91"/>
      <c r="V636" s="91"/>
      <c r="W636" s="91"/>
    </row>
    <row r="637">
      <c r="A637" s="91"/>
      <c r="D637" s="91"/>
      <c r="G637" s="91"/>
      <c r="J637" s="91"/>
      <c r="M637" s="91"/>
      <c r="P637" s="91"/>
      <c r="S637" s="91"/>
      <c r="T637" s="91"/>
      <c r="U637" s="91"/>
      <c r="V637" s="91"/>
      <c r="W637" s="91"/>
    </row>
    <row r="638">
      <c r="A638" s="91"/>
      <c r="D638" s="91"/>
      <c r="G638" s="91"/>
      <c r="J638" s="91"/>
      <c r="M638" s="91"/>
      <c r="P638" s="91"/>
      <c r="S638" s="91"/>
      <c r="T638" s="91"/>
      <c r="U638" s="91"/>
      <c r="V638" s="91"/>
      <c r="W638" s="91"/>
    </row>
    <row r="639">
      <c r="A639" s="91"/>
      <c r="D639" s="91"/>
      <c r="G639" s="91"/>
      <c r="J639" s="91"/>
      <c r="M639" s="91"/>
      <c r="P639" s="91"/>
      <c r="S639" s="91"/>
      <c r="T639" s="91"/>
      <c r="U639" s="91"/>
      <c r="V639" s="91"/>
      <c r="W639" s="91"/>
    </row>
    <row r="640">
      <c r="A640" s="91"/>
      <c r="D640" s="91"/>
      <c r="G640" s="91"/>
      <c r="J640" s="91"/>
      <c r="M640" s="91"/>
      <c r="P640" s="91"/>
      <c r="S640" s="91"/>
      <c r="T640" s="91"/>
      <c r="U640" s="91"/>
      <c r="V640" s="91"/>
      <c r="W640" s="91"/>
    </row>
    <row r="641">
      <c r="A641" s="91"/>
      <c r="D641" s="91"/>
      <c r="G641" s="91"/>
      <c r="J641" s="91"/>
      <c r="M641" s="91"/>
      <c r="P641" s="91"/>
      <c r="S641" s="91"/>
      <c r="T641" s="91"/>
      <c r="U641" s="91"/>
      <c r="V641" s="91"/>
      <c r="W641" s="91"/>
    </row>
    <row r="642">
      <c r="A642" s="91"/>
      <c r="D642" s="91"/>
      <c r="G642" s="91"/>
      <c r="J642" s="91"/>
      <c r="M642" s="91"/>
      <c r="P642" s="91"/>
      <c r="S642" s="91"/>
      <c r="T642" s="91"/>
      <c r="U642" s="91"/>
      <c r="V642" s="91"/>
      <c r="W642" s="91"/>
    </row>
    <row r="643">
      <c r="A643" s="91"/>
      <c r="D643" s="91"/>
      <c r="G643" s="91"/>
      <c r="J643" s="91"/>
      <c r="M643" s="91"/>
      <c r="P643" s="91"/>
      <c r="S643" s="91"/>
      <c r="T643" s="91"/>
      <c r="U643" s="91"/>
      <c r="V643" s="91"/>
      <c r="W643" s="91"/>
    </row>
    <row r="644">
      <c r="A644" s="91"/>
      <c r="D644" s="91"/>
      <c r="G644" s="91"/>
      <c r="J644" s="91"/>
      <c r="M644" s="91"/>
      <c r="P644" s="91"/>
      <c r="S644" s="91"/>
      <c r="T644" s="91"/>
      <c r="U644" s="91"/>
      <c r="V644" s="91"/>
      <c r="W644" s="91"/>
    </row>
    <row r="645">
      <c r="A645" s="91"/>
      <c r="D645" s="91"/>
      <c r="G645" s="91"/>
      <c r="J645" s="91"/>
      <c r="M645" s="91"/>
      <c r="P645" s="91"/>
      <c r="S645" s="91"/>
      <c r="T645" s="91"/>
      <c r="U645" s="91"/>
      <c r="V645" s="91"/>
      <c r="W645" s="91"/>
    </row>
    <row r="646">
      <c r="A646" s="91"/>
      <c r="D646" s="91"/>
      <c r="G646" s="91"/>
      <c r="J646" s="91"/>
      <c r="M646" s="91"/>
      <c r="P646" s="91"/>
      <c r="S646" s="91"/>
      <c r="T646" s="91"/>
      <c r="U646" s="91"/>
      <c r="V646" s="91"/>
      <c r="W646" s="91"/>
    </row>
    <row r="647">
      <c r="A647" s="91"/>
      <c r="D647" s="91"/>
      <c r="G647" s="91"/>
      <c r="J647" s="91"/>
      <c r="M647" s="91"/>
      <c r="P647" s="91"/>
      <c r="S647" s="91"/>
      <c r="T647" s="91"/>
      <c r="U647" s="91"/>
      <c r="V647" s="91"/>
      <c r="W647" s="91"/>
    </row>
    <row r="648">
      <c r="A648" s="91"/>
      <c r="D648" s="91"/>
      <c r="G648" s="91"/>
      <c r="J648" s="91"/>
      <c r="M648" s="91"/>
      <c r="P648" s="91"/>
      <c r="S648" s="91"/>
      <c r="T648" s="91"/>
      <c r="U648" s="91"/>
      <c r="V648" s="91"/>
      <c r="W648" s="91"/>
    </row>
    <row r="649">
      <c r="A649" s="91"/>
      <c r="D649" s="91"/>
      <c r="G649" s="91"/>
      <c r="J649" s="91"/>
      <c r="M649" s="91"/>
      <c r="P649" s="91"/>
      <c r="S649" s="91"/>
      <c r="T649" s="91"/>
      <c r="U649" s="91"/>
      <c r="V649" s="91"/>
      <c r="W649" s="91"/>
    </row>
    <row r="650">
      <c r="A650" s="91"/>
      <c r="D650" s="91"/>
      <c r="G650" s="91"/>
      <c r="J650" s="91"/>
      <c r="M650" s="91"/>
      <c r="P650" s="91"/>
      <c r="S650" s="91"/>
      <c r="T650" s="91"/>
      <c r="U650" s="91"/>
      <c r="V650" s="91"/>
      <c r="W650" s="91"/>
    </row>
    <row r="651">
      <c r="A651" s="91"/>
      <c r="D651" s="91"/>
      <c r="G651" s="91"/>
      <c r="J651" s="91"/>
      <c r="M651" s="91"/>
      <c r="P651" s="91"/>
      <c r="S651" s="91"/>
      <c r="T651" s="91"/>
      <c r="U651" s="91"/>
      <c r="V651" s="91"/>
      <c r="W651" s="91"/>
    </row>
    <row r="652">
      <c r="A652" s="91"/>
      <c r="D652" s="91"/>
      <c r="G652" s="91"/>
      <c r="J652" s="91"/>
      <c r="M652" s="91"/>
      <c r="P652" s="91"/>
      <c r="S652" s="91"/>
      <c r="T652" s="91"/>
      <c r="U652" s="91"/>
      <c r="V652" s="91"/>
      <c r="W652" s="91"/>
    </row>
    <row r="653">
      <c r="A653" s="91"/>
      <c r="D653" s="91"/>
      <c r="G653" s="91"/>
      <c r="J653" s="91"/>
      <c r="M653" s="91"/>
      <c r="P653" s="91"/>
      <c r="S653" s="91"/>
      <c r="T653" s="91"/>
      <c r="U653" s="91"/>
      <c r="V653" s="91"/>
      <c r="W653" s="91"/>
    </row>
    <row r="654">
      <c r="A654" s="91"/>
      <c r="D654" s="91"/>
      <c r="G654" s="91"/>
      <c r="J654" s="91"/>
      <c r="M654" s="91"/>
      <c r="P654" s="91"/>
      <c r="S654" s="91"/>
      <c r="T654" s="91"/>
      <c r="U654" s="91"/>
      <c r="V654" s="91"/>
      <c r="W654" s="91"/>
    </row>
    <row r="655">
      <c r="A655" s="91"/>
      <c r="D655" s="91"/>
      <c r="G655" s="91"/>
      <c r="J655" s="91"/>
      <c r="M655" s="91"/>
      <c r="P655" s="91"/>
      <c r="S655" s="91"/>
      <c r="T655" s="91"/>
      <c r="U655" s="91"/>
      <c r="V655" s="91"/>
      <c r="W655" s="91"/>
    </row>
    <row r="656">
      <c r="A656" s="91"/>
      <c r="D656" s="91"/>
      <c r="G656" s="91"/>
      <c r="J656" s="91"/>
      <c r="M656" s="91"/>
      <c r="P656" s="91"/>
      <c r="S656" s="91"/>
      <c r="T656" s="91"/>
      <c r="U656" s="91"/>
      <c r="V656" s="91"/>
      <c r="W656" s="91"/>
    </row>
    <row r="657">
      <c r="A657" s="91"/>
      <c r="D657" s="91"/>
      <c r="G657" s="91"/>
      <c r="J657" s="91"/>
      <c r="M657" s="91"/>
      <c r="P657" s="91"/>
      <c r="S657" s="91"/>
      <c r="T657" s="91"/>
      <c r="U657" s="91"/>
      <c r="V657" s="91"/>
      <c r="W657" s="91"/>
    </row>
    <row r="658">
      <c r="A658" s="91"/>
      <c r="D658" s="91"/>
      <c r="G658" s="91"/>
      <c r="J658" s="91"/>
      <c r="M658" s="91"/>
      <c r="P658" s="91"/>
      <c r="S658" s="91"/>
      <c r="T658" s="91"/>
      <c r="U658" s="91"/>
      <c r="V658" s="91"/>
      <c r="W658" s="91"/>
    </row>
    <row r="659">
      <c r="A659" s="91"/>
      <c r="D659" s="91"/>
      <c r="G659" s="91"/>
      <c r="J659" s="91"/>
      <c r="M659" s="91"/>
      <c r="P659" s="91"/>
      <c r="S659" s="91"/>
      <c r="T659" s="91"/>
      <c r="U659" s="91"/>
      <c r="V659" s="91"/>
      <c r="W659" s="91"/>
    </row>
    <row r="660">
      <c r="A660" s="91"/>
      <c r="D660" s="91"/>
      <c r="G660" s="91"/>
      <c r="J660" s="91"/>
      <c r="M660" s="91"/>
      <c r="P660" s="91"/>
      <c r="S660" s="91"/>
      <c r="T660" s="91"/>
      <c r="U660" s="91"/>
      <c r="V660" s="91"/>
      <c r="W660" s="91"/>
    </row>
    <row r="661">
      <c r="A661" s="91"/>
      <c r="D661" s="91"/>
      <c r="G661" s="91"/>
      <c r="J661" s="91"/>
      <c r="M661" s="91"/>
      <c r="P661" s="91"/>
      <c r="S661" s="91"/>
      <c r="T661" s="91"/>
      <c r="U661" s="91"/>
      <c r="V661" s="91"/>
      <c r="W661" s="91"/>
    </row>
    <row r="662">
      <c r="A662" s="91"/>
      <c r="D662" s="91"/>
      <c r="G662" s="91"/>
      <c r="J662" s="91"/>
      <c r="M662" s="91"/>
      <c r="P662" s="91"/>
      <c r="S662" s="91"/>
      <c r="T662" s="91"/>
      <c r="U662" s="91"/>
      <c r="V662" s="91"/>
      <c r="W662" s="91"/>
    </row>
    <row r="663">
      <c r="A663" s="91"/>
      <c r="D663" s="91"/>
      <c r="G663" s="91"/>
      <c r="J663" s="91"/>
      <c r="M663" s="91"/>
      <c r="P663" s="91"/>
      <c r="S663" s="91"/>
      <c r="T663" s="91"/>
      <c r="U663" s="91"/>
      <c r="V663" s="91"/>
      <c r="W663" s="91"/>
    </row>
    <row r="664">
      <c r="A664" s="91"/>
      <c r="D664" s="91"/>
      <c r="G664" s="91"/>
      <c r="J664" s="91"/>
      <c r="M664" s="91"/>
      <c r="P664" s="91"/>
      <c r="S664" s="91"/>
      <c r="T664" s="91"/>
      <c r="U664" s="91"/>
      <c r="V664" s="91"/>
      <c r="W664" s="91"/>
    </row>
    <row r="665">
      <c r="A665" s="91"/>
      <c r="D665" s="91"/>
      <c r="G665" s="91"/>
      <c r="J665" s="91"/>
      <c r="M665" s="91"/>
      <c r="P665" s="91"/>
      <c r="S665" s="91"/>
      <c r="T665" s="91"/>
      <c r="U665" s="91"/>
      <c r="V665" s="91"/>
      <c r="W665" s="91"/>
    </row>
    <row r="666">
      <c r="A666" s="91"/>
      <c r="D666" s="91"/>
      <c r="G666" s="91"/>
      <c r="J666" s="91"/>
      <c r="M666" s="91"/>
      <c r="P666" s="91"/>
      <c r="S666" s="91"/>
      <c r="T666" s="91"/>
      <c r="U666" s="91"/>
      <c r="V666" s="91"/>
      <c r="W666" s="91"/>
    </row>
    <row r="667">
      <c r="A667" s="91"/>
      <c r="D667" s="91"/>
      <c r="G667" s="91"/>
      <c r="J667" s="91"/>
      <c r="M667" s="91"/>
      <c r="P667" s="91"/>
      <c r="S667" s="91"/>
      <c r="T667" s="91"/>
      <c r="U667" s="91"/>
      <c r="V667" s="91"/>
      <c r="W667" s="91"/>
    </row>
    <row r="668">
      <c r="A668" s="91"/>
      <c r="D668" s="91"/>
      <c r="G668" s="91"/>
      <c r="J668" s="91"/>
      <c r="M668" s="91"/>
      <c r="P668" s="91"/>
      <c r="S668" s="91"/>
      <c r="T668" s="91"/>
      <c r="U668" s="91"/>
      <c r="V668" s="91"/>
      <c r="W668" s="91"/>
    </row>
    <row r="669">
      <c r="A669" s="91"/>
      <c r="D669" s="91"/>
      <c r="G669" s="91"/>
      <c r="J669" s="91"/>
      <c r="M669" s="91"/>
      <c r="P669" s="91"/>
      <c r="S669" s="91"/>
      <c r="T669" s="91"/>
      <c r="U669" s="91"/>
      <c r="V669" s="91"/>
      <c r="W669" s="91"/>
    </row>
    <row r="670">
      <c r="A670" s="91"/>
      <c r="D670" s="91"/>
      <c r="G670" s="91"/>
      <c r="J670" s="91"/>
      <c r="M670" s="91"/>
      <c r="P670" s="91"/>
      <c r="S670" s="91"/>
      <c r="T670" s="91"/>
      <c r="U670" s="91"/>
      <c r="V670" s="91"/>
      <c r="W670" s="91"/>
    </row>
    <row r="671">
      <c r="A671" s="91"/>
      <c r="D671" s="91"/>
      <c r="G671" s="91"/>
      <c r="J671" s="91"/>
      <c r="M671" s="91"/>
      <c r="P671" s="91"/>
      <c r="S671" s="91"/>
      <c r="T671" s="91"/>
      <c r="U671" s="91"/>
      <c r="V671" s="91"/>
      <c r="W671" s="91"/>
    </row>
    <row r="672">
      <c r="A672" s="91"/>
      <c r="D672" s="91"/>
      <c r="G672" s="91"/>
      <c r="J672" s="91"/>
      <c r="M672" s="91"/>
      <c r="P672" s="91"/>
      <c r="S672" s="91"/>
      <c r="T672" s="91"/>
      <c r="U672" s="91"/>
      <c r="V672" s="91"/>
      <c r="W672" s="91"/>
    </row>
    <row r="673">
      <c r="A673" s="91"/>
      <c r="D673" s="91"/>
      <c r="G673" s="91"/>
      <c r="J673" s="91"/>
      <c r="M673" s="91"/>
      <c r="P673" s="91"/>
      <c r="S673" s="91"/>
      <c r="T673" s="91"/>
      <c r="U673" s="91"/>
      <c r="V673" s="91"/>
      <c r="W673" s="91"/>
    </row>
    <row r="674">
      <c r="A674" s="91"/>
      <c r="D674" s="91"/>
      <c r="G674" s="91"/>
      <c r="J674" s="91"/>
      <c r="M674" s="91"/>
      <c r="P674" s="91"/>
      <c r="S674" s="91"/>
      <c r="T674" s="91"/>
      <c r="U674" s="91"/>
      <c r="V674" s="91"/>
      <c r="W674" s="91"/>
    </row>
    <row r="675">
      <c r="A675" s="91"/>
      <c r="D675" s="91"/>
      <c r="G675" s="91"/>
      <c r="J675" s="91"/>
      <c r="M675" s="91"/>
      <c r="P675" s="91"/>
      <c r="S675" s="91"/>
      <c r="T675" s="91"/>
      <c r="U675" s="91"/>
      <c r="V675" s="91"/>
      <c r="W675" s="91"/>
    </row>
    <row r="676">
      <c r="A676" s="91"/>
      <c r="D676" s="91"/>
      <c r="G676" s="91"/>
      <c r="J676" s="91"/>
      <c r="M676" s="91"/>
      <c r="P676" s="91"/>
      <c r="S676" s="91"/>
      <c r="T676" s="91"/>
      <c r="U676" s="91"/>
      <c r="V676" s="91"/>
      <c r="W676" s="91"/>
    </row>
    <row r="677">
      <c r="A677" s="91"/>
      <c r="D677" s="91"/>
      <c r="G677" s="91"/>
      <c r="J677" s="91"/>
      <c r="M677" s="91"/>
      <c r="P677" s="91"/>
      <c r="S677" s="91"/>
      <c r="T677" s="91"/>
      <c r="U677" s="91"/>
      <c r="V677" s="91"/>
      <c r="W677" s="91"/>
    </row>
    <row r="678">
      <c r="A678" s="91"/>
      <c r="D678" s="91"/>
      <c r="G678" s="91"/>
      <c r="J678" s="91"/>
      <c r="M678" s="91"/>
      <c r="P678" s="91"/>
      <c r="S678" s="91"/>
      <c r="T678" s="91"/>
      <c r="U678" s="91"/>
      <c r="V678" s="91"/>
      <c r="W678" s="91"/>
    </row>
    <row r="679">
      <c r="A679" s="91"/>
      <c r="D679" s="91"/>
      <c r="G679" s="91"/>
      <c r="J679" s="91"/>
      <c r="M679" s="91"/>
      <c r="P679" s="91"/>
      <c r="S679" s="91"/>
      <c r="T679" s="91"/>
      <c r="U679" s="91"/>
      <c r="V679" s="91"/>
      <c r="W679" s="91"/>
    </row>
    <row r="680">
      <c r="A680" s="91"/>
      <c r="D680" s="91"/>
      <c r="G680" s="91"/>
      <c r="J680" s="91"/>
      <c r="M680" s="91"/>
      <c r="P680" s="91"/>
      <c r="S680" s="91"/>
      <c r="T680" s="91"/>
      <c r="U680" s="91"/>
      <c r="V680" s="91"/>
      <c r="W680" s="91"/>
    </row>
    <row r="681">
      <c r="A681" s="91"/>
      <c r="D681" s="91"/>
      <c r="G681" s="91"/>
      <c r="J681" s="91"/>
      <c r="M681" s="91"/>
      <c r="P681" s="91"/>
      <c r="S681" s="91"/>
      <c r="T681" s="91"/>
      <c r="U681" s="91"/>
      <c r="V681" s="91"/>
      <c r="W681" s="91"/>
    </row>
    <row r="682">
      <c r="A682" s="91"/>
      <c r="D682" s="91"/>
      <c r="G682" s="91"/>
      <c r="J682" s="91"/>
      <c r="M682" s="91"/>
      <c r="P682" s="91"/>
      <c r="S682" s="91"/>
      <c r="T682" s="91"/>
      <c r="U682" s="91"/>
      <c r="V682" s="91"/>
      <c r="W682" s="91"/>
    </row>
    <row r="683">
      <c r="A683" s="91"/>
      <c r="D683" s="91"/>
      <c r="G683" s="91"/>
      <c r="J683" s="91"/>
      <c r="M683" s="91"/>
      <c r="P683" s="91"/>
      <c r="S683" s="91"/>
      <c r="T683" s="91"/>
      <c r="U683" s="91"/>
      <c r="V683" s="91"/>
      <c r="W683" s="91"/>
    </row>
    <row r="684">
      <c r="A684" s="91"/>
      <c r="D684" s="91"/>
      <c r="G684" s="91"/>
      <c r="J684" s="91"/>
      <c r="M684" s="91"/>
      <c r="P684" s="91"/>
      <c r="S684" s="91"/>
      <c r="T684" s="91"/>
      <c r="U684" s="91"/>
      <c r="V684" s="91"/>
      <c r="W684" s="91"/>
    </row>
    <row r="685">
      <c r="A685" s="91"/>
      <c r="D685" s="91"/>
      <c r="G685" s="91"/>
      <c r="J685" s="91"/>
      <c r="M685" s="91"/>
      <c r="P685" s="91"/>
      <c r="S685" s="91"/>
      <c r="T685" s="91"/>
      <c r="U685" s="91"/>
      <c r="V685" s="91"/>
      <c r="W685" s="91"/>
    </row>
    <row r="686">
      <c r="A686" s="91"/>
      <c r="D686" s="91"/>
      <c r="G686" s="91"/>
      <c r="J686" s="91"/>
      <c r="M686" s="91"/>
      <c r="P686" s="91"/>
      <c r="S686" s="91"/>
      <c r="T686" s="91"/>
      <c r="U686" s="91"/>
      <c r="V686" s="91"/>
      <c r="W686" s="91"/>
    </row>
    <row r="687">
      <c r="A687" s="91"/>
      <c r="D687" s="91"/>
      <c r="G687" s="91"/>
      <c r="J687" s="91"/>
      <c r="M687" s="91"/>
      <c r="P687" s="91"/>
      <c r="S687" s="91"/>
      <c r="T687" s="91"/>
      <c r="U687" s="91"/>
      <c r="V687" s="91"/>
      <c r="W687" s="91"/>
    </row>
    <row r="688">
      <c r="A688" s="91"/>
      <c r="D688" s="91"/>
      <c r="G688" s="91"/>
      <c r="J688" s="91"/>
      <c r="M688" s="91"/>
      <c r="P688" s="91"/>
      <c r="S688" s="91"/>
      <c r="T688" s="91"/>
      <c r="U688" s="91"/>
      <c r="V688" s="91"/>
      <c r="W688" s="91"/>
    </row>
    <row r="689">
      <c r="A689" s="91"/>
      <c r="D689" s="91"/>
      <c r="G689" s="91"/>
      <c r="J689" s="91"/>
      <c r="M689" s="91"/>
      <c r="P689" s="91"/>
      <c r="S689" s="91"/>
      <c r="T689" s="91"/>
      <c r="U689" s="91"/>
      <c r="V689" s="91"/>
      <c r="W689" s="91"/>
    </row>
    <row r="690">
      <c r="A690" s="91"/>
      <c r="D690" s="91"/>
      <c r="G690" s="91"/>
      <c r="J690" s="91"/>
      <c r="M690" s="91"/>
      <c r="P690" s="91"/>
      <c r="S690" s="91"/>
      <c r="T690" s="91"/>
      <c r="U690" s="91"/>
      <c r="V690" s="91"/>
      <c r="W690" s="91"/>
    </row>
    <row r="691">
      <c r="A691" s="91"/>
      <c r="D691" s="91"/>
      <c r="G691" s="91"/>
      <c r="J691" s="91"/>
      <c r="M691" s="91"/>
      <c r="P691" s="91"/>
      <c r="S691" s="91"/>
      <c r="T691" s="91"/>
      <c r="U691" s="91"/>
      <c r="V691" s="91"/>
      <c r="W691" s="91"/>
    </row>
    <row r="692">
      <c r="A692" s="91"/>
      <c r="D692" s="91"/>
      <c r="G692" s="91"/>
      <c r="J692" s="91"/>
      <c r="M692" s="91"/>
      <c r="P692" s="91"/>
      <c r="S692" s="91"/>
      <c r="T692" s="91"/>
      <c r="U692" s="91"/>
      <c r="V692" s="91"/>
      <c r="W692" s="91"/>
    </row>
    <row r="693">
      <c r="A693" s="91"/>
      <c r="D693" s="91"/>
      <c r="G693" s="91"/>
      <c r="J693" s="91"/>
      <c r="M693" s="91"/>
      <c r="P693" s="91"/>
      <c r="S693" s="91"/>
      <c r="T693" s="91"/>
      <c r="U693" s="91"/>
      <c r="V693" s="91"/>
      <c r="W693" s="91"/>
    </row>
    <row r="694">
      <c r="A694" s="91"/>
      <c r="D694" s="91"/>
      <c r="G694" s="91"/>
      <c r="J694" s="91"/>
      <c r="M694" s="91"/>
      <c r="P694" s="91"/>
      <c r="S694" s="91"/>
      <c r="T694" s="91"/>
      <c r="U694" s="91"/>
      <c r="V694" s="91"/>
      <c r="W694" s="91"/>
    </row>
    <row r="695">
      <c r="A695" s="91"/>
      <c r="D695" s="91"/>
      <c r="G695" s="91"/>
      <c r="J695" s="91"/>
      <c r="M695" s="91"/>
      <c r="P695" s="91"/>
      <c r="S695" s="91"/>
      <c r="T695" s="91"/>
      <c r="U695" s="91"/>
      <c r="V695" s="91"/>
      <c r="W695" s="91"/>
    </row>
    <row r="696">
      <c r="A696" s="91"/>
      <c r="D696" s="91"/>
      <c r="G696" s="91"/>
      <c r="J696" s="91"/>
      <c r="M696" s="91"/>
      <c r="P696" s="91"/>
      <c r="S696" s="91"/>
      <c r="T696" s="91"/>
      <c r="U696" s="91"/>
      <c r="V696" s="91"/>
      <c r="W696" s="91"/>
    </row>
    <row r="697">
      <c r="A697" s="91"/>
      <c r="D697" s="91"/>
      <c r="G697" s="91"/>
      <c r="J697" s="91"/>
      <c r="M697" s="91"/>
      <c r="P697" s="91"/>
      <c r="S697" s="91"/>
      <c r="T697" s="91"/>
      <c r="U697" s="91"/>
      <c r="V697" s="91"/>
      <c r="W697" s="91"/>
    </row>
    <row r="698">
      <c r="A698" s="91"/>
      <c r="D698" s="91"/>
      <c r="G698" s="91"/>
      <c r="J698" s="91"/>
      <c r="M698" s="91"/>
      <c r="P698" s="91"/>
      <c r="S698" s="91"/>
      <c r="T698" s="91"/>
      <c r="U698" s="91"/>
      <c r="V698" s="91"/>
      <c r="W698" s="91"/>
    </row>
    <row r="699">
      <c r="A699" s="91"/>
      <c r="D699" s="91"/>
      <c r="G699" s="91"/>
      <c r="J699" s="91"/>
      <c r="M699" s="91"/>
      <c r="P699" s="91"/>
      <c r="S699" s="91"/>
      <c r="T699" s="91"/>
      <c r="U699" s="91"/>
      <c r="V699" s="91"/>
      <c r="W699" s="91"/>
    </row>
    <row r="700">
      <c r="A700" s="91"/>
      <c r="D700" s="91"/>
      <c r="G700" s="91"/>
      <c r="J700" s="91"/>
      <c r="M700" s="91"/>
      <c r="P700" s="91"/>
      <c r="S700" s="91"/>
      <c r="T700" s="91"/>
      <c r="U700" s="91"/>
      <c r="V700" s="91"/>
      <c r="W700" s="91"/>
    </row>
    <row r="701">
      <c r="A701" s="91"/>
      <c r="D701" s="91"/>
      <c r="G701" s="91"/>
      <c r="J701" s="91"/>
      <c r="M701" s="91"/>
      <c r="P701" s="91"/>
      <c r="S701" s="91"/>
      <c r="T701" s="91"/>
      <c r="U701" s="91"/>
      <c r="V701" s="91"/>
      <c r="W701" s="91"/>
    </row>
    <row r="702">
      <c r="A702" s="91"/>
      <c r="D702" s="91"/>
      <c r="G702" s="91"/>
      <c r="J702" s="91"/>
      <c r="M702" s="91"/>
      <c r="P702" s="91"/>
      <c r="S702" s="91"/>
      <c r="T702" s="91"/>
      <c r="U702" s="91"/>
      <c r="V702" s="91"/>
      <c r="W702" s="91"/>
    </row>
    <row r="703">
      <c r="A703" s="91"/>
      <c r="D703" s="91"/>
      <c r="G703" s="91"/>
      <c r="J703" s="91"/>
      <c r="M703" s="91"/>
      <c r="P703" s="91"/>
      <c r="S703" s="91"/>
      <c r="T703" s="91"/>
      <c r="U703" s="91"/>
      <c r="V703" s="91"/>
      <c r="W703" s="91"/>
    </row>
    <row r="704">
      <c r="A704" s="91"/>
      <c r="D704" s="91"/>
      <c r="G704" s="91"/>
      <c r="J704" s="91"/>
      <c r="M704" s="91"/>
      <c r="P704" s="91"/>
      <c r="S704" s="91"/>
      <c r="T704" s="91"/>
      <c r="U704" s="91"/>
      <c r="V704" s="91"/>
      <c r="W704" s="91"/>
    </row>
    <row r="705">
      <c r="A705" s="91"/>
      <c r="D705" s="91"/>
      <c r="G705" s="91"/>
      <c r="J705" s="91"/>
      <c r="M705" s="91"/>
      <c r="P705" s="91"/>
      <c r="S705" s="91"/>
      <c r="T705" s="91"/>
      <c r="U705" s="91"/>
      <c r="V705" s="91"/>
      <c r="W705" s="91"/>
    </row>
    <row r="706">
      <c r="A706" s="91"/>
      <c r="D706" s="91"/>
      <c r="G706" s="91"/>
      <c r="J706" s="91"/>
      <c r="M706" s="91"/>
      <c r="P706" s="91"/>
      <c r="S706" s="91"/>
      <c r="T706" s="91"/>
      <c r="U706" s="91"/>
      <c r="V706" s="91"/>
      <c r="W706" s="91"/>
    </row>
    <row r="707">
      <c r="A707" s="91"/>
      <c r="D707" s="91"/>
      <c r="G707" s="91"/>
      <c r="J707" s="91"/>
      <c r="M707" s="91"/>
      <c r="P707" s="91"/>
      <c r="S707" s="91"/>
      <c r="T707" s="91"/>
      <c r="U707" s="91"/>
      <c r="V707" s="91"/>
      <c r="W707" s="91"/>
    </row>
    <row r="708">
      <c r="A708" s="91"/>
      <c r="D708" s="91"/>
      <c r="G708" s="91"/>
      <c r="J708" s="91"/>
      <c r="M708" s="91"/>
      <c r="P708" s="91"/>
      <c r="S708" s="91"/>
      <c r="T708" s="91"/>
      <c r="U708" s="91"/>
      <c r="V708" s="91"/>
      <c r="W708" s="91"/>
    </row>
    <row r="709">
      <c r="A709" s="91"/>
      <c r="D709" s="91"/>
      <c r="G709" s="91"/>
      <c r="J709" s="91"/>
      <c r="M709" s="91"/>
      <c r="P709" s="91"/>
      <c r="S709" s="91"/>
      <c r="T709" s="91"/>
      <c r="U709" s="91"/>
      <c r="V709" s="91"/>
      <c r="W709" s="91"/>
    </row>
    <row r="710">
      <c r="A710" s="91"/>
      <c r="D710" s="91"/>
      <c r="G710" s="91"/>
      <c r="J710" s="91"/>
      <c r="M710" s="91"/>
      <c r="P710" s="91"/>
      <c r="S710" s="91"/>
      <c r="T710" s="91"/>
      <c r="U710" s="91"/>
      <c r="V710" s="91"/>
      <c r="W710" s="91"/>
    </row>
    <row r="711">
      <c r="A711" s="91"/>
      <c r="D711" s="91"/>
      <c r="G711" s="91"/>
      <c r="J711" s="91"/>
      <c r="M711" s="91"/>
      <c r="P711" s="91"/>
      <c r="S711" s="91"/>
      <c r="T711" s="91"/>
      <c r="U711" s="91"/>
      <c r="V711" s="91"/>
      <c r="W711" s="91"/>
    </row>
    <row r="712">
      <c r="A712" s="91"/>
      <c r="D712" s="91"/>
      <c r="G712" s="91"/>
      <c r="J712" s="91"/>
      <c r="M712" s="91"/>
      <c r="P712" s="91"/>
      <c r="S712" s="91"/>
      <c r="T712" s="91"/>
      <c r="U712" s="91"/>
      <c r="V712" s="91"/>
      <c r="W712" s="91"/>
    </row>
    <row r="713">
      <c r="A713" s="91"/>
      <c r="D713" s="91"/>
      <c r="G713" s="91"/>
      <c r="J713" s="91"/>
      <c r="M713" s="91"/>
      <c r="P713" s="91"/>
      <c r="S713" s="91"/>
      <c r="T713" s="91"/>
      <c r="U713" s="91"/>
      <c r="V713" s="91"/>
      <c r="W713" s="91"/>
    </row>
    <row r="714">
      <c r="A714" s="91"/>
      <c r="D714" s="91"/>
      <c r="G714" s="91"/>
      <c r="J714" s="91"/>
      <c r="M714" s="91"/>
      <c r="P714" s="91"/>
      <c r="S714" s="91"/>
      <c r="T714" s="91"/>
      <c r="U714" s="91"/>
      <c r="V714" s="91"/>
      <c r="W714" s="91"/>
    </row>
    <row r="715">
      <c r="A715" s="91"/>
      <c r="D715" s="91"/>
      <c r="G715" s="91"/>
      <c r="J715" s="91"/>
      <c r="M715" s="91"/>
      <c r="P715" s="91"/>
      <c r="S715" s="91"/>
      <c r="T715" s="91"/>
      <c r="U715" s="91"/>
      <c r="V715" s="91"/>
      <c r="W715" s="91"/>
    </row>
    <row r="716">
      <c r="A716" s="91"/>
      <c r="D716" s="91"/>
      <c r="G716" s="91"/>
      <c r="J716" s="91"/>
      <c r="M716" s="91"/>
      <c r="P716" s="91"/>
      <c r="S716" s="91"/>
      <c r="T716" s="91"/>
      <c r="U716" s="91"/>
      <c r="V716" s="91"/>
      <c r="W716" s="91"/>
    </row>
    <row r="717">
      <c r="A717" s="91"/>
      <c r="D717" s="91"/>
      <c r="G717" s="91"/>
      <c r="J717" s="91"/>
      <c r="M717" s="91"/>
      <c r="P717" s="91"/>
      <c r="S717" s="91"/>
      <c r="T717" s="91"/>
      <c r="U717" s="91"/>
      <c r="V717" s="91"/>
      <c r="W717" s="91"/>
    </row>
    <row r="718">
      <c r="A718" s="91"/>
      <c r="D718" s="91"/>
      <c r="G718" s="91"/>
      <c r="J718" s="91"/>
      <c r="M718" s="91"/>
      <c r="P718" s="91"/>
      <c r="S718" s="91"/>
      <c r="T718" s="91"/>
      <c r="U718" s="91"/>
      <c r="V718" s="91"/>
      <c r="W718" s="91"/>
    </row>
    <row r="719">
      <c r="A719" s="91"/>
      <c r="D719" s="91"/>
      <c r="G719" s="91"/>
      <c r="J719" s="91"/>
      <c r="M719" s="91"/>
      <c r="P719" s="91"/>
      <c r="S719" s="91"/>
      <c r="T719" s="91"/>
      <c r="U719" s="91"/>
      <c r="V719" s="91"/>
      <c r="W719" s="91"/>
    </row>
    <row r="720">
      <c r="A720" s="91"/>
      <c r="D720" s="91"/>
      <c r="G720" s="91"/>
      <c r="J720" s="91"/>
      <c r="M720" s="91"/>
      <c r="P720" s="91"/>
      <c r="S720" s="91"/>
      <c r="T720" s="91"/>
      <c r="U720" s="91"/>
      <c r="V720" s="91"/>
      <c r="W720" s="91"/>
    </row>
    <row r="721">
      <c r="A721" s="91"/>
      <c r="D721" s="91"/>
      <c r="G721" s="91"/>
      <c r="J721" s="91"/>
      <c r="M721" s="91"/>
      <c r="P721" s="91"/>
      <c r="S721" s="91"/>
      <c r="T721" s="91"/>
      <c r="U721" s="91"/>
      <c r="V721" s="91"/>
      <c r="W721" s="91"/>
    </row>
    <row r="722">
      <c r="A722" s="91"/>
      <c r="D722" s="91"/>
      <c r="G722" s="91"/>
      <c r="J722" s="91"/>
      <c r="M722" s="91"/>
      <c r="P722" s="91"/>
      <c r="S722" s="91"/>
      <c r="T722" s="91"/>
      <c r="U722" s="91"/>
      <c r="V722" s="91"/>
      <c r="W722" s="91"/>
    </row>
    <row r="723">
      <c r="A723" s="91"/>
      <c r="D723" s="91"/>
      <c r="G723" s="91"/>
      <c r="J723" s="91"/>
      <c r="M723" s="91"/>
      <c r="P723" s="91"/>
      <c r="S723" s="91"/>
      <c r="T723" s="91"/>
      <c r="U723" s="91"/>
      <c r="V723" s="91"/>
      <c r="W723" s="91"/>
    </row>
    <row r="724">
      <c r="A724" s="91"/>
      <c r="D724" s="91"/>
      <c r="G724" s="91"/>
      <c r="J724" s="91"/>
      <c r="M724" s="91"/>
      <c r="P724" s="91"/>
      <c r="S724" s="91"/>
      <c r="T724" s="91"/>
      <c r="U724" s="91"/>
      <c r="V724" s="91"/>
      <c r="W724" s="91"/>
    </row>
    <row r="725">
      <c r="A725" s="91"/>
      <c r="D725" s="91"/>
      <c r="G725" s="91"/>
      <c r="J725" s="91"/>
      <c r="M725" s="91"/>
      <c r="P725" s="91"/>
      <c r="S725" s="91"/>
      <c r="T725" s="91"/>
      <c r="U725" s="91"/>
      <c r="V725" s="91"/>
      <c r="W725" s="91"/>
    </row>
    <row r="726">
      <c r="A726" s="91"/>
      <c r="D726" s="91"/>
      <c r="G726" s="91"/>
      <c r="J726" s="91"/>
      <c r="M726" s="91"/>
      <c r="P726" s="91"/>
      <c r="S726" s="91"/>
      <c r="T726" s="91"/>
      <c r="U726" s="91"/>
      <c r="V726" s="91"/>
      <c r="W726" s="91"/>
    </row>
    <row r="727">
      <c r="A727" s="91"/>
      <c r="D727" s="91"/>
      <c r="G727" s="91"/>
      <c r="J727" s="91"/>
      <c r="M727" s="91"/>
      <c r="P727" s="91"/>
      <c r="S727" s="91"/>
      <c r="T727" s="91"/>
      <c r="U727" s="91"/>
      <c r="V727" s="91"/>
      <c r="W727" s="91"/>
    </row>
    <row r="728">
      <c r="A728" s="91"/>
      <c r="D728" s="91"/>
      <c r="G728" s="91"/>
      <c r="J728" s="91"/>
      <c r="M728" s="91"/>
      <c r="P728" s="91"/>
      <c r="S728" s="91"/>
      <c r="T728" s="91"/>
      <c r="U728" s="91"/>
      <c r="V728" s="91"/>
      <c r="W728" s="91"/>
    </row>
    <row r="729">
      <c r="A729" s="91"/>
      <c r="D729" s="91"/>
      <c r="G729" s="91"/>
      <c r="J729" s="91"/>
      <c r="M729" s="91"/>
      <c r="P729" s="91"/>
      <c r="S729" s="91"/>
      <c r="T729" s="91"/>
      <c r="U729" s="91"/>
      <c r="V729" s="91"/>
      <c r="W729" s="91"/>
    </row>
    <row r="730">
      <c r="A730" s="91"/>
      <c r="D730" s="91"/>
      <c r="G730" s="91"/>
      <c r="J730" s="91"/>
      <c r="M730" s="91"/>
      <c r="P730" s="91"/>
      <c r="S730" s="91"/>
      <c r="T730" s="91"/>
      <c r="U730" s="91"/>
      <c r="V730" s="91"/>
      <c r="W730" s="91"/>
    </row>
    <row r="731">
      <c r="A731" s="91"/>
      <c r="D731" s="91"/>
      <c r="G731" s="91"/>
      <c r="J731" s="91"/>
      <c r="M731" s="91"/>
      <c r="P731" s="91"/>
      <c r="S731" s="91"/>
      <c r="T731" s="91"/>
      <c r="U731" s="91"/>
      <c r="V731" s="91"/>
      <c r="W731" s="91"/>
    </row>
    <row r="732">
      <c r="A732" s="91"/>
      <c r="D732" s="91"/>
      <c r="G732" s="91"/>
      <c r="J732" s="91"/>
      <c r="M732" s="91"/>
      <c r="P732" s="91"/>
      <c r="S732" s="91"/>
      <c r="T732" s="91"/>
      <c r="U732" s="91"/>
      <c r="V732" s="91"/>
      <c r="W732" s="91"/>
    </row>
    <row r="733">
      <c r="A733" s="91"/>
      <c r="D733" s="91"/>
      <c r="G733" s="91"/>
      <c r="J733" s="91"/>
      <c r="M733" s="91"/>
      <c r="P733" s="91"/>
      <c r="S733" s="91"/>
      <c r="T733" s="91"/>
      <c r="U733" s="91"/>
      <c r="V733" s="91"/>
      <c r="W733" s="91"/>
    </row>
    <row r="734">
      <c r="A734" s="91"/>
      <c r="D734" s="91"/>
      <c r="G734" s="91"/>
      <c r="J734" s="91"/>
      <c r="M734" s="91"/>
      <c r="P734" s="91"/>
      <c r="S734" s="91"/>
      <c r="T734" s="91"/>
      <c r="U734" s="91"/>
      <c r="V734" s="91"/>
      <c r="W734" s="91"/>
    </row>
    <row r="735">
      <c r="A735" s="91"/>
      <c r="D735" s="91"/>
      <c r="G735" s="91"/>
      <c r="J735" s="91"/>
      <c r="M735" s="91"/>
      <c r="P735" s="91"/>
      <c r="S735" s="91"/>
      <c r="T735" s="91"/>
      <c r="U735" s="91"/>
      <c r="V735" s="91"/>
      <c r="W735" s="91"/>
    </row>
    <row r="736">
      <c r="A736" s="91"/>
      <c r="D736" s="91"/>
      <c r="G736" s="91"/>
      <c r="J736" s="91"/>
      <c r="M736" s="91"/>
      <c r="P736" s="91"/>
      <c r="S736" s="91"/>
      <c r="T736" s="91"/>
      <c r="U736" s="91"/>
      <c r="V736" s="91"/>
      <c r="W736" s="91"/>
    </row>
    <row r="737">
      <c r="A737" s="91"/>
      <c r="D737" s="91"/>
      <c r="G737" s="91"/>
      <c r="J737" s="91"/>
      <c r="M737" s="91"/>
      <c r="P737" s="91"/>
      <c r="S737" s="91"/>
      <c r="T737" s="91"/>
      <c r="U737" s="91"/>
      <c r="V737" s="91"/>
      <c r="W737" s="91"/>
    </row>
    <row r="738">
      <c r="A738" s="91"/>
      <c r="D738" s="91"/>
      <c r="G738" s="91"/>
      <c r="J738" s="91"/>
      <c r="M738" s="91"/>
      <c r="P738" s="91"/>
      <c r="S738" s="91"/>
      <c r="T738" s="91"/>
      <c r="U738" s="91"/>
      <c r="V738" s="91"/>
      <c r="W738" s="91"/>
    </row>
    <row r="739">
      <c r="A739" s="91"/>
      <c r="D739" s="91"/>
      <c r="G739" s="91"/>
      <c r="J739" s="91"/>
      <c r="M739" s="91"/>
      <c r="P739" s="91"/>
      <c r="S739" s="91"/>
      <c r="T739" s="91"/>
      <c r="U739" s="91"/>
      <c r="V739" s="91"/>
      <c r="W739" s="91"/>
    </row>
    <row r="740">
      <c r="A740" s="91"/>
      <c r="D740" s="91"/>
      <c r="G740" s="91"/>
      <c r="J740" s="91"/>
      <c r="M740" s="91"/>
      <c r="P740" s="91"/>
      <c r="S740" s="91"/>
      <c r="T740" s="91"/>
      <c r="U740" s="91"/>
      <c r="V740" s="91"/>
      <c r="W740" s="91"/>
    </row>
    <row r="741">
      <c r="A741" s="91"/>
      <c r="D741" s="91"/>
      <c r="G741" s="91"/>
      <c r="J741" s="91"/>
      <c r="M741" s="91"/>
      <c r="P741" s="91"/>
      <c r="S741" s="91"/>
      <c r="T741" s="91"/>
      <c r="U741" s="91"/>
      <c r="V741" s="91"/>
      <c r="W741" s="91"/>
    </row>
    <row r="742">
      <c r="A742" s="91"/>
      <c r="D742" s="91"/>
      <c r="G742" s="91"/>
      <c r="J742" s="91"/>
      <c r="M742" s="91"/>
      <c r="P742" s="91"/>
      <c r="S742" s="91"/>
      <c r="T742" s="91"/>
      <c r="U742" s="91"/>
      <c r="V742" s="91"/>
      <c r="W742" s="91"/>
    </row>
    <row r="743">
      <c r="A743" s="91"/>
      <c r="D743" s="91"/>
      <c r="G743" s="91"/>
      <c r="J743" s="91"/>
      <c r="M743" s="91"/>
      <c r="P743" s="91"/>
      <c r="S743" s="91"/>
      <c r="T743" s="91"/>
      <c r="U743" s="91"/>
      <c r="V743" s="91"/>
      <c r="W743" s="91"/>
    </row>
    <row r="744">
      <c r="A744" s="91"/>
      <c r="D744" s="91"/>
      <c r="G744" s="91"/>
      <c r="J744" s="91"/>
      <c r="M744" s="91"/>
      <c r="P744" s="91"/>
      <c r="S744" s="91"/>
      <c r="T744" s="91"/>
      <c r="U744" s="91"/>
      <c r="V744" s="91"/>
      <c r="W744" s="91"/>
    </row>
    <row r="745">
      <c r="A745" s="91"/>
      <c r="D745" s="91"/>
      <c r="G745" s="91"/>
      <c r="J745" s="91"/>
      <c r="M745" s="91"/>
      <c r="P745" s="91"/>
      <c r="S745" s="91"/>
      <c r="T745" s="91"/>
      <c r="U745" s="91"/>
      <c r="V745" s="91"/>
      <c r="W745" s="91"/>
    </row>
    <row r="746">
      <c r="A746" s="91"/>
      <c r="D746" s="91"/>
      <c r="G746" s="91"/>
      <c r="J746" s="91"/>
      <c r="M746" s="91"/>
      <c r="P746" s="91"/>
      <c r="S746" s="91"/>
      <c r="T746" s="91"/>
      <c r="U746" s="91"/>
      <c r="V746" s="91"/>
      <c r="W746" s="91"/>
    </row>
    <row r="747">
      <c r="A747" s="91"/>
      <c r="D747" s="91"/>
      <c r="G747" s="91"/>
      <c r="J747" s="91"/>
      <c r="M747" s="91"/>
      <c r="P747" s="91"/>
      <c r="S747" s="91"/>
      <c r="T747" s="91"/>
      <c r="U747" s="91"/>
      <c r="V747" s="91"/>
      <c r="W747" s="91"/>
    </row>
    <row r="748">
      <c r="A748" s="91"/>
      <c r="D748" s="91"/>
      <c r="G748" s="91"/>
      <c r="J748" s="91"/>
      <c r="M748" s="91"/>
      <c r="P748" s="91"/>
      <c r="S748" s="91"/>
      <c r="T748" s="91"/>
      <c r="U748" s="91"/>
      <c r="V748" s="91"/>
      <c r="W748" s="91"/>
    </row>
    <row r="749">
      <c r="A749" s="91"/>
      <c r="D749" s="91"/>
      <c r="G749" s="91"/>
      <c r="J749" s="91"/>
      <c r="M749" s="91"/>
      <c r="P749" s="91"/>
      <c r="S749" s="91"/>
      <c r="T749" s="91"/>
      <c r="U749" s="91"/>
      <c r="V749" s="91"/>
      <c r="W749" s="91"/>
    </row>
    <row r="750">
      <c r="A750" s="91"/>
      <c r="D750" s="91"/>
      <c r="G750" s="91"/>
      <c r="J750" s="91"/>
      <c r="M750" s="91"/>
      <c r="P750" s="91"/>
      <c r="S750" s="91"/>
      <c r="T750" s="91"/>
      <c r="U750" s="91"/>
      <c r="V750" s="91"/>
      <c r="W750" s="91"/>
    </row>
    <row r="751">
      <c r="A751" s="91"/>
      <c r="D751" s="91"/>
      <c r="G751" s="91"/>
      <c r="J751" s="91"/>
      <c r="M751" s="91"/>
      <c r="P751" s="91"/>
      <c r="S751" s="91"/>
      <c r="T751" s="91"/>
      <c r="U751" s="91"/>
      <c r="V751" s="91"/>
      <c r="W751" s="91"/>
    </row>
    <row r="752">
      <c r="A752" s="91"/>
      <c r="D752" s="91"/>
      <c r="G752" s="91"/>
      <c r="J752" s="91"/>
      <c r="M752" s="91"/>
      <c r="P752" s="91"/>
      <c r="S752" s="91"/>
      <c r="T752" s="91"/>
      <c r="U752" s="91"/>
      <c r="V752" s="91"/>
      <c r="W752" s="91"/>
    </row>
    <row r="753">
      <c r="A753" s="91"/>
      <c r="D753" s="91"/>
      <c r="G753" s="91"/>
      <c r="J753" s="91"/>
      <c r="M753" s="91"/>
      <c r="P753" s="91"/>
      <c r="S753" s="91"/>
      <c r="T753" s="91"/>
      <c r="U753" s="91"/>
      <c r="V753" s="91"/>
      <c r="W753" s="91"/>
    </row>
    <row r="754">
      <c r="A754" s="91"/>
      <c r="D754" s="91"/>
      <c r="G754" s="91"/>
      <c r="J754" s="91"/>
      <c r="M754" s="91"/>
      <c r="P754" s="91"/>
      <c r="S754" s="91"/>
      <c r="T754" s="91"/>
      <c r="U754" s="91"/>
      <c r="V754" s="91"/>
      <c r="W754" s="91"/>
    </row>
    <row r="755">
      <c r="A755" s="91"/>
      <c r="D755" s="91"/>
      <c r="G755" s="91"/>
      <c r="J755" s="91"/>
      <c r="M755" s="91"/>
      <c r="P755" s="91"/>
      <c r="S755" s="91"/>
      <c r="T755" s="91"/>
      <c r="U755" s="91"/>
      <c r="V755" s="91"/>
      <c r="W755" s="91"/>
    </row>
    <row r="756">
      <c r="A756" s="91"/>
      <c r="D756" s="91"/>
      <c r="G756" s="91"/>
      <c r="J756" s="91"/>
      <c r="M756" s="91"/>
      <c r="P756" s="91"/>
      <c r="S756" s="91"/>
      <c r="T756" s="91"/>
      <c r="U756" s="91"/>
      <c r="V756" s="91"/>
      <c r="W756" s="91"/>
    </row>
    <row r="757">
      <c r="A757" s="91"/>
      <c r="D757" s="91"/>
      <c r="G757" s="91"/>
      <c r="J757" s="91"/>
      <c r="M757" s="91"/>
      <c r="P757" s="91"/>
      <c r="S757" s="91"/>
      <c r="T757" s="91"/>
      <c r="U757" s="91"/>
      <c r="V757" s="91"/>
      <c r="W757" s="91"/>
    </row>
    <row r="758">
      <c r="A758" s="91"/>
      <c r="D758" s="91"/>
      <c r="G758" s="91"/>
      <c r="J758" s="91"/>
      <c r="M758" s="91"/>
      <c r="P758" s="91"/>
      <c r="S758" s="91"/>
      <c r="T758" s="91"/>
      <c r="U758" s="91"/>
      <c r="V758" s="91"/>
      <c r="W758" s="91"/>
    </row>
    <row r="759">
      <c r="A759" s="91"/>
      <c r="D759" s="91"/>
      <c r="G759" s="91"/>
      <c r="J759" s="91"/>
      <c r="M759" s="91"/>
      <c r="P759" s="91"/>
      <c r="S759" s="91"/>
      <c r="T759" s="91"/>
      <c r="U759" s="91"/>
      <c r="V759" s="91"/>
      <c r="W759" s="91"/>
    </row>
    <row r="760">
      <c r="A760" s="91"/>
      <c r="D760" s="91"/>
      <c r="G760" s="91"/>
      <c r="J760" s="91"/>
      <c r="M760" s="91"/>
      <c r="P760" s="91"/>
      <c r="S760" s="91"/>
      <c r="T760" s="91"/>
      <c r="U760" s="91"/>
      <c r="V760" s="91"/>
      <c r="W760" s="91"/>
    </row>
    <row r="761">
      <c r="A761" s="91"/>
      <c r="D761" s="91"/>
      <c r="G761" s="91"/>
      <c r="J761" s="91"/>
      <c r="M761" s="91"/>
      <c r="P761" s="91"/>
      <c r="S761" s="91"/>
      <c r="T761" s="91"/>
      <c r="U761" s="91"/>
      <c r="V761" s="91"/>
      <c r="W761" s="91"/>
    </row>
    <row r="762">
      <c r="A762" s="91"/>
      <c r="D762" s="91"/>
      <c r="G762" s="91"/>
      <c r="J762" s="91"/>
      <c r="M762" s="91"/>
      <c r="P762" s="91"/>
      <c r="S762" s="91"/>
      <c r="T762" s="91"/>
      <c r="U762" s="91"/>
      <c r="V762" s="91"/>
      <c r="W762" s="91"/>
    </row>
    <row r="763">
      <c r="A763" s="91"/>
      <c r="D763" s="91"/>
      <c r="G763" s="91"/>
      <c r="J763" s="91"/>
      <c r="M763" s="91"/>
      <c r="P763" s="91"/>
      <c r="S763" s="91"/>
      <c r="T763" s="91"/>
      <c r="U763" s="91"/>
      <c r="V763" s="91"/>
      <c r="W763" s="91"/>
    </row>
    <row r="764">
      <c r="A764" s="91"/>
      <c r="D764" s="91"/>
      <c r="G764" s="91"/>
      <c r="J764" s="91"/>
      <c r="M764" s="91"/>
      <c r="P764" s="91"/>
      <c r="S764" s="91"/>
      <c r="T764" s="91"/>
      <c r="U764" s="91"/>
      <c r="V764" s="91"/>
      <c r="W764" s="91"/>
    </row>
    <row r="765">
      <c r="A765" s="91"/>
      <c r="D765" s="91"/>
      <c r="G765" s="91"/>
      <c r="J765" s="91"/>
      <c r="M765" s="91"/>
      <c r="P765" s="91"/>
      <c r="S765" s="91"/>
      <c r="T765" s="91"/>
      <c r="U765" s="91"/>
      <c r="V765" s="91"/>
      <c r="W765" s="91"/>
    </row>
    <row r="766">
      <c r="A766" s="91"/>
      <c r="D766" s="91"/>
      <c r="G766" s="91"/>
      <c r="J766" s="91"/>
      <c r="M766" s="91"/>
      <c r="P766" s="91"/>
      <c r="S766" s="91"/>
      <c r="T766" s="91"/>
      <c r="U766" s="91"/>
      <c r="V766" s="91"/>
      <c r="W766" s="91"/>
    </row>
    <row r="767">
      <c r="A767" s="91"/>
      <c r="D767" s="91"/>
      <c r="G767" s="91"/>
      <c r="J767" s="91"/>
      <c r="M767" s="91"/>
      <c r="P767" s="91"/>
      <c r="S767" s="91"/>
      <c r="T767" s="91"/>
      <c r="U767" s="91"/>
      <c r="V767" s="91"/>
      <c r="W767" s="91"/>
    </row>
    <row r="768">
      <c r="A768" s="91"/>
      <c r="D768" s="91"/>
      <c r="G768" s="91"/>
      <c r="J768" s="91"/>
      <c r="M768" s="91"/>
      <c r="P768" s="91"/>
      <c r="S768" s="91"/>
      <c r="T768" s="91"/>
      <c r="U768" s="91"/>
      <c r="V768" s="91"/>
      <c r="W768" s="91"/>
    </row>
    <row r="769">
      <c r="A769" s="91"/>
      <c r="D769" s="91"/>
      <c r="G769" s="91"/>
      <c r="J769" s="91"/>
      <c r="M769" s="91"/>
      <c r="P769" s="91"/>
      <c r="S769" s="91"/>
      <c r="T769" s="91"/>
      <c r="U769" s="91"/>
      <c r="V769" s="91"/>
      <c r="W769" s="91"/>
    </row>
    <row r="770">
      <c r="A770" s="91"/>
      <c r="D770" s="91"/>
      <c r="G770" s="91"/>
      <c r="J770" s="91"/>
      <c r="M770" s="91"/>
      <c r="P770" s="91"/>
      <c r="S770" s="91"/>
      <c r="T770" s="91"/>
      <c r="U770" s="91"/>
      <c r="V770" s="91"/>
      <c r="W770" s="91"/>
    </row>
    <row r="771">
      <c r="A771" s="91"/>
      <c r="D771" s="91"/>
      <c r="G771" s="91"/>
      <c r="J771" s="91"/>
      <c r="M771" s="91"/>
      <c r="P771" s="91"/>
      <c r="S771" s="91"/>
      <c r="T771" s="91"/>
      <c r="U771" s="91"/>
      <c r="V771" s="91"/>
      <c r="W771" s="91"/>
    </row>
    <row r="772">
      <c r="A772" s="91"/>
      <c r="D772" s="91"/>
      <c r="G772" s="91"/>
      <c r="J772" s="91"/>
      <c r="M772" s="91"/>
      <c r="P772" s="91"/>
      <c r="S772" s="91"/>
      <c r="T772" s="91"/>
      <c r="U772" s="91"/>
      <c r="V772" s="91"/>
      <c r="W772" s="91"/>
    </row>
    <row r="773">
      <c r="A773" s="91"/>
      <c r="D773" s="91"/>
      <c r="G773" s="91"/>
      <c r="J773" s="91"/>
      <c r="M773" s="91"/>
      <c r="P773" s="91"/>
      <c r="S773" s="91"/>
      <c r="T773" s="91"/>
      <c r="U773" s="91"/>
      <c r="V773" s="91"/>
      <c r="W773" s="91"/>
    </row>
    <row r="774">
      <c r="A774" s="91"/>
      <c r="D774" s="91"/>
      <c r="G774" s="91"/>
      <c r="J774" s="91"/>
      <c r="M774" s="91"/>
      <c r="P774" s="91"/>
      <c r="S774" s="91"/>
      <c r="T774" s="91"/>
      <c r="U774" s="91"/>
      <c r="V774" s="91"/>
      <c r="W774" s="91"/>
    </row>
    <row r="775">
      <c r="A775" s="91"/>
      <c r="D775" s="91"/>
      <c r="G775" s="91"/>
      <c r="J775" s="91"/>
      <c r="M775" s="91"/>
      <c r="P775" s="91"/>
      <c r="S775" s="91"/>
      <c r="T775" s="91"/>
      <c r="U775" s="91"/>
      <c r="V775" s="91"/>
      <c r="W775" s="91"/>
    </row>
    <row r="776">
      <c r="A776" s="91"/>
      <c r="D776" s="91"/>
      <c r="G776" s="91"/>
      <c r="J776" s="91"/>
      <c r="M776" s="91"/>
      <c r="P776" s="91"/>
      <c r="S776" s="91"/>
      <c r="T776" s="91"/>
      <c r="U776" s="91"/>
      <c r="V776" s="91"/>
      <c r="W776" s="91"/>
    </row>
    <row r="777">
      <c r="A777" s="91"/>
      <c r="D777" s="91"/>
      <c r="G777" s="91"/>
      <c r="J777" s="91"/>
      <c r="M777" s="91"/>
      <c r="P777" s="91"/>
      <c r="S777" s="91"/>
      <c r="T777" s="91"/>
      <c r="U777" s="91"/>
      <c r="V777" s="91"/>
      <c r="W777" s="91"/>
    </row>
    <row r="778">
      <c r="A778" s="91"/>
      <c r="D778" s="91"/>
      <c r="G778" s="91"/>
      <c r="J778" s="91"/>
      <c r="M778" s="91"/>
      <c r="P778" s="91"/>
      <c r="S778" s="91"/>
      <c r="T778" s="91"/>
      <c r="U778" s="91"/>
      <c r="V778" s="91"/>
      <c r="W778" s="91"/>
    </row>
    <row r="779">
      <c r="A779" s="91"/>
      <c r="D779" s="91"/>
      <c r="G779" s="91"/>
      <c r="J779" s="91"/>
      <c r="M779" s="91"/>
      <c r="P779" s="91"/>
      <c r="S779" s="91"/>
      <c r="T779" s="91"/>
      <c r="U779" s="91"/>
      <c r="V779" s="91"/>
      <c r="W779" s="91"/>
    </row>
    <row r="780">
      <c r="A780" s="91"/>
      <c r="D780" s="91"/>
      <c r="G780" s="91"/>
      <c r="J780" s="91"/>
      <c r="M780" s="91"/>
      <c r="P780" s="91"/>
      <c r="S780" s="91"/>
      <c r="T780" s="91"/>
      <c r="U780" s="91"/>
      <c r="V780" s="91"/>
      <c r="W780" s="91"/>
    </row>
    <row r="781">
      <c r="A781" s="91"/>
      <c r="D781" s="91"/>
      <c r="G781" s="91"/>
      <c r="J781" s="91"/>
      <c r="M781" s="91"/>
      <c r="P781" s="91"/>
      <c r="S781" s="91"/>
      <c r="T781" s="91"/>
      <c r="U781" s="91"/>
      <c r="V781" s="91"/>
      <c r="W781" s="91"/>
    </row>
    <row r="782">
      <c r="A782" s="91"/>
      <c r="D782" s="91"/>
      <c r="G782" s="91"/>
      <c r="J782" s="91"/>
      <c r="M782" s="91"/>
      <c r="P782" s="91"/>
      <c r="S782" s="91"/>
      <c r="T782" s="91"/>
      <c r="U782" s="91"/>
      <c r="V782" s="91"/>
      <c r="W782" s="91"/>
    </row>
    <row r="783">
      <c r="A783" s="91"/>
      <c r="D783" s="91"/>
      <c r="G783" s="91"/>
      <c r="J783" s="91"/>
      <c r="M783" s="91"/>
      <c r="P783" s="91"/>
      <c r="S783" s="91"/>
      <c r="T783" s="91"/>
      <c r="U783" s="91"/>
      <c r="V783" s="91"/>
      <c r="W783" s="91"/>
    </row>
    <row r="784">
      <c r="A784" s="91"/>
      <c r="D784" s="91"/>
      <c r="G784" s="91"/>
      <c r="J784" s="91"/>
      <c r="M784" s="91"/>
      <c r="P784" s="91"/>
      <c r="S784" s="91"/>
      <c r="T784" s="91"/>
      <c r="U784" s="91"/>
      <c r="V784" s="91"/>
      <c r="W784" s="91"/>
    </row>
    <row r="785">
      <c r="A785" s="91"/>
      <c r="D785" s="91"/>
      <c r="G785" s="91"/>
      <c r="J785" s="91"/>
      <c r="M785" s="91"/>
      <c r="P785" s="91"/>
      <c r="S785" s="91"/>
      <c r="T785" s="91"/>
      <c r="U785" s="91"/>
      <c r="V785" s="91"/>
      <c r="W785" s="91"/>
    </row>
    <row r="786">
      <c r="A786" s="91"/>
      <c r="D786" s="91"/>
      <c r="G786" s="91"/>
      <c r="J786" s="91"/>
      <c r="M786" s="91"/>
      <c r="P786" s="91"/>
      <c r="S786" s="91"/>
      <c r="T786" s="91"/>
      <c r="U786" s="91"/>
      <c r="V786" s="91"/>
      <c r="W786" s="91"/>
    </row>
    <row r="787">
      <c r="A787" s="91"/>
      <c r="D787" s="91"/>
      <c r="G787" s="91"/>
      <c r="J787" s="91"/>
      <c r="M787" s="91"/>
      <c r="P787" s="91"/>
      <c r="S787" s="91"/>
      <c r="T787" s="91"/>
      <c r="U787" s="91"/>
      <c r="V787" s="91"/>
      <c r="W787" s="91"/>
    </row>
    <row r="788">
      <c r="A788" s="91"/>
      <c r="D788" s="91"/>
      <c r="G788" s="91"/>
      <c r="J788" s="91"/>
      <c r="M788" s="91"/>
      <c r="P788" s="91"/>
      <c r="S788" s="91"/>
      <c r="T788" s="91"/>
      <c r="U788" s="91"/>
      <c r="V788" s="91"/>
      <c r="W788" s="91"/>
    </row>
    <row r="789">
      <c r="A789" s="91"/>
      <c r="D789" s="91"/>
      <c r="G789" s="91"/>
      <c r="J789" s="91"/>
      <c r="M789" s="91"/>
      <c r="P789" s="91"/>
      <c r="S789" s="91"/>
      <c r="T789" s="91"/>
      <c r="U789" s="91"/>
      <c r="V789" s="91"/>
      <c r="W789" s="91"/>
    </row>
    <row r="790">
      <c r="A790" s="91"/>
      <c r="D790" s="91"/>
      <c r="G790" s="91"/>
      <c r="J790" s="91"/>
      <c r="M790" s="91"/>
      <c r="P790" s="91"/>
      <c r="S790" s="91"/>
      <c r="T790" s="91"/>
      <c r="U790" s="91"/>
      <c r="V790" s="91"/>
      <c r="W790" s="91"/>
    </row>
    <row r="791">
      <c r="A791" s="91"/>
      <c r="D791" s="91"/>
      <c r="G791" s="91"/>
      <c r="J791" s="91"/>
      <c r="M791" s="91"/>
      <c r="P791" s="91"/>
      <c r="S791" s="91"/>
      <c r="T791" s="91"/>
      <c r="U791" s="91"/>
      <c r="V791" s="91"/>
      <c r="W791" s="91"/>
    </row>
    <row r="792">
      <c r="A792" s="91"/>
      <c r="D792" s="91"/>
      <c r="G792" s="91"/>
      <c r="J792" s="91"/>
      <c r="M792" s="91"/>
      <c r="P792" s="91"/>
      <c r="S792" s="91"/>
      <c r="T792" s="91"/>
      <c r="U792" s="91"/>
      <c r="V792" s="91"/>
      <c r="W792" s="91"/>
    </row>
    <row r="793">
      <c r="A793" s="91"/>
      <c r="D793" s="91"/>
      <c r="G793" s="91"/>
      <c r="J793" s="91"/>
      <c r="M793" s="91"/>
      <c r="P793" s="91"/>
      <c r="S793" s="91"/>
      <c r="T793" s="91"/>
      <c r="U793" s="91"/>
      <c r="V793" s="91"/>
      <c r="W793" s="91"/>
    </row>
    <row r="794">
      <c r="A794" s="91"/>
      <c r="D794" s="91"/>
      <c r="G794" s="91"/>
      <c r="J794" s="91"/>
      <c r="M794" s="91"/>
      <c r="P794" s="91"/>
      <c r="S794" s="91"/>
      <c r="T794" s="91"/>
      <c r="U794" s="91"/>
      <c r="V794" s="91"/>
      <c r="W794" s="91"/>
    </row>
    <row r="795">
      <c r="A795" s="91"/>
      <c r="D795" s="91"/>
      <c r="G795" s="91"/>
      <c r="J795" s="91"/>
      <c r="M795" s="91"/>
      <c r="P795" s="91"/>
      <c r="S795" s="91"/>
      <c r="T795" s="91"/>
      <c r="U795" s="91"/>
      <c r="V795" s="91"/>
      <c r="W795" s="91"/>
    </row>
    <row r="796">
      <c r="A796" s="91"/>
      <c r="D796" s="91"/>
      <c r="G796" s="91"/>
      <c r="J796" s="91"/>
      <c r="M796" s="91"/>
      <c r="P796" s="91"/>
      <c r="S796" s="91"/>
      <c r="T796" s="91"/>
      <c r="U796" s="91"/>
      <c r="V796" s="91"/>
      <c r="W796" s="91"/>
    </row>
    <row r="797">
      <c r="A797" s="91"/>
      <c r="D797" s="91"/>
      <c r="G797" s="91"/>
      <c r="J797" s="91"/>
      <c r="M797" s="91"/>
      <c r="P797" s="91"/>
      <c r="S797" s="91"/>
      <c r="T797" s="91"/>
      <c r="U797" s="91"/>
      <c r="V797" s="91"/>
      <c r="W797" s="91"/>
    </row>
    <row r="798">
      <c r="A798" s="91"/>
      <c r="D798" s="91"/>
      <c r="G798" s="91"/>
      <c r="J798" s="91"/>
      <c r="M798" s="91"/>
      <c r="P798" s="91"/>
      <c r="S798" s="91"/>
      <c r="T798" s="91"/>
      <c r="U798" s="91"/>
      <c r="V798" s="91"/>
      <c r="W798" s="91"/>
    </row>
    <row r="799">
      <c r="A799" s="91"/>
      <c r="D799" s="91"/>
      <c r="G799" s="91"/>
      <c r="J799" s="91"/>
      <c r="M799" s="91"/>
      <c r="P799" s="91"/>
      <c r="S799" s="91"/>
      <c r="T799" s="91"/>
      <c r="U799" s="91"/>
      <c r="V799" s="91"/>
      <c r="W799" s="91"/>
    </row>
    <row r="800">
      <c r="A800" s="91"/>
      <c r="D800" s="91"/>
      <c r="G800" s="91"/>
      <c r="J800" s="91"/>
      <c r="M800" s="91"/>
      <c r="P800" s="91"/>
      <c r="S800" s="91"/>
      <c r="T800" s="91"/>
      <c r="U800" s="91"/>
      <c r="V800" s="91"/>
      <c r="W800" s="91"/>
    </row>
    <row r="801">
      <c r="A801" s="91"/>
      <c r="D801" s="91"/>
      <c r="G801" s="91"/>
      <c r="J801" s="91"/>
      <c r="M801" s="91"/>
      <c r="P801" s="91"/>
      <c r="S801" s="91"/>
      <c r="T801" s="91"/>
      <c r="U801" s="91"/>
      <c r="V801" s="91"/>
      <c r="W801" s="91"/>
    </row>
    <row r="802">
      <c r="A802" s="91"/>
      <c r="D802" s="91"/>
      <c r="G802" s="91"/>
      <c r="J802" s="91"/>
      <c r="M802" s="91"/>
      <c r="P802" s="91"/>
      <c r="S802" s="91"/>
      <c r="T802" s="91"/>
      <c r="U802" s="91"/>
      <c r="V802" s="91"/>
      <c r="W802" s="91"/>
    </row>
    <row r="803">
      <c r="A803" s="91"/>
      <c r="D803" s="91"/>
      <c r="G803" s="91"/>
      <c r="J803" s="91"/>
      <c r="M803" s="91"/>
      <c r="P803" s="91"/>
      <c r="S803" s="91"/>
      <c r="T803" s="91"/>
      <c r="U803" s="91"/>
      <c r="V803" s="91"/>
      <c r="W803" s="91"/>
    </row>
    <row r="804">
      <c r="A804" s="91"/>
      <c r="D804" s="91"/>
      <c r="G804" s="91"/>
      <c r="J804" s="91"/>
      <c r="M804" s="91"/>
      <c r="P804" s="91"/>
      <c r="S804" s="91"/>
      <c r="T804" s="91"/>
      <c r="U804" s="91"/>
      <c r="V804" s="91"/>
      <c r="W804" s="91"/>
    </row>
    <row r="805">
      <c r="A805" s="91"/>
      <c r="D805" s="91"/>
      <c r="G805" s="91"/>
      <c r="J805" s="91"/>
      <c r="M805" s="91"/>
      <c r="P805" s="91"/>
      <c r="S805" s="91"/>
      <c r="T805" s="91"/>
      <c r="U805" s="91"/>
      <c r="V805" s="91"/>
      <c r="W805" s="91"/>
    </row>
    <row r="806">
      <c r="A806" s="91"/>
      <c r="D806" s="91"/>
      <c r="G806" s="91"/>
      <c r="J806" s="91"/>
      <c r="M806" s="91"/>
      <c r="P806" s="91"/>
      <c r="S806" s="91"/>
      <c r="T806" s="91"/>
      <c r="U806" s="91"/>
      <c r="V806" s="91"/>
      <c r="W806" s="91"/>
    </row>
    <row r="807">
      <c r="A807" s="91"/>
      <c r="D807" s="91"/>
      <c r="G807" s="91"/>
      <c r="J807" s="91"/>
      <c r="M807" s="91"/>
      <c r="P807" s="91"/>
      <c r="S807" s="91"/>
      <c r="T807" s="91"/>
      <c r="U807" s="91"/>
      <c r="V807" s="91"/>
      <c r="W807" s="91"/>
    </row>
    <row r="808">
      <c r="A808" s="91"/>
      <c r="D808" s="91"/>
      <c r="G808" s="91"/>
      <c r="J808" s="91"/>
      <c r="M808" s="91"/>
      <c r="P808" s="91"/>
      <c r="S808" s="91"/>
      <c r="T808" s="91"/>
      <c r="U808" s="91"/>
      <c r="V808" s="91"/>
      <c r="W808" s="91"/>
    </row>
    <row r="809">
      <c r="A809" s="91"/>
      <c r="D809" s="91"/>
      <c r="G809" s="91"/>
      <c r="J809" s="91"/>
      <c r="M809" s="91"/>
      <c r="P809" s="91"/>
      <c r="S809" s="91"/>
      <c r="T809" s="91"/>
      <c r="U809" s="91"/>
      <c r="V809" s="91"/>
      <c r="W809" s="91"/>
    </row>
    <row r="810">
      <c r="A810" s="91"/>
      <c r="D810" s="91"/>
      <c r="G810" s="91"/>
      <c r="J810" s="91"/>
      <c r="M810" s="91"/>
      <c r="P810" s="91"/>
      <c r="S810" s="91"/>
      <c r="T810" s="91"/>
      <c r="U810" s="91"/>
      <c r="V810" s="91"/>
      <c r="W810" s="91"/>
    </row>
    <row r="811">
      <c r="A811" s="91"/>
      <c r="D811" s="91"/>
      <c r="G811" s="91"/>
      <c r="J811" s="91"/>
      <c r="M811" s="91"/>
      <c r="P811" s="91"/>
      <c r="S811" s="91"/>
      <c r="T811" s="91"/>
      <c r="U811" s="91"/>
      <c r="V811" s="91"/>
      <c r="W811" s="91"/>
    </row>
    <row r="812">
      <c r="A812" s="91"/>
      <c r="D812" s="91"/>
      <c r="G812" s="91"/>
      <c r="J812" s="91"/>
      <c r="M812" s="91"/>
      <c r="P812" s="91"/>
      <c r="S812" s="91"/>
      <c r="T812" s="91"/>
      <c r="U812" s="91"/>
      <c r="V812" s="91"/>
      <c r="W812" s="91"/>
    </row>
    <row r="813">
      <c r="A813" s="91"/>
      <c r="D813" s="91"/>
      <c r="G813" s="91"/>
      <c r="J813" s="91"/>
      <c r="M813" s="91"/>
      <c r="P813" s="91"/>
      <c r="S813" s="91"/>
      <c r="T813" s="91"/>
      <c r="U813" s="91"/>
      <c r="V813" s="91"/>
      <c r="W813" s="91"/>
    </row>
    <row r="814">
      <c r="A814" s="91"/>
      <c r="D814" s="91"/>
      <c r="G814" s="91"/>
      <c r="J814" s="91"/>
      <c r="M814" s="91"/>
      <c r="P814" s="91"/>
      <c r="S814" s="91"/>
      <c r="T814" s="91"/>
      <c r="U814" s="91"/>
      <c r="V814" s="91"/>
      <c r="W814" s="91"/>
    </row>
    <row r="815">
      <c r="A815" s="91"/>
      <c r="D815" s="91"/>
      <c r="G815" s="91"/>
      <c r="J815" s="91"/>
      <c r="M815" s="91"/>
      <c r="P815" s="91"/>
      <c r="S815" s="91"/>
      <c r="T815" s="91"/>
      <c r="U815" s="91"/>
      <c r="V815" s="91"/>
      <c r="W815" s="91"/>
    </row>
    <row r="816">
      <c r="A816" s="91"/>
      <c r="D816" s="91"/>
      <c r="G816" s="91"/>
      <c r="J816" s="91"/>
      <c r="M816" s="91"/>
      <c r="P816" s="91"/>
      <c r="S816" s="91"/>
      <c r="T816" s="91"/>
      <c r="U816" s="91"/>
      <c r="V816" s="91"/>
      <c r="W816" s="91"/>
    </row>
    <row r="817">
      <c r="A817" s="91"/>
      <c r="D817" s="91"/>
      <c r="G817" s="91"/>
      <c r="J817" s="91"/>
      <c r="M817" s="91"/>
      <c r="P817" s="91"/>
      <c r="S817" s="91"/>
      <c r="T817" s="91"/>
      <c r="U817" s="91"/>
      <c r="V817" s="91"/>
      <c r="W817" s="91"/>
    </row>
    <row r="818">
      <c r="A818" s="91"/>
      <c r="D818" s="91"/>
      <c r="G818" s="91"/>
      <c r="J818" s="91"/>
      <c r="M818" s="91"/>
      <c r="P818" s="91"/>
      <c r="S818" s="91"/>
      <c r="T818" s="91"/>
      <c r="U818" s="91"/>
      <c r="V818" s="91"/>
      <c r="W818" s="91"/>
    </row>
    <row r="819">
      <c r="A819" s="91"/>
      <c r="D819" s="91"/>
      <c r="G819" s="91"/>
      <c r="J819" s="91"/>
      <c r="M819" s="91"/>
      <c r="P819" s="91"/>
      <c r="S819" s="91"/>
      <c r="T819" s="91"/>
      <c r="U819" s="91"/>
      <c r="V819" s="91"/>
      <c r="W819" s="91"/>
    </row>
    <row r="820">
      <c r="A820" s="91"/>
      <c r="D820" s="91"/>
      <c r="G820" s="91"/>
      <c r="J820" s="91"/>
      <c r="M820" s="91"/>
      <c r="P820" s="91"/>
      <c r="S820" s="91"/>
      <c r="T820" s="91"/>
      <c r="U820" s="91"/>
      <c r="V820" s="91"/>
      <c r="W820" s="91"/>
    </row>
    <row r="821">
      <c r="A821" s="91"/>
      <c r="D821" s="91"/>
      <c r="G821" s="91"/>
      <c r="J821" s="91"/>
      <c r="M821" s="91"/>
      <c r="P821" s="91"/>
      <c r="S821" s="91"/>
      <c r="T821" s="91"/>
      <c r="U821" s="91"/>
      <c r="V821" s="91"/>
      <c r="W821" s="91"/>
    </row>
    <row r="822">
      <c r="A822" s="91"/>
      <c r="D822" s="91"/>
      <c r="G822" s="91"/>
      <c r="J822" s="91"/>
      <c r="M822" s="91"/>
      <c r="P822" s="91"/>
      <c r="S822" s="91"/>
      <c r="T822" s="91"/>
      <c r="U822" s="91"/>
      <c r="V822" s="91"/>
      <c r="W822" s="91"/>
    </row>
    <row r="823">
      <c r="A823" s="91"/>
      <c r="D823" s="91"/>
      <c r="G823" s="91"/>
      <c r="J823" s="91"/>
      <c r="M823" s="91"/>
      <c r="P823" s="91"/>
      <c r="S823" s="91"/>
      <c r="T823" s="91"/>
      <c r="U823" s="91"/>
      <c r="V823" s="91"/>
      <c r="W823" s="91"/>
    </row>
    <row r="824">
      <c r="A824" s="91"/>
      <c r="D824" s="91"/>
      <c r="G824" s="91"/>
      <c r="J824" s="91"/>
      <c r="M824" s="91"/>
      <c r="P824" s="91"/>
      <c r="S824" s="91"/>
      <c r="T824" s="91"/>
      <c r="U824" s="91"/>
      <c r="V824" s="91"/>
      <c r="W824" s="91"/>
    </row>
    <row r="825">
      <c r="A825" s="91"/>
      <c r="D825" s="91"/>
      <c r="G825" s="91"/>
      <c r="J825" s="91"/>
      <c r="M825" s="91"/>
      <c r="P825" s="91"/>
      <c r="S825" s="91"/>
      <c r="T825" s="91"/>
      <c r="U825" s="91"/>
      <c r="V825" s="91"/>
      <c r="W825" s="91"/>
    </row>
    <row r="826">
      <c r="A826" s="91"/>
      <c r="D826" s="91"/>
      <c r="G826" s="91"/>
      <c r="J826" s="91"/>
      <c r="M826" s="91"/>
      <c r="P826" s="91"/>
      <c r="S826" s="91"/>
      <c r="T826" s="91"/>
      <c r="U826" s="91"/>
      <c r="V826" s="91"/>
      <c r="W826" s="91"/>
    </row>
    <row r="827">
      <c r="A827" s="91"/>
      <c r="D827" s="91"/>
      <c r="G827" s="91"/>
      <c r="J827" s="91"/>
      <c r="M827" s="91"/>
      <c r="P827" s="91"/>
      <c r="S827" s="91"/>
      <c r="T827" s="91"/>
      <c r="U827" s="91"/>
      <c r="V827" s="91"/>
      <c r="W827" s="91"/>
    </row>
    <row r="828">
      <c r="A828" s="91"/>
      <c r="D828" s="91"/>
      <c r="G828" s="91"/>
      <c r="J828" s="91"/>
      <c r="M828" s="91"/>
      <c r="P828" s="91"/>
      <c r="S828" s="91"/>
      <c r="T828" s="91"/>
      <c r="U828" s="91"/>
      <c r="V828" s="91"/>
      <c r="W828" s="91"/>
    </row>
    <row r="829">
      <c r="A829" s="91"/>
      <c r="D829" s="91"/>
      <c r="G829" s="91"/>
      <c r="J829" s="91"/>
      <c r="M829" s="91"/>
      <c r="P829" s="91"/>
      <c r="S829" s="91"/>
      <c r="T829" s="91"/>
      <c r="U829" s="91"/>
      <c r="V829" s="91"/>
      <c r="W829" s="91"/>
    </row>
    <row r="830">
      <c r="A830" s="91"/>
      <c r="D830" s="91"/>
      <c r="G830" s="91"/>
      <c r="J830" s="91"/>
      <c r="M830" s="91"/>
      <c r="P830" s="91"/>
      <c r="S830" s="91"/>
      <c r="T830" s="91"/>
      <c r="U830" s="91"/>
      <c r="V830" s="91"/>
      <c r="W830" s="91"/>
    </row>
    <row r="831">
      <c r="A831" s="91"/>
      <c r="D831" s="91"/>
      <c r="G831" s="91"/>
      <c r="J831" s="91"/>
      <c r="M831" s="91"/>
      <c r="P831" s="91"/>
      <c r="S831" s="91"/>
      <c r="T831" s="91"/>
      <c r="U831" s="91"/>
      <c r="V831" s="91"/>
      <c r="W831" s="91"/>
    </row>
    <row r="832">
      <c r="A832" s="91"/>
      <c r="D832" s="91"/>
      <c r="G832" s="91"/>
      <c r="J832" s="91"/>
      <c r="M832" s="91"/>
      <c r="P832" s="91"/>
      <c r="S832" s="91"/>
      <c r="T832" s="91"/>
      <c r="U832" s="91"/>
      <c r="V832" s="91"/>
      <c r="W832" s="91"/>
    </row>
    <row r="833">
      <c r="A833" s="91"/>
      <c r="D833" s="91"/>
      <c r="G833" s="91"/>
      <c r="J833" s="91"/>
      <c r="M833" s="91"/>
      <c r="P833" s="91"/>
      <c r="S833" s="91"/>
      <c r="T833" s="91"/>
      <c r="U833" s="91"/>
      <c r="V833" s="91"/>
      <c r="W833" s="91"/>
    </row>
    <row r="834">
      <c r="A834" s="91"/>
      <c r="D834" s="91"/>
      <c r="G834" s="91"/>
      <c r="J834" s="91"/>
      <c r="M834" s="91"/>
      <c r="P834" s="91"/>
      <c r="S834" s="91"/>
      <c r="T834" s="91"/>
      <c r="U834" s="91"/>
      <c r="V834" s="91"/>
      <c r="W834" s="91"/>
    </row>
    <row r="835">
      <c r="A835" s="91"/>
      <c r="D835" s="91"/>
      <c r="G835" s="91"/>
      <c r="J835" s="91"/>
      <c r="M835" s="91"/>
      <c r="P835" s="91"/>
      <c r="S835" s="91"/>
      <c r="T835" s="91"/>
      <c r="U835" s="91"/>
      <c r="V835" s="91"/>
      <c r="W835" s="91"/>
    </row>
    <row r="836">
      <c r="A836" s="91"/>
      <c r="D836" s="91"/>
      <c r="G836" s="91"/>
      <c r="J836" s="91"/>
      <c r="M836" s="91"/>
      <c r="P836" s="91"/>
      <c r="S836" s="91"/>
      <c r="T836" s="91"/>
      <c r="U836" s="91"/>
      <c r="V836" s="91"/>
      <c r="W836" s="91"/>
    </row>
    <row r="837">
      <c r="A837" s="91"/>
      <c r="D837" s="91"/>
      <c r="G837" s="91"/>
      <c r="J837" s="91"/>
      <c r="M837" s="91"/>
      <c r="P837" s="91"/>
      <c r="S837" s="91"/>
      <c r="T837" s="91"/>
      <c r="U837" s="91"/>
      <c r="V837" s="91"/>
      <c r="W837" s="91"/>
    </row>
    <row r="838">
      <c r="A838" s="91"/>
      <c r="D838" s="91"/>
      <c r="G838" s="91"/>
      <c r="J838" s="91"/>
      <c r="M838" s="91"/>
      <c r="P838" s="91"/>
      <c r="S838" s="91"/>
      <c r="T838" s="91"/>
      <c r="U838" s="91"/>
      <c r="V838" s="91"/>
      <c r="W838" s="91"/>
    </row>
    <row r="839">
      <c r="A839" s="91"/>
      <c r="D839" s="91"/>
      <c r="G839" s="91"/>
      <c r="J839" s="91"/>
      <c r="M839" s="91"/>
      <c r="P839" s="91"/>
      <c r="S839" s="91"/>
      <c r="T839" s="91"/>
      <c r="U839" s="91"/>
      <c r="V839" s="91"/>
      <c r="W839" s="91"/>
    </row>
    <row r="840">
      <c r="A840" s="91"/>
      <c r="D840" s="91"/>
      <c r="G840" s="91"/>
      <c r="J840" s="91"/>
      <c r="M840" s="91"/>
      <c r="P840" s="91"/>
      <c r="S840" s="91"/>
      <c r="T840" s="91"/>
      <c r="U840" s="91"/>
      <c r="V840" s="91"/>
      <c r="W840" s="91"/>
    </row>
    <row r="841">
      <c r="A841" s="91"/>
      <c r="D841" s="91"/>
      <c r="G841" s="91"/>
      <c r="J841" s="91"/>
      <c r="M841" s="91"/>
      <c r="P841" s="91"/>
      <c r="S841" s="91"/>
      <c r="T841" s="91"/>
      <c r="U841" s="91"/>
      <c r="V841" s="91"/>
      <c r="W841" s="91"/>
    </row>
    <row r="842">
      <c r="A842" s="91"/>
      <c r="D842" s="91"/>
      <c r="G842" s="91"/>
      <c r="J842" s="91"/>
      <c r="M842" s="91"/>
      <c r="P842" s="91"/>
      <c r="S842" s="91"/>
      <c r="T842" s="91"/>
      <c r="U842" s="91"/>
      <c r="V842" s="91"/>
      <c r="W842" s="91"/>
    </row>
    <row r="843">
      <c r="A843" s="91"/>
      <c r="D843" s="91"/>
      <c r="G843" s="91"/>
      <c r="J843" s="91"/>
      <c r="M843" s="91"/>
      <c r="P843" s="91"/>
      <c r="S843" s="91"/>
      <c r="T843" s="91"/>
      <c r="U843" s="91"/>
      <c r="V843" s="91"/>
      <c r="W843" s="91"/>
    </row>
    <row r="844">
      <c r="A844" s="91"/>
      <c r="D844" s="91"/>
      <c r="G844" s="91"/>
      <c r="J844" s="91"/>
      <c r="M844" s="91"/>
      <c r="P844" s="91"/>
      <c r="S844" s="91"/>
      <c r="T844" s="91"/>
      <c r="U844" s="91"/>
      <c r="V844" s="91"/>
      <c r="W844" s="91"/>
    </row>
    <row r="845">
      <c r="A845" s="91"/>
      <c r="D845" s="91"/>
      <c r="G845" s="91"/>
      <c r="J845" s="91"/>
      <c r="M845" s="91"/>
      <c r="P845" s="91"/>
      <c r="S845" s="91"/>
      <c r="T845" s="91"/>
      <c r="U845" s="91"/>
      <c r="V845" s="91"/>
      <c r="W845" s="91"/>
    </row>
    <row r="846">
      <c r="A846" s="91"/>
      <c r="D846" s="91"/>
      <c r="G846" s="91"/>
      <c r="J846" s="91"/>
      <c r="M846" s="91"/>
      <c r="P846" s="91"/>
      <c r="S846" s="91"/>
      <c r="T846" s="91"/>
      <c r="U846" s="91"/>
      <c r="V846" s="91"/>
      <c r="W846" s="91"/>
    </row>
    <row r="847">
      <c r="A847" s="91"/>
      <c r="D847" s="91"/>
      <c r="G847" s="91"/>
      <c r="J847" s="91"/>
      <c r="M847" s="91"/>
      <c r="P847" s="91"/>
      <c r="S847" s="91"/>
      <c r="T847" s="91"/>
      <c r="U847" s="91"/>
      <c r="V847" s="91"/>
      <c r="W847" s="91"/>
    </row>
    <row r="848">
      <c r="A848" s="91"/>
      <c r="D848" s="91"/>
      <c r="G848" s="91"/>
      <c r="J848" s="91"/>
      <c r="M848" s="91"/>
      <c r="P848" s="91"/>
      <c r="S848" s="91"/>
      <c r="T848" s="91"/>
      <c r="U848" s="91"/>
      <c r="V848" s="91"/>
      <c r="W848" s="91"/>
    </row>
    <row r="849">
      <c r="A849" s="91"/>
      <c r="D849" s="91"/>
      <c r="G849" s="91"/>
      <c r="J849" s="91"/>
      <c r="M849" s="91"/>
      <c r="P849" s="91"/>
      <c r="S849" s="91"/>
      <c r="T849" s="91"/>
      <c r="U849" s="91"/>
      <c r="V849" s="91"/>
      <c r="W849" s="91"/>
    </row>
    <row r="850">
      <c r="A850" s="91"/>
      <c r="D850" s="91"/>
      <c r="G850" s="91"/>
      <c r="J850" s="91"/>
      <c r="M850" s="91"/>
      <c r="P850" s="91"/>
      <c r="S850" s="91"/>
      <c r="T850" s="91"/>
      <c r="U850" s="91"/>
      <c r="V850" s="91"/>
      <c r="W850" s="91"/>
    </row>
    <row r="851">
      <c r="A851" s="91"/>
      <c r="D851" s="91"/>
      <c r="G851" s="91"/>
      <c r="J851" s="91"/>
      <c r="M851" s="91"/>
      <c r="P851" s="91"/>
      <c r="S851" s="91"/>
      <c r="T851" s="91"/>
      <c r="U851" s="91"/>
      <c r="V851" s="91"/>
      <c r="W851" s="91"/>
    </row>
    <row r="852">
      <c r="A852" s="91"/>
      <c r="D852" s="91"/>
      <c r="G852" s="91"/>
      <c r="J852" s="91"/>
      <c r="M852" s="91"/>
      <c r="P852" s="91"/>
      <c r="S852" s="91"/>
      <c r="T852" s="91"/>
      <c r="U852" s="91"/>
      <c r="V852" s="91"/>
      <c r="W852" s="91"/>
    </row>
    <row r="853">
      <c r="A853" s="91"/>
      <c r="D853" s="91"/>
      <c r="G853" s="91"/>
      <c r="J853" s="91"/>
      <c r="M853" s="91"/>
      <c r="P853" s="91"/>
      <c r="S853" s="91"/>
      <c r="T853" s="91"/>
      <c r="U853" s="91"/>
      <c r="V853" s="91"/>
      <c r="W853" s="91"/>
    </row>
    <row r="854">
      <c r="A854" s="91"/>
      <c r="D854" s="91"/>
      <c r="G854" s="91"/>
      <c r="J854" s="91"/>
      <c r="M854" s="91"/>
      <c r="P854" s="91"/>
      <c r="S854" s="91"/>
      <c r="T854" s="91"/>
      <c r="U854" s="91"/>
      <c r="V854" s="91"/>
      <c r="W854" s="91"/>
    </row>
    <row r="855">
      <c r="A855" s="91"/>
      <c r="D855" s="91"/>
      <c r="G855" s="91"/>
      <c r="J855" s="91"/>
      <c r="M855" s="91"/>
      <c r="P855" s="91"/>
      <c r="S855" s="91"/>
      <c r="T855" s="91"/>
      <c r="U855" s="91"/>
      <c r="V855" s="91"/>
      <c r="W855" s="91"/>
    </row>
    <row r="856">
      <c r="A856" s="91"/>
      <c r="D856" s="91"/>
      <c r="G856" s="91"/>
      <c r="J856" s="91"/>
      <c r="M856" s="91"/>
      <c r="P856" s="91"/>
      <c r="S856" s="91"/>
      <c r="T856" s="91"/>
      <c r="U856" s="91"/>
      <c r="V856" s="91"/>
      <c r="W856" s="91"/>
    </row>
    <row r="857">
      <c r="A857" s="91"/>
      <c r="D857" s="91"/>
      <c r="G857" s="91"/>
      <c r="J857" s="91"/>
      <c r="M857" s="91"/>
      <c r="P857" s="91"/>
      <c r="S857" s="91"/>
      <c r="T857" s="91"/>
      <c r="U857" s="91"/>
      <c r="V857" s="91"/>
      <c r="W857" s="91"/>
    </row>
    <row r="858">
      <c r="A858" s="91"/>
      <c r="D858" s="91"/>
      <c r="G858" s="91"/>
      <c r="J858" s="91"/>
      <c r="M858" s="91"/>
      <c r="P858" s="91"/>
      <c r="S858" s="91"/>
      <c r="T858" s="91"/>
      <c r="U858" s="91"/>
      <c r="V858" s="91"/>
      <c r="W858" s="91"/>
    </row>
    <row r="859">
      <c r="A859" s="91"/>
      <c r="D859" s="91"/>
      <c r="G859" s="91"/>
      <c r="J859" s="91"/>
      <c r="M859" s="91"/>
      <c r="P859" s="91"/>
      <c r="S859" s="91"/>
      <c r="T859" s="91"/>
      <c r="U859" s="91"/>
      <c r="V859" s="91"/>
      <c r="W859" s="91"/>
    </row>
    <row r="860">
      <c r="A860" s="91"/>
      <c r="D860" s="91"/>
      <c r="G860" s="91"/>
      <c r="J860" s="91"/>
      <c r="M860" s="91"/>
      <c r="P860" s="91"/>
      <c r="S860" s="91"/>
      <c r="T860" s="91"/>
      <c r="U860" s="91"/>
      <c r="V860" s="91"/>
      <c r="W860" s="91"/>
    </row>
    <row r="861">
      <c r="A861" s="91"/>
      <c r="D861" s="91"/>
      <c r="G861" s="91"/>
      <c r="J861" s="91"/>
      <c r="M861" s="91"/>
      <c r="P861" s="91"/>
      <c r="S861" s="91"/>
      <c r="T861" s="91"/>
      <c r="U861" s="91"/>
      <c r="V861" s="91"/>
      <c r="W861" s="91"/>
    </row>
    <row r="862">
      <c r="A862" s="91"/>
      <c r="D862" s="91"/>
      <c r="G862" s="91"/>
      <c r="J862" s="91"/>
      <c r="M862" s="91"/>
      <c r="P862" s="91"/>
      <c r="S862" s="91"/>
      <c r="T862" s="91"/>
      <c r="U862" s="91"/>
      <c r="V862" s="91"/>
      <c r="W862" s="91"/>
    </row>
    <row r="863">
      <c r="A863" s="91"/>
      <c r="D863" s="91"/>
      <c r="G863" s="91"/>
      <c r="J863" s="91"/>
      <c r="M863" s="91"/>
      <c r="P863" s="91"/>
      <c r="S863" s="91"/>
      <c r="T863" s="91"/>
      <c r="U863" s="91"/>
      <c r="V863" s="91"/>
      <c r="W863" s="91"/>
    </row>
    <row r="864">
      <c r="A864" s="91"/>
      <c r="D864" s="91"/>
      <c r="G864" s="91"/>
      <c r="J864" s="91"/>
      <c r="M864" s="91"/>
      <c r="P864" s="91"/>
      <c r="S864" s="91"/>
      <c r="T864" s="91"/>
      <c r="U864" s="91"/>
      <c r="V864" s="91"/>
      <c r="W864" s="91"/>
    </row>
    <row r="865">
      <c r="A865" s="91"/>
      <c r="D865" s="91"/>
      <c r="G865" s="91"/>
      <c r="J865" s="91"/>
      <c r="M865" s="91"/>
      <c r="P865" s="91"/>
      <c r="S865" s="91"/>
      <c r="T865" s="91"/>
      <c r="U865" s="91"/>
      <c r="V865" s="91"/>
      <c r="W865" s="91"/>
    </row>
    <row r="866">
      <c r="A866" s="91"/>
      <c r="D866" s="91"/>
      <c r="G866" s="91"/>
      <c r="J866" s="91"/>
      <c r="M866" s="91"/>
      <c r="P866" s="91"/>
      <c r="S866" s="91"/>
      <c r="T866" s="91"/>
      <c r="U866" s="91"/>
      <c r="V866" s="91"/>
      <c r="W866" s="91"/>
    </row>
    <row r="867">
      <c r="A867" s="91"/>
      <c r="D867" s="91"/>
      <c r="G867" s="91"/>
      <c r="J867" s="91"/>
      <c r="M867" s="91"/>
      <c r="P867" s="91"/>
      <c r="S867" s="91"/>
      <c r="T867" s="91"/>
      <c r="U867" s="91"/>
      <c r="V867" s="91"/>
      <c r="W867" s="91"/>
    </row>
    <row r="868">
      <c r="A868" s="91"/>
      <c r="D868" s="91"/>
      <c r="G868" s="91"/>
      <c r="J868" s="91"/>
      <c r="M868" s="91"/>
      <c r="P868" s="91"/>
      <c r="S868" s="91"/>
      <c r="T868" s="91"/>
      <c r="U868" s="91"/>
      <c r="V868" s="91"/>
      <c r="W868" s="91"/>
    </row>
    <row r="869">
      <c r="A869" s="91"/>
      <c r="D869" s="91"/>
      <c r="G869" s="91"/>
      <c r="J869" s="91"/>
      <c r="M869" s="91"/>
      <c r="P869" s="91"/>
      <c r="S869" s="91"/>
      <c r="T869" s="91"/>
      <c r="U869" s="91"/>
      <c r="V869" s="91"/>
      <c r="W869" s="91"/>
    </row>
    <row r="870">
      <c r="A870" s="91"/>
      <c r="D870" s="91"/>
      <c r="G870" s="91"/>
      <c r="J870" s="91"/>
      <c r="M870" s="91"/>
      <c r="P870" s="91"/>
      <c r="S870" s="91"/>
      <c r="T870" s="91"/>
      <c r="U870" s="91"/>
      <c r="V870" s="91"/>
      <c r="W870" s="91"/>
    </row>
    <row r="871">
      <c r="A871" s="91"/>
      <c r="D871" s="91"/>
      <c r="G871" s="91"/>
      <c r="J871" s="91"/>
      <c r="M871" s="91"/>
      <c r="P871" s="91"/>
      <c r="S871" s="91"/>
      <c r="T871" s="91"/>
      <c r="U871" s="91"/>
      <c r="V871" s="91"/>
      <c r="W871" s="91"/>
    </row>
    <row r="872">
      <c r="A872" s="91"/>
      <c r="D872" s="91"/>
      <c r="G872" s="91"/>
      <c r="J872" s="91"/>
      <c r="M872" s="91"/>
      <c r="P872" s="91"/>
      <c r="S872" s="91"/>
      <c r="T872" s="91"/>
      <c r="U872" s="91"/>
      <c r="V872" s="91"/>
      <c r="W872" s="91"/>
    </row>
    <row r="873">
      <c r="A873" s="91"/>
      <c r="D873" s="91"/>
      <c r="G873" s="91"/>
      <c r="J873" s="91"/>
      <c r="M873" s="91"/>
      <c r="P873" s="91"/>
      <c r="S873" s="91"/>
      <c r="T873" s="91"/>
      <c r="U873" s="91"/>
      <c r="V873" s="91"/>
      <c r="W873" s="91"/>
    </row>
    <row r="874">
      <c r="A874" s="91"/>
      <c r="D874" s="91"/>
      <c r="G874" s="91"/>
      <c r="J874" s="91"/>
      <c r="M874" s="91"/>
      <c r="P874" s="91"/>
      <c r="S874" s="91"/>
      <c r="T874" s="91"/>
      <c r="U874" s="91"/>
      <c r="V874" s="91"/>
      <c r="W874" s="91"/>
    </row>
    <row r="875">
      <c r="A875" s="91"/>
      <c r="D875" s="91"/>
      <c r="G875" s="91"/>
      <c r="J875" s="91"/>
      <c r="M875" s="91"/>
      <c r="P875" s="91"/>
      <c r="S875" s="91"/>
      <c r="T875" s="91"/>
      <c r="U875" s="91"/>
      <c r="V875" s="91"/>
      <c r="W875" s="91"/>
    </row>
    <row r="876">
      <c r="A876" s="91"/>
      <c r="D876" s="91"/>
      <c r="G876" s="91"/>
      <c r="J876" s="91"/>
      <c r="M876" s="91"/>
      <c r="P876" s="91"/>
      <c r="S876" s="91"/>
      <c r="T876" s="91"/>
      <c r="U876" s="91"/>
      <c r="V876" s="91"/>
      <c r="W876" s="91"/>
    </row>
    <row r="877">
      <c r="A877" s="91"/>
      <c r="D877" s="91"/>
      <c r="G877" s="91"/>
      <c r="J877" s="91"/>
      <c r="M877" s="91"/>
      <c r="P877" s="91"/>
      <c r="S877" s="91"/>
      <c r="T877" s="91"/>
      <c r="U877" s="91"/>
      <c r="V877" s="91"/>
      <c r="W877" s="91"/>
    </row>
    <row r="878">
      <c r="A878" s="91"/>
      <c r="D878" s="91"/>
      <c r="G878" s="91"/>
      <c r="J878" s="91"/>
      <c r="M878" s="91"/>
      <c r="P878" s="91"/>
      <c r="S878" s="91"/>
      <c r="T878" s="91"/>
      <c r="U878" s="91"/>
      <c r="V878" s="91"/>
      <c r="W878" s="91"/>
    </row>
    <row r="879">
      <c r="A879" s="91"/>
      <c r="D879" s="91"/>
      <c r="G879" s="91"/>
      <c r="J879" s="91"/>
      <c r="M879" s="91"/>
      <c r="P879" s="91"/>
      <c r="S879" s="91"/>
      <c r="T879" s="91"/>
      <c r="U879" s="91"/>
      <c r="V879" s="91"/>
      <c r="W879" s="91"/>
    </row>
    <row r="880">
      <c r="A880" s="91"/>
      <c r="D880" s="91"/>
      <c r="G880" s="91"/>
      <c r="J880" s="91"/>
      <c r="M880" s="91"/>
      <c r="P880" s="91"/>
      <c r="S880" s="91"/>
      <c r="T880" s="91"/>
      <c r="U880" s="91"/>
      <c r="V880" s="91"/>
      <c r="W880" s="91"/>
    </row>
    <row r="881">
      <c r="A881" s="91"/>
      <c r="D881" s="91"/>
      <c r="G881" s="91"/>
      <c r="J881" s="91"/>
      <c r="M881" s="91"/>
      <c r="P881" s="91"/>
      <c r="S881" s="91"/>
      <c r="T881" s="91"/>
      <c r="U881" s="91"/>
      <c r="V881" s="91"/>
      <c r="W881" s="91"/>
    </row>
    <row r="882">
      <c r="A882" s="91"/>
      <c r="D882" s="91"/>
      <c r="G882" s="91"/>
      <c r="J882" s="91"/>
      <c r="M882" s="91"/>
      <c r="P882" s="91"/>
      <c r="S882" s="91"/>
      <c r="T882" s="91"/>
      <c r="U882" s="91"/>
      <c r="V882" s="91"/>
      <c r="W882" s="91"/>
    </row>
    <row r="883">
      <c r="A883" s="91"/>
      <c r="D883" s="91"/>
      <c r="G883" s="91"/>
      <c r="J883" s="91"/>
      <c r="M883" s="91"/>
      <c r="P883" s="91"/>
      <c r="S883" s="91"/>
      <c r="T883" s="91"/>
      <c r="U883" s="91"/>
      <c r="V883" s="91"/>
      <c r="W883" s="91"/>
    </row>
    <row r="884">
      <c r="A884" s="91"/>
      <c r="D884" s="91"/>
      <c r="G884" s="91"/>
      <c r="J884" s="91"/>
      <c r="M884" s="91"/>
      <c r="P884" s="91"/>
      <c r="S884" s="91"/>
      <c r="T884" s="91"/>
      <c r="U884" s="91"/>
      <c r="V884" s="91"/>
      <c r="W884" s="91"/>
    </row>
    <row r="885">
      <c r="A885" s="91"/>
      <c r="D885" s="91"/>
      <c r="G885" s="91"/>
      <c r="J885" s="91"/>
      <c r="M885" s="91"/>
      <c r="P885" s="91"/>
      <c r="S885" s="91"/>
      <c r="T885" s="91"/>
      <c r="U885" s="91"/>
      <c r="V885" s="91"/>
      <c r="W885" s="91"/>
    </row>
    <row r="886">
      <c r="A886" s="91"/>
      <c r="D886" s="91"/>
      <c r="G886" s="91"/>
      <c r="J886" s="91"/>
      <c r="M886" s="91"/>
      <c r="P886" s="91"/>
      <c r="S886" s="91"/>
      <c r="T886" s="91"/>
      <c r="U886" s="91"/>
      <c r="V886" s="91"/>
      <c r="W886" s="91"/>
    </row>
    <row r="887">
      <c r="A887" s="91"/>
      <c r="D887" s="91"/>
      <c r="G887" s="91"/>
      <c r="J887" s="91"/>
      <c r="M887" s="91"/>
      <c r="P887" s="91"/>
      <c r="S887" s="91"/>
      <c r="T887" s="91"/>
      <c r="U887" s="91"/>
      <c r="V887" s="91"/>
      <c r="W887" s="91"/>
    </row>
    <row r="888">
      <c r="A888" s="91"/>
      <c r="D888" s="91"/>
      <c r="G888" s="91"/>
      <c r="J888" s="91"/>
      <c r="M888" s="91"/>
      <c r="P888" s="91"/>
      <c r="S888" s="91"/>
      <c r="T888" s="91"/>
      <c r="U888" s="91"/>
      <c r="V888" s="91"/>
      <c r="W888" s="91"/>
    </row>
    <row r="889">
      <c r="A889" s="91"/>
      <c r="D889" s="91"/>
      <c r="G889" s="91"/>
      <c r="J889" s="91"/>
      <c r="M889" s="91"/>
      <c r="P889" s="91"/>
      <c r="S889" s="91"/>
      <c r="T889" s="91"/>
      <c r="U889" s="91"/>
      <c r="V889" s="91"/>
      <c r="W889" s="91"/>
    </row>
    <row r="890">
      <c r="A890" s="91"/>
      <c r="D890" s="91"/>
      <c r="G890" s="91"/>
      <c r="J890" s="91"/>
      <c r="M890" s="91"/>
      <c r="P890" s="91"/>
      <c r="S890" s="91"/>
      <c r="T890" s="91"/>
      <c r="U890" s="91"/>
      <c r="V890" s="91"/>
      <c r="W890" s="91"/>
    </row>
    <row r="891">
      <c r="A891" s="91"/>
      <c r="D891" s="91"/>
      <c r="G891" s="91"/>
      <c r="J891" s="91"/>
      <c r="M891" s="91"/>
      <c r="P891" s="91"/>
      <c r="S891" s="91"/>
      <c r="T891" s="91"/>
      <c r="U891" s="91"/>
      <c r="V891" s="91"/>
      <c r="W891" s="91"/>
    </row>
    <row r="892">
      <c r="A892" s="91"/>
      <c r="D892" s="91"/>
      <c r="G892" s="91"/>
      <c r="J892" s="91"/>
      <c r="M892" s="91"/>
      <c r="P892" s="91"/>
      <c r="S892" s="91"/>
      <c r="T892" s="91"/>
      <c r="U892" s="91"/>
      <c r="V892" s="91"/>
      <c r="W892" s="91"/>
    </row>
    <row r="893">
      <c r="A893" s="91"/>
      <c r="D893" s="91"/>
      <c r="G893" s="91"/>
      <c r="J893" s="91"/>
      <c r="M893" s="91"/>
      <c r="P893" s="91"/>
      <c r="S893" s="91"/>
      <c r="T893" s="91"/>
      <c r="U893" s="91"/>
      <c r="V893" s="91"/>
      <c r="W893" s="91"/>
    </row>
    <row r="894">
      <c r="A894" s="91"/>
      <c r="D894" s="91"/>
      <c r="G894" s="91"/>
      <c r="J894" s="91"/>
      <c r="M894" s="91"/>
      <c r="P894" s="91"/>
      <c r="S894" s="91"/>
      <c r="T894" s="91"/>
      <c r="U894" s="91"/>
      <c r="V894" s="91"/>
      <c r="W894" s="91"/>
    </row>
    <row r="895">
      <c r="A895" s="91"/>
      <c r="D895" s="91"/>
      <c r="G895" s="91"/>
      <c r="J895" s="91"/>
      <c r="M895" s="91"/>
      <c r="P895" s="91"/>
      <c r="S895" s="91"/>
      <c r="T895" s="91"/>
      <c r="U895" s="91"/>
      <c r="V895" s="91"/>
      <c r="W895" s="91"/>
    </row>
    <row r="896">
      <c r="A896" s="91"/>
      <c r="D896" s="91"/>
      <c r="G896" s="91"/>
      <c r="J896" s="91"/>
      <c r="M896" s="91"/>
      <c r="P896" s="91"/>
      <c r="S896" s="91"/>
      <c r="T896" s="91"/>
      <c r="U896" s="91"/>
      <c r="V896" s="91"/>
      <c r="W896" s="91"/>
    </row>
    <row r="897">
      <c r="A897" s="91"/>
      <c r="D897" s="91"/>
      <c r="G897" s="91"/>
      <c r="J897" s="91"/>
      <c r="M897" s="91"/>
      <c r="P897" s="91"/>
      <c r="S897" s="91"/>
      <c r="T897" s="91"/>
      <c r="U897" s="91"/>
      <c r="V897" s="91"/>
      <c r="W897" s="91"/>
    </row>
    <row r="898">
      <c r="A898" s="91"/>
      <c r="D898" s="91"/>
      <c r="G898" s="91"/>
      <c r="J898" s="91"/>
      <c r="M898" s="91"/>
      <c r="P898" s="91"/>
      <c r="S898" s="91"/>
      <c r="T898" s="91"/>
      <c r="U898" s="91"/>
      <c r="V898" s="91"/>
      <c r="W898" s="91"/>
    </row>
    <row r="899">
      <c r="A899" s="91"/>
      <c r="D899" s="91"/>
      <c r="G899" s="91"/>
      <c r="J899" s="91"/>
      <c r="M899" s="91"/>
      <c r="P899" s="91"/>
      <c r="S899" s="91"/>
      <c r="T899" s="91"/>
      <c r="U899" s="91"/>
      <c r="V899" s="91"/>
      <c r="W899" s="91"/>
    </row>
    <row r="900">
      <c r="A900" s="91"/>
      <c r="D900" s="91"/>
      <c r="G900" s="91"/>
      <c r="J900" s="91"/>
      <c r="M900" s="91"/>
      <c r="P900" s="91"/>
      <c r="S900" s="91"/>
      <c r="T900" s="91"/>
      <c r="U900" s="91"/>
      <c r="V900" s="91"/>
      <c r="W900" s="91"/>
    </row>
    <row r="901">
      <c r="A901" s="91"/>
      <c r="D901" s="91"/>
      <c r="G901" s="91"/>
      <c r="J901" s="91"/>
      <c r="M901" s="91"/>
      <c r="P901" s="91"/>
      <c r="S901" s="91"/>
      <c r="T901" s="91"/>
      <c r="U901" s="91"/>
      <c r="V901" s="91"/>
      <c r="W901" s="91"/>
    </row>
    <row r="902">
      <c r="A902" s="91"/>
      <c r="D902" s="91"/>
      <c r="G902" s="91"/>
      <c r="J902" s="91"/>
      <c r="M902" s="91"/>
      <c r="P902" s="91"/>
      <c r="S902" s="91"/>
      <c r="T902" s="91"/>
      <c r="U902" s="91"/>
      <c r="V902" s="91"/>
      <c r="W902" s="91"/>
    </row>
    <row r="903">
      <c r="A903" s="91"/>
      <c r="D903" s="91"/>
      <c r="G903" s="91"/>
      <c r="J903" s="91"/>
      <c r="M903" s="91"/>
      <c r="P903" s="91"/>
      <c r="S903" s="91"/>
      <c r="T903" s="91"/>
      <c r="U903" s="91"/>
      <c r="V903" s="91"/>
      <c r="W903" s="91"/>
    </row>
    <row r="904">
      <c r="A904" s="91"/>
      <c r="D904" s="91"/>
      <c r="G904" s="91"/>
      <c r="J904" s="91"/>
      <c r="M904" s="91"/>
      <c r="P904" s="91"/>
      <c r="S904" s="91"/>
      <c r="T904" s="91"/>
      <c r="U904" s="91"/>
      <c r="V904" s="91"/>
      <c r="W904" s="91"/>
    </row>
    <row r="905">
      <c r="A905" s="91"/>
      <c r="D905" s="91"/>
      <c r="G905" s="91"/>
      <c r="J905" s="91"/>
      <c r="M905" s="91"/>
      <c r="P905" s="91"/>
      <c r="S905" s="91"/>
      <c r="T905" s="91"/>
      <c r="U905" s="91"/>
      <c r="V905" s="91"/>
      <c r="W905" s="91"/>
    </row>
    <row r="906">
      <c r="A906" s="91"/>
      <c r="D906" s="91"/>
      <c r="G906" s="91"/>
      <c r="J906" s="91"/>
      <c r="M906" s="91"/>
      <c r="P906" s="91"/>
      <c r="S906" s="91"/>
      <c r="T906" s="91"/>
      <c r="U906" s="91"/>
      <c r="V906" s="91"/>
      <c r="W906" s="91"/>
    </row>
    <row r="907">
      <c r="A907" s="91"/>
      <c r="D907" s="91"/>
      <c r="G907" s="91"/>
      <c r="J907" s="91"/>
      <c r="M907" s="91"/>
      <c r="P907" s="91"/>
      <c r="S907" s="91"/>
      <c r="T907" s="91"/>
      <c r="U907" s="91"/>
      <c r="V907" s="91"/>
      <c r="W907" s="91"/>
    </row>
    <row r="908">
      <c r="A908" s="91"/>
      <c r="D908" s="91"/>
      <c r="G908" s="91"/>
      <c r="J908" s="91"/>
      <c r="M908" s="91"/>
      <c r="P908" s="91"/>
      <c r="S908" s="91"/>
      <c r="T908" s="91"/>
      <c r="U908" s="91"/>
      <c r="V908" s="91"/>
      <c r="W908" s="91"/>
    </row>
    <row r="909">
      <c r="A909" s="91"/>
      <c r="D909" s="91"/>
      <c r="G909" s="91"/>
      <c r="J909" s="91"/>
      <c r="M909" s="91"/>
      <c r="P909" s="91"/>
      <c r="S909" s="91"/>
      <c r="T909" s="91"/>
      <c r="U909" s="91"/>
      <c r="V909" s="91"/>
      <c r="W909" s="91"/>
    </row>
    <row r="910">
      <c r="A910" s="91"/>
      <c r="D910" s="91"/>
      <c r="G910" s="91"/>
      <c r="J910" s="91"/>
      <c r="M910" s="91"/>
      <c r="P910" s="91"/>
      <c r="S910" s="91"/>
      <c r="T910" s="91"/>
      <c r="U910" s="91"/>
      <c r="V910" s="91"/>
      <c r="W910" s="91"/>
    </row>
    <row r="911">
      <c r="A911" s="91"/>
      <c r="D911" s="91"/>
      <c r="G911" s="91"/>
      <c r="J911" s="91"/>
      <c r="M911" s="91"/>
      <c r="P911" s="91"/>
      <c r="S911" s="91"/>
      <c r="T911" s="91"/>
      <c r="U911" s="91"/>
      <c r="V911" s="91"/>
      <c r="W911" s="91"/>
    </row>
    <row r="912">
      <c r="A912" s="91"/>
      <c r="D912" s="91"/>
      <c r="G912" s="91"/>
      <c r="J912" s="91"/>
      <c r="M912" s="91"/>
      <c r="P912" s="91"/>
      <c r="S912" s="91"/>
      <c r="T912" s="91"/>
      <c r="U912" s="91"/>
      <c r="V912" s="91"/>
      <c r="W912" s="91"/>
    </row>
    <row r="913">
      <c r="A913" s="91"/>
      <c r="D913" s="91"/>
      <c r="G913" s="91"/>
      <c r="J913" s="91"/>
      <c r="M913" s="91"/>
      <c r="P913" s="91"/>
      <c r="S913" s="91"/>
      <c r="T913" s="91"/>
      <c r="U913" s="91"/>
      <c r="V913" s="91"/>
      <c r="W913" s="91"/>
    </row>
    <row r="914">
      <c r="A914" s="91"/>
      <c r="D914" s="91"/>
      <c r="G914" s="91"/>
      <c r="J914" s="91"/>
      <c r="M914" s="91"/>
      <c r="P914" s="91"/>
      <c r="S914" s="91"/>
      <c r="T914" s="91"/>
      <c r="U914" s="91"/>
      <c r="V914" s="91"/>
      <c r="W914" s="91"/>
    </row>
    <row r="915">
      <c r="A915" s="91"/>
      <c r="D915" s="91"/>
      <c r="G915" s="91"/>
      <c r="J915" s="91"/>
      <c r="M915" s="91"/>
      <c r="P915" s="91"/>
      <c r="S915" s="91"/>
      <c r="T915" s="91"/>
      <c r="U915" s="91"/>
      <c r="V915" s="91"/>
      <c r="W915" s="91"/>
    </row>
    <row r="916">
      <c r="A916" s="91"/>
      <c r="D916" s="91"/>
      <c r="G916" s="91"/>
      <c r="J916" s="91"/>
      <c r="M916" s="91"/>
      <c r="P916" s="91"/>
      <c r="S916" s="91"/>
      <c r="T916" s="91"/>
      <c r="U916" s="91"/>
      <c r="V916" s="91"/>
      <c r="W916" s="91"/>
    </row>
    <row r="917">
      <c r="A917" s="91"/>
      <c r="D917" s="91"/>
      <c r="G917" s="91"/>
      <c r="J917" s="91"/>
      <c r="M917" s="91"/>
      <c r="P917" s="91"/>
      <c r="S917" s="91"/>
      <c r="T917" s="91"/>
      <c r="U917" s="91"/>
      <c r="V917" s="91"/>
      <c r="W917" s="91"/>
    </row>
    <row r="918">
      <c r="A918" s="91"/>
      <c r="D918" s="91"/>
      <c r="G918" s="91"/>
      <c r="J918" s="91"/>
      <c r="M918" s="91"/>
      <c r="P918" s="91"/>
      <c r="S918" s="91"/>
      <c r="T918" s="91"/>
      <c r="U918" s="91"/>
      <c r="V918" s="91"/>
      <c r="W918" s="91"/>
    </row>
    <row r="919">
      <c r="A919" s="91"/>
      <c r="D919" s="91"/>
      <c r="G919" s="91"/>
      <c r="J919" s="91"/>
      <c r="M919" s="91"/>
      <c r="P919" s="91"/>
      <c r="S919" s="91"/>
      <c r="T919" s="91"/>
      <c r="U919" s="91"/>
      <c r="V919" s="91"/>
      <c r="W919" s="91"/>
    </row>
    <row r="920">
      <c r="A920" s="91"/>
      <c r="D920" s="91"/>
      <c r="G920" s="91"/>
      <c r="J920" s="91"/>
      <c r="M920" s="91"/>
      <c r="P920" s="91"/>
      <c r="S920" s="91"/>
      <c r="T920" s="91"/>
      <c r="U920" s="91"/>
      <c r="V920" s="91"/>
      <c r="W920" s="91"/>
    </row>
    <row r="921">
      <c r="A921" s="91"/>
      <c r="D921" s="91"/>
      <c r="G921" s="91"/>
      <c r="J921" s="91"/>
      <c r="M921" s="91"/>
      <c r="P921" s="91"/>
      <c r="S921" s="91"/>
      <c r="T921" s="91"/>
      <c r="U921" s="91"/>
      <c r="V921" s="91"/>
      <c r="W921" s="91"/>
    </row>
    <row r="922">
      <c r="A922" s="91"/>
      <c r="D922" s="91"/>
      <c r="G922" s="91"/>
      <c r="J922" s="91"/>
      <c r="M922" s="91"/>
      <c r="P922" s="91"/>
      <c r="S922" s="91"/>
      <c r="T922" s="91"/>
      <c r="U922" s="91"/>
      <c r="V922" s="91"/>
      <c r="W922" s="91"/>
    </row>
    <row r="923">
      <c r="A923" s="91"/>
      <c r="D923" s="91"/>
      <c r="G923" s="91"/>
      <c r="J923" s="91"/>
      <c r="M923" s="91"/>
      <c r="P923" s="91"/>
      <c r="S923" s="91"/>
      <c r="T923" s="91"/>
      <c r="U923" s="91"/>
      <c r="V923" s="91"/>
      <c r="W923" s="91"/>
    </row>
    <row r="924">
      <c r="A924" s="91"/>
      <c r="D924" s="91"/>
      <c r="G924" s="91"/>
      <c r="J924" s="91"/>
      <c r="M924" s="91"/>
      <c r="P924" s="91"/>
      <c r="S924" s="91"/>
      <c r="T924" s="91"/>
      <c r="U924" s="91"/>
      <c r="V924" s="91"/>
      <c r="W924" s="91"/>
    </row>
    <row r="925">
      <c r="A925" s="91"/>
      <c r="D925" s="91"/>
      <c r="G925" s="91"/>
      <c r="J925" s="91"/>
      <c r="M925" s="91"/>
      <c r="P925" s="91"/>
      <c r="S925" s="91"/>
      <c r="T925" s="91"/>
      <c r="U925" s="91"/>
      <c r="V925" s="91"/>
      <c r="W925" s="91"/>
    </row>
    <row r="926">
      <c r="A926" s="91"/>
      <c r="D926" s="91"/>
      <c r="G926" s="91"/>
      <c r="J926" s="91"/>
      <c r="M926" s="91"/>
      <c r="P926" s="91"/>
      <c r="S926" s="91"/>
      <c r="T926" s="91"/>
      <c r="U926" s="91"/>
      <c r="V926" s="91"/>
      <c r="W926" s="91"/>
    </row>
    <row r="927">
      <c r="A927" s="91"/>
      <c r="D927" s="91"/>
      <c r="G927" s="91"/>
      <c r="J927" s="91"/>
      <c r="M927" s="91"/>
      <c r="P927" s="91"/>
      <c r="S927" s="91"/>
      <c r="T927" s="91"/>
      <c r="U927" s="91"/>
      <c r="V927" s="91"/>
      <c r="W927" s="91"/>
    </row>
    <row r="928">
      <c r="A928" s="91"/>
      <c r="D928" s="91"/>
      <c r="G928" s="91"/>
      <c r="J928" s="91"/>
      <c r="M928" s="91"/>
      <c r="P928" s="91"/>
      <c r="S928" s="91"/>
      <c r="T928" s="91"/>
      <c r="U928" s="91"/>
      <c r="V928" s="91"/>
      <c r="W928" s="91"/>
    </row>
    <row r="929">
      <c r="A929" s="91"/>
      <c r="D929" s="91"/>
      <c r="G929" s="91"/>
      <c r="J929" s="91"/>
      <c r="M929" s="91"/>
      <c r="P929" s="91"/>
      <c r="S929" s="91"/>
      <c r="T929" s="91"/>
      <c r="U929" s="91"/>
      <c r="V929" s="91"/>
      <c r="W929" s="91"/>
    </row>
    <row r="930">
      <c r="A930" s="91"/>
      <c r="D930" s="91"/>
      <c r="G930" s="91"/>
      <c r="J930" s="91"/>
      <c r="M930" s="91"/>
      <c r="P930" s="91"/>
      <c r="S930" s="91"/>
      <c r="T930" s="91"/>
      <c r="U930" s="91"/>
      <c r="V930" s="91"/>
      <c r="W930" s="91"/>
    </row>
    <row r="931">
      <c r="A931" s="91"/>
      <c r="D931" s="91"/>
      <c r="G931" s="91"/>
      <c r="J931" s="91"/>
      <c r="M931" s="91"/>
      <c r="P931" s="91"/>
      <c r="S931" s="91"/>
      <c r="T931" s="91"/>
      <c r="U931" s="91"/>
      <c r="V931" s="91"/>
      <c r="W931" s="91"/>
    </row>
    <row r="932">
      <c r="A932" s="91"/>
      <c r="D932" s="91"/>
      <c r="G932" s="91"/>
      <c r="J932" s="91"/>
      <c r="M932" s="91"/>
      <c r="P932" s="91"/>
      <c r="S932" s="91"/>
      <c r="T932" s="91"/>
      <c r="U932" s="91"/>
      <c r="V932" s="91"/>
      <c r="W932" s="91"/>
    </row>
    <row r="933">
      <c r="A933" s="91"/>
      <c r="D933" s="91"/>
      <c r="G933" s="91"/>
      <c r="J933" s="91"/>
      <c r="M933" s="91"/>
      <c r="P933" s="91"/>
      <c r="S933" s="91"/>
      <c r="T933" s="91"/>
      <c r="U933" s="91"/>
      <c r="V933" s="91"/>
      <c r="W933" s="91"/>
    </row>
    <row r="934">
      <c r="A934" s="91"/>
      <c r="D934" s="91"/>
      <c r="G934" s="91"/>
      <c r="J934" s="91"/>
      <c r="M934" s="91"/>
      <c r="P934" s="91"/>
      <c r="S934" s="91"/>
      <c r="T934" s="91"/>
      <c r="U934" s="91"/>
      <c r="V934" s="91"/>
      <c r="W934" s="91"/>
    </row>
    <row r="935">
      <c r="A935" s="91"/>
      <c r="D935" s="91"/>
      <c r="G935" s="91"/>
      <c r="J935" s="91"/>
      <c r="M935" s="91"/>
      <c r="P935" s="91"/>
      <c r="S935" s="91"/>
      <c r="T935" s="91"/>
      <c r="U935" s="91"/>
      <c r="V935" s="91"/>
      <c r="W935" s="91"/>
    </row>
    <row r="936">
      <c r="A936" s="91"/>
      <c r="D936" s="91"/>
      <c r="G936" s="91"/>
      <c r="J936" s="91"/>
      <c r="M936" s="91"/>
      <c r="P936" s="91"/>
      <c r="S936" s="91"/>
      <c r="T936" s="91"/>
      <c r="U936" s="91"/>
      <c r="V936" s="91"/>
      <c r="W936" s="91"/>
    </row>
    <row r="937">
      <c r="A937" s="91"/>
      <c r="D937" s="91"/>
      <c r="G937" s="91"/>
      <c r="J937" s="91"/>
      <c r="M937" s="91"/>
      <c r="P937" s="91"/>
      <c r="S937" s="91"/>
      <c r="T937" s="91"/>
      <c r="U937" s="91"/>
      <c r="V937" s="91"/>
      <c r="W937" s="91"/>
    </row>
    <row r="938">
      <c r="A938" s="91"/>
      <c r="D938" s="91"/>
      <c r="G938" s="91"/>
      <c r="J938" s="91"/>
      <c r="M938" s="91"/>
      <c r="P938" s="91"/>
      <c r="S938" s="91"/>
      <c r="T938" s="91"/>
      <c r="U938" s="91"/>
      <c r="V938" s="91"/>
      <c r="W938" s="91"/>
    </row>
    <row r="939">
      <c r="A939" s="91"/>
      <c r="D939" s="91"/>
      <c r="G939" s="91"/>
      <c r="J939" s="91"/>
      <c r="M939" s="91"/>
      <c r="P939" s="91"/>
      <c r="S939" s="91"/>
      <c r="T939" s="91"/>
      <c r="U939" s="91"/>
      <c r="V939" s="91"/>
      <c r="W939" s="91"/>
    </row>
    <row r="940">
      <c r="A940" s="91"/>
      <c r="D940" s="91"/>
      <c r="G940" s="91"/>
      <c r="J940" s="91"/>
      <c r="M940" s="91"/>
      <c r="P940" s="91"/>
      <c r="S940" s="91"/>
      <c r="T940" s="91"/>
      <c r="U940" s="91"/>
      <c r="V940" s="91"/>
      <c r="W940" s="91"/>
    </row>
    <row r="941">
      <c r="A941" s="91"/>
      <c r="D941" s="91"/>
      <c r="G941" s="91"/>
      <c r="J941" s="91"/>
      <c r="M941" s="91"/>
      <c r="P941" s="91"/>
      <c r="S941" s="91"/>
      <c r="T941" s="91"/>
      <c r="U941" s="91"/>
      <c r="V941" s="91"/>
      <c r="W941" s="91"/>
    </row>
    <row r="942">
      <c r="A942" s="91"/>
      <c r="D942" s="91"/>
      <c r="G942" s="91"/>
      <c r="J942" s="91"/>
      <c r="M942" s="91"/>
      <c r="P942" s="91"/>
      <c r="S942" s="91"/>
      <c r="T942" s="91"/>
      <c r="U942" s="91"/>
      <c r="V942" s="91"/>
      <c r="W942" s="91"/>
    </row>
    <row r="943">
      <c r="A943" s="91"/>
      <c r="D943" s="91"/>
      <c r="G943" s="91"/>
      <c r="J943" s="91"/>
      <c r="M943" s="91"/>
      <c r="P943" s="91"/>
      <c r="S943" s="91"/>
      <c r="T943" s="91"/>
      <c r="U943" s="91"/>
      <c r="V943" s="91"/>
      <c r="W943" s="91"/>
    </row>
    <row r="944">
      <c r="A944" s="91"/>
      <c r="D944" s="91"/>
      <c r="G944" s="91"/>
      <c r="J944" s="91"/>
      <c r="M944" s="91"/>
      <c r="P944" s="91"/>
      <c r="S944" s="91"/>
      <c r="T944" s="91"/>
      <c r="U944" s="91"/>
      <c r="V944" s="91"/>
      <c r="W944" s="91"/>
    </row>
    <row r="945">
      <c r="A945" s="91"/>
      <c r="D945" s="91"/>
      <c r="G945" s="91"/>
      <c r="J945" s="91"/>
      <c r="M945" s="91"/>
      <c r="P945" s="91"/>
      <c r="S945" s="91"/>
      <c r="T945" s="91"/>
      <c r="U945" s="91"/>
      <c r="V945" s="91"/>
      <c r="W945" s="91"/>
    </row>
    <row r="946">
      <c r="A946" s="91"/>
      <c r="D946" s="91"/>
      <c r="G946" s="91"/>
      <c r="J946" s="91"/>
      <c r="M946" s="91"/>
      <c r="P946" s="91"/>
      <c r="S946" s="91"/>
      <c r="T946" s="91"/>
      <c r="U946" s="91"/>
      <c r="V946" s="91"/>
      <c r="W946" s="91"/>
    </row>
    <row r="947">
      <c r="A947" s="91"/>
      <c r="D947" s="91"/>
      <c r="G947" s="91"/>
      <c r="J947" s="91"/>
      <c r="M947" s="91"/>
      <c r="P947" s="91"/>
      <c r="S947" s="91"/>
      <c r="T947" s="91"/>
      <c r="U947" s="91"/>
      <c r="V947" s="91"/>
      <c r="W947" s="91"/>
    </row>
    <row r="948">
      <c r="A948" s="91"/>
      <c r="D948" s="91"/>
      <c r="G948" s="91"/>
      <c r="J948" s="91"/>
      <c r="M948" s="91"/>
      <c r="P948" s="91"/>
      <c r="S948" s="91"/>
      <c r="T948" s="91"/>
      <c r="U948" s="91"/>
      <c r="V948" s="91"/>
      <c r="W948" s="91"/>
    </row>
    <row r="949">
      <c r="A949" s="91"/>
      <c r="D949" s="91"/>
      <c r="G949" s="91"/>
      <c r="J949" s="91"/>
      <c r="M949" s="91"/>
      <c r="P949" s="91"/>
      <c r="S949" s="91"/>
      <c r="T949" s="91"/>
      <c r="U949" s="91"/>
      <c r="V949" s="91"/>
      <c r="W949" s="91"/>
    </row>
    <row r="950">
      <c r="A950" s="91"/>
      <c r="D950" s="91"/>
      <c r="G950" s="91"/>
      <c r="J950" s="91"/>
      <c r="M950" s="91"/>
      <c r="P950" s="91"/>
      <c r="S950" s="91"/>
      <c r="T950" s="91"/>
      <c r="U950" s="91"/>
      <c r="V950" s="91"/>
      <c r="W950" s="91"/>
    </row>
    <row r="951">
      <c r="A951" s="91"/>
      <c r="D951" s="91"/>
      <c r="G951" s="91"/>
      <c r="J951" s="91"/>
      <c r="M951" s="91"/>
      <c r="P951" s="91"/>
      <c r="S951" s="91"/>
      <c r="T951" s="91"/>
      <c r="U951" s="91"/>
      <c r="V951" s="91"/>
      <c r="W951" s="91"/>
    </row>
    <row r="952">
      <c r="A952" s="91"/>
      <c r="D952" s="91"/>
      <c r="G952" s="91"/>
      <c r="J952" s="91"/>
      <c r="M952" s="91"/>
      <c r="P952" s="91"/>
      <c r="S952" s="91"/>
      <c r="T952" s="91"/>
      <c r="U952" s="91"/>
      <c r="V952" s="91"/>
      <c r="W952" s="91"/>
    </row>
    <row r="953">
      <c r="A953" s="91"/>
      <c r="D953" s="91"/>
      <c r="G953" s="91"/>
      <c r="J953" s="91"/>
      <c r="M953" s="91"/>
      <c r="P953" s="91"/>
      <c r="S953" s="91"/>
      <c r="T953" s="91"/>
      <c r="U953" s="91"/>
      <c r="V953" s="91"/>
      <c r="W953" s="91"/>
    </row>
    <row r="954">
      <c r="A954" s="91"/>
      <c r="D954" s="91"/>
      <c r="G954" s="91"/>
      <c r="J954" s="91"/>
      <c r="M954" s="91"/>
      <c r="P954" s="91"/>
      <c r="S954" s="91"/>
      <c r="T954" s="91"/>
      <c r="U954" s="91"/>
      <c r="V954" s="91"/>
      <c r="W954" s="91"/>
    </row>
    <row r="955">
      <c r="A955" s="91"/>
      <c r="D955" s="91"/>
      <c r="G955" s="91"/>
      <c r="J955" s="91"/>
      <c r="M955" s="91"/>
      <c r="P955" s="91"/>
      <c r="S955" s="91"/>
      <c r="T955" s="91"/>
      <c r="U955" s="91"/>
      <c r="V955" s="91"/>
      <c r="W955" s="91"/>
    </row>
    <row r="956">
      <c r="A956" s="91"/>
      <c r="D956" s="91"/>
      <c r="G956" s="91"/>
      <c r="J956" s="91"/>
      <c r="M956" s="91"/>
      <c r="P956" s="91"/>
      <c r="S956" s="91"/>
      <c r="T956" s="91"/>
      <c r="U956" s="91"/>
      <c r="V956" s="91"/>
      <c r="W956" s="91"/>
    </row>
    <row r="957">
      <c r="A957" s="91"/>
      <c r="D957" s="91"/>
      <c r="G957" s="91"/>
      <c r="J957" s="91"/>
      <c r="M957" s="91"/>
      <c r="P957" s="91"/>
      <c r="S957" s="91"/>
      <c r="T957" s="91"/>
      <c r="U957" s="91"/>
      <c r="V957" s="91"/>
      <c r="W957" s="91"/>
    </row>
    <row r="958">
      <c r="A958" s="91"/>
      <c r="D958" s="91"/>
      <c r="G958" s="91"/>
      <c r="J958" s="91"/>
      <c r="M958" s="91"/>
      <c r="P958" s="91"/>
      <c r="S958" s="91"/>
      <c r="T958" s="91"/>
      <c r="U958" s="91"/>
      <c r="V958" s="91"/>
      <c r="W958" s="91"/>
    </row>
    <row r="959">
      <c r="A959" s="91"/>
      <c r="D959" s="91"/>
      <c r="G959" s="91"/>
      <c r="J959" s="91"/>
      <c r="M959" s="91"/>
      <c r="P959" s="91"/>
      <c r="S959" s="91"/>
      <c r="T959" s="91"/>
      <c r="U959" s="91"/>
      <c r="V959" s="91"/>
      <c r="W959" s="91"/>
    </row>
    <row r="960">
      <c r="A960" s="91"/>
      <c r="D960" s="91"/>
      <c r="G960" s="91"/>
      <c r="J960" s="91"/>
      <c r="M960" s="91"/>
      <c r="P960" s="91"/>
      <c r="S960" s="91"/>
      <c r="T960" s="91"/>
      <c r="U960" s="91"/>
      <c r="V960" s="91"/>
      <c r="W960" s="91"/>
    </row>
    <row r="961">
      <c r="A961" s="91"/>
      <c r="D961" s="91"/>
      <c r="G961" s="91"/>
      <c r="J961" s="91"/>
      <c r="M961" s="91"/>
      <c r="P961" s="91"/>
      <c r="S961" s="91"/>
      <c r="T961" s="91"/>
      <c r="U961" s="91"/>
      <c r="V961" s="91"/>
      <c r="W961" s="91"/>
    </row>
    <row r="962">
      <c r="A962" s="91"/>
      <c r="D962" s="91"/>
      <c r="G962" s="91"/>
      <c r="J962" s="91"/>
      <c r="M962" s="91"/>
      <c r="P962" s="91"/>
      <c r="S962" s="91"/>
      <c r="T962" s="91"/>
      <c r="U962" s="91"/>
      <c r="V962" s="91"/>
      <c r="W962" s="91"/>
    </row>
    <row r="963">
      <c r="A963" s="91"/>
      <c r="D963" s="91"/>
      <c r="G963" s="91"/>
      <c r="J963" s="91"/>
      <c r="M963" s="91"/>
      <c r="P963" s="91"/>
      <c r="S963" s="91"/>
      <c r="T963" s="91"/>
      <c r="U963" s="91"/>
      <c r="V963" s="91"/>
      <c r="W963" s="91"/>
    </row>
    <row r="964">
      <c r="A964" s="91"/>
      <c r="D964" s="91"/>
      <c r="G964" s="91"/>
      <c r="J964" s="91"/>
      <c r="M964" s="91"/>
      <c r="P964" s="91"/>
      <c r="S964" s="91"/>
      <c r="T964" s="91"/>
      <c r="U964" s="91"/>
      <c r="V964" s="91"/>
      <c r="W964" s="91"/>
    </row>
    <row r="965">
      <c r="A965" s="91"/>
      <c r="D965" s="91"/>
      <c r="G965" s="91"/>
      <c r="J965" s="91"/>
      <c r="M965" s="91"/>
      <c r="P965" s="91"/>
      <c r="S965" s="91"/>
      <c r="T965" s="91"/>
      <c r="U965" s="91"/>
      <c r="V965" s="91"/>
      <c r="W965" s="91"/>
    </row>
    <row r="966">
      <c r="A966" s="91"/>
      <c r="D966" s="91"/>
      <c r="G966" s="91"/>
      <c r="J966" s="91"/>
      <c r="M966" s="91"/>
      <c r="P966" s="91"/>
      <c r="S966" s="91"/>
      <c r="T966" s="91"/>
      <c r="U966" s="91"/>
      <c r="V966" s="91"/>
      <c r="W966" s="91"/>
    </row>
    <row r="967">
      <c r="A967" s="91"/>
      <c r="D967" s="91"/>
      <c r="G967" s="91"/>
      <c r="J967" s="91"/>
      <c r="M967" s="91"/>
      <c r="P967" s="91"/>
      <c r="S967" s="91"/>
      <c r="T967" s="91"/>
      <c r="U967" s="91"/>
      <c r="V967" s="91"/>
      <c r="W967" s="91"/>
    </row>
    <row r="968">
      <c r="A968" s="91"/>
      <c r="D968" s="91"/>
      <c r="G968" s="91"/>
      <c r="J968" s="91"/>
      <c r="M968" s="91"/>
      <c r="P968" s="91"/>
      <c r="S968" s="91"/>
      <c r="T968" s="91"/>
      <c r="U968" s="91"/>
      <c r="V968" s="91"/>
      <c r="W968" s="91"/>
    </row>
    <row r="969">
      <c r="A969" s="91"/>
      <c r="D969" s="91"/>
      <c r="G969" s="91"/>
      <c r="J969" s="91"/>
      <c r="M969" s="91"/>
      <c r="P969" s="91"/>
      <c r="S969" s="91"/>
      <c r="T969" s="91"/>
      <c r="U969" s="91"/>
      <c r="V969" s="91"/>
      <c r="W969" s="91"/>
    </row>
    <row r="970">
      <c r="A970" s="91"/>
      <c r="D970" s="91"/>
      <c r="G970" s="91"/>
      <c r="J970" s="91"/>
      <c r="M970" s="91"/>
      <c r="P970" s="91"/>
      <c r="S970" s="91"/>
      <c r="T970" s="91"/>
      <c r="U970" s="91"/>
      <c r="V970" s="91"/>
      <c r="W970" s="91"/>
    </row>
    <row r="971">
      <c r="A971" s="91"/>
      <c r="D971" s="91"/>
      <c r="G971" s="91"/>
      <c r="J971" s="91"/>
      <c r="M971" s="91"/>
      <c r="P971" s="91"/>
      <c r="S971" s="91"/>
      <c r="T971" s="91"/>
      <c r="U971" s="91"/>
      <c r="V971" s="91"/>
      <c r="W971" s="91"/>
    </row>
    <row r="972">
      <c r="A972" s="91"/>
      <c r="D972" s="91"/>
      <c r="G972" s="91"/>
      <c r="J972" s="91"/>
      <c r="M972" s="91"/>
      <c r="P972" s="91"/>
      <c r="S972" s="91"/>
      <c r="T972" s="91"/>
      <c r="U972" s="91"/>
      <c r="V972" s="91"/>
      <c r="W972" s="91"/>
    </row>
    <row r="973">
      <c r="A973" s="91"/>
      <c r="D973" s="91"/>
      <c r="G973" s="91"/>
      <c r="J973" s="91"/>
      <c r="M973" s="91"/>
      <c r="P973" s="91"/>
      <c r="S973" s="91"/>
      <c r="T973" s="91"/>
      <c r="U973" s="91"/>
      <c r="V973" s="91"/>
      <c r="W973" s="91"/>
    </row>
    <row r="974">
      <c r="A974" s="91"/>
      <c r="D974" s="91"/>
      <c r="G974" s="91"/>
      <c r="J974" s="91"/>
      <c r="M974" s="91"/>
      <c r="P974" s="91"/>
      <c r="S974" s="91"/>
      <c r="T974" s="91"/>
      <c r="U974" s="91"/>
      <c r="V974" s="91"/>
      <c r="W974" s="91"/>
    </row>
    <row r="975">
      <c r="A975" s="91"/>
      <c r="D975" s="91"/>
      <c r="G975" s="91"/>
      <c r="J975" s="91"/>
      <c r="M975" s="91"/>
      <c r="P975" s="91"/>
      <c r="S975" s="91"/>
      <c r="T975" s="91"/>
      <c r="U975" s="91"/>
      <c r="V975" s="91"/>
      <c r="W975" s="91"/>
    </row>
    <row r="976">
      <c r="A976" s="91"/>
      <c r="D976" s="91"/>
      <c r="G976" s="91"/>
      <c r="J976" s="91"/>
      <c r="M976" s="91"/>
      <c r="P976" s="91"/>
      <c r="S976" s="91"/>
      <c r="T976" s="91"/>
      <c r="U976" s="91"/>
      <c r="V976" s="91"/>
      <c r="W976" s="91"/>
    </row>
    <row r="977">
      <c r="A977" s="91"/>
      <c r="D977" s="91"/>
      <c r="G977" s="91"/>
      <c r="J977" s="91"/>
      <c r="M977" s="91"/>
      <c r="P977" s="91"/>
      <c r="S977" s="91"/>
      <c r="T977" s="91"/>
      <c r="U977" s="91"/>
      <c r="V977" s="91"/>
      <c r="W977" s="91"/>
    </row>
    <row r="978">
      <c r="A978" s="91"/>
      <c r="D978" s="91"/>
      <c r="G978" s="91"/>
      <c r="J978" s="91"/>
      <c r="M978" s="91"/>
      <c r="P978" s="91"/>
      <c r="S978" s="91"/>
      <c r="T978" s="91"/>
      <c r="U978" s="91"/>
      <c r="V978" s="91"/>
      <c r="W978" s="91"/>
    </row>
    <row r="979">
      <c r="A979" s="91"/>
      <c r="D979" s="91"/>
      <c r="G979" s="91"/>
      <c r="J979" s="91"/>
      <c r="M979" s="91"/>
      <c r="P979" s="91"/>
      <c r="S979" s="91"/>
      <c r="T979" s="91"/>
      <c r="U979" s="91"/>
      <c r="V979" s="91"/>
      <c r="W979" s="91"/>
    </row>
    <row r="980">
      <c r="A980" s="91"/>
      <c r="D980" s="91"/>
      <c r="G980" s="91"/>
      <c r="J980" s="91"/>
      <c r="M980" s="91"/>
      <c r="P980" s="91"/>
      <c r="S980" s="91"/>
      <c r="T980" s="91"/>
      <c r="U980" s="91"/>
      <c r="V980" s="91"/>
      <c r="W980" s="91"/>
    </row>
    <row r="981">
      <c r="A981" s="91"/>
      <c r="D981" s="91"/>
      <c r="G981" s="91"/>
      <c r="J981" s="91"/>
      <c r="M981" s="91"/>
      <c r="P981" s="91"/>
      <c r="S981" s="91"/>
      <c r="T981" s="91"/>
      <c r="U981" s="91"/>
      <c r="V981" s="91"/>
      <c r="W981" s="91"/>
    </row>
    <row r="982">
      <c r="A982" s="91"/>
      <c r="D982" s="91"/>
      <c r="G982" s="91"/>
      <c r="J982" s="91"/>
      <c r="M982" s="91"/>
      <c r="P982" s="91"/>
      <c r="S982" s="91"/>
      <c r="T982" s="91"/>
      <c r="U982" s="91"/>
      <c r="V982" s="91"/>
      <c r="W982" s="91"/>
    </row>
    <row r="983">
      <c r="A983" s="91"/>
      <c r="D983" s="91"/>
      <c r="G983" s="91"/>
      <c r="J983" s="91"/>
      <c r="M983" s="91"/>
      <c r="P983" s="91"/>
      <c r="S983" s="91"/>
      <c r="T983" s="91"/>
      <c r="U983" s="91"/>
      <c r="V983" s="91"/>
      <c r="W983" s="91"/>
    </row>
    <row r="984">
      <c r="A984" s="91"/>
      <c r="D984" s="91"/>
      <c r="G984" s="91"/>
      <c r="J984" s="91"/>
      <c r="M984" s="91"/>
      <c r="P984" s="91"/>
      <c r="S984" s="91"/>
      <c r="T984" s="91"/>
      <c r="U984" s="91"/>
      <c r="V984" s="91"/>
      <c r="W984" s="91"/>
    </row>
    <row r="985">
      <c r="A985" s="91"/>
      <c r="D985" s="91"/>
      <c r="G985" s="91"/>
      <c r="J985" s="91"/>
      <c r="M985" s="91"/>
      <c r="P985" s="91"/>
      <c r="S985" s="91"/>
      <c r="T985" s="91"/>
      <c r="U985" s="91"/>
      <c r="V985" s="91"/>
      <c r="W985" s="91"/>
    </row>
    <row r="986">
      <c r="A986" s="91"/>
      <c r="D986" s="91"/>
      <c r="G986" s="91"/>
      <c r="J986" s="91"/>
      <c r="M986" s="91"/>
      <c r="P986" s="91"/>
      <c r="S986" s="91"/>
      <c r="T986" s="91"/>
      <c r="U986" s="91"/>
      <c r="V986" s="91"/>
      <c r="W986" s="91"/>
    </row>
    <row r="987">
      <c r="A987" s="91"/>
      <c r="D987" s="91"/>
      <c r="G987" s="91"/>
      <c r="J987" s="91"/>
      <c r="M987" s="91"/>
      <c r="P987" s="91"/>
      <c r="S987" s="91"/>
      <c r="T987" s="91"/>
      <c r="U987" s="91"/>
      <c r="V987" s="91"/>
      <c r="W987" s="91"/>
    </row>
    <row r="988">
      <c r="A988" s="91"/>
      <c r="D988" s="91"/>
      <c r="G988" s="91"/>
      <c r="J988" s="91"/>
      <c r="M988" s="91"/>
      <c r="P988" s="91"/>
      <c r="S988" s="91"/>
      <c r="T988" s="91"/>
      <c r="U988" s="91"/>
      <c r="V988" s="91"/>
      <c r="W988" s="91"/>
    </row>
    <row r="989">
      <c r="A989" s="91"/>
      <c r="D989" s="91"/>
      <c r="G989" s="91"/>
      <c r="J989" s="91"/>
      <c r="M989" s="91"/>
      <c r="P989" s="91"/>
      <c r="S989" s="91"/>
      <c r="T989" s="91"/>
      <c r="U989" s="91"/>
      <c r="V989" s="91"/>
      <c r="W989" s="91"/>
    </row>
    <row r="990">
      <c r="A990" s="91"/>
      <c r="D990" s="91"/>
      <c r="G990" s="91"/>
      <c r="J990" s="91"/>
      <c r="M990" s="91"/>
      <c r="P990" s="91"/>
      <c r="S990" s="91"/>
      <c r="T990" s="91"/>
      <c r="U990" s="91"/>
      <c r="V990" s="91"/>
      <c r="W990" s="91"/>
    </row>
    <row r="991">
      <c r="A991" s="91"/>
      <c r="D991" s="91"/>
      <c r="G991" s="91"/>
      <c r="J991" s="91"/>
      <c r="M991" s="91"/>
      <c r="P991" s="91"/>
      <c r="S991" s="91"/>
      <c r="T991" s="91"/>
      <c r="U991" s="91"/>
      <c r="V991" s="91"/>
      <c r="W991" s="91"/>
    </row>
    <row r="992">
      <c r="A992" s="91"/>
      <c r="D992" s="91"/>
      <c r="G992" s="91"/>
      <c r="J992" s="91"/>
      <c r="M992" s="91"/>
      <c r="P992" s="91"/>
      <c r="S992" s="91"/>
      <c r="T992" s="91"/>
      <c r="U992" s="91"/>
      <c r="V992" s="91"/>
      <c r="W992" s="91"/>
    </row>
    <row r="993">
      <c r="A993" s="91"/>
      <c r="D993" s="91"/>
      <c r="G993" s="91"/>
      <c r="J993" s="91"/>
      <c r="M993" s="91"/>
      <c r="P993" s="91"/>
      <c r="S993" s="91"/>
      <c r="T993" s="91"/>
      <c r="U993" s="91"/>
      <c r="V993" s="91"/>
      <c r="W993" s="91"/>
    </row>
    <row r="994">
      <c r="A994" s="91"/>
      <c r="D994" s="91"/>
      <c r="G994" s="91"/>
      <c r="J994" s="91"/>
      <c r="M994" s="91"/>
      <c r="P994" s="91"/>
      <c r="S994" s="91"/>
      <c r="T994" s="91"/>
      <c r="U994" s="91"/>
      <c r="V994" s="91"/>
      <c r="W994" s="91"/>
    </row>
    <row r="995">
      <c r="A995" s="91"/>
      <c r="D995" s="91"/>
      <c r="G995" s="91"/>
      <c r="J995" s="91"/>
      <c r="M995" s="91"/>
      <c r="P995" s="91"/>
      <c r="S995" s="91"/>
      <c r="T995" s="91"/>
      <c r="U995" s="91"/>
      <c r="V995" s="91"/>
      <c r="W995" s="91"/>
    </row>
    <row r="996">
      <c r="A996" s="91"/>
      <c r="D996" s="91"/>
      <c r="G996" s="91"/>
      <c r="J996" s="91"/>
      <c r="M996" s="91"/>
      <c r="P996" s="91"/>
      <c r="S996" s="91"/>
      <c r="T996" s="91"/>
      <c r="U996" s="91"/>
      <c r="V996" s="91"/>
      <c r="W996" s="91"/>
    </row>
    <row r="997">
      <c r="A997" s="91"/>
      <c r="D997" s="91"/>
      <c r="G997" s="91"/>
      <c r="J997" s="91"/>
      <c r="M997" s="91"/>
      <c r="P997" s="91"/>
      <c r="S997" s="91"/>
      <c r="T997" s="91"/>
      <c r="U997" s="91"/>
      <c r="V997" s="91"/>
      <c r="W997" s="91"/>
    </row>
    <row r="998">
      <c r="A998" s="91"/>
      <c r="D998" s="91"/>
      <c r="G998" s="91"/>
      <c r="J998" s="91"/>
      <c r="M998" s="91"/>
      <c r="P998" s="91"/>
      <c r="S998" s="91"/>
      <c r="T998" s="91"/>
      <c r="U998" s="91"/>
      <c r="V998" s="91"/>
      <c r="W998" s="91"/>
    </row>
    <row r="999">
      <c r="A999" s="91"/>
      <c r="D999" s="91"/>
      <c r="G999" s="91"/>
      <c r="J999" s="91"/>
      <c r="M999" s="91"/>
      <c r="P999" s="91"/>
      <c r="S999" s="91"/>
      <c r="T999" s="91"/>
      <c r="U999" s="91"/>
      <c r="V999" s="91"/>
      <c r="W999" s="91"/>
    </row>
    <row r="1000">
      <c r="A1000" s="91"/>
      <c r="D1000" s="91"/>
      <c r="G1000" s="91"/>
      <c r="J1000" s="91"/>
      <c r="M1000" s="91"/>
      <c r="P1000" s="91"/>
      <c r="S1000" s="91"/>
      <c r="T1000" s="91"/>
      <c r="U1000" s="91"/>
      <c r="V1000" s="91"/>
      <c r="W1000" s="91"/>
    </row>
    <row r="1001">
      <c r="A1001" s="91"/>
      <c r="D1001" s="91"/>
      <c r="G1001" s="91"/>
      <c r="J1001" s="91"/>
      <c r="M1001" s="91"/>
      <c r="P1001" s="91"/>
      <c r="S1001" s="91"/>
      <c r="T1001" s="91"/>
      <c r="U1001" s="91"/>
      <c r="V1001" s="91"/>
      <c r="W1001" s="91"/>
    </row>
    <row r="1002">
      <c r="A1002" s="91"/>
      <c r="D1002" s="91"/>
      <c r="G1002" s="91"/>
      <c r="J1002" s="91"/>
      <c r="M1002" s="91"/>
      <c r="P1002" s="91"/>
      <c r="S1002" s="91"/>
      <c r="T1002" s="91"/>
      <c r="U1002" s="91"/>
      <c r="V1002" s="91"/>
      <c r="W1002" s="91"/>
    </row>
    <row r="1003">
      <c r="A1003" s="91"/>
      <c r="D1003" s="91"/>
      <c r="G1003" s="91"/>
      <c r="J1003" s="91"/>
      <c r="M1003" s="91"/>
      <c r="P1003" s="91"/>
      <c r="S1003" s="91"/>
      <c r="T1003" s="91"/>
      <c r="U1003" s="91"/>
      <c r="V1003" s="91"/>
      <c r="W1003" s="91"/>
    </row>
    <row r="1004">
      <c r="A1004" s="91"/>
      <c r="D1004" s="91"/>
      <c r="G1004" s="91"/>
      <c r="J1004" s="91"/>
      <c r="M1004" s="91"/>
      <c r="P1004" s="91"/>
      <c r="S1004" s="91"/>
      <c r="T1004" s="91"/>
      <c r="U1004" s="91"/>
      <c r="V1004" s="91"/>
      <c r="W1004" s="91"/>
    </row>
    <row r="1005">
      <c r="A1005" s="91"/>
      <c r="D1005" s="91"/>
      <c r="G1005" s="91"/>
      <c r="J1005" s="91"/>
      <c r="M1005" s="91"/>
      <c r="P1005" s="91"/>
      <c r="S1005" s="91"/>
      <c r="T1005" s="91"/>
      <c r="U1005" s="91"/>
      <c r="V1005" s="91"/>
      <c r="W1005" s="91"/>
    </row>
    <row r="1006">
      <c r="A1006" s="91"/>
      <c r="D1006" s="91"/>
      <c r="G1006" s="91"/>
      <c r="J1006" s="91"/>
      <c r="M1006" s="91"/>
      <c r="P1006" s="91"/>
      <c r="S1006" s="91"/>
      <c r="T1006" s="91"/>
      <c r="U1006" s="91"/>
      <c r="V1006" s="91"/>
      <c r="W1006" s="91"/>
    </row>
    <row r="1007">
      <c r="A1007" s="91"/>
      <c r="D1007" s="91"/>
      <c r="G1007" s="91"/>
      <c r="J1007" s="91"/>
      <c r="M1007" s="91"/>
      <c r="P1007" s="91"/>
      <c r="S1007" s="91"/>
      <c r="T1007" s="91"/>
      <c r="U1007" s="91"/>
      <c r="V1007" s="91"/>
      <c r="W1007" s="91"/>
    </row>
    <row r="1008">
      <c r="A1008" s="91"/>
      <c r="D1008" s="91"/>
      <c r="G1008" s="91"/>
      <c r="J1008" s="91"/>
      <c r="M1008" s="91"/>
      <c r="P1008" s="91"/>
      <c r="S1008" s="91"/>
      <c r="T1008" s="91"/>
      <c r="U1008" s="91"/>
      <c r="V1008" s="91"/>
      <c r="W1008" s="91"/>
    </row>
    <row r="1009">
      <c r="A1009" s="91"/>
      <c r="D1009" s="91"/>
      <c r="G1009" s="91"/>
      <c r="J1009" s="91"/>
      <c r="M1009" s="91"/>
      <c r="P1009" s="91"/>
      <c r="S1009" s="91"/>
      <c r="T1009" s="91"/>
      <c r="U1009" s="91"/>
      <c r="V1009" s="91"/>
      <c r="W1009" s="91"/>
    </row>
    <row r="1010">
      <c r="A1010" s="91"/>
      <c r="D1010" s="91"/>
      <c r="G1010" s="91"/>
      <c r="J1010" s="91"/>
      <c r="M1010" s="91"/>
      <c r="P1010" s="91"/>
      <c r="S1010" s="91"/>
      <c r="T1010" s="91"/>
      <c r="U1010" s="91"/>
      <c r="V1010" s="91"/>
      <c r="W1010" s="91"/>
    </row>
    <row r="1011">
      <c r="A1011" s="91"/>
      <c r="D1011" s="91"/>
      <c r="G1011" s="91"/>
      <c r="J1011" s="91"/>
      <c r="M1011" s="91"/>
      <c r="P1011" s="91"/>
      <c r="S1011" s="91"/>
      <c r="T1011" s="91"/>
      <c r="U1011" s="91"/>
      <c r="V1011" s="91"/>
      <c r="W1011" s="91"/>
    </row>
    <row r="1012">
      <c r="A1012" s="91"/>
      <c r="D1012" s="91"/>
      <c r="G1012" s="91"/>
      <c r="J1012" s="91"/>
      <c r="M1012" s="91"/>
      <c r="P1012" s="91"/>
      <c r="S1012" s="91"/>
      <c r="T1012" s="91"/>
      <c r="U1012" s="91"/>
      <c r="V1012" s="91"/>
      <c r="W1012" s="91"/>
    </row>
    <row r="1013">
      <c r="A1013" s="91"/>
      <c r="D1013" s="91"/>
      <c r="G1013" s="91"/>
      <c r="J1013" s="91"/>
      <c r="M1013" s="91"/>
      <c r="P1013" s="91"/>
      <c r="S1013" s="91"/>
      <c r="T1013" s="91"/>
      <c r="U1013" s="91"/>
      <c r="V1013" s="91"/>
      <c r="W1013" s="91"/>
    </row>
    <row r="1014">
      <c r="A1014" s="91"/>
      <c r="D1014" s="91"/>
      <c r="G1014" s="91"/>
      <c r="J1014" s="91"/>
      <c r="M1014" s="91"/>
      <c r="P1014" s="91"/>
      <c r="S1014" s="91"/>
      <c r="T1014" s="91"/>
      <c r="U1014" s="91"/>
      <c r="V1014" s="91"/>
      <c r="W1014" s="91"/>
    </row>
    <row r="1015">
      <c r="A1015" s="91"/>
      <c r="D1015" s="91"/>
      <c r="G1015" s="91"/>
      <c r="J1015" s="91"/>
      <c r="M1015" s="91"/>
      <c r="P1015" s="91"/>
      <c r="S1015" s="91"/>
      <c r="T1015" s="91"/>
      <c r="U1015" s="91"/>
      <c r="V1015" s="91"/>
      <c r="W1015" s="91"/>
    </row>
    <row r="1016">
      <c r="A1016" s="91"/>
      <c r="D1016" s="91"/>
      <c r="G1016" s="91"/>
      <c r="J1016" s="91"/>
      <c r="M1016" s="91"/>
      <c r="P1016" s="91"/>
      <c r="S1016" s="91"/>
      <c r="T1016" s="91"/>
      <c r="U1016" s="91"/>
      <c r="V1016" s="91"/>
      <c r="W1016" s="91"/>
    </row>
    <row r="1017">
      <c r="A1017" s="91"/>
      <c r="D1017" s="91"/>
      <c r="G1017" s="91"/>
      <c r="J1017" s="91"/>
      <c r="M1017" s="91"/>
      <c r="P1017" s="91"/>
      <c r="S1017" s="91"/>
      <c r="T1017" s="91"/>
      <c r="U1017" s="91"/>
      <c r="V1017" s="91"/>
      <c r="W1017" s="91"/>
    </row>
    <row r="1018">
      <c r="A1018" s="91"/>
      <c r="D1018" s="91"/>
      <c r="G1018" s="91"/>
      <c r="J1018" s="91"/>
      <c r="M1018" s="91"/>
      <c r="P1018" s="91"/>
      <c r="S1018" s="91"/>
      <c r="T1018" s="91"/>
      <c r="U1018" s="91"/>
      <c r="V1018" s="91"/>
      <c r="W1018" s="91"/>
    </row>
    <row r="1019">
      <c r="A1019" s="91"/>
      <c r="D1019" s="91"/>
      <c r="G1019" s="91"/>
      <c r="J1019" s="91"/>
      <c r="M1019" s="91"/>
      <c r="P1019" s="91"/>
      <c r="S1019" s="91"/>
      <c r="T1019" s="91"/>
      <c r="U1019" s="91"/>
      <c r="V1019" s="91"/>
      <c r="W1019" s="91"/>
    </row>
    <row r="1020">
      <c r="A1020" s="91"/>
      <c r="D1020" s="91"/>
      <c r="G1020" s="91"/>
      <c r="J1020" s="91"/>
      <c r="M1020" s="91"/>
      <c r="P1020" s="91"/>
      <c r="S1020" s="91"/>
      <c r="T1020" s="91"/>
      <c r="U1020" s="91"/>
      <c r="V1020" s="91"/>
      <c r="W1020" s="91"/>
    </row>
    <row r="1021">
      <c r="A1021" s="91"/>
      <c r="D1021" s="91"/>
      <c r="G1021" s="91"/>
      <c r="J1021" s="91"/>
      <c r="M1021" s="91"/>
      <c r="P1021" s="91"/>
      <c r="S1021" s="91"/>
      <c r="T1021" s="91"/>
      <c r="U1021" s="91"/>
      <c r="V1021" s="91"/>
      <c r="W1021" s="91"/>
    </row>
    <row r="1022">
      <c r="A1022" s="91"/>
      <c r="D1022" s="91"/>
      <c r="G1022" s="91"/>
      <c r="J1022" s="91"/>
      <c r="M1022" s="91"/>
      <c r="P1022" s="91"/>
      <c r="S1022" s="91"/>
      <c r="T1022" s="91"/>
      <c r="U1022" s="91"/>
      <c r="V1022" s="91"/>
      <c r="W1022" s="91"/>
    </row>
    <row r="1023">
      <c r="A1023" s="91"/>
      <c r="D1023" s="91"/>
      <c r="G1023" s="91"/>
      <c r="J1023" s="91"/>
      <c r="M1023" s="91"/>
      <c r="P1023" s="91"/>
      <c r="S1023" s="91"/>
      <c r="T1023" s="91"/>
      <c r="U1023" s="91"/>
      <c r="V1023" s="91"/>
      <c r="W1023" s="91"/>
    </row>
    <row r="1024">
      <c r="A1024" s="91"/>
      <c r="D1024" s="91"/>
      <c r="G1024" s="91"/>
      <c r="J1024" s="91"/>
      <c r="M1024" s="91"/>
      <c r="P1024" s="91"/>
      <c r="S1024" s="91"/>
      <c r="T1024" s="91"/>
      <c r="U1024" s="91"/>
      <c r="V1024" s="91"/>
      <c r="W1024" s="91"/>
    </row>
    <row r="1025">
      <c r="A1025" s="91"/>
      <c r="D1025" s="91"/>
      <c r="G1025" s="91"/>
      <c r="J1025" s="91"/>
      <c r="M1025" s="91"/>
      <c r="P1025" s="91"/>
      <c r="S1025" s="91"/>
      <c r="T1025" s="91"/>
      <c r="U1025" s="91"/>
      <c r="V1025" s="91"/>
      <c r="W1025" s="91"/>
    </row>
    <row r="1026">
      <c r="A1026" s="91"/>
      <c r="D1026" s="91"/>
      <c r="G1026" s="91"/>
      <c r="J1026" s="91"/>
      <c r="M1026" s="91"/>
      <c r="P1026" s="91"/>
      <c r="S1026" s="91"/>
      <c r="T1026" s="91"/>
      <c r="U1026" s="91"/>
      <c r="V1026" s="91"/>
      <c r="W1026" s="91"/>
    </row>
    <row r="1027">
      <c r="A1027" s="91"/>
      <c r="D1027" s="91"/>
      <c r="G1027" s="91"/>
      <c r="J1027" s="91"/>
      <c r="M1027" s="91"/>
      <c r="P1027" s="91"/>
      <c r="S1027" s="91"/>
      <c r="T1027" s="91"/>
      <c r="U1027" s="91"/>
      <c r="V1027" s="91"/>
      <c r="W1027" s="91"/>
    </row>
    <row r="1028">
      <c r="A1028" s="91"/>
      <c r="D1028" s="91"/>
      <c r="G1028" s="91"/>
      <c r="J1028" s="91"/>
      <c r="M1028" s="91"/>
      <c r="P1028" s="91"/>
      <c r="S1028" s="91"/>
      <c r="T1028" s="91"/>
      <c r="U1028" s="91"/>
      <c r="V1028" s="91"/>
      <c r="W1028" s="91"/>
    </row>
    <row r="1029">
      <c r="A1029" s="91"/>
      <c r="D1029" s="91"/>
      <c r="G1029" s="91"/>
      <c r="J1029" s="91"/>
      <c r="M1029" s="91"/>
      <c r="P1029" s="91"/>
      <c r="S1029" s="91"/>
      <c r="T1029" s="91"/>
      <c r="U1029" s="91"/>
      <c r="V1029" s="91"/>
      <c r="W1029" s="91"/>
    </row>
    <row r="1030">
      <c r="A1030" s="91"/>
      <c r="D1030" s="91"/>
      <c r="G1030" s="91"/>
      <c r="J1030" s="91"/>
      <c r="M1030" s="91"/>
      <c r="P1030" s="91"/>
      <c r="S1030" s="91"/>
      <c r="T1030" s="91"/>
      <c r="U1030" s="91"/>
      <c r="V1030" s="91"/>
      <c r="W1030" s="91"/>
    </row>
    <row r="1031">
      <c r="A1031" s="91"/>
      <c r="D1031" s="91"/>
      <c r="G1031" s="91"/>
      <c r="J1031" s="91"/>
      <c r="M1031" s="91"/>
      <c r="P1031" s="91"/>
      <c r="S1031" s="91"/>
      <c r="T1031" s="91"/>
      <c r="U1031" s="91"/>
      <c r="V1031" s="91"/>
      <c r="W1031" s="91"/>
    </row>
    <row r="1032">
      <c r="A1032" s="91"/>
      <c r="D1032" s="91"/>
      <c r="G1032" s="91"/>
      <c r="J1032" s="91"/>
      <c r="M1032" s="91"/>
      <c r="P1032" s="91"/>
      <c r="S1032" s="91"/>
      <c r="T1032" s="91"/>
      <c r="U1032" s="91"/>
      <c r="V1032" s="91"/>
      <c r="W1032" s="91"/>
    </row>
    <row r="1033">
      <c r="A1033" s="91"/>
      <c r="D1033" s="91"/>
      <c r="G1033" s="91"/>
      <c r="J1033" s="91"/>
      <c r="M1033" s="91"/>
      <c r="P1033" s="91"/>
      <c r="S1033" s="91"/>
      <c r="T1033" s="91"/>
      <c r="U1033" s="91"/>
      <c r="V1033" s="91"/>
      <c r="W1033" s="91"/>
    </row>
    <row r="1034">
      <c r="A1034" s="91"/>
      <c r="D1034" s="91"/>
      <c r="G1034" s="91"/>
      <c r="J1034" s="91"/>
      <c r="M1034" s="91"/>
      <c r="P1034" s="91"/>
      <c r="S1034" s="91"/>
      <c r="T1034" s="91"/>
      <c r="U1034" s="91"/>
      <c r="V1034" s="91"/>
      <c r="W1034" s="91"/>
    </row>
    <row r="1035">
      <c r="A1035" s="91"/>
      <c r="D1035" s="91"/>
      <c r="G1035" s="91"/>
      <c r="J1035" s="91"/>
      <c r="M1035" s="91"/>
      <c r="P1035" s="91"/>
      <c r="S1035" s="91"/>
      <c r="T1035" s="91"/>
      <c r="U1035" s="91"/>
      <c r="V1035" s="91"/>
      <c r="W1035" s="91"/>
    </row>
    <row r="1036">
      <c r="A1036" s="91"/>
      <c r="D1036" s="91"/>
      <c r="G1036" s="91"/>
      <c r="J1036" s="91"/>
      <c r="M1036" s="91"/>
      <c r="P1036" s="91"/>
      <c r="S1036" s="91"/>
      <c r="T1036" s="91"/>
      <c r="U1036" s="91"/>
      <c r="V1036" s="91"/>
      <c r="W1036" s="91"/>
    </row>
    <row r="1037">
      <c r="A1037" s="91"/>
      <c r="D1037" s="91"/>
      <c r="G1037" s="91"/>
      <c r="J1037" s="91"/>
      <c r="M1037" s="91"/>
      <c r="P1037" s="91"/>
      <c r="S1037" s="91"/>
      <c r="T1037" s="91"/>
      <c r="U1037" s="91"/>
      <c r="V1037" s="91"/>
      <c r="W1037" s="91"/>
    </row>
    <row r="1038">
      <c r="A1038" s="91"/>
      <c r="D1038" s="91"/>
      <c r="G1038" s="91"/>
      <c r="J1038" s="91"/>
      <c r="M1038" s="91"/>
      <c r="P1038" s="91"/>
      <c r="S1038" s="91"/>
      <c r="T1038" s="91"/>
      <c r="U1038" s="91"/>
      <c r="V1038" s="91"/>
      <c r="W1038" s="91"/>
    </row>
    <row r="1039">
      <c r="A1039" s="91"/>
      <c r="D1039" s="91"/>
      <c r="G1039" s="91"/>
      <c r="J1039" s="91"/>
      <c r="M1039" s="91"/>
      <c r="P1039" s="91"/>
      <c r="S1039" s="91"/>
      <c r="T1039" s="91"/>
      <c r="U1039" s="91"/>
      <c r="V1039" s="91"/>
      <c r="W1039" s="91"/>
    </row>
    <row r="1040">
      <c r="A1040" s="91"/>
      <c r="D1040" s="91"/>
      <c r="G1040" s="91"/>
      <c r="J1040" s="91"/>
      <c r="M1040" s="91"/>
      <c r="P1040" s="91"/>
      <c r="S1040" s="91"/>
      <c r="T1040" s="91"/>
      <c r="U1040" s="91"/>
      <c r="V1040" s="91"/>
      <c r="W1040" s="91"/>
    </row>
    <row r="1041">
      <c r="A1041" s="91"/>
      <c r="D1041" s="91"/>
      <c r="G1041" s="91"/>
      <c r="J1041" s="91"/>
      <c r="M1041" s="91"/>
      <c r="P1041" s="91"/>
      <c r="S1041" s="91"/>
      <c r="T1041" s="91"/>
      <c r="U1041" s="91"/>
      <c r="V1041" s="91"/>
      <c r="W1041" s="91"/>
    </row>
    <row r="1042">
      <c r="A1042" s="91"/>
      <c r="D1042" s="91"/>
      <c r="G1042" s="91"/>
      <c r="J1042" s="91"/>
      <c r="M1042" s="91"/>
      <c r="P1042" s="91"/>
      <c r="S1042" s="91"/>
      <c r="T1042" s="91"/>
      <c r="U1042" s="91"/>
      <c r="V1042" s="91"/>
      <c r="W1042" s="91"/>
    </row>
    <row r="1043">
      <c r="A1043" s="91"/>
      <c r="D1043" s="91"/>
      <c r="G1043" s="91"/>
      <c r="J1043" s="91"/>
      <c r="M1043" s="91"/>
      <c r="P1043" s="91"/>
      <c r="S1043" s="91"/>
      <c r="T1043" s="91"/>
      <c r="U1043" s="91"/>
      <c r="V1043" s="91"/>
      <c r="W1043" s="91"/>
    </row>
    <row r="1044">
      <c r="A1044" s="91"/>
      <c r="D1044" s="91"/>
      <c r="G1044" s="91"/>
      <c r="J1044" s="91"/>
      <c r="M1044" s="91"/>
      <c r="P1044" s="91"/>
      <c r="S1044" s="91"/>
      <c r="T1044" s="91"/>
      <c r="U1044" s="91"/>
      <c r="V1044" s="91"/>
      <c r="W1044" s="91"/>
    </row>
    <row r="1045">
      <c r="A1045" s="91"/>
      <c r="D1045" s="91"/>
      <c r="G1045" s="91"/>
      <c r="J1045" s="91"/>
      <c r="M1045" s="91"/>
      <c r="P1045" s="91"/>
      <c r="S1045" s="91"/>
      <c r="T1045" s="91"/>
      <c r="U1045" s="91"/>
      <c r="V1045" s="91"/>
      <c r="W1045" s="91"/>
    </row>
    <row r="1046">
      <c r="A1046" s="91"/>
      <c r="D1046" s="91"/>
      <c r="G1046" s="91"/>
      <c r="J1046" s="91"/>
      <c r="M1046" s="91"/>
      <c r="P1046" s="91"/>
      <c r="S1046" s="91"/>
      <c r="T1046" s="91"/>
      <c r="U1046" s="91"/>
      <c r="V1046" s="91"/>
      <c r="W1046" s="91"/>
    </row>
    <row r="1047">
      <c r="A1047" s="91"/>
      <c r="D1047" s="91"/>
      <c r="G1047" s="91"/>
      <c r="J1047" s="91"/>
      <c r="M1047" s="91"/>
      <c r="P1047" s="91"/>
      <c r="S1047" s="91"/>
      <c r="T1047" s="91"/>
      <c r="U1047" s="91"/>
      <c r="V1047" s="91"/>
      <c r="W1047" s="91"/>
    </row>
    <row r="1048">
      <c r="A1048" s="91"/>
      <c r="D1048" s="91"/>
      <c r="G1048" s="91"/>
      <c r="J1048" s="91"/>
      <c r="M1048" s="91"/>
      <c r="P1048" s="91"/>
      <c r="S1048" s="91"/>
      <c r="T1048" s="91"/>
      <c r="U1048" s="91"/>
      <c r="V1048" s="91"/>
      <c r="W1048" s="91"/>
    </row>
    <row r="1049">
      <c r="A1049" s="91"/>
      <c r="D1049" s="91"/>
      <c r="G1049" s="91"/>
      <c r="J1049" s="91"/>
      <c r="M1049" s="91"/>
      <c r="P1049" s="91"/>
      <c r="S1049" s="91"/>
      <c r="T1049" s="91"/>
      <c r="U1049" s="91"/>
      <c r="V1049" s="91"/>
      <c r="W1049" s="91"/>
    </row>
    <row r="1050">
      <c r="A1050" s="91"/>
      <c r="D1050" s="91"/>
      <c r="G1050" s="91"/>
      <c r="J1050" s="91"/>
      <c r="M1050" s="91"/>
      <c r="P1050" s="91"/>
      <c r="S1050" s="91"/>
      <c r="T1050" s="91"/>
      <c r="U1050" s="91"/>
      <c r="V1050" s="91"/>
      <c r="W1050" s="91"/>
    </row>
    <row r="1051">
      <c r="A1051" s="91"/>
      <c r="D1051" s="91"/>
      <c r="G1051" s="91"/>
      <c r="J1051" s="91"/>
      <c r="M1051" s="91"/>
      <c r="P1051" s="91"/>
      <c r="S1051" s="91"/>
      <c r="T1051" s="91"/>
      <c r="U1051" s="91"/>
      <c r="V1051" s="91"/>
      <c r="W1051" s="91"/>
    </row>
    <row r="1052">
      <c r="A1052" s="91"/>
      <c r="D1052" s="91"/>
      <c r="G1052" s="91"/>
      <c r="J1052" s="91"/>
      <c r="M1052" s="91"/>
      <c r="P1052" s="91"/>
      <c r="S1052" s="91"/>
      <c r="T1052" s="91"/>
      <c r="U1052" s="91"/>
      <c r="V1052" s="91"/>
      <c r="W1052" s="91"/>
    </row>
    <row r="1053">
      <c r="A1053" s="91"/>
      <c r="D1053" s="91"/>
      <c r="G1053" s="91"/>
      <c r="J1053" s="91"/>
      <c r="M1053" s="91"/>
      <c r="P1053" s="91"/>
      <c r="S1053" s="91"/>
      <c r="T1053" s="91"/>
      <c r="U1053" s="91"/>
      <c r="V1053" s="91"/>
      <c r="W1053" s="91"/>
    </row>
    <row r="1054">
      <c r="A1054" s="91"/>
      <c r="D1054" s="91"/>
      <c r="G1054" s="91"/>
      <c r="J1054" s="91"/>
      <c r="M1054" s="91"/>
      <c r="P1054" s="91"/>
      <c r="S1054" s="91"/>
      <c r="T1054" s="91"/>
      <c r="U1054" s="91"/>
      <c r="V1054" s="91"/>
      <c r="W1054" s="91"/>
    </row>
    <row r="1055">
      <c r="A1055" s="91"/>
      <c r="D1055" s="91"/>
      <c r="G1055" s="91"/>
      <c r="J1055" s="91"/>
      <c r="M1055" s="91"/>
      <c r="P1055" s="91"/>
      <c r="S1055" s="91"/>
      <c r="T1055" s="91"/>
      <c r="U1055" s="91"/>
      <c r="V1055" s="91"/>
      <c r="W1055" s="91"/>
    </row>
    <row r="1056">
      <c r="A1056" s="91"/>
      <c r="D1056" s="91"/>
      <c r="G1056" s="91"/>
      <c r="J1056" s="91"/>
      <c r="M1056" s="91"/>
      <c r="P1056" s="91"/>
      <c r="S1056" s="91"/>
      <c r="T1056" s="91"/>
      <c r="U1056" s="91"/>
      <c r="V1056" s="91"/>
      <c r="W1056" s="91"/>
    </row>
    <row r="1057">
      <c r="A1057" s="91"/>
      <c r="D1057" s="91"/>
      <c r="G1057" s="91"/>
      <c r="J1057" s="91"/>
      <c r="M1057" s="91"/>
      <c r="P1057" s="91"/>
      <c r="S1057" s="91"/>
      <c r="T1057" s="91"/>
      <c r="U1057" s="91"/>
      <c r="V1057" s="91"/>
      <c r="W1057" s="91"/>
    </row>
    <row r="1058">
      <c r="A1058" s="91"/>
      <c r="D1058" s="91"/>
      <c r="G1058" s="91"/>
      <c r="J1058" s="91"/>
      <c r="M1058" s="91"/>
      <c r="P1058" s="91"/>
      <c r="S1058" s="91"/>
      <c r="T1058" s="91"/>
      <c r="U1058" s="91"/>
      <c r="V1058" s="91"/>
      <c r="W1058" s="91"/>
    </row>
    <row r="1059">
      <c r="A1059" s="91"/>
      <c r="D1059" s="91"/>
      <c r="G1059" s="91"/>
      <c r="J1059" s="91"/>
      <c r="M1059" s="91"/>
      <c r="P1059" s="91"/>
      <c r="S1059" s="91"/>
      <c r="T1059" s="91"/>
      <c r="U1059" s="91"/>
      <c r="V1059" s="91"/>
      <c r="W1059" s="91"/>
    </row>
    <row r="1060">
      <c r="A1060" s="91"/>
      <c r="D1060" s="91"/>
      <c r="G1060" s="91"/>
      <c r="J1060" s="91"/>
      <c r="M1060" s="91"/>
      <c r="P1060" s="91"/>
      <c r="S1060" s="91"/>
      <c r="T1060" s="91"/>
      <c r="U1060" s="91"/>
      <c r="V1060" s="91"/>
      <c r="W1060" s="91"/>
    </row>
    <row r="1061">
      <c r="A1061" s="91"/>
      <c r="D1061" s="91"/>
      <c r="G1061" s="91"/>
      <c r="J1061" s="91"/>
      <c r="M1061" s="91"/>
      <c r="P1061" s="91"/>
      <c r="S1061" s="91"/>
      <c r="T1061" s="91"/>
      <c r="U1061" s="91"/>
      <c r="V1061" s="91"/>
      <c r="W1061" s="91"/>
    </row>
    <row r="1062">
      <c r="A1062" s="91"/>
      <c r="D1062" s="91"/>
      <c r="G1062" s="91"/>
      <c r="J1062" s="91"/>
      <c r="M1062" s="91"/>
      <c r="P1062" s="91"/>
      <c r="S1062" s="91"/>
      <c r="T1062" s="91"/>
      <c r="U1062" s="91"/>
      <c r="V1062" s="91"/>
      <c r="W1062" s="91"/>
    </row>
    <row r="1063">
      <c r="A1063" s="91"/>
      <c r="D1063" s="91"/>
      <c r="G1063" s="91"/>
      <c r="J1063" s="91"/>
      <c r="M1063" s="91"/>
      <c r="P1063" s="91"/>
      <c r="S1063" s="91"/>
      <c r="T1063" s="91"/>
      <c r="U1063" s="91"/>
      <c r="V1063" s="91"/>
      <c r="W1063" s="91"/>
    </row>
    <row r="1064">
      <c r="A1064" s="91"/>
      <c r="D1064" s="91"/>
      <c r="G1064" s="91"/>
      <c r="J1064" s="91"/>
      <c r="M1064" s="91"/>
      <c r="P1064" s="91"/>
      <c r="S1064" s="91"/>
      <c r="T1064" s="91"/>
      <c r="U1064" s="91"/>
      <c r="V1064" s="91"/>
      <c r="W1064" s="91"/>
    </row>
    <row r="1065">
      <c r="A1065" s="91"/>
      <c r="D1065" s="91"/>
      <c r="G1065" s="91"/>
      <c r="J1065" s="91"/>
      <c r="M1065" s="91"/>
      <c r="P1065" s="91"/>
      <c r="S1065" s="91"/>
      <c r="T1065" s="91"/>
      <c r="U1065" s="91"/>
      <c r="V1065" s="91"/>
      <c r="W1065" s="91"/>
    </row>
    <row r="1066">
      <c r="A1066" s="91"/>
      <c r="D1066" s="91"/>
      <c r="G1066" s="91"/>
      <c r="J1066" s="91"/>
      <c r="M1066" s="91"/>
      <c r="P1066" s="91"/>
      <c r="S1066" s="91"/>
      <c r="T1066" s="91"/>
      <c r="U1066" s="91"/>
      <c r="V1066" s="91"/>
      <c r="W1066" s="91"/>
    </row>
    <row r="1067">
      <c r="A1067" s="91"/>
      <c r="D1067" s="91"/>
      <c r="G1067" s="91"/>
      <c r="J1067" s="91"/>
      <c r="M1067" s="91"/>
      <c r="P1067" s="91"/>
      <c r="S1067" s="91"/>
      <c r="T1067" s="91"/>
      <c r="U1067" s="91"/>
      <c r="V1067" s="91"/>
      <c r="W1067" s="91"/>
    </row>
    <row r="1068">
      <c r="A1068" s="91"/>
      <c r="D1068" s="91"/>
      <c r="G1068" s="91"/>
      <c r="J1068" s="91"/>
      <c r="M1068" s="91"/>
      <c r="P1068" s="91"/>
      <c r="S1068" s="91"/>
      <c r="T1068" s="91"/>
      <c r="U1068" s="91"/>
      <c r="V1068" s="91"/>
      <c r="W1068" s="91"/>
    </row>
    <row r="1069">
      <c r="A1069" s="91"/>
      <c r="D1069" s="91"/>
      <c r="G1069" s="91"/>
      <c r="J1069" s="91"/>
      <c r="M1069" s="91"/>
      <c r="P1069" s="91"/>
      <c r="S1069" s="91"/>
      <c r="T1069" s="91"/>
      <c r="U1069" s="91"/>
      <c r="V1069" s="91"/>
      <c r="W1069" s="91"/>
    </row>
    <row r="1070">
      <c r="A1070" s="91"/>
      <c r="D1070" s="91"/>
      <c r="G1070" s="91"/>
      <c r="J1070" s="91"/>
      <c r="M1070" s="91"/>
      <c r="P1070" s="91"/>
      <c r="S1070" s="91"/>
      <c r="T1070" s="91"/>
      <c r="U1070" s="91"/>
      <c r="V1070" s="91"/>
      <c r="W1070" s="91"/>
    </row>
    <row r="1071">
      <c r="A1071" s="91"/>
      <c r="D1071" s="91"/>
      <c r="G1071" s="91"/>
      <c r="J1071" s="91"/>
      <c r="M1071" s="91"/>
      <c r="P1071" s="91"/>
      <c r="S1071" s="91"/>
      <c r="T1071" s="91"/>
      <c r="U1071" s="91"/>
      <c r="V1071" s="91"/>
      <c r="W1071" s="91"/>
    </row>
    <row r="1072">
      <c r="A1072" s="91"/>
      <c r="D1072" s="91"/>
      <c r="G1072" s="91"/>
      <c r="J1072" s="91"/>
      <c r="M1072" s="91"/>
      <c r="P1072" s="91"/>
      <c r="S1072" s="91"/>
      <c r="T1072" s="91"/>
      <c r="U1072" s="91"/>
      <c r="V1072" s="91"/>
      <c r="W1072" s="91"/>
    </row>
    <row r="1073">
      <c r="A1073" s="91"/>
      <c r="D1073" s="91"/>
      <c r="G1073" s="91"/>
      <c r="J1073" s="91"/>
      <c r="M1073" s="91"/>
      <c r="P1073" s="91"/>
      <c r="S1073" s="91"/>
      <c r="T1073" s="91"/>
      <c r="U1073" s="91"/>
      <c r="V1073" s="91"/>
      <c r="W1073" s="91"/>
    </row>
    <row r="1074">
      <c r="A1074" s="91"/>
      <c r="D1074" s="91"/>
      <c r="G1074" s="91"/>
      <c r="J1074" s="91"/>
      <c r="M1074" s="91"/>
      <c r="P1074" s="91"/>
      <c r="S1074" s="91"/>
      <c r="T1074" s="91"/>
      <c r="U1074" s="91"/>
      <c r="V1074" s="91"/>
      <c r="W1074" s="91"/>
    </row>
    <row r="1075">
      <c r="A1075" s="91"/>
      <c r="D1075" s="91"/>
      <c r="G1075" s="91"/>
      <c r="J1075" s="91"/>
      <c r="M1075" s="91"/>
      <c r="P1075" s="91"/>
      <c r="S1075" s="91"/>
      <c r="T1075" s="91"/>
      <c r="U1075" s="91"/>
      <c r="V1075" s="91"/>
      <c r="W1075" s="91"/>
    </row>
    <row r="1076">
      <c r="A1076" s="91"/>
      <c r="D1076" s="91"/>
      <c r="G1076" s="91"/>
      <c r="J1076" s="91"/>
      <c r="M1076" s="91"/>
      <c r="P1076" s="91"/>
      <c r="S1076" s="91"/>
      <c r="T1076" s="91"/>
      <c r="U1076" s="91"/>
      <c r="V1076" s="91"/>
      <c r="W1076" s="91"/>
    </row>
    <row r="1077">
      <c r="A1077" s="91"/>
      <c r="D1077" s="91"/>
      <c r="G1077" s="91"/>
      <c r="J1077" s="91"/>
      <c r="M1077" s="91"/>
      <c r="P1077" s="91"/>
      <c r="S1077" s="91"/>
      <c r="T1077" s="91"/>
      <c r="U1077" s="91"/>
      <c r="V1077" s="91"/>
      <c r="W1077" s="91"/>
    </row>
    <row r="1078">
      <c r="A1078" s="91"/>
      <c r="D1078" s="91"/>
      <c r="G1078" s="91"/>
      <c r="J1078" s="91"/>
      <c r="M1078" s="91"/>
      <c r="P1078" s="91"/>
      <c r="S1078" s="91"/>
      <c r="T1078" s="91"/>
      <c r="U1078" s="91"/>
      <c r="V1078" s="91"/>
      <c r="W1078" s="91"/>
    </row>
    <row r="1079">
      <c r="A1079" s="91"/>
      <c r="D1079" s="91"/>
      <c r="G1079" s="91"/>
      <c r="J1079" s="91"/>
      <c r="M1079" s="91"/>
      <c r="P1079" s="91"/>
      <c r="S1079" s="91"/>
      <c r="T1079" s="91"/>
      <c r="U1079" s="91"/>
      <c r="V1079" s="91"/>
      <c r="W1079" s="91"/>
    </row>
    <row r="1080">
      <c r="A1080" s="91"/>
      <c r="D1080" s="91"/>
      <c r="G1080" s="91"/>
      <c r="J1080" s="91"/>
      <c r="M1080" s="91"/>
      <c r="P1080" s="91"/>
      <c r="S1080" s="91"/>
      <c r="T1080" s="91"/>
      <c r="U1080" s="91"/>
      <c r="V1080" s="91"/>
      <c r="W1080" s="91"/>
    </row>
    <row r="1081">
      <c r="A1081" s="91"/>
      <c r="D1081" s="91"/>
      <c r="G1081" s="91"/>
      <c r="J1081" s="91"/>
      <c r="M1081" s="91"/>
      <c r="P1081" s="91"/>
      <c r="S1081" s="91"/>
      <c r="T1081" s="91"/>
      <c r="U1081" s="91"/>
      <c r="V1081" s="91"/>
      <c r="W1081" s="91"/>
    </row>
    <row r="1082">
      <c r="A1082" s="91"/>
      <c r="D1082" s="91"/>
      <c r="G1082" s="91"/>
      <c r="J1082" s="91"/>
      <c r="M1082" s="91"/>
      <c r="P1082" s="91"/>
      <c r="S1082" s="91"/>
      <c r="T1082" s="91"/>
      <c r="U1082" s="91"/>
      <c r="V1082" s="91"/>
      <c r="W1082" s="91"/>
    </row>
    <row r="1083">
      <c r="A1083" s="91"/>
      <c r="D1083" s="91"/>
      <c r="G1083" s="91"/>
      <c r="J1083" s="91"/>
      <c r="M1083" s="91"/>
      <c r="P1083" s="91"/>
      <c r="S1083" s="91"/>
      <c r="T1083" s="91"/>
      <c r="U1083" s="91"/>
      <c r="V1083" s="91"/>
      <c r="W1083" s="91"/>
    </row>
    <row r="1084">
      <c r="A1084" s="91"/>
      <c r="D1084" s="91"/>
      <c r="G1084" s="91"/>
      <c r="J1084" s="91"/>
      <c r="M1084" s="91"/>
      <c r="P1084" s="91"/>
      <c r="S1084" s="91"/>
      <c r="T1084" s="91"/>
      <c r="U1084" s="91"/>
      <c r="V1084" s="91"/>
      <c r="W1084" s="91"/>
    </row>
    <row r="1085">
      <c r="A1085" s="91"/>
      <c r="D1085" s="91"/>
      <c r="G1085" s="91"/>
      <c r="J1085" s="91"/>
      <c r="M1085" s="91"/>
      <c r="P1085" s="91"/>
      <c r="S1085" s="91"/>
      <c r="T1085" s="91"/>
      <c r="U1085" s="91"/>
      <c r="V1085" s="91"/>
      <c r="W1085" s="91"/>
    </row>
    <row r="1086">
      <c r="A1086" s="91"/>
      <c r="D1086" s="91"/>
      <c r="G1086" s="91"/>
      <c r="J1086" s="91"/>
      <c r="M1086" s="91"/>
      <c r="P1086" s="91"/>
      <c r="S1086" s="91"/>
      <c r="T1086" s="91"/>
      <c r="U1086" s="91"/>
      <c r="V1086" s="91"/>
      <c r="W1086" s="91"/>
    </row>
    <row r="1087">
      <c r="A1087" s="91"/>
      <c r="D1087" s="91"/>
      <c r="G1087" s="91"/>
      <c r="J1087" s="91"/>
      <c r="M1087" s="91"/>
      <c r="P1087" s="91"/>
      <c r="S1087" s="91"/>
      <c r="T1087" s="91"/>
      <c r="U1087" s="91"/>
      <c r="V1087" s="91"/>
      <c r="W1087" s="91"/>
    </row>
    <row r="1088">
      <c r="A1088" s="91"/>
      <c r="D1088" s="91"/>
      <c r="G1088" s="91"/>
      <c r="J1088" s="91"/>
      <c r="M1088" s="91"/>
      <c r="P1088" s="91"/>
      <c r="S1088" s="91"/>
      <c r="T1088" s="91"/>
      <c r="U1088" s="91"/>
      <c r="V1088" s="91"/>
      <c r="W1088" s="91"/>
    </row>
    <row r="1089">
      <c r="A1089" s="91"/>
      <c r="D1089" s="91"/>
      <c r="G1089" s="91"/>
      <c r="J1089" s="91"/>
      <c r="M1089" s="91"/>
      <c r="P1089" s="91"/>
      <c r="S1089" s="91"/>
      <c r="T1089" s="91"/>
      <c r="U1089" s="91"/>
      <c r="V1089" s="91"/>
      <c r="W1089" s="91"/>
    </row>
    <row r="1090">
      <c r="A1090" s="91"/>
      <c r="D1090" s="91"/>
      <c r="G1090" s="91"/>
      <c r="J1090" s="91"/>
      <c r="M1090" s="91"/>
      <c r="P1090" s="91"/>
      <c r="S1090" s="91"/>
      <c r="T1090" s="91"/>
      <c r="U1090" s="91"/>
      <c r="V1090" s="91"/>
      <c r="W1090" s="91"/>
    </row>
    <row r="1091">
      <c r="A1091" s="91"/>
      <c r="D1091" s="91"/>
      <c r="G1091" s="91"/>
      <c r="J1091" s="91"/>
      <c r="M1091" s="91"/>
      <c r="P1091" s="91"/>
      <c r="S1091" s="91"/>
      <c r="T1091" s="91"/>
      <c r="U1091" s="91"/>
      <c r="V1091" s="91"/>
      <c r="W1091" s="91"/>
    </row>
    <row r="1092">
      <c r="A1092" s="91"/>
      <c r="D1092" s="91"/>
      <c r="G1092" s="91"/>
      <c r="J1092" s="91"/>
      <c r="M1092" s="91"/>
      <c r="P1092" s="91"/>
      <c r="S1092" s="91"/>
      <c r="T1092" s="91"/>
      <c r="U1092" s="91"/>
      <c r="V1092" s="91"/>
      <c r="W1092" s="91"/>
    </row>
    <row r="1093">
      <c r="A1093" s="91"/>
      <c r="D1093" s="91"/>
      <c r="G1093" s="91"/>
      <c r="J1093" s="91"/>
      <c r="M1093" s="91"/>
      <c r="P1093" s="91"/>
      <c r="S1093" s="91"/>
      <c r="T1093" s="91"/>
      <c r="U1093" s="91"/>
      <c r="V1093" s="91"/>
      <c r="W1093" s="91"/>
    </row>
    <row r="1094">
      <c r="A1094" s="91"/>
      <c r="D1094" s="91"/>
      <c r="G1094" s="91"/>
      <c r="J1094" s="91"/>
      <c r="M1094" s="91"/>
      <c r="P1094" s="91"/>
      <c r="S1094" s="91"/>
      <c r="T1094" s="91"/>
      <c r="U1094" s="91"/>
      <c r="V1094" s="91"/>
      <c r="W1094" s="91"/>
    </row>
    <row r="1095">
      <c r="A1095" s="91"/>
      <c r="D1095" s="91"/>
      <c r="G1095" s="91"/>
      <c r="J1095" s="91"/>
      <c r="M1095" s="91"/>
      <c r="P1095" s="91"/>
      <c r="S1095" s="91"/>
      <c r="T1095" s="91"/>
      <c r="U1095" s="91"/>
      <c r="V1095" s="91"/>
      <c r="W1095" s="91"/>
    </row>
    <row r="1096">
      <c r="A1096" s="91"/>
      <c r="D1096" s="91"/>
      <c r="G1096" s="91"/>
      <c r="J1096" s="91"/>
      <c r="M1096" s="91"/>
      <c r="P1096" s="91"/>
      <c r="S1096" s="91"/>
      <c r="T1096" s="91"/>
      <c r="U1096" s="91"/>
      <c r="V1096" s="91"/>
      <c r="W1096" s="91"/>
    </row>
    <row r="1097">
      <c r="A1097" s="91"/>
      <c r="D1097" s="91"/>
      <c r="G1097" s="91"/>
      <c r="J1097" s="91"/>
      <c r="M1097" s="91"/>
      <c r="P1097" s="91"/>
      <c r="S1097" s="91"/>
      <c r="T1097" s="91"/>
      <c r="U1097" s="91"/>
      <c r="V1097" s="91"/>
      <c r="W1097" s="91"/>
    </row>
    <row r="1098">
      <c r="A1098" s="91"/>
      <c r="D1098" s="91"/>
      <c r="G1098" s="91"/>
      <c r="J1098" s="91"/>
      <c r="M1098" s="91"/>
      <c r="P1098" s="91"/>
      <c r="S1098" s="91"/>
      <c r="T1098" s="91"/>
      <c r="U1098" s="91"/>
      <c r="V1098" s="91"/>
      <c r="W1098" s="91"/>
    </row>
    <row r="1099">
      <c r="A1099" s="91"/>
      <c r="D1099" s="91"/>
      <c r="G1099" s="91"/>
      <c r="J1099" s="91"/>
      <c r="M1099" s="91"/>
      <c r="P1099" s="91"/>
      <c r="S1099" s="91"/>
      <c r="T1099" s="91"/>
      <c r="U1099" s="91"/>
      <c r="V1099" s="91"/>
      <c r="W1099" s="91"/>
    </row>
    <row r="1100">
      <c r="A1100" s="91"/>
      <c r="D1100" s="91"/>
      <c r="G1100" s="91"/>
      <c r="J1100" s="91"/>
      <c r="M1100" s="91"/>
      <c r="P1100" s="91"/>
      <c r="S1100" s="91"/>
      <c r="T1100" s="91"/>
      <c r="U1100" s="91"/>
      <c r="V1100" s="91"/>
      <c r="W1100" s="91"/>
    </row>
    <row r="1101">
      <c r="A1101" s="91"/>
      <c r="D1101" s="91"/>
      <c r="G1101" s="91"/>
      <c r="J1101" s="91"/>
      <c r="M1101" s="91"/>
      <c r="P1101" s="91"/>
      <c r="S1101" s="91"/>
      <c r="T1101" s="91"/>
      <c r="U1101" s="91"/>
      <c r="V1101" s="91"/>
      <c r="W1101" s="91"/>
    </row>
    <row r="1102">
      <c r="A1102" s="91"/>
      <c r="D1102" s="91"/>
      <c r="G1102" s="91"/>
      <c r="J1102" s="91"/>
      <c r="M1102" s="91"/>
      <c r="P1102" s="91"/>
      <c r="S1102" s="91"/>
      <c r="T1102" s="91"/>
      <c r="U1102" s="91"/>
      <c r="V1102" s="91"/>
      <c r="W1102" s="91"/>
    </row>
    <row r="1103">
      <c r="A1103" s="91"/>
      <c r="D1103" s="91"/>
      <c r="G1103" s="91"/>
      <c r="J1103" s="91"/>
      <c r="M1103" s="91"/>
      <c r="P1103" s="91"/>
      <c r="S1103" s="91"/>
      <c r="T1103" s="91"/>
      <c r="U1103" s="91"/>
      <c r="V1103" s="91"/>
      <c r="W1103" s="91"/>
    </row>
    <row r="1104">
      <c r="A1104" s="91"/>
      <c r="D1104" s="91"/>
      <c r="G1104" s="91"/>
      <c r="J1104" s="91"/>
      <c r="M1104" s="91"/>
      <c r="P1104" s="91"/>
      <c r="S1104" s="91"/>
      <c r="T1104" s="91"/>
      <c r="U1104" s="91"/>
      <c r="V1104" s="91"/>
      <c r="W1104" s="91"/>
    </row>
    <row r="1105">
      <c r="A1105" s="91"/>
      <c r="D1105" s="91"/>
      <c r="G1105" s="91"/>
      <c r="J1105" s="91"/>
      <c r="M1105" s="91"/>
      <c r="P1105" s="91"/>
      <c r="S1105" s="91"/>
      <c r="T1105" s="91"/>
      <c r="U1105" s="91"/>
      <c r="V1105" s="91"/>
      <c r="W1105" s="91"/>
    </row>
    <row r="1106">
      <c r="A1106" s="91"/>
      <c r="D1106" s="91"/>
      <c r="G1106" s="91"/>
      <c r="J1106" s="91"/>
      <c r="M1106" s="91"/>
      <c r="P1106" s="91"/>
      <c r="S1106" s="91"/>
      <c r="T1106" s="91"/>
      <c r="U1106" s="91"/>
      <c r="V1106" s="91"/>
      <c r="W1106" s="91"/>
    </row>
    <row r="1107">
      <c r="A1107" s="91"/>
      <c r="D1107" s="91"/>
      <c r="G1107" s="91"/>
      <c r="J1107" s="91"/>
      <c r="M1107" s="91"/>
      <c r="P1107" s="91"/>
      <c r="S1107" s="91"/>
      <c r="T1107" s="91"/>
      <c r="U1107" s="91"/>
      <c r="V1107" s="91"/>
      <c r="W1107" s="91"/>
    </row>
    <row r="1108">
      <c r="A1108" s="91"/>
      <c r="D1108" s="91"/>
      <c r="G1108" s="91"/>
      <c r="J1108" s="91"/>
      <c r="M1108" s="91"/>
      <c r="P1108" s="91"/>
      <c r="S1108" s="91"/>
      <c r="T1108" s="91"/>
      <c r="U1108" s="91"/>
      <c r="V1108" s="91"/>
      <c r="W1108" s="91"/>
    </row>
    <row r="1109">
      <c r="A1109" s="91"/>
      <c r="D1109" s="91"/>
      <c r="G1109" s="91"/>
      <c r="J1109" s="91"/>
      <c r="M1109" s="91"/>
      <c r="P1109" s="91"/>
      <c r="S1109" s="91"/>
      <c r="T1109" s="91"/>
      <c r="U1109" s="91"/>
      <c r="V1109" s="91"/>
      <c r="W1109" s="91"/>
    </row>
    <row r="1110">
      <c r="A1110" s="91"/>
      <c r="D1110" s="91"/>
      <c r="G1110" s="91"/>
      <c r="J1110" s="91"/>
      <c r="M1110" s="91"/>
      <c r="P1110" s="91"/>
      <c r="S1110" s="91"/>
      <c r="T1110" s="91"/>
      <c r="U1110" s="91"/>
      <c r="V1110" s="91"/>
      <c r="W1110" s="91"/>
    </row>
    <row r="1111">
      <c r="A1111" s="91"/>
      <c r="D1111" s="91"/>
      <c r="G1111" s="91"/>
      <c r="J1111" s="91"/>
      <c r="M1111" s="91"/>
      <c r="P1111" s="91"/>
      <c r="S1111" s="91"/>
      <c r="T1111" s="91"/>
      <c r="U1111" s="91"/>
      <c r="V1111" s="91"/>
      <c r="W1111" s="91"/>
    </row>
    <row r="1112">
      <c r="A1112" s="91"/>
      <c r="D1112" s="91"/>
      <c r="G1112" s="91"/>
      <c r="J1112" s="91"/>
      <c r="M1112" s="91"/>
      <c r="P1112" s="91"/>
      <c r="S1112" s="91"/>
      <c r="T1112" s="91"/>
      <c r="U1112" s="91"/>
      <c r="V1112" s="91"/>
      <c r="W1112" s="91"/>
    </row>
    <row r="1113">
      <c r="A1113" s="91"/>
      <c r="D1113" s="91"/>
      <c r="G1113" s="91"/>
      <c r="J1113" s="91"/>
      <c r="M1113" s="91"/>
      <c r="P1113" s="91"/>
      <c r="S1113" s="91"/>
      <c r="T1113" s="91"/>
      <c r="U1113" s="91"/>
      <c r="V1113" s="91"/>
      <c r="W1113" s="91"/>
    </row>
    <row r="1114">
      <c r="A1114" s="91"/>
      <c r="D1114" s="91"/>
      <c r="G1114" s="91"/>
      <c r="J1114" s="91"/>
      <c r="M1114" s="91"/>
      <c r="P1114" s="91"/>
      <c r="S1114" s="91"/>
      <c r="T1114" s="91"/>
      <c r="U1114" s="91"/>
      <c r="V1114" s="91"/>
      <c r="W1114" s="91"/>
    </row>
    <row r="1115">
      <c r="A1115" s="91"/>
      <c r="D1115" s="91"/>
      <c r="G1115" s="91"/>
      <c r="J1115" s="91"/>
      <c r="M1115" s="91"/>
      <c r="P1115" s="91"/>
      <c r="S1115" s="91"/>
      <c r="T1115" s="91"/>
      <c r="U1115" s="91"/>
      <c r="V1115" s="91"/>
      <c r="W1115" s="91"/>
    </row>
    <row r="1116">
      <c r="A1116" s="91"/>
      <c r="D1116" s="91"/>
      <c r="G1116" s="91"/>
      <c r="J1116" s="91"/>
      <c r="M1116" s="91"/>
      <c r="P1116" s="91"/>
      <c r="S1116" s="91"/>
      <c r="T1116" s="91"/>
      <c r="U1116" s="91"/>
      <c r="V1116" s="91"/>
      <c r="W1116" s="91"/>
    </row>
    <row r="1117">
      <c r="A1117" s="91"/>
      <c r="D1117" s="91"/>
      <c r="G1117" s="91"/>
      <c r="J1117" s="91"/>
      <c r="M1117" s="91"/>
      <c r="P1117" s="91"/>
      <c r="S1117" s="91"/>
      <c r="T1117" s="91"/>
      <c r="U1117" s="91"/>
      <c r="V1117" s="91"/>
      <c r="W1117" s="91"/>
    </row>
    <row r="1118">
      <c r="A1118" s="91"/>
      <c r="D1118" s="91"/>
      <c r="G1118" s="91"/>
      <c r="J1118" s="91"/>
      <c r="M1118" s="91"/>
      <c r="P1118" s="91"/>
      <c r="S1118" s="91"/>
      <c r="T1118" s="91"/>
      <c r="U1118" s="91"/>
      <c r="V1118" s="91"/>
      <c r="W1118" s="91"/>
    </row>
    <row r="1119">
      <c r="A1119" s="91"/>
      <c r="D1119" s="91"/>
      <c r="G1119" s="91"/>
      <c r="J1119" s="91"/>
      <c r="M1119" s="91"/>
      <c r="P1119" s="91"/>
      <c r="S1119" s="91"/>
      <c r="T1119" s="91"/>
      <c r="U1119" s="91"/>
      <c r="V1119" s="91"/>
      <c r="W1119" s="91"/>
    </row>
    <row r="1120">
      <c r="A1120" s="91"/>
      <c r="D1120" s="91"/>
      <c r="G1120" s="91"/>
      <c r="J1120" s="91"/>
      <c r="M1120" s="91"/>
      <c r="P1120" s="91"/>
      <c r="S1120" s="91"/>
      <c r="T1120" s="91"/>
      <c r="U1120" s="91"/>
      <c r="V1120" s="91"/>
      <c r="W1120" s="91"/>
    </row>
    <row r="1121">
      <c r="A1121" s="91"/>
      <c r="D1121" s="91"/>
      <c r="G1121" s="91"/>
      <c r="J1121" s="91"/>
      <c r="M1121" s="91"/>
      <c r="P1121" s="91"/>
      <c r="S1121" s="91"/>
      <c r="T1121" s="91"/>
      <c r="U1121" s="91"/>
      <c r="V1121" s="91"/>
      <c r="W1121" s="91"/>
    </row>
    <row r="1122">
      <c r="A1122" s="91"/>
      <c r="D1122" s="91"/>
      <c r="G1122" s="91"/>
      <c r="J1122" s="91"/>
      <c r="M1122" s="91"/>
      <c r="P1122" s="91"/>
      <c r="S1122" s="91"/>
      <c r="T1122" s="91"/>
      <c r="U1122" s="91"/>
      <c r="V1122" s="91"/>
      <c r="W1122" s="91"/>
    </row>
    <row r="1123">
      <c r="A1123" s="91"/>
      <c r="D1123" s="91"/>
      <c r="G1123" s="91"/>
      <c r="J1123" s="91"/>
      <c r="M1123" s="91"/>
      <c r="P1123" s="91"/>
      <c r="S1123" s="91"/>
      <c r="T1123" s="91"/>
      <c r="U1123" s="91"/>
      <c r="V1123" s="91"/>
      <c r="W1123" s="91"/>
    </row>
    <row r="1124">
      <c r="A1124" s="91"/>
      <c r="D1124" s="91"/>
      <c r="G1124" s="91"/>
      <c r="J1124" s="91"/>
      <c r="M1124" s="91"/>
      <c r="P1124" s="91"/>
      <c r="S1124" s="91"/>
      <c r="T1124" s="91"/>
      <c r="U1124" s="91"/>
      <c r="V1124" s="91"/>
      <c r="W1124" s="91"/>
    </row>
    <row r="1125">
      <c r="A1125" s="91"/>
      <c r="D1125" s="91"/>
      <c r="G1125" s="91"/>
      <c r="J1125" s="91"/>
      <c r="M1125" s="91"/>
      <c r="P1125" s="91"/>
      <c r="S1125" s="91"/>
      <c r="T1125" s="91"/>
      <c r="U1125" s="91"/>
      <c r="V1125" s="91"/>
      <c r="W1125" s="91"/>
    </row>
    <row r="1126">
      <c r="A1126" s="91"/>
      <c r="D1126" s="91"/>
      <c r="G1126" s="91"/>
      <c r="J1126" s="91"/>
      <c r="M1126" s="91"/>
      <c r="P1126" s="91"/>
      <c r="S1126" s="91"/>
      <c r="T1126" s="91"/>
      <c r="U1126" s="91"/>
      <c r="V1126" s="91"/>
      <c r="W1126" s="91"/>
    </row>
    <row r="1127">
      <c r="A1127" s="91"/>
      <c r="D1127" s="91"/>
      <c r="G1127" s="91"/>
      <c r="J1127" s="91"/>
      <c r="M1127" s="91"/>
      <c r="P1127" s="91"/>
      <c r="S1127" s="91"/>
      <c r="T1127" s="91"/>
      <c r="U1127" s="91"/>
      <c r="V1127" s="91"/>
      <c r="W1127" s="91"/>
    </row>
    <row r="1128">
      <c r="A1128" s="91"/>
      <c r="D1128" s="91"/>
      <c r="G1128" s="91"/>
      <c r="J1128" s="91"/>
      <c r="M1128" s="91"/>
      <c r="P1128" s="91"/>
      <c r="S1128" s="91"/>
      <c r="T1128" s="91"/>
      <c r="U1128" s="91"/>
      <c r="V1128" s="91"/>
      <c r="W1128" s="91"/>
    </row>
    <row r="1129">
      <c r="A1129" s="91"/>
      <c r="D1129" s="91"/>
      <c r="G1129" s="91"/>
      <c r="J1129" s="91"/>
      <c r="M1129" s="91"/>
      <c r="P1129" s="91"/>
      <c r="S1129" s="91"/>
      <c r="T1129" s="91"/>
      <c r="U1129" s="91"/>
      <c r="V1129" s="91"/>
      <c r="W1129" s="91"/>
    </row>
    <row r="1130">
      <c r="A1130" s="91"/>
      <c r="D1130" s="91"/>
      <c r="G1130" s="91"/>
      <c r="J1130" s="91"/>
      <c r="M1130" s="91"/>
      <c r="P1130" s="91"/>
      <c r="S1130" s="91"/>
      <c r="T1130" s="91"/>
      <c r="U1130" s="91"/>
      <c r="V1130" s="91"/>
      <c r="W1130" s="91"/>
    </row>
    <row r="1131">
      <c r="A1131" s="91"/>
      <c r="D1131" s="91"/>
      <c r="G1131" s="91"/>
      <c r="J1131" s="91"/>
      <c r="M1131" s="91"/>
      <c r="P1131" s="91"/>
      <c r="S1131" s="91"/>
      <c r="T1131" s="91"/>
      <c r="U1131" s="91"/>
      <c r="V1131" s="91"/>
      <c r="W1131" s="91"/>
    </row>
    <row r="1132">
      <c r="A1132" s="91"/>
      <c r="D1132" s="91"/>
      <c r="G1132" s="91"/>
      <c r="J1132" s="91"/>
      <c r="M1132" s="91"/>
      <c r="P1132" s="91"/>
      <c r="S1132" s="91"/>
      <c r="T1132" s="91"/>
      <c r="U1132" s="91"/>
      <c r="V1132" s="91"/>
      <c r="W1132" s="91"/>
    </row>
    <row r="1133">
      <c r="A1133" s="91"/>
      <c r="D1133" s="91"/>
      <c r="G1133" s="91"/>
      <c r="J1133" s="91"/>
      <c r="M1133" s="91"/>
      <c r="P1133" s="91"/>
      <c r="S1133" s="91"/>
      <c r="T1133" s="91"/>
      <c r="U1133" s="91"/>
      <c r="V1133" s="91"/>
      <c r="W1133" s="91"/>
    </row>
    <row r="1134">
      <c r="A1134" s="91"/>
      <c r="D1134" s="91"/>
      <c r="G1134" s="91"/>
      <c r="J1134" s="91"/>
      <c r="M1134" s="91"/>
      <c r="P1134" s="91"/>
      <c r="S1134" s="91"/>
      <c r="T1134" s="91"/>
      <c r="U1134" s="91"/>
      <c r="V1134" s="91"/>
      <c r="W1134" s="91"/>
    </row>
    <row r="1135">
      <c r="A1135" s="91"/>
      <c r="D1135" s="91"/>
      <c r="G1135" s="91"/>
      <c r="J1135" s="91"/>
      <c r="M1135" s="91"/>
      <c r="P1135" s="91"/>
      <c r="S1135" s="91"/>
      <c r="T1135" s="91"/>
      <c r="U1135" s="91"/>
      <c r="V1135" s="91"/>
      <c r="W1135" s="91"/>
    </row>
    <row r="1136">
      <c r="A1136" s="91"/>
      <c r="D1136" s="91"/>
      <c r="G1136" s="91"/>
      <c r="J1136" s="91"/>
      <c r="M1136" s="91"/>
      <c r="P1136" s="91"/>
      <c r="S1136" s="91"/>
      <c r="T1136" s="91"/>
      <c r="U1136" s="91"/>
      <c r="V1136" s="91"/>
      <c r="W1136" s="91"/>
    </row>
    <row r="1137">
      <c r="A1137" s="91"/>
      <c r="D1137" s="91"/>
      <c r="G1137" s="91"/>
      <c r="J1137" s="91"/>
      <c r="M1137" s="91"/>
      <c r="P1137" s="91"/>
      <c r="S1137" s="91"/>
      <c r="T1137" s="91"/>
      <c r="U1137" s="91"/>
      <c r="V1137" s="91"/>
      <c r="W1137" s="91"/>
    </row>
    <row r="1138">
      <c r="A1138" s="91"/>
      <c r="D1138" s="91"/>
      <c r="G1138" s="91"/>
      <c r="J1138" s="91"/>
      <c r="M1138" s="91"/>
      <c r="P1138" s="91"/>
      <c r="S1138" s="91"/>
      <c r="T1138" s="91"/>
      <c r="U1138" s="91"/>
      <c r="V1138" s="91"/>
      <c r="W1138" s="91"/>
    </row>
    <row r="1139">
      <c r="A1139" s="91"/>
      <c r="D1139" s="91"/>
      <c r="G1139" s="91"/>
      <c r="J1139" s="91"/>
      <c r="M1139" s="91"/>
      <c r="P1139" s="91"/>
      <c r="S1139" s="91"/>
      <c r="T1139" s="91"/>
      <c r="U1139" s="91"/>
      <c r="V1139" s="91"/>
      <c r="W1139" s="91"/>
    </row>
    <row r="1140">
      <c r="A1140" s="91"/>
      <c r="D1140" s="91"/>
      <c r="G1140" s="91"/>
      <c r="J1140" s="91"/>
      <c r="M1140" s="91"/>
      <c r="P1140" s="91"/>
      <c r="S1140" s="91"/>
      <c r="T1140" s="91"/>
      <c r="U1140" s="91"/>
      <c r="V1140" s="91"/>
      <c r="W1140" s="91"/>
    </row>
    <row r="1141">
      <c r="A1141" s="91"/>
      <c r="D1141" s="91"/>
      <c r="G1141" s="91"/>
      <c r="J1141" s="91"/>
      <c r="M1141" s="91"/>
      <c r="P1141" s="91"/>
      <c r="S1141" s="91"/>
      <c r="T1141" s="91"/>
      <c r="U1141" s="91"/>
      <c r="V1141" s="91"/>
      <c r="W1141" s="91"/>
    </row>
    <row r="1142">
      <c r="A1142" s="91"/>
      <c r="D1142" s="91"/>
      <c r="G1142" s="91"/>
      <c r="J1142" s="91"/>
      <c r="M1142" s="91"/>
      <c r="P1142" s="91"/>
      <c r="S1142" s="91"/>
      <c r="T1142" s="91"/>
      <c r="U1142" s="91"/>
      <c r="V1142" s="91"/>
      <c r="W1142" s="91"/>
    </row>
    <row r="1143">
      <c r="A1143" s="91"/>
      <c r="D1143" s="91"/>
      <c r="G1143" s="91"/>
      <c r="J1143" s="91"/>
      <c r="M1143" s="91"/>
      <c r="P1143" s="91"/>
      <c r="S1143" s="91"/>
      <c r="T1143" s="91"/>
      <c r="U1143" s="91"/>
      <c r="V1143" s="91"/>
      <c r="W1143" s="91"/>
    </row>
    <row r="1144">
      <c r="A1144" s="91"/>
      <c r="D1144" s="91"/>
      <c r="G1144" s="91"/>
      <c r="J1144" s="91"/>
      <c r="M1144" s="91"/>
      <c r="P1144" s="91"/>
      <c r="S1144" s="91"/>
      <c r="T1144" s="91"/>
      <c r="U1144" s="91"/>
      <c r="V1144" s="91"/>
      <c r="W1144" s="91"/>
    </row>
    <row r="1145">
      <c r="A1145" s="91"/>
      <c r="D1145" s="91"/>
      <c r="G1145" s="91"/>
      <c r="J1145" s="91"/>
      <c r="M1145" s="91"/>
      <c r="P1145" s="91"/>
      <c r="S1145" s="91"/>
      <c r="T1145" s="91"/>
      <c r="U1145" s="91"/>
      <c r="V1145" s="91"/>
      <c r="W1145" s="91"/>
    </row>
    <row r="1146">
      <c r="A1146" s="91"/>
      <c r="D1146" s="91"/>
      <c r="G1146" s="91"/>
      <c r="J1146" s="91"/>
      <c r="M1146" s="91"/>
      <c r="P1146" s="91"/>
      <c r="S1146" s="91"/>
      <c r="T1146" s="91"/>
      <c r="U1146" s="91"/>
      <c r="V1146" s="91"/>
      <c r="W1146" s="91"/>
    </row>
    <row r="1147">
      <c r="A1147" s="91"/>
      <c r="D1147" s="91"/>
      <c r="G1147" s="91"/>
      <c r="J1147" s="91"/>
      <c r="M1147" s="91"/>
      <c r="P1147" s="91"/>
      <c r="S1147" s="91"/>
      <c r="T1147" s="91"/>
      <c r="U1147" s="91"/>
      <c r="V1147" s="91"/>
      <c r="W1147" s="91"/>
    </row>
    <row r="1148">
      <c r="A1148" s="91"/>
      <c r="D1148" s="91"/>
      <c r="G1148" s="91"/>
      <c r="J1148" s="91"/>
      <c r="M1148" s="91"/>
      <c r="P1148" s="91"/>
      <c r="S1148" s="91"/>
      <c r="T1148" s="91"/>
      <c r="U1148" s="91"/>
      <c r="V1148" s="91"/>
      <c r="W1148" s="91"/>
    </row>
    <row r="1149">
      <c r="A1149" s="91"/>
      <c r="D1149" s="91"/>
      <c r="G1149" s="91"/>
      <c r="J1149" s="91"/>
      <c r="M1149" s="91"/>
      <c r="P1149" s="91"/>
      <c r="S1149" s="91"/>
      <c r="T1149" s="91"/>
      <c r="U1149" s="91"/>
      <c r="V1149" s="91"/>
      <c r="W1149" s="91"/>
    </row>
    <row r="1150">
      <c r="A1150" s="91"/>
      <c r="D1150" s="91"/>
      <c r="G1150" s="91"/>
      <c r="J1150" s="91"/>
      <c r="M1150" s="91"/>
      <c r="P1150" s="91"/>
      <c r="S1150" s="91"/>
      <c r="T1150" s="91"/>
      <c r="U1150" s="91"/>
      <c r="V1150" s="91"/>
      <c r="W1150" s="91"/>
    </row>
    <row r="1151">
      <c r="A1151" s="91"/>
      <c r="D1151" s="91"/>
      <c r="G1151" s="91"/>
      <c r="J1151" s="91"/>
      <c r="M1151" s="91"/>
      <c r="P1151" s="91"/>
      <c r="S1151" s="91"/>
      <c r="T1151" s="91"/>
      <c r="U1151" s="91"/>
      <c r="V1151" s="91"/>
      <c r="W1151" s="91"/>
    </row>
    <row r="1152">
      <c r="A1152" s="91"/>
      <c r="D1152" s="91"/>
      <c r="G1152" s="91"/>
      <c r="J1152" s="91"/>
      <c r="M1152" s="91"/>
      <c r="P1152" s="91"/>
      <c r="S1152" s="91"/>
      <c r="T1152" s="91"/>
      <c r="U1152" s="91"/>
      <c r="V1152" s="91"/>
      <c r="W1152" s="91"/>
    </row>
    <row r="1153">
      <c r="A1153" s="91"/>
      <c r="D1153" s="91"/>
      <c r="G1153" s="91"/>
      <c r="J1153" s="91"/>
      <c r="M1153" s="91"/>
      <c r="P1153" s="91"/>
      <c r="S1153" s="91"/>
      <c r="T1153" s="91"/>
      <c r="U1153" s="91"/>
      <c r="V1153" s="91"/>
      <c r="W1153" s="91"/>
    </row>
    <row r="1154">
      <c r="A1154" s="91"/>
      <c r="D1154" s="91"/>
      <c r="G1154" s="91"/>
      <c r="J1154" s="91"/>
      <c r="M1154" s="91"/>
      <c r="P1154" s="91"/>
      <c r="S1154" s="91"/>
      <c r="T1154" s="91"/>
      <c r="U1154" s="91"/>
      <c r="V1154" s="91"/>
      <c r="W1154" s="91"/>
    </row>
    <row r="1155">
      <c r="A1155" s="91"/>
      <c r="D1155" s="91"/>
      <c r="G1155" s="91"/>
      <c r="J1155" s="91"/>
      <c r="M1155" s="91"/>
      <c r="P1155" s="91"/>
      <c r="S1155" s="91"/>
      <c r="T1155" s="91"/>
      <c r="U1155" s="91"/>
      <c r="V1155" s="91"/>
      <c r="W1155" s="91"/>
    </row>
    <row r="1156">
      <c r="A1156" s="91"/>
      <c r="D1156" s="91"/>
      <c r="G1156" s="91"/>
      <c r="J1156" s="91"/>
      <c r="M1156" s="91"/>
      <c r="P1156" s="91"/>
      <c r="S1156" s="91"/>
      <c r="T1156" s="91"/>
      <c r="U1156" s="91"/>
      <c r="V1156" s="91"/>
      <c r="W1156" s="91"/>
    </row>
    <row r="1157">
      <c r="A1157" s="91"/>
      <c r="D1157" s="91"/>
      <c r="G1157" s="91"/>
      <c r="J1157" s="91"/>
      <c r="M1157" s="91"/>
      <c r="P1157" s="91"/>
      <c r="S1157" s="91"/>
      <c r="T1157" s="91"/>
      <c r="U1157" s="91"/>
      <c r="V1157" s="91"/>
      <c r="W1157" s="91"/>
    </row>
    <row r="1158">
      <c r="A1158" s="91"/>
      <c r="D1158" s="91"/>
      <c r="G1158" s="91"/>
      <c r="J1158" s="91"/>
      <c r="M1158" s="91"/>
      <c r="P1158" s="91"/>
      <c r="S1158" s="91"/>
      <c r="T1158" s="91"/>
      <c r="U1158" s="91"/>
      <c r="V1158" s="91"/>
      <c r="W1158" s="91"/>
    </row>
    <row r="1159">
      <c r="A1159" s="91"/>
      <c r="D1159" s="91"/>
      <c r="G1159" s="91"/>
      <c r="J1159" s="91"/>
      <c r="M1159" s="91"/>
      <c r="P1159" s="91"/>
      <c r="S1159" s="91"/>
      <c r="T1159" s="91"/>
      <c r="U1159" s="91"/>
      <c r="V1159" s="91"/>
      <c r="W1159" s="91"/>
    </row>
    <row r="1160">
      <c r="A1160" s="91"/>
      <c r="D1160" s="91"/>
      <c r="G1160" s="91"/>
      <c r="J1160" s="91"/>
      <c r="M1160" s="91"/>
      <c r="P1160" s="91"/>
      <c r="S1160" s="91"/>
      <c r="T1160" s="91"/>
      <c r="U1160" s="91"/>
      <c r="V1160" s="91"/>
      <c r="W1160" s="91"/>
    </row>
    <row r="1161">
      <c r="A1161" s="91"/>
      <c r="D1161" s="91"/>
      <c r="G1161" s="91"/>
      <c r="J1161" s="91"/>
      <c r="M1161" s="91"/>
      <c r="P1161" s="91"/>
      <c r="S1161" s="91"/>
      <c r="T1161" s="91"/>
      <c r="U1161" s="91"/>
      <c r="V1161" s="91"/>
      <c r="W1161" s="91"/>
    </row>
    <row r="1162">
      <c r="A1162" s="91"/>
      <c r="D1162" s="91"/>
      <c r="G1162" s="91"/>
      <c r="J1162" s="91"/>
      <c r="M1162" s="91"/>
      <c r="P1162" s="91"/>
      <c r="S1162" s="91"/>
      <c r="T1162" s="91"/>
      <c r="U1162" s="91"/>
      <c r="V1162" s="91"/>
      <c r="W1162" s="91"/>
    </row>
    <row r="1163">
      <c r="A1163" s="91"/>
      <c r="D1163" s="91"/>
      <c r="G1163" s="91"/>
      <c r="J1163" s="91"/>
      <c r="M1163" s="91"/>
      <c r="P1163" s="91"/>
      <c r="S1163" s="91"/>
      <c r="T1163" s="91"/>
      <c r="U1163" s="91"/>
      <c r="V1163" s="91"/>
      <c r="W1163" s="91"/>
    </row>
    <row r="1164">
      <c r="A1164" s="91"/>
      <c r="D1164" s="91"/>
      <c r="G1164" s="91"/>
      <c r="J1164" s="91"/>
      <c r="M1164" s="91"/>
      <c r="P1164" s="91"/>
      <c r="S1164" s="91"/>
      <c r="T1164" s="91"/>
      <c r="U1164" s="91"/>
      <c r="V1164" s="91"/>
      <c r="W1164" s="91"/>
    </row>
    <row r="1165">
      <c r="A1165" s="91"/>
      <c r="D1165" s="91"/>
      <c r="G1165" s="91"/>
      <c r="J1165" s="91"/>
      <c r="M1165" s="91"/>
      <c r="P1165" s="91"/>
      <c r="S1165" s="91"/>
      <c r="T1165" s="91"/>
      <c r="U1165" s="91"/>
      <c r="V1165" s="91"/>
      <c r="W1165" s="91"/>
    </row>
    <row r="1166">
      <c r="A1166" s="91"/>
      <c r="D1166" s="91"/>
      <c r="G1166" s="91"/>
      <c r="J1166" s="91"/>
      <c r="M1166" s="91"/>
      <c r="P1166" s="91"/>
      <c r="S1166" s="91"/>
      <c r="T1166" s="91"/>
      <c r="U1166" s="91"/>
      <c r="V1166" s="91"/>
      <c r="W1166" s="91"/>
    </row>
    <row r="1167">
      <c r="A1167" s="91"/>
      <c r="D1167" s="91"/>
      <c r="G1167" s="91"/>
      <c r="J1167" s="91"/>
      <c r="M1167" s="91"/>
      <c r="P1167" s="91"/>
      <c r="S1167" s="91"/>
      <c r="T1167" s="91"/>
      <c r="U1167" s="91"/>
      <c r="V1167" s="91"/>
      <c r="W1167" s="91"/>
    </row>
    <row r="1168">
      <c r="A1168" s="91"/>
      <c r="D1168" s="91"/>
      <c r="G1168" s="91"/>
      <c r="J1168" s="91"/>
      <c r="M1168" s="91"/>
      <c r="P1168" s="91"/>
      <c r="S1168" s="91"/>
      <c r="T1168" s="91"/>
      <c r="U1168" s="91"/>
      <c r="V1168" s="91"/>
      <c r="W1168" s="91"/>
    </row>
    <row r="1169">
      <c r="A1169" s="91"/>
      <c r="D1169" s="91"/>
      <c r="G1169" s="91"/>
      <c r="J1169" s="91"/>
      <c r="M1169" s="91"/>
      <c r="P1169" s="91"/>
      <c r="S1169" s="91"/>
      <c r="T1169" s="91"/>
      <c r="U1169" s="91"/>
      <c r="V1169" s="91"/>
      <c r="W1169" s="91"/>
    </row>
    <row r="1170">
      <c r="A1170" s="91"/>
      <c r="D1170" s="91"/>
      <c r="G1170" s="91"/>
      <c r="J1170" s="91"/>
      <c r="M1170" s="91"/>
      <c r="P1170" s="91"/>
      <c r="S1170" s="91"/>
      <c r="T1170" s="91"/>
      <c r="U1170" s="91"/>
      <c r="V1170" s="91"/>
      <c r="W1170" s="91"/>
    </row>
    <row r="1171">
      <c r="A1171" s="91"/>
      <c r="D1171" s="91"/>
      <c r="G1171" s="91"/>
      <c r="J1171" s="91"/>
      <c r="M1171" s="91"/>
      <c r="P1171" s="91"/>
      <c r="S1171" s="91"/>
      <c r="T1171" s="91"/>
      <c r="U1171" s="91"/>
      <c r="V1171" s="91"/>
      <c r="W1171" s="91"/>
    </row>
    <row r="1172">
      <c r="A1172" s="91"/>
      <c r="D1172" s="91"/>
      <c r="G1172" s="91"/>
      <c r="J1172" s="91"/>
      <c r="M1172" s="91"/>
      <c r="P1172" s="91"/>
      <c r="S1172" s="91"/>
      <c r="T1172" s="91"/>
      <c r="U1172" s="91"/>
      <c r="V1172" s="91"/>
      <c r="W1172" s="91"/>
    </row>
    <row r="1173">
      <c r="A1173" s="91"/>
      <c r="D1173" s="91"/>
      <c r="G1173" s="91"/>
      <c r="J1173" s="91"/>
      <c r="M1173" s="91"/>
      <c r="P1173" s="91"/>
      <c r="S1173" s="91"/>
      <c r="T1173" s="91"/>
      <c r="U1173" s="91"/>
      <c r="V1173" s="91"/>
      <c r="W1173" s="91"/>
    </row>
    <row r="1174">
      <c r="A1174" s="91"/>
      <c r="D1174" s="91"/>
      <c r="G1174" s="91"/>
      <c r="J1174" s="91"/>
      <c r="M1174" s="91"/>
      <c r="P1174" s="91"/>
      <c r="S1174" s="91"/>
      <c r="T1174" s="91"/>
      <c r="U1174" s="91"/>
      <c r="V1174" s="91"/>
      <c r="W1174" s="91"/>
    </row>
    <row r="1175">
      <c r="A1175" s="91"/>
      <c r="D1175" s="91"/>
      <c r="G1175" s="91"/>
      <c r="J1175" s="91"/>
      <c r="M1175" s="91"/>
      <c r="P1175" s="91"/>
      <c r="S1175" s="91"/>
      <c r="T1175" s="91"/>
      <c r="U1175" s="91"/>
      <c r="V1175" s="91"/>
      <c r="W1175" s="91"/>
    </row>
    <row r="1176">
      <c r="A1176" s="91"/>
      <c r="D1176" s="91"/>
      <c r="G1176" s="91"/>
      <c r="J1176" s="91"/>
      <c r="M1176" s="91"/>
      <c r="P1176" s="91"/>
      <c r="S1176" s="91"/>
      <c r="T1176" s="91"/>
      <c r="U1176" s="91"/>
      <c r="V1176" s="91"/>
      <c r="W1176" s="91"/>
    </row>
    <row r="1177">
      <c r="A1177" s="91"/>
      <c r="D1177" s="91"/>
      <c r="G1177" s="91"/>
      <c r="J1177" s="91"/>
      <c r="M1177" s="91"/>
      <c r="P1177" s="91"/>
      <c r="S1177" s="91"/>
      <c r="T1177" s="91"/>
      <c r="U1177" s="91"/>
      <c r="V1177" s="91"/>
      <c r="W1177" s="91"/>
    </row>
    <row r="1178">
      <c r="A1178" s="91"/>
      <c r="D1178" s="91"/>
      <c r="G1178" s="91"/>
      <c r="J1178" s="91"/>
      <c r="M1178" s="91"/>
      <c r="P1178" s="91"/>
      <c r="S1178" s="91"/>
      <c r="T1178" s="91"/>
      <c r="U1178" s="91"/>
      <c r="V1178" s="91"/>
      <c r="W1178" s="91"/>
    </row>
    <row r="1179">
      <c r="A1179" s="91"/>
      <c r="D1179" s="91"/>
      <c r="G1179" s="91"/>
      <c r="J1179" s="91"/>
      <c r="M1179" s="91"/>
      <c r="P1179" s="91"/>
      <c r="S1179" s="91"/>
      <c r="T1179" s="91"/>
      <c r="U1179" s="91"/>
      <c r="V1179" s="91"/>
      <c r="W1179" s="91"/>
    </row>
    <row r="1180">
      <c r="A1180" s="91"/>
      <c r="D1180" s="91"/>
      <c r="G1180" s="91"/>
      <c r="J1180" s="91"/>
      <c r="M1180" s="91"/>
      <c r="P1180" s="91"/>
      <c r="S1180" s="91"/>
      <c r="T1180" s="91"/>
      <c r="U1180" s="91"/>
      <c r="V1180" s="91"/>
      <c r="W1180" s="91"/>
    </row>
    <row r="1181">
      <c r="A1181" s="91"/>
      <c r="D1181" s="91"/>
      <c r="G1181" s="91"/>
      <c r="J1181" s="91"/>
      <c r="M1181" s="91"/>
      <c r="P1181" s="91"/>
      <c r="S1181" s="91"/>
      <c r="T1181" s="91"/>
      <c r="U1181" s="91"/>
      <c r="V1181" s="91"/>
      <c r="W1181" s="91"/>
    </row>
    <row r="1182">
      <c r="A1182" s="91"/>
      <c r="D1182" s="91"/>
      <c r="G1182" s="91"/>
      <c r="J1182" s="91"/>
      <c r="M1182" s="91"/>
      <c r="P1182" s="91"/>
      <c r="S1182" s="91"/>
      <c r="T1182" s="91"/>
      <c r="U1182" s="91"/>
      <c r="V1182" s="91"/>
      <c r="W1182" s="91"/>
    </row>
    <row r="1183">
      <c r="A1183" s="91"/>
      <c r="D1183" s="91"/>
      <c r="G1183" s="91"/>
      <c r="J1183" s="91"/>
      <c r="M1183" s="91"/>
      <c r="P1183" s="91"/>
      <c r="S1183" s="91"/>
      <c r="T1183" s="91"/>
      <c r="U1183" s="91"/>
      <c r="V1183" s="91"/>
      <c r="W1183" s="91"/>
    </row>
    <row r="1184">
      <c r="A1184" s="91"/>
      <c r="D1184" s="91"/>
      <c r="G1184" s="91"/>
      <c r="J1184" s="91"/>
      <c r="M1184" s="91"/>
      <c r="P1184" s="91"/>
      <c r="S1184" s="91"/>
      <c r="T1184" s="91"/>
      <c r="U1184" s="91"/>
      <c r="V1184" s="91"/>
      <c r="W1184" s="91"/>
    </row>
    <row r="1185">
      <c r="A1185" s="91"/>
      <c r="D1185" s="91"/>
      <c r="G1185" s="91"/>
      <c r="J1185" s="91"/>
      <c r="M1185" s="91"/>
      <c r="P1185" s="91"/>
      <c r="S1185" s="91"/>
      <c r="T1185" s="91"/>
      <c r="U1185" s="91"/>
      <c r="V1185" s="91"/>
      <c r="W1185" s="91"/>
    </row>
    <row r="1186">
      <c r="A1186" s="91"/>
      <c r="D1186" s="91"/>
      <c r="G1186" s="91"/>
      <c r="J1186" s="91"/>
      <c r="M1186" s="91"/>
      <c r="P1186" s="91"/>
      <c r="S1186" s="91"/>
      <c r="T1186" s="91"/>
      <c r="U1186" s="91"/>
      <c r="V1186" s="91"/>
      <c r="W1186" s="91"/>
    </row>
    <row r="1187">
      <c r="A1187" s="91"/>
      <c r="D1187" s="91"/>
      <c r="G1187" s="91"/>
      <c r="J1187" s="91"/>
      <c r="M1187" s="91"/>
      <c r="P1187" s="91"/>
      <c r="S1187" s="91"/>
      <c r="T1187" s="91"/>
      <c r="U1187" s="91"/>
      <c r="V1187" s="91"/>
      <c r="W1187" s="91"/>
    </row>
    <row r="1188">
      <c r="A1188" s="91"/>
      <c r="D1188" s="91"/>
      <c r="G1188" s="91"/>
      <c r="J1188" s="91"/>
      <c r="M1188" s="91"/>
      <c r="P1188" s="91"/>
      <c r="S1188" s="91"/>
      <c r="T1188" s="91"/>
      <c r="U1188" s="91"/>
      <c r="V1188" s="91"/>
      <c r="W1188" s="91"/>
    </row>
    <row r="1189">
      <c r="A1189" s="91"/>
      <c r="D1189" s="91"/>
      <c r="G1189" s="91"/>
      <c r="J1189" s="91"/>
      <c r="M1189" s="91"/>
      <c r="P1189" s="91"/>
      <c r="S1189" s="91"/>
      <c r="T1189" s="91"/>
      <c r="U1189" s="91"/>
      <c r="V1189" s="91"/>
      <c r="W1189" s="91"/>
    </row>
    <row r="1190">
      <c r="A1190" s="91"/>
      <c r="D1190" s="91"/>
      <c r="G1190" s="91"/>
      <c r="J1190" s="91"/>
      <c r="M1190" s="91"/>
      <c r="P1190" s="91"/>
      <c r="S1190" s="91"/>
      <c r="T1190" s="91"/>
      <c r="U1190" s="91"/>
      <c r="V1190" s="91"/>
      <c r="W1190" s="91"/>
    </row>
    <row r="1191">
      <c r="A1191" s="91"/>
      <c r="D1191" s="91"/>
      <c r="G1191" s="91"/>
      <c r="J1191" s="91"/>
      <c r="M1191" s="91"/>
      <c r="P1191" s="91"/>
      <c r="S1191" s="91"/>
      <c r="T1191" s="91"/>
      <c r="U1191" s="91"/>
      <c r="V1191" s="91"/>
      <c r="W1191" s="91"/>
    </row>
    <row r="1192">
      <c r="A1192" s="91"/>
      <c r="D1192" s="91"/>
      <c r="G1192" s="91"/>
      <c r="J1192" s="91"/>
      <c r="M1192" s="91"/>
      <c r="P1192" s="91"/>
      <c r="S1192" s="91"/>
      <c r="T1192" s="91"/>
      <c r="U1192" s="91"/>
      <c r="V1192" s="91"/>
      <c r="W1192" s="91"/>
    </row>
    <row r="1193">
      <c r="A1193" s="91"/>
      <c r="D1193" s="91"/>
      <c r="G1193" s="91"/>
      <c r="J1193" s="91"/>
      <c r="M1193" s="91"/>
      <c r="P1193" s="91"/>
      <c r="S1193" s="91"/>
      <c r="T1193" s="91"/>
      <c r="U1193" s="91"/>
      <c r="V1193" s="91"/>
      <c r="W1193" s="91"/>
    </row>
    <row r="1194">
      <c r="A1194" s="91"/>
      <c r="D1194" s="91"/>
      <c r="G1194" s="91"/>
      <c r="J1194" s="91"/>
      <c r="M1194" s="91"/>
      <c r="P1194" s="91"/>
      <c r="S1194" s="91"/>
      <c r="T1194" s="91"/>
      <c r="U1194" s="91"/>
      <c r="V1194" s="91"/>
      <c r="W1194" s="91"/>
    </row>
    <row r="1195">
      <c r="A1195" s="91"/>
      <c r="D1195" s="91"/>
      <c r="G1195" s="91"/>
      <c r="J1195" s="91"/>
      <c r="M1195" s="91"/>
      <c r="P1195" s="91"/>
      <c r="S1195" s="91"/>
      <c r="T1195" s="91"/>
      <c r="U1195" s="91"/>
      <c r="V1195" s="91"/>
      <c r="W1195" s="91"/>
    </row>
    <row r="1196">
      <c r="A1196" s="91"/>
      <c r="D1196" s="91"/>
      <c r="G1196" s="91"/>
      <c r="J1196" s="91"/>
      <c r="M1196" s="91"/>
      <c r="P1196" s="91"/>
      <c r="S1196" s="91"/>
      <c r="T1196" s="91"/>
      <c r="U1196" s="91"/>
      <c r="V1196" s="91"/>
      <c r="W1196" s="91"/>
    </row>
    <row r="1197">
      <c r="A1197" s="91"/>
      <c r="D1197" s="91"/>
      <c r="G1197" s="91"/>
      <c r="J1197" s="91"/>
      <c r="M1197" s="91"/>
      <c r="P1197" s="91"/>
      <c r="S1197" s="91"/>
      <c r="T1197" s="91"/>
      <c r="U1197" s="91"/>
      <c r="V1197" s="91"/>
      <c r="W1197" s="91"/>
    </row>
    <row r="1198">
      <c r="A1198" s="91"/>
      <c r="D1198" s="91"/>
      <c r="G1198" s="91"/>
      <c r="J1198" s="91"/>
      <c r="M1198" s="91"/>
      <c r="P1198" s="91"/>
      <c r="S1198" s="91"/>
      <c r="T1198" s="91"/>
      <c r="U1198" s="91"/>
      <c r="V1198" s="91"/>
      <c r="W1198" s="91"/>
    </row>
    <row r="1199">
      <c r="A1199" s="91"/>
      <c r="D1199" s="91"/>
      <c r="G1199" s="91"/>
      <c r="J1199" s="91"/>
      <c r="M1199" s="91"/>
      <c r="P1199" s="91"/>
      <c r="S1199" s="91"/>
      <c r="T1199" s="91"/>
      <c r="U1199" s="91"/>
      <c r="V1199" s="91"/>
      <c r="W1199" s="91"/>
    </row>
    <row r="1200">
      <c r="A1200" s="91"/>
      <c r="D1200" s="91"/>
      <c r="G1200" s="91"/>
      <c r="J1200" s="91"/>
      <c r="M1200" s="91"/>
      <c r="P1200" s="91"/>
      <c r="S1200" s="91"/>
      <c r="T1200" s="91"/>
      <c r="U1200" s="91"/>
      <c r="V1200" s="91"/>
      <c r="W1200" s="91"/>
    </row>
    <row r="1201">
      <c r="A1201" s="91"/>
      <c r="D1201" s="91"/>
      <c r="G1201" s="91"/>
      <c r="J1201" s="91"/>
      <c r="M1201" s="91"/>
      <c r="P1201" s="91"/>
      <c r="S1201" s="91"/>
      <c r="T1201" s="91"/>
      <c r="U1201" s="91"/>
      <c r="V1201" s="91"/>
      <c r="W1201" s="91"/>
    </row>
    <row r="1202">
      <c r="A1202" s="91"/>
      <c r="D1202" s="91"/>
      <c r="G1202" s="91"/>
      <c r="J1202" s="91"/>
      <c r="M1202" s="91"/>
      <c r="P1202" s="91"/>
      <c r="S1202" s="91"/>
      <c r="T1202" s="91"/>
      <c r="U1202" s="91"/>
      <c r="V1202" s="91"/>
      <c r="W1202" s="91"/>
    </row>
    <row r="1203">
      <c r="A1203" s="91"/>
      <c r="D1203" s="91"/>
      <c r="G1203" s="91"/>
      <c r="J1203" s="91"/>
      <c r="M1203" s="91"/>
      <c r="P1203" s="91"/>
      <c r="S1203" s="91"/>
      <c r="T1203" s="91"/>
      <c r="U1203" s="91"/>
      <c r="V1203" s="91"/>
      <c r="W1203" s="91"/>
    </row>
    <row r="1204">
      <c r="A1204" s="91"/>
      <c r="D1204" s="91"/>
      <c r="G1204" s="91"/>
      <c r="J1204" s="91"/>
      <c r="M1204" s="91"/>
      <c r="P1204" s="91"/>
      <c r="S1204" s="91"/>
      <c r="T1204" s="91"/>
      <c r="U1204" s="91"/>
      <c r="V1204" s="91"/>
      <c r="W1204" s="91"/>
    </row>
    <row r="1205">
      <c r="A1205" s="91"/>
      <c r="D1205" s="91"/>
      <c r="G1205" s="91"/>
      <c r="J1205" s="91"/>
      <c r="M1205" s="91"/>
      <c r="P1205" s="91"/>
      <c r="S1205" s="91"/>
      <c r="T1205" s="91"/>
      <c r="U1205" s="91"/>
      <c r="V1205" s="91"/>
      <c r="W1205" s="91"/>
    </row>
    <row r="1206">
      <c r="A1206" s="91"/>
      <c r="D1206" s="91"/>
      <c r="G1206" s="91"/>
      <c r="J1206" s="91"/>
      <c r="M1206" s="91"/>
      <c r="P1206" s="91"/>
      <c r="S1206" s="91"/>
      <c r="T1206" s="91"/>
      <c r="U1206" s="91"/>
      <c r="V1206" s="91"/>
      <c r="W1206" s="91"/>
    </row>
    <row r="1207">
      <c r="A1207" s="91"/>
      <c r="D1207" s="91"/>
      <c r="G1207" s="91"/>
      <c r="J1207" s="91"/>
      <c r="M1207" s="91"/>
      <c r="P1207" s="91"/>
      <c r="S1207" s="91"/>
      <c r="T1207" s="91"/>
      <c r="U1207" s="91"/>
      <c r="V1207" s="91"/>
      <c r="W1207" s="91"/>
    </row>
    <row r="1208">
      <c r="A1208" s="91"/>
      <c r="D1208" s="91"/>
      <c r="G1208" s="91"/>
      <c r="J1208" s="91"/>
      <c r="M1208" s="91"/>
      <c r="P1208" s="91"/>
      <c r="S1208" s="91"/>
      <c r="T1208" s="91"/>
      <c r="U1208" s="91"/>
      <c r="V1208" s="91"/>
      <c r="W1208" s="91"/>
    </row>
    <row r="1209">
      <c r="A1209" s="91"/>
      <c r="D1209" s="91"/>
      <c r="G1209" s="91"/>
      <c r="J1209" s="91"/>
      <c r="M1209" s="91"/>
      <c r="P1209" s="91"/>
      <c r="S1209" s="91"/>
      <c r="T1209" s="91"/>
      <c r="U1209" s="91"/>
      <c r="V1209" s="91"/>
      <c r="W1209" s="91"/>
    </row>
    <row r="1210">
      <c r="A1210" s="91"/>
      <c r="D1210" s="91"/>
      <c r="G1210" s="91"/>
      <c r="J1210" s="91"/>
      <c r="M1210" s="91"/>
      <c r="P1210" s="91"/>
      <c r="S1210" s="91"/>
      <c r="T1210" s="91"/>
      <c r="U1210" s="91"/>
      <c r="V1210" s="91"/>
      <c r="W1210" s="91"/>
    </row>
    <row r="1211">
      <c r="A1211" s="91"/>
      <c r="D1211" s="91"/>
      <c r="G1211" s="91"/>
      <c r="J1211" s="91"/>
      <c r="M1211" s="91"/>
      <c r="P1211" s="91"/>
      <c r="S1211" s="91"/>
      <c r="T1211" s="91"/>
      <c r="U1211" s="91"/>
      <c r="V1211" s="91"/>
      <c r="W1211" s="91"/>
    </row>
    <row r="1212">
      <c r="A1212" s="91"/>
      <c r="D1212" s="91"/>
      <c r="G1212" s="91"/>
      <c r="J1212" s="91"/>
      <c r="M1212" s="91"/>
      <c r="P1212" s="91"/>
      <c r="S1212" s="91"/>
      <c r="T1212" s="91"/>
      <c r="U1212" s="91"/>
      <c r="V1212" s="91"/>
      <c r="W1212" s="91"/>
    </row>
    <row r="1213">
      <c r="A1213" s="91"/>
      <c r="D1213" s="91"/>
      <c r="G1213" s="91"/>
      <c r="J1213" s="91"/>
      <c r="M1213" s="91"/>
      <c r="P1213" s="91"/>
      <c r="S1213" s="91"/>
      <c r="T1213" s="91"/>
      <c r="U1213" s="91"/>
      <c r="V1213" s="91"/>
      <c r="W1213" s="91"/>
    </row>
    <row r="1214">
      <c r="A1214" s="91"/>
      <c r="D1214" s="91"/>
      <c r="G1214" s="91"/>
      <c r="J1214" s="91"/>
      <c r="M1214" s="91"/>
      <c r="P1214" s="91"/>
      <c r="S1214" s="91"/>
      <c r="T1214" s="91"/>
      <c r="U1214" s="91"/>
      <c r="V1214" s="91"/>
      <c r="W1214" s="91"/>
    </row>
    <row r="1215">
      <c r="A1215" s="91"/>
      <c r="D1215" s="91"/>
      <c r="G1215" s="91"/>
      <c r="J1215" s="91"/>
      <c r="M1215" s="91"/>
      <c r="P1215" s="91"/>
      <c r="S1215" s="91"/>
      <c r="T1215" s="91"/>
      <c r="U1215" s="91"/>
      <c r="V1215" s="91"/>
      <c r="W1215" s="91"/>
    </row>
    <row r="1216">
      <c r="A1216" s="91"/>
      <c r="D1216" s="91"/>
      <c r="G1216" s="91"/>
      <c r="J1216" s="91"/>
      <c r="M1216" s="91"/>
      <c r="P1216" s="91"/>
      <c r="S1216" s="91"/>
      <c r="T1216" s="91"/>
      <c r="U1216" s="91"/>
      <c r="V1216" s="91"/>
      <c r="W1216" s="91"/>
    </row>
    <row r="1217">
      <c r="A1217" s="91"/>
      <c r="D1217" s="91"/>
      <c r="G1217" s="91"/>
      <c r="J1217" s="91"/>
      <c r="M1217" s="91"/>
      <c r="P1217" s="91"/>
      <c r="S1217" s="91"/>
      <c r="T1217" s="91"/>
      <c r="U1217" s="91"/>
      <c r="V1217" s="91"/>
      <c r="W1217" s="91"/>
    </row>
    <row r="1218">
      <c r="A1218" s="91"/>
      <c r="D1218" s="91"/>
      <c r="G1218" s="91"/>
      <c r="J1218" s="91"/>
      <c r="M1218" s="91"/>
      <c r="P1218" s="91"/>
      <c r="S1218" s="91"/>
      <c r="T1218" s="91"/>
      <c r="U1218" s="91"/>
      <c r="V1218" s="91"/>
      <c r="W1218" s="91"/>
    </row>
    <row r="1219">
      <c r="A1219" s="91"/>
      <c r="D1219" s="91"/>
      <c r="G1219" s="91"/>
      <c r="J1219" s="91"/>
      <c r="M1219" s="91"/>
      <c r="P1219" s="91"/>
      <c r="S1219" s="91"/>
      <c r="T1219" s="91"/>
      <c r="U1219" s="91"/>
      <c r="V1219" s="91"/>
      <c r="W1219" s="91"/>
    </row>
    <row r="1220">
      <c r="A1220" s="91"/>
      <c r="D1220" s="91"/>
      <c r="G1220" s="91"/>
      <c r="J1220" s="91"/>
      <c r="M1220" s="91"/>
      <c r="P1220" s="91"/>
      <c r="S1220" s="91"/>
      <c r="T1220" s="91"/>
      <c r="U1220" s="91"/>
      <c r="V1220" s="91"/>
      <c r="W1220" s="91"/>
    </row>
    <row r="1221">
      <c r="A1221" s="91"/>
      <c r="D1221" s="91"/>
      <c r="G1221" s="91"/>
      <c r="J1221" s="91"/>
      <c r="M1221" s="91"/>
      <c r="P1221" s="91"/>
      <c r="S1221" s="91"/>
      <c r="T1221" s="91"/>
      <c r="U1221" s="91"/>
      <c r="V1221" s="91"/>
      <c r="W1221" s="91"/>
    </row>
    <row r="1222">
      <c r="A1222" s="91"/>
      <c r="D1222" s="91"/>
      <c r="G1222" s="91"/>
      <c r="J1222" s="91"/>
      <c r="M1222" s="91"/>
      <c r="P1222" s="91"/>
      <c r="S1222" s="91"/>
      <c r="T1222" s="91"/>
      <c r="U1222" s="91"/>
      <c r="V1222" s="91"/>
      <c r="W1222" s="91"/>
    </row>
    <row r="1223">
      <c r="A1223" s="91"/>
      <c r="D1223" s="91"/>
      <c r="G1223" s="91"/>
      <c r="J1223" s="91"/>
      <c r="M1223" s="91"/>
      <c r="P1223" s="91"/>
      <c r="S1223" s="91"/>
      <c r="T1223" s="91"/>
      <c r="U1223" s="91"/>
      <c r="V1223" s="91"/>
      <c r="W1223" s="91"/>
    </row>
    <row r="1224">
      <c r="A1224" s="91"/>
      <c r="D1224" s="91"/>
      <c r="G1224" s="91"/>
      <c r="J1224" s="91"/>
      <c r="M1224" s="91"/>
      <c r="P1224" s="91"/>
      <c r="S1224" s="91"/>
      <c r="T1224" s="91"/>
      <c r="U1224" s="91"/>
      <c r="V1224" s="91"/>
      <c r="W1224" s="91"/>
    </row>
    <row r="1225">
      <c r="A1225" s="91"/>
      <c r="D1225" s="91"/>
      <c r="G1225" s="91"/>
      <c r="J1225" s="91"/>
      <c r="M1225" s="91"/>
      <c r="P1225" s="91"/>
      <c r="S1225" s="91"/>
      <c r="T1225" s="91"/>
      <c r="U1225" s="91"/>
      <c r="V1225" s="91"/>
      <c r="W1225" s="91"/>
    </row>
    <row r="1226">
      <c r="A1226" s="91"/>
      <c r="D1226" s="91"/>
      <c r="G1226" s="91"/>
      <c r="J1226" s="91"/>
      <c r="M1226" s="91"/>
      <c r="P1226" s="91"/>
      <c r="S1226" s="91"/>
      <c r="T1226" s="91"/>
      <c r="U1226" s="91"/>
      <c r="V1226" s="91"/>
      <c r="W1226" s="91"/>
    </row>
    <row r="1227">
      <c r="A1227" s="91"/>
      <c r="D1227" s="91"/>
      <c r="G1227" s="91"/>
      <c r="J1227" s="91"/>
      <c r="M1227" s="91"/>
      <c r="P1227" s="91"/>
      <c r="S1227" s="91"/>
      <c r="T1227" s="91"/>
      <c r="U1227" s="91"/>
      <c r="V1227" s="91"/>
      <c r="W1227" s="91"/>
    </row>
    <row r="1228">
      <c r="A1228" s="91"/>
      <c r="D1228" s="91"/>
      <c r="G1228" s="91"/>
      <c r="J1228" s="91"/>
      <c r="M1228" s="91"/>
      <c r="P1228" s="91"/>
      <c r="S1228" s="91"/>
      <c r="T1228" s="91"/>
      <c r="U1228" s="91"/>
      <c r="V1228" s="91"/>
      <c r="W1228" s="91"/>
    </row>
    <row r="1229">
      <c r="A1229" s="91"/>
      <c r="D1229" s="91"/>
      <c r="G1229" s="91"/>
      <c r="J1229" s="91"/>
      <c r="M1229" s="91"/>
      <c r="P1229" s="91"/>
      <c r="S1229" s="91"/>
      <c r="T1229" s="91"/>
      <c r="U1229" s="91"/>
      <c r="V1229" s="91"/>
      <c r="W1229" s="91"/>
    </row>
    <row r="1230">
      <c r="A1230" s="91"/>
      <c r="D1230" s="91"/>
      <c r="G1230" s="91"/>
      <c r="J1230" s="91"/>
      <c r="M1230" s="91"/>
      <c r="P1230" s="91"/>
      <c r="S1230" s="91"/>
      <c r="T1230" s="91"/>
      <c r="U1230" s="91"/>
      <c r="V1230" s="91"/>
      <c r="W1230" s="91"/>
    </row>
    <row r="1231">
      <c r="A1231" s="91"/>
      <c r="D1231" s="91"/>
      <c r="G1231" s="91"/>
      <c r="J1231" s="91"/>
      <c r="M1231" s="91"/>
      <c r="P1231" s="91"/>
      <c r="S1231" s="91"/>
      <c r="T1231" s="91"/>
      <c r="U1231" s="91"/>
      <c r="V1231" s="91"/>
      <c r="W1231" s="91"/>
    </row>
    <row r="1232">
      <c r="A1232" s="91"/>
      <c r="D1232" s="91"/>
      <c r="G1232" s="91"/>
      <c r="J1232" s="91"/>
      <c r="M1232" s="91"/>
      <c r="P1232" s="91"/>
      <c r="S1232" s="91"/>
      <c r="T1232" s="91"/>
      <c r="U1232" s="91"/>
      <c r="V1232" s="91"/>
      <c r="W1232" s="91"/>
    </row>
    <row r="1233">
      <c r="A1233" s="91"/>
      <c r="D1233" s="91"/>
      <c r="G1233" s="91"/>
      <c r="J1233" s="91"/>
      <c r="M1233" s="91"/>
      <c r="P1233" s="91"/>
      <c r="S1233" s="91"/>
      <c r="T1233" s="91"/>
      <c r="U1233" s="91"/>
      <c r="V1233" s="91"/>
      <c r="W1233" s="91"/>
    </row>
    <row r="1234">
      <c r="A1234" s="91"/>
      <c r="D1234" s="91"/>
      <c r="G1234" s="91"/>
      <c r="J1234" s="91"/>
      <c r="M1234" s="91"/>
      <c r="P1234" s="91"/>
      <c r="S1234" s="91"/>
      <c r="T1234" s="91"/>
      <c r="U1234" s="91"/>
      <c r="V1234" s="91"/>
      <c r="W1234" s="91"/>
    </row>
    <row r="1235">
      <c r="A1235" s="91"/>
      <c r="D1235" s="91"/>
      <c r="G1235" s="91"/>
      <c r="J1235" s="91"/>
      <c r="M1235" s="91"/>
      <c r="P1235" s="91"/>
      <c r="S1235" s="91"/>
      <c r="T1235" s="91"/>
      <c r="U1235" s="91"/>
      <c r="V1235" s="91"/>
      <c r="W1235" s="91"/>
    </row>
    <row r="1236">
      <c r="A1236" s="91"/>
      <c r="D1236" s="91"/>
      <c r="G1236" s="91"/>
      <c r="J1236" s="91"/>
      <c r="M1236" s="91"/>
      <c r="P1236" s="91"/>
      <c r="S1236" s="91"/>
      <c r="T1236" s="91"/>
      <c r="U1236" s="91"/>
      <c r="V1236" s="91"/>
      <c r="W1236" s="91"/>
    </row>
    <row r="1237">
      <c r="A1237" s="91"/>
      <c r="D1237" s="91"/>
      <c r="G1237" s="91"/>
      <c r="J1237" s="91"/>
      <c r="M1237" s="91"/>
      <c r="P1237" s="91"/>
      <c r="S1237" s="91"/>
      <c r="T1237" s="91"/>
      <c r="U1237" s="91"/>
      <c r="V1237" s="91"/>
      <c r="W1237" s="91"/>
    </row>
    <row r="1238">
      <c r="A1238" s="91"/>
      <c r="D1238" s="91"/>
      <c r="G1238" s="91"/>
      <c r="J1238" s="91"/>
      <c r="M1238" s="91"/>
      <c r="P1238" s="91"/>
      <c r="S1238" s="91"/>
      <c r="T1238" s="91"/>
      <c r="U1238" s="91"/>
      <c r="V1238" s="91"/>
      <c r="W1238" s="91"/>
    </row>
    <row r="1239">
      <c r="A1239" s="91"/>
      <c r="D1239" s="91"/>
      <c r="G1239" s="91"/>
      <c r="J1239" s="91"/>
      <c r="M1239" s="91"/>
      <c r="P1239" s="91"/>
      <c r="S1239" s="91"/>
      <c r="T1239" s="91"/>
      <c r="U1239" s="91"/>
      <c r="V1239" s="91"/>
      <c r="W1239" s="91"/>
    </row>
    <row r="1240">
      <c r="A1240" s="91"/>
      <c r="D1240" s="91"/>
      <c r="G1240" s="91"/>
      <c r="J1240" s="91"/>
      <c r="M1240" s="91"/>
      <c r="P1240" s="91"/>
      <c r="S1240" s="91"/>
      <c r="T1240" s="91"/>
      <c r="U1240" s="91"/>
      <c r="V1240" s="91"/>
      <c r="W1240" s="91"/>
    </row>
    <row r="1241">
      <c r="A1241" s="91"/>
      <c r="D1241" s="91"/>
      <c r="G1241" s="91"/>
      <c r="J1241" s="91"/>
      <c r="M1241" s="91"/>
      <c r="P1241" s="91"/>
      <c r="S1241" s="91"/>
      <c r="T1241" s="91"/>
      <c r="U1241" s="91"/>
      <c r="V1241" s="91"/>
      <c r="W1241" s="91"/>
    </row>
    <row r="1242">
      <c r="A1242" s="91"/>
      <c r="D1242" s="91"/>
      <c r="G1242" s="91"/>
      <c r="J1242" s="91"/>
      <c r="M1242" s="91"/>
      <c r="P1242" s="91"/>
      <c r="S1242" s="91"/>
      <c r="T1242" s="91"/>
      <c r="U1242" s="91"/>
      <c r="V1242" s="91"/>
      <c r="W1242" s="91"/>
    </row>
    <row r="1243">
      <c r="A1243" s="91"/>
      <c r="D1243" s="91"/>
      <c r="G1243" s="91"/>
      <c r="J1243" s="91"/>
      <c r="M1243" s="91"/>
      <c r="P1243" s="91"/>
      <c r="S1243" s="91"/>
      <c r="T1243" s="91"/>
      <c r="U1243" s="91"/>
      <c r="V1243" s="91"/>
      <c r="W1243" s="91"/>
    </row>
    <row r="1244">
      <c r="A1244" s="91"/>
      <c r="D1244" s="91"/>
      <c r="G1244" s="91"/>
      <c r="J1244" s="91"/>
      <c r="M1244" s="91"/>
      <c r="P1244" s="91"/>
      <c r="S1244" s="91"/>
      <c r="T1244" s="91"/>
      <c r="U1244" s="91"/>
      <c r="V1244" s="91"/>
      <c r="W1244" s="91"/>
    </row>
    <row r="1245">
      <c r="A1245" s="91"/>
      <c r="D1245" s="91"/>
      <c r="G1245" s="91"/>
      <c r="J1245" s="91"/>
      <c r="M1245" s="91"/>
      <c r="P1245" s="91"/>
      <c r="S1245" s="91"/>
      <c r="T1245" s="91"/>
      <c r="U1245" s="91"/>
      <c r="V1245" s="91"/>
      <c r="W1245" s="91"/>
    </row>
    <row r="1246">
      <c r="A1246" s="91"/>
      <c r="D1246" s="91"/>
      <c r="G1246" s="91"/>
      <c r="J1246" s="91"/>
      <c r="M1246" s="91"/>
      <c r="P1246" s="91"/>
      <c r="S1246" s="91"/>
      <c r="T1246" s="91"/>
      <c r="U1246" s="91"/>
      <c r="V1246" s="91"/>
      <c r="W1246" s="91"/>
    </row>
    <row r="1247">
      <c r="A1247" s="91"/>
      <c r="D1247" s="91"/>
      <c r="G1247" s="91"/>
      <c r="J1247" s="91"/>
      <c r="M1247" s="91"/>
      <c r="P1247" s="91"/>
      <c r="S1247" s="91"/>
      <c r="T1247" s="91"/>
      <c r="U1247" s="91"/>
      <c r="V1247" s="91"/>
      <c r="W1247" s="91"/>
    </row>
    <row r="1248">
      <c r="A1248" s="91"/>
      <c r="D1248" s="91"/>
      <c r="G1248" s="91"/>
      <c r="J1248" s="91"/>
      <c r="M1248" s="91"/>
      <c r="P1248" s="91"/>
      <c r="S1248" s="91"/>
      <c r="T1248" s="91"/>
      <c r="U1248" s="91"/>
      <c r="V1248" s="91"/>
      <c r="W1248" s="91"/>
    </row>
    <row r="1249">
      <c r="A1249" s="91"/>
      <c r="D1249" s="91"/>
      <c r="G1249" s="91"/>
      <c r="J1249" s="91"/>
      <c r="M1249" s="91"/>
      <c r="P1249" s="91"/>
      <c r="S1249" s="91"/>
      <c r="T1249" s="91"/>
      <c r="U1249" s="91"/>
      <c r="V1249" s="91"/>
      <c r="W1249" s="91"/>
    </row>
    <row r="1250">
      <c r="A1250" s="91"/>
      <c r="D1250" s="91"/>
      <c r="G1250" s="91"/>
      <c r="J1250" s="91"/>
      <c r="M1250" s="91"/>
      <c r="P1250" s="91"/>
      <c r="S1250" s="91"/>
      <c r="T1250" s="91"/>
      <c r="U1250" s="91"/>
      <c r="V1250" s="91"/>
      <c r="W1250" s="91"/>
    </row>
    <row r="1251">
      <c r="A1251" s="91"/>
      <c r="D1251" s="91"/>
      <c r="G1251" s="91"/>
      <c r="J1251" s="91"/>
      <c r="M1251" s="91"/>
      <c r="P1251" s="91"/>
      <c r="S1251" s="91"/>
      <c r="T1251" s="91"/>
      <c r="U1251" s="91"/>
      <c r="V1251" s="91"/>
      <c r="W1251" s="91"/>
    </row>
    <row r="1252">
      <c r="A1252" s="91"/>
      <c r="D1252" s="91"/>
      <c r="G1252" s="91"/>
      <c r="J1252" s="91"/>
      <c r="M1252" s="91"/>
      <c r="P1252" s="91"/>
      <c r="S1252" s="91"/>
      <c r="T1252" s="91"/>
      <c r="U1252" s="91"/>
      <c r="V1252" s="91"/>
      <c r="W1252" s="91"/>
    </row>
    <row r="1253">
      <c r="A1253" s="91"/>
      <c r="D1253" s="91"/>
      <c r="G1253" s="91"/>
      <c r="J1253" s="91"/>
      <c r="M1253" s="91"/>
      <c r="P1253" s="91"/>
      <c r="S1253" s="91"/>
      <c r="T1253" s="91"/>
      <c r="U1253" s="91"/>
      <c r="V1253" s="91"/>
      <c r="W1253" s="91"/>
    </row>
    <row r="1254">
      <c r="A1254" s="91"/>
      <c r="D1254" s="91"/>
      <c r="G1254" s="91"/>
      <c r="J1254" s="91"/>
      <c r="M1254" s="91"/>
      <c r="P1254" s="91"/>
      <c r="S1254" s="91"/>
      <c r="T1254" s="91"/>
      <c r="U1254" s="91"/>
      <c r="V1254" s="91"/>
      <c r="W1254" s="91"/>
    </row>
    <row r="1255">
      <c r="A1255" s="91"/>
      <c r="D1255" s="91"/>
      <c r="G1255" s="91"/>
      <c r="J1255" s="91"/>
      <c r="M1255" s="91"/>
      <c r="P1255" s="91"/>
      <c r="S1255" s="91"/>
      <c r="T1255" s="91"/>
      <c r="U1255" s="91"/>
      <c r="V1255" s="91"/>
      <c r="W1255" s="91"/>
    </row>
    <row r="1256">
      <c r="A1256" s="91"/>
      <c r="D1256" s="91"/>
      <c r="G1256" s="91"/>
      <c r="J1256" s="91"/>
      <c r="M1256" s="91"/>
      <c r="P1256" s="91"/>
      <c r="S1256" s="91"/>
      <c r="T1256" s="91"/>
      <c r="U1256" s="91"/>
      <c r="V1256" s="91"/>
      <c r="W1256" s="91"/>
    </row>
    <row r="1257">
      <c r="A1257" s="91"/>
      <c r="D1257" s="91"/>
      <c r="G1257" s="91"/>
      <c r="J1257" s="91"/>
      <c r="M1257" s="91"/>
      <c r="P1257" s="91"/>
      <c r="S1257" s="91"/>
      <c r="T1257" s="91"/>
      <c r="U1257" s="91"/>
      <c r="V1257" s="91"/>
      <c r="W1257" s="91"/>
    </row>
    <row r="1258">
      <c r="A1258" s="91"/>
      <c r="D1258" s="91"/>
      <c r="G1258" s="91"/>
      <c r="J1258" s="91"/>
      <c r="M1258" s="91"/>
      <c r="P1258" s="91"/>
      <c r="S1258" s="91"/>
      <c r="T1258" s="91"/>
      <c r="U1258" s="91"/>
      <c r="V1258" s="91"/>
      <c r="W1258" s="91"/>
    </row>
    <row r="1259">
      <c r="A1259" s="91"/>
      <c r="D1259" s="91"/>
      <c r="G1259" s="91"/>
      <c r="J1259" s="91"/>
      <c r="M1259" s="91"/>
      <c r="P1259" s="91"/>
      <c r="S1259" s="91"/>
      <c r="T1259" s="91"/>
      <c r="U1259" s="91"/>
      <c r="V1259" s="91"/>
      <c r="W1259" s="91"/>
    </row>
    <row r="1260">
      <c r="A1260" s="91"/>
      <c r="D1260" s="91"/>
      <c r="G1260" s="91"/>
      <c r="J1260" s="91"/>
      <c r="M1260" s="91"/>
      <c r="P1260" s="91"/>
      <c r="S1260" s="91"/>
      <c r="T1260" s="91"/>
      <c r="U1260" s="91"/>
      <c r="V1260" s="91"/>
      <c r="W1260" s="91"/>
    </row>
    <row r="1261">
      <c r="A1261" s="91"/>
      <c r="D1261" s="91"/>
      <c r="G1261" s="91"/>
      <c r="J1261" s="91"/>
      <c r="M1261" s="91"/>
      <c r="P1261" s="91"/>
      <c r="S1261" s="91"/>
      <c r="T1261" s="91"/>
      <c r="U1261" s="91"/>
      <c r="V1261" s="91"/>
      <c r="W1261" s="91"/>
    </row>
    <row r="1262">
      <c r="A1262" s="91"/>
      <c r="D1262" s="91"/>
      <c r="G1262" s="91"/>
      <c r="J1262" s="91"/>
      <c r="M1262" s="91"/>
      <c r="P1262" s="91"/>
      <c r="S1262" s="91"/>
      <c r="T1262" s="91"/>
      <c r="U1262" s="91"/>
      <c r="V1262" s="91"/>
      <c r="W1262" s="91"/>
    </row>
    <row r="1263">
      <c r="A1263" s="91"/>
      <c r="D1263" s="91"/>
      <c r="G1263" s="91"/>
      <c r="J1263" s="91"/>
      <c r="M1263" s="91"/>
      <c r="P1263" s="91"/>
      <c r="S1263" s="91"/>
      <c r="T1263" s="91"/>
      <c r="U1263" s="91"/>
      <c r="V1263" s="91"/>
      <c r="W1263" s="91"/>
    </row>
    <row r="1264">
      <c r="A1264" s="91"/>
      <c r="D1264" s="91"/>
      <c r="G1264" s="91"/>
      <c r="J1264" s="91"/>
      <c r="M1264" s="91"/>
      <c r="P1264" s="91"/>
      <c r="S1264" s="91"/>
      <c r="T1264" s="91"/>
      <c r="U1264" s="91"/>
      <c r="V1264" s="91"/>
      <c r="W1264" s="91"/>
    </row>
    <row r="1265">
      <c r="A1265" s="91"/>
      <c r="D1265" s="91"/>
      <c r="G1265" s="91"/>
      <c r="J1265" s="91"/>
      <c r="M1265" s="91"/>
      <c r="P1265" s="91"/>
      <c r="S1265" s="91"/>
      <c r="T1265" s="91"/>
      <c r="U1265" s="91"/>
      <c r="V1265" s="91"/>
      <c r="W1265" s="91"/>
    </row>
    <row r="1266">
      <c r="A1266" s="91"/>
      <c r="D1266" s="91"/>
      <c r="G1266" s="91"/>
      <c r="J1266" s="91"/>
      <c r="M1266" s="91"/>
      <c r="P1266" s="91"/>
      <c r="S1266" s="91"/>
      <c r="T1266" s="91"/>
      <c r="U1266" s="91"/>
      <c r="V1266" s="91"/>
      <c r="W1266" s="91"/>
    </row>
    <row r="1267">
      <c r="A1267" s="91"/>
      <c r="D1267" s="91"/>
      <c r="G1267" s="91"/>
      <c r="J1267" s="91"/>
      <c r="M1267" s="91"/>
      <c r="P1267" s="91"/>
      <c r="S1267" s="91"/>
      <c r="T1267" s="91"/>
      <c r="U1267" s="91"/>
      <c r="V1267" s="91"/>
      <c r="W1267" s="91"/>
    </row>
    <row r="1268">
      <c r="A1268" s="91"/>
      <c r="D1268" s="91"/>
      <c r="G1268" s="91"/>
      <c r="J1268" s="91"/>
      <c r="M1268" s="91"/>
      <c r="P1268" s="91"/>
      <c r="S1268" s="91"/>
      <c r="T1268" s="91"/>
      <c r="U1268" s="91"/>
      <c r="V1268" s="91"/>
      <c r="W1268" s="91"/>
    </row>
    <row r="1269">
      <c r="A1269" s="91"/>
      <c r="D1269" s="91"/>
      <c r="G1269" s="91"/>
      <c r="J1269" s="91"/>
      <c r="M1269" s="91"/>
      <c r="P1269" s="91"/>
      <c r="S1269" s="91"/>
      <c r="T1269" s="91"/>
      <c r="U1269" s="91"/>
      <c r="V1269" s="91"/>
      <c r="W1269" s="91"/>
    </row>
    <row r="1270">
      <c r="A1270" s="91"/>
      <c r="D1270" s="91"/>
      <c r="G1270" s="91"/>
      <c r="J1270" s="91"/>
      <c r="M1270" s="91"/>
      <c r="P1270" s="91"/>
      <c r="S1270" s="91"/>
      <c r="T1270" s="91"/>
      <c r="U1270" s="91"/>
      <c r="V1270" s="91"/>
      <c r="W1270" s="91"/>
    </row>
    <row r="1271">
      <c r="A1271" s="91"/>
      <c r="D1271" s="91"/>
      <c r="G1271" s="91"/>
      <c r="J1271" s="91"/>
      <c r="M1271" s="91"/>
      <c r="P1271" s="91"/>
      <c r="S1271" s="91"/>
      <c r="T1271" s="91"/>
      <c r="U1271" s="91"/>
      <c r="V1271" s="91"/>
      <c r="W1271" s="91"/>
    </row>
    <row r="1272">
      <c r="A1272" s="91"/>
      <c r="D1272" s="91"/>
      <c r="G1272" s="91"/>
      <c r="J1272" s="91"/>
      <c r="M1272" s="91"/>
      <c r="P1272" s="91"/>
      <c r="S1272" s="91"/>
      <c r="T1272" s="91"/>
      <c r="U1272" s="91"/>
      <c r="V1272" s="91"/>
      <c r="W1272" s="91"/>
    </row>
    <row r="1273">
      <c r="A1273" s="91"/>
      <c r="D1273" s="91"/>
      <c r="G1273" s="91"/>
      <c r="J1273" s="91"/>
      <c r="M1273" s="91"/>
      <c r="P1273" s="91"/>
      <c r="S1273" s="91"/>
      <c r="T1273" s="91"/>
      <c r="U1273" s="91"/>
      <c r="V1273" s="91"/>
      <c r="W1273" s="91"/>
    </row>
    <row r="1274">
      <c r="A1274" s="91"/>
      <c r="D1274" s="91"/>
      <c r="G1274" s="91"/>
      <c r="J1274" s="91"/>
      <c r="M1274" s="91"/>
      <c r="P1274" s="91"/>
      <c r="S1274" s="91"/>
      <c r="T1274" s="91"/>
      <c r="U1274" s="91"/>
      <c r="V1274" s="91"/>
      <c r="W1274" s="91"/>
    </row>
    <row r="1275">
      <c r="A1275" s="91"/>
      <c r="D1275" s="91"/>
      <c r="G1275" s="91"/>
      <c r="J1275" s="91"/>
      <c r="M1275" s="91"/>
      <c r="P1275" s="91"/>
      <c r="S1275" s="91"/>
      <c r="T1275" s="91"/>
      <c r="U1275" s="91"/>
      <c r="V1275" s="91"/>
      <c r="W1275" s="91"/>
    </row>
    <row r="1276">
      <c r="A1276" s="91"/>
      <c r="D1276" s="91"/>
      <c r="G1276" s="91"/>
      <c r="J1276" s="91"/>
      <c r="M1276" s="91"/>
      <c r="P1276" s="91"/>
      <c r="S1276" s="91"/>
      <c r="T1276" s="91"/>
      <c r="U1276" s="91"/>
      <c r="V1276" s="91"/>
      <c r="W1276" s="91"/>
    </row>
    <row r="1277">
      <c r="A1277" s="91"/>
      <c r="D1277" s="91"/>
      <c r="G1277" s="91"/>
      <c r="J1277" s="91"/>
      <c r="M1277" s="91"/>
      <c r="P1277" s="91"/>
      <c r="S1277" s="91"/>
      <c r="T1277" s="91"/>
      <c r="U1277" s="91"/>
      <c r="V1277" s="91"/>
      <c r="W1277" s="91"/>
    </row>
    <row r="1278">
      <c r="A1278" s="91"/>
      <c r="D1278" s="91"/>
      <c r="G1278" s="91"/>
      <c r="J1278" s="91"/>
      <c r="M1278" s="91"/>
      <c r="P1278" s="91"/>
      <c r="S1278" s="91"/>
      <c r="T1278" s="91"/>
      <c r="U1278" s="91"/>
      <c r="V1278" s="91"/>
      <c r="W1278" s="91"/>
    </row>
    <row r="1279">
      <c r="A1279" s="91"/>
      <c r="D1279" s="91"/>
      <c r="G1279" s="91"/>
      <c r="J1279" s="91"/>
      <c r="M1279" s="91"/>
      <c r="P1279" s="91"/>
      <c r="S1279" s="91"/>
      <c r="T1279" s="91"/>
      <c r="U1279" s="91"/>
      <c r="V1279" s="91"/>
      <c r="W1279" s="91"/>
    </row>
    <row r="1280">
      <c r="A1280" s="91"/>
      <c r="D1280" s="91"/>
      <c r="G1280" s="91"/>
      <c r="J1280" s="91"/>
      <c r="M1280" s="91"/>
      <c r="P1280" s="91"/>
      <c r="S1280" s="91"/>
      <c r="T1280" s="91"/>
      <c r="U1280" s="91"/>
      <c r="V1280" s="91"/>
      <c r="W1280" s="91"/>
    </row>
    <row r="1281">
      <c r="A1281" s="91"/>
      <c r="D1281" s="91"/>
      <c r="G1281" s="91"/>
      <c r="J1281" s="91"/>
      <c r="M1281" s="91"/>
      <c r="P1281" s="91"/>
      <c r="S1281" s="91"/>
      <c r="T1281" s="91"/>
      <c r="U1281" s="91"/>
      <c r="V1281" s="91"/>
      <c r="W1281" s="91"/>
    </row>
    <row r="1282">
      <c r="A1282" s="91"/>
      <c r="D1282" s="91"/>
      <c r="G1282" s="91"/>
      <c r="J1282" s="91"/>
      <c r="M1282" s="91"/>
      <c r="P1282" s="91"/>
      <c r="S1282" s="91"/>
      <c r="T1282" s="91"/>
      <c r="U1282" s="91"/>
      <c r="V1282" s="91"/>
      <c r="W1282" s="91"/>
    </row>
    <row r="1283">
      <c r="A1283" s="91"/>
      <c r="D1283" s="91"/>
      <c r="G1283" s="91"/>
      <c r="J1283" s="91"/>
      <c r="M1283" s="91"/>
      <c r="P1283" s="91"/>
      <c r="S1283" s="91"/>
      <c r="T1283" s="91"/>
      <c r="U1283" s="91"/>
      <c r="V1283" s="91"/>
      <c r="W1283" s="91"/>
    </row>
    <row r="1284">
      <c r="A1284" s="91"/>
      <c r="D1284" s="91"/>
      <c r="G1284" s="91"/>
      <c r="J1284" s="91"/>
      <c r="M1284" s="91"/>
      <c r="P1284" s="91"/>
      <c r="S1284" s="91"/>
      <c r="T1284" s="91"/>
      <c r="U1284" s="91"/>
      <c r="V1284" s="91"/>
      <c r="W1284" s="91"/>
    </row>
    <row r="1285">
      <c r="A1285" s="91"/>
      <c r="D1285" s="91"/>
      <c r="G1285" s="91"/>
      <c r="J1285" s="91"/>
      <c r="M1285" s="91"/>
      <c r="P1285" s="91"/>
      <c r="S1285" s="91"/>
      <c r="T1285" s="91"/>
      <c r="U1285" s="91"/>
      <c r="V1285" s="91"/>
      <c r="W1285" s="91"/>
    </row>
    <row r="1286">
      <c r="A1286" s="91"/>
      <c r="D1286" s="91"/>
      <c r="G1286" s="91"/>
      <c r="J1286" s="91"/>
      <c r="M1286" s="91"/>
      <c r="P1286" s="91"/>
      <c r="S1286" s="91"/>
      <c r="T1286" s="91"/>
      <c r="U1286" s="91"/>
      <c r="V1286" s="91"/>
      <c r="W1286" s="91"/>
    </row>
    <row r="1287">
      <c r="A1287" s="91"/>
      <c r="D1287" s="91"/>
      <c r="G1287" s="91"/>
      <c r="J1287" s="91"/>
      <c r="M1287" s="91"/>
      <c r="P1287" s="91"/>
      <c r="S1287" s="91"/>
      <c r="T1287" s="91"/>
      <c r="U1287" s="91"/>
      <c r="V1287" s="91"/>
      <c r="W1287" s="91"/>
    </row>
    <row r="1288">
      <c r="A1288" s="91"/>
      <c r="D1288" s="91"/>
      <c r="G1288" s="91"/>
      <c r="J1288" s="91"/>
      <c r="M1288" s="91"/>
      <c r="P1288" s="91"/>
      <c r="S1288" s="91"/>
      <c r="T1288" s="91"/>
      <c r="U1288" s="91"/>
      <c r="V1288" s="91"/>
      <c r="W1288" s="91"/>
    </row>
    <row r="1289">
      <c r="A1289" s="91"/>
      <c r="D1289" s="91"/>
      <c r="G1289" s="91"/>
      <c r="J1289" s="91"/>
      <c r="M1289" s="91"/>
      <c r="P1289" s="91"/>
      <c r="S1289" s="91"/>
      <c r="T1289" s="91"/>
      <c r="U1289" s="91"/>
      <c r="V1289" s="91"/>
      <c r="W1289" s="91"/>
    </row>
    <row r="1290">
      <c r="A1290" s="91"/>
      <c r="D1290" s="91"/>
      <c r="G1290" s="91"/>
      <c r="J1290" s="91"/>
      <c r="M1290" s="91"/>
      <c r="P1290" s="91"/>
      <c r="S1290" s="91"/>
      <c r="T1290" s="91"/>
      <c r="U1290" s="91"/>
      <c r="V1290" s="91"/>
      <c r="W1290" s="91"/>
    </row>
    <row r="1291">
      <c r="A1291" s="91"/>
      <c r="D1291" s="91"/>
      <c r="G1291" s="91"/>
      <c r="J1291" s="91"/>
      <c r="M1291" s="91"/>
      <c r="P1291" s="91"/>
      <c r="S1291" s="91"/>
      <c r="T1291" s="91"/>
      <c r="U1291" s="91"/>
      <c r="V1291" s="91"/>
      <c r="W1291" s="91"/>
    </row>
    <row r="1292">
      <c r="A1292" s="91"/>
      <c r="D1292" s="91"/>
      <c r="G1292" s="91"/>
      <c r="J1292" s="91"/>
      <c r="M1292" s="91"/>
      <c r="P1292" s="91"/>
      <c r="S1292" s="91"/>
      <c r="T1292" s="91"/>
      <c r="U1292" s="91"/>
      <c r="V1292" s="91"/>
      <c r="W1292" s="91"/>
    </row>
    <row r="1293">
      <c r="A1293" s="91"/>
      <c r="D1293" s="91"/>
      <c r="G1293" s="91"/>
      <c r="J1293" s="91"/>
      <c r="M1293" s="91"/>
      <c r="P1293" s="91"/>
      <c r="S1293" s="91"/>
      <c r="T1293" s="91"/>
      <c r="U1293" s="91"/>
      <c r="V1293" s="91"/>
      <c r="W1293" s="91"/>
    </row>
    <row r="1294">
      <c r="A1294" s="91"/>
      <c r="D1294" s="91"/>
      <c r="G1294" s="91"/>
      <c r="J1294" s="91"/>
      <c r="M1294" s="91"/>
      <c r="P1294" s="91"/>
      <c r="S1294" s="91"/>
      <c r="T1294" s="91"/>
      <c r="U1294" s="91"/>
      <c r="V1294" s="91"/>
      <c r="W1294" s="91"/>
    </row>
    <row r="1295">
      <c r="A1295" s="91"/>
      <c r="D1295" s="91"/>
      <c r="G1295" s="91"/>
      <c r="J1295" s="91"/>
      <c r="M1295" s="91"/>
      <c r="P1295" s="91"/>
      <c r="S1295" s="91"/>
      <c r="T1295" s="91"/>
      <c r="U1295" s="91"/>
      <c r="V1295" s="91"/>
      <c r="W1295" s="91"/>
    </row>
    <row r="1296">
      <c r="A1296" s="91"/>
      <c r="D1296" s="91"/>
      <c r="G1296" s="91"/>
      <c r="J1296" s="91"/>
      <c r="M1296" s="91"/>
      <c r="P1296" s="91"/>
      <c r="S1296" s="91"/>
      <c r="T1296" s="91"/>
      <c r="U1296" s="91"/>
      <c r="V1296" s="91"/>
      <c r="W1296" s="91"/>
    </row>
    <row r="1297">
      <c r="A1297" s="91"/>
      <c r="D1297" s="91"/>
      <c r="G1297" s="91"/>
      <c r="J1297" s="91"/>
      <c r="M1297" s="91"/>
      <c r="P1297" s="91"/>
      <c r="S1297" s="91"/>
      <c r="T1297" s="91"/>
      <c r="U1297" s="91"/>
      <c r="V1297" s="91"/>
      <c r="W1297" s="91"/>
    </row>
    <row r="1298">
      <c r="A1298" s="91"/>
      <c r="D1298" s="91"/>
      <c r="G1298" s="91"/>
      <c r="J1298" s="91"/>
      <c r="M1298" s="91"/>
      <c r="P1298" s="91"/>
      <c r="S1298" s="91"/>
      <c r="T1298" s="91"/>
      <c r="U1298" s="91"/>
      <c r="V1298" s="91"/>
      <c r="W1298" s="91"/>
    </row>
    <row r="1299">
      <c r="A1299" s="91"/>
      <c r="D1299" s="91"/>
      <c r="G1299" s="91"/>
      <c r="J1299" s="91"/>
      <c r="M1299" s="91"/>
      <c r="P1299" s="91"/>
      <c r="S1299" s="91"/>
      <c r="T1299" s="91"/>
      <c r="U1299" s="91"/>
      <c r="V1299" s="91"/>
      <c r="W1299" s="91"/>
    </row>
    <row r="1300">
      <c r="A1300" s="91"/>
      <c r="D1300" s="91"/>
      <c r="G1300" s="91"/>
      <c r="J1300" s="91"/>
      <c r="M1300" s="91"/>
      <c r="P1300" s="91"/>
      <c r="S1300" s="91"/>
      <c r="T1300" s="91"/>
      <c r="U1300" s="91"/>
      <c r="V1300" s="91"/>
      <c r="W1300" s="91"/>
    </row>
    <row r="1301">
      <c r="A1301" s="91"/>
      <c r="D1301" s="91"/>
      <c r="G1301" s="91"/>
      <c r="J1301" s="91"/>
      <c r="M1301" s="91"/>
      <c r="P1301" s="91"/>
      <c r="S1301" s="91"/>
      <c r="T1301" s="91"/>
      <c r="U1301" s="91"/>
      <c r="V1301" s="91"/>
      <c r="W1301" s="91"/>
    </row>
    <row r="1302">
      <c r="A1302" s="91"/>
      <c r="D1302" s="91"/>
      <c r="G1302" s="91"/>
      <c r="J1302" s="91"/>
      <c r="M1302" s="91"/>
      <c r="P1302" s="91"/>
      <c r="S1302" s="91"/>
      <c r="T1302" s="91"/>
      <c r="U1302" s="91"/>
      <c r="V1302" s="91"/>
      <c r="W1302" s="91"/>
    </row>
    <row r="1303">
      <c r="A1303" s="91"/>
      <c r="D1303" s="91"/>
      <c r="G1303" s="91"/>
      <c r="J1303" s="91"/>
      <c r="M1303" s="91"/>
      <c r="P1303" s="91"/>
      <c r="S1303" s="91"/>
      <c r="T1303" s="91"/>
      <c r="U1303" s="91"/>
      <c r="V1303" s="91"/>
      <c r="W1303" s="91"/>
    </row>
    <row r="1304">
      <c r="A1304" s="91"/>
      <c r="D1304" s="91"/>
      <c r="G1304" s="91"/>
      <c r="J1304" s="91"/>
      <c r="M1304" s="91"/>
      <c r="P1304" s="91"/>
      <c r="S1304" s="91"/>
      <c r="T1304" s="91"/>
      <c r="U1304" s="91"/>
      <c r="V1304" s="91"/>
      <c r="W1304" s="91"/>
    </row>
    <row r="1305">
      <c r="A1305" s="91"/>
      <c r="D1305" s="91"/>
      <c r="G1305" s="91"/>
      <c r="J1305" s="91"/>
      <c r="M1305" s="91"/>
      <c r="P1305" s="91"/>
      <c r="S1305" s="91"/>
      <c r="T1305" s="91"/>
      <c r="U1305" s="91"/>
      <c r="V1305" s="91"/>
      <c r="W1305" s="91"/>
    </row>
    <row r="1306">
      <c r="A1306" s="91"/>
      <c r="D1306" s="91"/>
      <c r="G1306" s="91"/>
      <c r="J1306" s="91"/>
      <c r="M1306" s="91"/>
      <c r="P1306" s="91"/>
      <c r="S1306" s="91"/>
      <c r="T1306" s="91"/>
      <c r="U1306" s="91"/>
      <c r="V1306" s="91"/>
      <c r="W1306" s="91"/>
    </row>
    <row r="1307">
      <c r="A1307" s="91"/>
      <c r="D1307" s="91"/>
      <c r="G1307" s="91"/>
      <c r="J1307" s="91"/>
      <c r="M1307" s="91"/>
      <c r="P1307" s="91"/>
      <c r="S1307" s="91"/>
      <c r="T1307" s="91"/>
      <c r="U1307" s="91"/>
      <c r="V1307" s="91"/>
      <c r="W1307" s="91"/>
    </row>
    <row r="1308">
      <c r="A1308" s="91"/>
      <c r="D1308" s="91"/>
      <c r="G1308" s="91"/>
      <c r="J1308" s="91"/>
      <c r="M1308" s="91"/>
      <c r="P1308" s="91"/>
      <c r="S1308" s="91"/>
      <c r="T1308" s="91"/>
      <c r="U1308" s="91"/>
      <c r="V1308" s="91"/>
      <c r="W1308" s="91"/>
    </row>
    <row r="1309">
      <c r="A1309" s="91"/>
      <c r="D1309" s="91"/>
      <c r="G1309" s="91"/>
      <c r="J1309" s="91"/>
      <c r="M1309" s="91"/>
      <c r="P1309" s="91"/>
      <c r="S1309" s="91"/>
      <c r="T1309" s="91"/>
      <c r="U1309" s="91"/>
      <c r="V1309" s="91"/>
      <c r="W1309" s="91"/>
    </row>
    <row r="1310">
      <c r="A1310" s="91"/>
      <c r="D1310" s="91"/>
      <c r="G1310" s="91"/>
      <c r="J1310" s="91"/>
      <c r="M1310" s="91"/>
      <c r="P1310" s="91"/>
      <c r="S1310" s="91"/>
      <c r="T1310" s="91"/>
      <c r="U1310" s="91"/>
      <c r="V1310" s="91"/>
      <c r="W1310" s="91"/>
    </row>
    <row r="1311">
      <c r="A1311" s="91"/>
      <c r="D1311" s="91"/>
      <c r="G1311" s="91"/>
      <c r="J1311" s="91"/>
      <c r="M1311" s="91"/>
      <c r="P1311" s="91"/>
      <c r="S1311" s="91"/>
      <c r="T1311" s="91"/>
      <c r="U1311" s="91"/>
      <c r="V1311" s="91"/>
      <c r="W1311" s="91"/>
    </row>
    <row r="1312">
      <c r="A1312" s="91"/>
      <c r="D1312" s="91"/>
      <c r="G1312" s="91"/>
      <c r="J1312" s="91"/>
      <c r="M1312" s="91"/>
      <c r="P1312" s="91"/>
      <c r="S1312" s="91"/>
      <c r="T1312" s="91"/>
      <c r="U1312" s="91"/>
      <c r="V1312" s="91"/>
      <c r="W1312" s="91"/>
    </row>
    <row r="1313">
      <c r="A1313" s="91"/>
      <c r="D1313" s="91"/>
      <c r="G1313" s="91"/>
      <c r="J1313" s="91"/>
      <c r="M1313" s="91"/>
      <c r="P1313" s="91"/>
      <c r="S1313" s="91"/>
      <c r="T1313" s="91"/>
      <c r="U1313" s="91"/>
      <c r="V1313" s="91"/>
      <c r="W1313" s="91"/>
    </row>
    <row r="1314">
      <c r="A1314" s="91"/>
      <c r="D1314" s="91"/>
      <c r="G1314" s="91"/>
      <c r="J1314" s="91"/>
      <c r="M1314" s="91"/>
      <c r="P1314" s="91"/>
      <c r="S1314" s="91"/>
      <c r="T1314" s="91"/>
      <c r="U1314" s="91"/>
      <c r="V1314" s="91"/>
      <c r="W1314" s="91"/>
    </row>
    <row r="1315">
      <c r="A1315" s="91"/>
      <c r="D1315" s="91"/>
      <c r="G1315" s="91"/>
      <c r="J1315" s="91"/>
      <c r="M1315" s="91"/>
      <c r="P1315" s="91"/>
      <c r="S1315" s="91"/>
      <c r="T1315" s="91"/>
      <c r="U1315" s="91"/>
      <c r="V1315" s="91"/>
      <c r="W1315" s="91"/>
    </row>
    <row r="1316">
      <c r="A1316" s="91"/>
      <c r="D1316" s="91"/>
      <c r="G1316" s="91"/>
      <c r="J1316" s="91"/>
      <c r="M1316" s="91"/>
      <c r="P1316" s="91"/>
      <c r="S1316" s="91"/>
      <c r="T1316" s="91"/>
      <c r="U1316" s="91"/>
      <c r="V1316" s="91"/>
      <c r="W1316" s="91"/>
    </row>
    <row r="1317">
      <c r="A1317" s="91"/>
      <c r="D1317" s="91"/>
      <c r="G1317" s="91"/>
      <c r="J1317" s="91"/>
      <c r="M1317" s="91"/>
      <c r="P1317" s="91"/>
      <c r="S1317" s="91"/>
      <c r="T1317" s="91"/>
      <c r="U1317" s="91"/>
      <c r="V1317" s="91"/>
      <c r="W1317" s="91"/>
    </row>
    <row r="1318">
      <c r="A1318" s="91"/>
      <c r="D1318" s="91"/>
      <c r="G1318" s="91"/>
      <c r="J1318" s="91"/>
      <c r="M1318" s="91"/>
      <c r="P1318" s="91"/>
      <c r="S1318" s="91"/>
      <c r="T1318" s="91"/>
      <c r="U1318" s="91"/>
      <c r="V1318" s="91"/>
      <c r="W1318" s="91"/>
    </row>
    <row r="1319">
      <c r="A1319" s="91"/>
      <c r="D1319" s="91"/>
      <c r="G1319" s="91"/>
      <c r="J1319" s="91"/>
      <c r="M1319" s="91"/>
      <c r="P1319" s="91"/>
      <c r="S1319" s="91"/>
      <c r="T1319" s="91"/>
      <c r="U1319" s="91"/>
      <c r="V1319" s="91"/>
      <c r="W1319" s="91"/>
    </row>
    <row r="1320">
      <c r="A1320" s="91"/>
      <c r="D1320" s="91"/>
      <c r="G1320" s="91"/>
      <c r="J1320" s="91"/>
      <c r="M1320" s="91"/>
      <c r="P1320" s="91"/>
      <c r="S1320" s="91"/>
      <c r="T1320" s="91"/>
      <c r="U1320" s="91"/>
      <c r="V1320" s="91"/>
      <c r="W1320" s="91"/>
    </row>
    <row r="1321">
      <c r="A1321" s="91"/>
      <c r="D1321" s="91"/>
      <c r="G1321" s="91"/>
      <c r="J1321" s="91"/>
      <c r="M1321" s="91"/>
      <c r="P1321" s="91"/>
      <c r="S1321" s="91"/>
      <c r="T1321" s="91"/>
      <c r="U1321" s="91"/>
      <c r="V1321" s="91"/>
      <c r="W1321" s="91"/>
    </row>
    <row r="1322">
      <c r="A1322" s="91"/>
      <c r="D1322" s="91"/>
      <c r="G1322" s="91"/>
      <c r="J1322" s="91"/>
      <c r="M1322" s="91"/>
      <c r="P1322" s="91"/>
      <c r="S1322" s="91"/>
      <c r="T1322" s="91"/>
      <c r="U1322" s="91"/>
      <c r="V1322" s="91"/>
      <c r="W1322" s="91"/>
    </row>
    <row r="1323">
      <c r="A1323" s="91"/>
      <c r="D1323" s="91"/>
      <c r="G1323" s="91"/>
      <c r="J1323" s="91"/>
      <c r="M1323" s="91"/>
      <c r="P1323" s="91"/>
      <c r="S1323" s="91"/>
      <c r="T1323" s="91"/>
      <c r="U1323" s="91"/>
      <c r="V1323" s="91"/>
      <c r="W1323" s="91"/>
    </row>
    <row r="1324">
      <c r="A1324" s="91"/>
      <c r="D1324" s="91"/>
      <c r="G1324" s="91"/>
      <c r="J1324" s="91"/>
      <c r="M1324" s="91"/>
      <c r="P1324" s="91"/>
      <c r="S1324" s="91"/>
      <c r="T1324" s="91"/>
      <c r="U1324" s="91"/>
      <c r="V1324" s="91"/>
      <c r="W1324" s="91"/>
    </row>
    <row r="1325">
      <c r="A1325" s="91"/>
      <c r="D1325" s="91"/>
      <c r="G1325" s="91"/>
      <c r="J1325" s="91"/>
      <c r="M1325" s="91"/>
      <c r="P1325" s="91"/>
      <c r="S1325" s="91"/>
      <c r="T1325" s="91"/>
      <c r="U1325" s="91"/>
      <c r="V1325" s="91"/>
      <c r="W1325" s="91"/>
    </row>
    <row r="1326">
      <c r="A1326" s="91"/>
      <c r="D1326" s="91"/>
      <c r="G1326" s="91"/>
      <c r="J1326" s="91"/>
      <c r="M1326" s="91"/>
      <c r="P1326" s="91"/>
      <c r="S1326" s="91"/>
      <c r="T1326" s="91"/>
      <c r="U1326" s="91"/>
      <c r="V1326" s="91"/>
      <c r="W1326" s="91"/>
    </row>
    <row r="1327">
      <c r="A1327" s="91"/>
      <c r="D1327" s="91"/>
      <c r="G1327" s="91"/>
      <c r="J1327" s="91"/>
      <c r="M1327" s="91"/>
      <c r="P1327" s="91"/>
      <c r="S1327" s="91"/>
      <c r="T1327" s="91"/>
      <c r="U1327" s="91"/>
      <c r="V1327" s="91"/>
      <c r="W1327" s="91"/>
    </row>
    <row r="1328">
      <c r="A1328" s="91"/>
      <c r="D1328" s="91"/>
      <c r="G1328" s="91"/>
      <c r="J1328" s="91"/>
      <c r="M1328" s="91"/>
      <c r="P1328" s="91"/>
      <c r="S1328" s="91"/>
      <c r="T1328" s="91"/>
      <c r="U1328" s="91"/>
      <c r="V1328" s="91"/>
      <c r="W1328" s="91"/>
    </row>
    <row r="1329">
      <c r="A1329" s="91"/>
      <c r="D1329" s="91"/>
      <c r="G1329" s="91"/>
      <c r="J1329" s="91"/>
      <c r="M1329" s="91"/>
      <c r="P1329" s="91"/>
      <c r="S1329" s="91"/>
      <c r="T1329" s="91"/>
      <c r="U1329" s="91"/>
      <c r="V1329" s="91"/>
      <c r="W1329" s="91"/>
    </row>
    <row r="1330">
      <c r="A1330" s="91"/>
      <c r="D1330" s="91"/>
      <c r="G1330" s="91"/>
      <c r="J1330" s="91"/>
      <c r="M1330" s="91"/>
      <c r="P1330" s="91"/>
      <c r="S1330" s="91"/>
      <c r="T1330" s="91"/>
      <c r="U1330" s="91"/>
      <c r="V1330" s="91"/>
      <c r="W1330" s="91"/>
    </row>
    <row r="1331">
      <c r="A1331" s="91"/>
      <c r="D1331" s="91"/>
      <c r="G1331" s="91"/>
      <c r="J1331" s="91"/>
      <c r="M1331" s="91"/>
      <c r="P1331" s="91"/>
      <c r="S1331" s="91"/>
      <c r="T1331" s="91"/>
      <c r="U1331" s="91"/>
      <c r="V1331" s="91"/>
      <c r="W1331" s="91"/>
    </row>
    <row r="1332">
      <c r="A1332" s="91"/>
      <c r="D1332" s="91"/>
      <c r="G1332" s="91"/>
      <c r="J1332" s="91"/>
      <c r="M1332" s="91"/>
      <c r="P1332" s="91"/>
      <c r="S1332" s="91"/>
      <c r="T1332" s="91"/>
      <c r="U1332" s="91"/>
      <c r="V1332" s="91"/>
      <c r="W1332" s="91"/>
    </row>
    <row r="1333">
      <c r="A1333" s="91"/>
      <c r="D1333" s="91"/>
      <c r="G1333" s="91"/>
      <c r="J1333" s="91"/>
      <c r="M1333" s="91"/>
      <c r="P1333" s="91"/>
      <c r="S1333" s="91"/>
      <c r="T1333" s="91"/>
      <c r="U1333" s="91"/>
      <c r="V1333" s="91"/>
      <c r="W1333" s="91"/>
    </row>
    <row r="1334">
      <c r="A1334" s="91"/>
      <c r="D1334" s="91"/>
      <c r="G1334" s="91"/>
      <c r="J1334" s="91"/>
      <c r="M1334" s="91"/>
      <c r="P1334" s="91"/>
      <c r="S1334" s="91"/>
      <c r="T1334" s="91"/>
      <c r="U1334" s="91"/>
      <c r="V1334" s="91"/>
      <c r="W1334" s="91"/>
    </row>
    <row r="1335">
      <c r="A1335" s="91"/>
      <c r="D1335" s="91"/>
      <c r="G1335" s="91"/>
      <c r="J1335" s="91"/>
      <c r="M1335" s="91"/>
      <c r="P1335" s="91"/>
      <c r="S1335" s="91"/>
      <c r="T1335" s="91"/>
      <c r="U1335" s="91"/>
      <c r="V1335" s="91"/>
      <c r="W1335" s="91"/>
    </row>
    <row r="1336">
      <c r="A1336" s="91"/>
      <c r="D1336" s="91"/>
      <c r="G1336" s="91"/>
      <c r="J1336" s="91"/>
      <c r="M1336" s="91"/>
      <c r="P1336" s="91"/>
      <c r="S1336" s="91"/>
      <c r="T1336" s="91"/>
      <c r="U1336" s="91"/>
      <c r="V1336" s="91"/>
      <c r="W1336" s="91"/>
    </row>
    <row r="1337">
      <c r="A1337" s="91"/>
      <c r="D1337" s="91"/>
      <c r="G1337" s="91"/>
      <c r="J1337" s="91"/>
      <c r="M1337" s="91"/>
      <c r="P1337" s="91"/>
      <c r="S1337" s="91"/>
      <c r="T1337" s="91"/>
      <c r="U1337" s="91"/>
      <c r="V1337" s="91"/>
      <c r="W1337" s="91"/>
    </row>
    <row r="1338">
      <c r="A1338" s="91"/>
      <c r="D1338" s="91"/>
      <c r="G1338" s="91"/>
      <c r="J1338" s="91"/>
      <c r="M1338" s="91"/>
      <c r="P1338" s="91"/>
      <c r="S1338" s="91"/>
      <c r="T1338" s="91"/>
      <c r="U1338" s="91"/>
      <c r="V1338" s="91"/>
      <c r="W1338" s="91"/>
    </row>
    <row r="1339">
      <c r="A1339" s="91"/>
      <c r="D1339" s="91"/>
      <c r="G1339" s="91"/>
      <c r="J1339" s="91"/>
      <c r="M1339" s="91"/>
      <c r="P1339" s="91"/>
      <c r="S1339" s="91"/>
      <c r="T1339" s="91"/>
      <c r="U1339" s="91"/>
      <c r="V1339" s="91"/>
      <c r="W1339" s="91"/>
    </row>
    <row r="1340">
      <c r="A1340" s="91"/>
      <c r="D1340" s="91"/>
      <c r="G1340" s="91"/>
      <c r="J1340" s="91"/>
      <c r="M1340" s="91"/>
      <c r="P1340" s="91"/>
      <c r="S1340" s="91"/>
      <c r="T1340" s="91"/>
      <c r="U1340" s="91"/>
      <c r="V1340" s="91"/>
      <c r="W1340" s="91"/>
    </row>
    <row r="1341">
      <c r="A1341" s="91"/>
      <c r="D1341" s="91"/>
      <c r="G1341" s="91"/>
      <c r="J1341" s="91"/>
      <c r="M1341" s="91"/>
      <c r="P1341" s="91"/>
      <c r="S1341" s="91"/>
      <c r="T1341" s="91"/>
      <c r="U1341" s="91"/>
      <c r="V1341" s="91"/>
      <c r="W1341" s="91"/>
    </row>
    <row r="1342">
      <c r="A1342" s="91"/>
      <c r="D1342" s="91"/>
      <c r="G1342" s="91"/>
      <c r="J1342" s="91"/>
      <c r="M1342" s="91"/>
      <c r="P1342" s="91"/>
      <c r="S1342" s="91"/>
      <c r="T1342" s="91"/>
      <c r="U1342" s="91"/>
      <c r="V1342" s="91"/>
      <c r="W1342" s="91"/>
    </row>
    <row r="1343">
      <c r="A1343" s="91"/>
      <c r="D1343" s="91"/>
      <c r="G1343" s="91"/>
      <c r="J1343" s="91"/>
      <c r="M1343" s="91"/>
      <c r="P1343" s="91"/>
      <c r="S1343" s="91"/>
      <c r="T1343" s="91"/>
      <c r="U1343" s="91"/>
      <c r="V1343" s="91"/>
      <c r="W1343" s="91"/>
    </row>
    <row r="1344">
      <c r="A1344" s="91"/>
      <c r="D1344" s="91"/>
      <c r="G1344" s="91"/>
      <c r="J1344" s="91"/>
      <c r="M1344" s="91"/>
      <c r="P1344" s="91"/>
      <c r="S1344" s="91"/>
      <c r="T1344" s="91"/>
      <c r="U1344" s="91"/>
      <c r="V1344" s="91"/>
      <c r="W1344" s="91"/>
    </row>
    <row r="1345">
      <c r="A1345" s="91"/>
      <c r="D1345" s="91"/>
      <c r="G1345" s="91"/>
      <c r="J1345" s="91"/>
      <c r="M1345" s="91"/>
      <c r="P1345" s="91"/>
      <c r="S1345" s="91"/>
      <c r="T1345" s="91"/>
      <c r="U1345" s="91"/>
      <c r="V1345" s="91"/>
      <c r="W1345" s="91"/>
    </row>
    <row r="1346">
      <c r="A1346" s="91"/>
      <c r="D1346" s="91"/>
      <c r="G1346" s="91"/>
      <c r="J1346" s="91"/>
      <c r="M1346" s="91"/>
      <c r="P1346" s="91"/>
      <c r="S1346" s="91"/>
      <c r="T1346" s="91"/>
      <c r="U1346" s="91"/>
      <c r="V1346" s="91"/>
      <c r="W1346" s="91"/>
    </row>
    <row r="1347">
      <c r="A1347" s="91"/>
      <c r="D1347" s="91"/>
      <c r="G1347" s="91"/>
      <c r="J1347" s="91"/>
      <c r="M1347" s="91"/>
      <c r="P1347" s="91"/>
      <c r="S1347" s="91"/>
      <c r="T1347" s="91"/>
      <c r="U1347" s="91"/>
      <c r="V1347" s="91"/>
      <c r="W1347" s="91"/>
    </row>
    <row r="1348">
      <c r="A1348" s="91"/>
      <c r="D1348" s="91"/>
      <c r="G1348" s="91"/>
      <c r="J1348" s="91"/>
      <c r="M1348" s="91"/>
      <c r="P1348" s="91"/>
      <c r="S1348" s="91"/>
      <c r="T1348" s="91"/>
      <c r="U1348" s="91"/>
      <c r="V1348" s="91"/>
      <c r="W1348" s="91"/>
    </row>
    <row r="1349">
      <c r="A1349" s="91"/>
      <c r="D1349" s="91"/>
      <c r="G1349" s="91"/>
      <c r="J1349" s="91"/>
      <c r="M1349" s="91"/>
      <c r="P1349" s="91"/>
      <c r="S1349" s="91"/>
      <c r="T1349" s="91"/>
      <c r="U1349" s="91"/>
      <c r="V1349" s="91"/>
      <c r="W1349" s="91"/>
    </row>
    <row r="1350">
      <c r="A1350" s="91"/>
      <c r="D1350" s="91"/>
      <c r="G1350" s="91"/>
      <c r="J1350" s="91"/>
      <c r="M1350" s="91"/>
      <c r="P1350" s="91"/>
      <c r="S1350" s="91"/>
      <c r="T1350" s="91"/>
      <c r="U1350" s="91"/>
      <c r="V1350" s="91"/>
      <c r="W1350" s="91"/>
    </row>
    <row r="1351">
      <c r="A1351" s="91"/>
      <c r="D1351" s="91"/>
      <c r="G1351" s="91"/>
      <c r="J1351" s="91"/>
      <c r="M1351" s="91"/>
      <c r="P1351" s="91"/>
      <c r="S1351" s="91"/>
      <c r="T1351" s="91"/>
      <c r="U1351" s="91"/>
      <c r="V1351" s="91"/>
      <c r="W1351" s="91"/>
    </row>
    <row r="1352">
      <c r="A1352" s="91"/>
      <c r="D1352" s="91"/>
      <c r="G1352" s="91"/>
      <c r="J1352" s="91"/>
      <c r="M1352" s="91"/>
      <c r="P1352" s="91"/>
      <c r="S1352" s="91"/>
      <c r="T1352" s="91"/>
      <c r="U1352" s="91"/>
      <c r="V1352" s="91"/>
      <c r="W1352" s="91"/>
    </row>
    <row r="1353">
      <c r="A1353" s="91"/>
      <c r="D1353" s="91"/>
      <c r="G1353" s="91"/>
      <c r="J1353" s="91"/>
      <c r="M1353" s="91"/>
      <c r="P1353" s="91"/>
      <c r="S1353" s="91"/>
      <c r="T1353" s="91"/>
      <c r="U1353" s="91"/>
      <c r="V1353" s="91"/>
      <c r="W1353" s="91"/>
    </row>
    <row r="1354">
      <c r="A1354" s="91"/>
      <c r="D1354" s="91"/>
      <c r="G1354" s="91"/>
      <c r="J1354" s="91"/>
      <c r="M1354" s="91"/>
      <c r="P1354" s="91"/>
      <c r="S1354" s="91"/>
      <c r="T1354" s="91"/>
      <c r="U1354" s="91"/>
      <c r="V1354" s="91"/>
      <c r="W1354" s="91"/>
    </row>
    <row r="1355">
      <c r="A1355" s="91"/>
      <c r="D1355" s="91"/>
      <c r="G1355" s="91"/>
      <c r="J1355" s="91"/>
      <c r="M1355" s="91"/>
      <c r="P1355" s="91"/>
      <c r="S1355" s="91"/>
      <c r="T1355" s="91"/>
      <c r="U1355" s="91"/>
      <c r="V1355" s="91"/>
      <c r="W1355" s="91"/>
    </row>
    <row r="1356">
      <c r="A1356" s="91"/>
      <c r="D1356" s="91"/>
      <c r="G1356" s="91"/>
      <c r="J1356" s="91"/>
      <c r="M1356" s="91"/>
      <c r="P1356" s="91"/>
      <c r="S1356" s="91"/>
      <c r="T1356" s="91"/>
      <c r="U1356" s="91"/>
      <c r="V1356" s="91"/>
      <c r="W1356" s="91"/>
    </row>
    <row r="1357">
      <c r="A1357" s="91"/>
      <c r="D1357" s="91"/>
      <c r="G1357" s="91"/>
      <c r="J1357" s="91"/>
      <c r="M1357" s="91"/>
      <c r="P1357" s="91"/>
      <c r="S1357" s="91"/>
      <c r="T1357" s="91"/>
      <c r="U1357" s="91"/>
      <c r="V1357" s="91"/>
      <c r="W1357" s="91"/>
    </row>
    <row r="1358">
      <c r="A1358" s="91"/>
      <c r="D1358" s="91"/>
      <c r="G1358" s="91"/>
      <c r="J1358" s="91"/>
      <c r="M1358" s="91"/>
      <c r="P1358" s="91"/>
      <c r="S1358" s="91"/>
      <c r="T1358" s="91"/>
      <c r="U1358" s="91"/>
      <c r="V1358" s="91"/>
      <c r="W1358" s="91"/>
    </row>
    <row r="1359">
      <c r="A1359" s="91"/>
      <c r="D1359" s="91"/>
      <c r="G1359" s="91"/>
      <c r="J1359" s="91"/>
      <c r="M1359" s="91"/>
      <c r="P1359" s="91"/>
      <c r="S1359" s="91"/>
      <c r="T1359" s="91"/>
      <c r="U1359" s="91"/>
      <c r="V1359" s="91"/>
      <c r="W1359" s="91"/>
    </row>
    <row r="1360">
      <c r="A1360" s="91"/>
      <c r="D1360" s="91"/>
      <c r="G1360" s="91"/>
      <c r="J1360" s="91"/>
      <c r="M1360" s="91"/>
      <c r="P1360" s="91"/>
      <c r="S1360" s="91"/>
      <c r="T1360" s="91"/>
      <c r="U1360" s="91"/>
      <c r="V1360" s="91"/>
      <c r="W1360" s="91"/>
    </row>
    <row r="1361">
      <c r="A1361" s="91"/>
      <c r="D1361" s="91"/>
      <c r="G1361" s="91"/>
      <c r="J1361" s="91"/>
      <c r="M1361" s="91"/>
      <c r="P1361" s="91"/>
      <c r="S1361" s="91"/>
      <c r="T1361" s="91"/>
      <c r="U1361" s="91"/>
      <c r="V1361" s="91"/>
      <c r="W1361" s="91"/>
    </row>
    <row r="1362">
      <c r="A1362" s="91"/>
      <c r="D1362" s="91"/>
      <c r="G1362" s="91"/>
      <c r="J1362" s="91"/>
      <c r="M1362" s="91"/>
      <c r="P1362" s="91"/>
      <c r="S1362" s="91"/>
      <c r="T1362" s="91"/>
      <c r="U1362" s="91"/>
      <c r="V1362" s="91"/>
      <c r="W1362" s="91"/>
    </row>
    <row r="1363">
      <c r="A1363" s="91"/>
      <c r="D1363" s="91"/>
      <c r="G1363" s="91"/>
      <c r="J1363" s="91"/>
      <c r="M1363" s="91"/>
      <c r="P1363" s="91"/>
      <c r="S1363" s="91"/>
      <c r="T1363" s="91"/>
      <c r="U1363" s="91"/>
      <c r="V1363" s="91"/>
      <c r="W1363" s="91"/>
    </row>
    <row r="1364">
      <c r="A1364" s="91"/>
      <c r="D1364" s="91"/>
      <c r="G1364" s="91"/>
      <c r="J1364" s="91"/>
      <c r="M1364" s="91"/>
      <c r="P1364" s="91"/>
      <c r="S1364" s="91"/>
      <c r="T1364" s="91"/>
      <c r="U1364" s="91"/>
      <c r="V1364" s="91"/>
      <c r="W1364" s="91"/>
    </row>
    <row r="1365">
      <c r="A1365" s="91"/>
      <c r="D1365" s="91"/>
      <c r="G1365" s="91"/>
      <c r="J1365" s="91"/>
      <c r="M1365" s="91"/>
      <c r="P1365" s="91"/>
      <c r="S1365" s="91"/>
      <c r="T1365" s="91"/>
      <c r="U1365" s="91"/>
      <c r="V1365" s="91"/>
      <c r="W1365" s="91"/>
    </row>
    <row r="1366">
      <c r="A1366" s="91"/>
      <c r="D1366" s="91"/>
      <c r="G1366" s="91"/>
      <c r="J1366" s="91"/>
      <c r="M1366" s="91"/>
      <c r="P1366" s="91"/>
      <c r="S1366" s="91"/>
      <c r="T1366" s="91"/>
      <c r="U1366" s="91"/>
      <c r="V1366" s="91"/>
      <c r="W1366" s="91"/>
    </row>
    <row r="1367">
      <c r="A1367" s="91"/>
      <c r="D1367" s="91"/>
      <c r="G1367" s="91"/>
      <c r="J1367" s="91"/>
      <c r="M1367" s="91"/>
      <c r="P1367" s="91"/>
      <c r="S1367" s="91"/>
      <c r="T1367" s="91"/>
      <c r="U1367" s="91"/>
      <c r="V1367" s="91"/>
      <c r="W1367" s="91"/>
    </row>
    <row r="1368">
      <c r="A1368" s="91"/>
      <c r="D1368" s="91"/>
      <c r="G1368" s="91"/>
      <c r="J1368" s="91"/>
      <c r="M1368" s="91"/>
      <c r="P1368" s="91"/>
      <c r="S1368" s="91"/>
      <c r="T1368" s="91"/>
      <c r="U1368" s="91"/>
      <c r="V1368" s="91"/>
      <c r="W1368" s="91"/>
    </row>
    <row r="1369">
      <c r="A1369" s="91"/>
      <c r="D1369" s="91"/>
      <c r="G1369" s="91"/>
      <c r="J1369" s="91"/>
      <c r="M1369" s="91"/>
      <c r="P1369" s="91"/>
      <c r="S1369" s="91"/>
      <c r="T1369" s="91"/>
      <c r="U1369" s="91"/>
      <c r="V1369" s="91"/>
      <c r="W1369" s="91"/>
    </row>
    <row r="1370">
      <c r="A1370" s="91"/>
      <c r="D1370" s="91"/>
      <c r="G1370" s="91"/>
      <c r="J1370" s="91"/>
      <c r="M1370" s="91"/>
      <c r="P1370" s="91"/>
      <c r="S1370" s="91"/>
      <c r="T1370" s="91"/>
      <c r="U1370" s="91"/>
      <c r="V1370" s="91"/>
      <c r="W1370" s="91"/>
    </row>
    <row r="1371">
      <c r="A1371" s="91"/>
      <c r="D1371" s="91"/>
      <c r="G1371" s="91"/>
      <c r="J1371" s="91"/>
      <c r="M1371" s="91"/>
      <c r="P1371" s="91"/>
      <c r="S1371" s="91"/>
      <c r="T1371" s="91"/>
      <c r="U1371" s="91"/>
      <c r="V1371" s="91"/>
      <c r="W1371" s="91"/>
    </row>
    <row r="1372">
      <c r="A1372" s="91"/>
      <c r="D1372" s="91"/>
      <c r="G1372" s="91"/>
      <c r="J1372" s="91"/>
      <c r="M1372" s="91"/>
      <c r="P1372" s="91"/>
      <c r="S1372" s="91"/>
      <c r="T1372" s="91"/>
      <c r="U1372" s="91"/>
      <c r="V1372" s="91"/>
      <c r="W1372" s="91"/>
    </row>
    <row r="1373">
      <c r="A1373" s="91"/>
      <c r="D1373" s="91"/>
      <c r="G1373" s="91"/>
      <c r="J1373" s="91"/>
      <c r="M1373" s="91"/>
      <c r="P1373" s="91"/>
      <c r="S1373" s="91"/>
      <c r="T1373" s="91"/>
      <c r="U1373" s="91"/>
      <c r="V1373" s="91"/>
      <c r="W1373" s="91"/>
    </row>
    <row r="1374">
      <c r="A1374" s="91"/>
      <c r="D1374" s="91"/>
      <c r="G1374" s="91"/>
      <c r="J1374" s="91"/>
      <c r="M1374" s="91"/>
      <c r="P1374" s="91"/>
      <c r="S1374" s="91"/>
      <c r="T1374" s="91"/>
      <c r="U1374" s="91"/>
      <c r="V1374" s="91"/>
      <c r="W1374" s="91"/>
    </row>
    <row r="1375">
      <c r="A1375" s="91"/>
      <c r="D1375" s="91"/>
      <c r="G1375" s="91"/>
      <c r="J1375" s="91"/>
      <c r="M1375" s="91"/>
      <c r="P1375" s="91"/>
      <c r="S1375" s="91"/>
      <c r="T1375" s="91"/>
      <c r="U1375" s="91"/>
      <c r="V1375" s="91"/>
      <c r="W1375" s="91"/>
    </row>
    <row r="1376">
      <c r="A1376" s="91"/>
      <c r="D1376" s="91"/>
      <c r="G1376" s="91"/>
      <c r="J1376" s="91"/>
      <c r="M1376" s="91"/>
      <c r="P1376" s="91"/>
      <c r="S1376" s="91"/>
      <c r="T1376" s="91"/>
      <c r="U1376" s="91"/>
      <c r="V1376" s="91"/>
      <c r="W1376" s="91"/>
    </row>
    <row r="1377">
      <c r="A1377" s="91"/>
      <c r="D1377" s="91"/>
      <c r="G1377" s="91"/>
      <c r="J1377" s="91"/>
      <c r="M1377" s="91"/>
      <c r="P1377" s="91"/>
      <c r="S1377" s="91"/>
      <c r="T1377" s="91"/>
      <c r="U1377" s="91"/>
      <c r="V1377" s="91"/>
      <c r="W1377" s="91"/>
    </row>
    <row r="1378">
      <c r="A1378" s="91"/>
      <c r="D1378" s="91"/>
      <c r="G1378" s="91"/>
      <c r="J1378" s="91"/>
      <c r="M1378" s="91"/>
      <c r="P1378" s="91"/>
      <c r="S1378" s="91"/>
      <c r="T1378" s="91"/>
      <c r="U1378" s="91"/>
      <c r="V1378" s="91"/>
      <c r="W1378" s="91"/>
    </row>
    <row r="1379">
      <c r="A1379" s="91"/>
      <c r="D1379" s="91"/>
      <c r="G1379" s="91"/>
      <c r="J1379" s="91"/>
      <c r="M1379" s="91"/>
      <c r="P1379" s="91"/>
      <c r="S1379" s="91"/>
      <c r="T1379" s="91"/>
      <c r="U1379" s="91"/>
      <c r="V1379" s="91"/>
      <c r="W1379" s="91"/>
    </row>
    <row r="1380">
      <c r="A1380" s="91"/>
      <c r="D1380" s="91"/>
      <c r="G1380" s="91"/>
      <c r="J1380" s="91"/>
      <c r="M1380" s="91"/>
      <c r="P1380" s="91"/>
      <c r="S1380" s="91"/>
      <c r="T1380" s="91"/>
      <c r="U1380" s="91"/>
      <c r="V1380" s="91"/>
      <c r="W1380" s="91"/>
    </row>
    <row r="1381">
      <c r="A1381" s="91"/>
      <c r="D1381" s="91"/>
      <c r="G1381" s="91"/>
      <c r="J1381" s="91"/>
      <c r="M1381" s="91"/>
      <c r="P1381" s="91"/>
      <c r="S1381" s="91"/>
      <c r="T1381" s="91"/>
      <c r="U1381" s="91"/>
      <c r="V1381" s="91"/>
      <c r="W1381" s="91"/>
    </row>
    <row r="1382">
      <c r="A1382" s="91"/>
      <c r="D1382" s="91"/>
      <c r="G1382" s="91"/>
      <c r="J1382" s="91"/>
      <c r="M1382" s="91"/>
      <c r="P1382" s="91"/>
      <c r="S1382" s="91"/>
      <c r="T1382" s="91"/>
      <c r="U1382" s="91"/>
      <c r="V1382" s="91"/>
      <c r="W1382" s="91"/>
    </row>
    <row r="1383">
      <c r="A1383" s="91"/>
      <c r="D1383" s="91"/>
      <c r="G1383" s="91"/>
      <c r="J1383" s="91"/>
      <c r="M1383" s="91"/>
      <c r="P1383" s="91"/>
      <c r="S1383" s="91"/>
      <c r="T1383" s="91"/>
      <c r="U1383" s="91"/>
      <c r="V1383" s="91"/>
      <c r="W1383" s="91"/>
    </row>
    <row r="1384">
      <c r="A1384" s="91"/>
      <c r="D1384" s="91"/>
      <c r="G1384" s="91"/>
      <c r="J1384" s="91"/>
      <c r="M1384" s="91"/>
      <c r="P1384" s="91"/>
      <c r="S1384" s="91"/>
      <c r="T1384" s="91"/>
      <c r="U1384" s="91"/>
      <c r="V1384" s="91"/>
      <c r="W1384" s="91"/>
    </row>
    <row r="1385">
      <c r="A1385" s="91"/>
      <c r="D1385" s="91"/>
      <c r="G1385" s="91"/>
      <c r="J1385" s="91"/>
      <c r="M1385" s="91"/>
      <c r="P1385" s="91"/>
      <c r="S1385" s="91"/>
      <c r="T1385" s="91"/>
      <c r="U1385" s="91"/>
      <c r="V1385" s="91"/>
      <c r="W1385" s="91"/>
    </row>
    <row r="1386">
      <c r="A1386" s="91"/>
      <c r="D1386" s="91"/>
      <c r="G1386" s="91"/>
      <c r="J1386" s="91"/>
      <c r="M1386" s="91"/>
      <c r="P1386" s="91"/>
      <c r="S1386" s="91"/>
      <c r="T1386" s="91"/>
      <c r="U1386" s="91"/>
      <c r="V1386" s="91"/>
      <c r="W1386" s="91"/>
    </row>
    <row r="1387">
      <c r="A1387" s="91"/>
      <c r="D1387" s="91"/>
      <c r="G1387" s="91"/>
      <c r="J1387" s="91"/>
      <c r="M1387" s="91"/>
      <c r="P1387" s="91"/>
      <c r="S1387" s="91"/>
      <c r="T1387" s="91"/>
      <c r="U1387" s="91"/>
      <c r="V1387" s="91"/>
      <c r="W1387" s="91"/>
    </row>
    <row r="1388">
      <c r="A1388" s="91"/>
      <c r="D1388" s="91"/>
      <c r="G1388" s="91"/>
      <c r="J1388" s="91"/>
      <c r="M1388" s="91"/>
      <c r="P1388" s="91"/>
      <c r="S1388" s="91"/>
      <c r="T1388" s="91"/>
      <c r="U1388" s="91"/>
      <c r="V1388" s="91"/>
      <c r="W1388" s="91"/>
    </row>
    <row r="1389">
      <c r="A1389" s="91"/>
      <c r="D1389" s="91"/>
      <c r="G1389" s="91"/>
      <c r="J1389" s="91"/>
      <c r="M1389" s="91"/>
      <c r="P1389" s="91"/>
      <c r="S1389" s="91"/>
      <c r="T1389" s="91"/>
      <c r="U1389" s="91"/>
      <c r="V1389" s="91"/>
      <c r="W1389" s="91"/>
    </row>
    <row r="1390">
      <c r="A1390" s="91"/>
      <c r="D1390" s="91"/>
      <c r="G1390" s="91"/>
      <c r="J1390" s="91"/>
      <c r="M1390" s="91"/>
      <c r="P1390" s="91"/>
      <c r="S1390" s="91"/>
      <c r="T1390" s="91"/>
      <c r="U1390" s="91"/>
      <c r="V1390" s="91"/>
      <c r="W1390" s="91"/>
    </row>
    <row r="1391">
      <c r="A1391" s="91"/>
      <c r="D1391" s="91"/>
      <c r="G1391" s="91"/>
      <c r="J1391" s="91"/>
      <c r="M1391" s="91"/>
      <c r="P1391" s="91"/>
      <c r="S1391" s="91"/>
      <c r="T1391" s="91"/>
      <c r="U1391" s="91"/>
      <c r="V1391" s="91"/>
      <c r="W1391" s="91"/>
    </row>
    <row r="1392">
      <c r="A1392" s="91"/>
      <c r="D1392" s="91"/>
      <c r="G1392" s="91"/>
      <c r="J1392" s="91"/>
      <c r="M1392" s="91"/>
      <c r="P1392" s="91"/>
      <c r="S1392" s="91"/>
      <c r="T1392" s="91"/>
      <c r="U1392" s="91"/>
      <c r="V1392" s="91"/>
      <c r="W1392" s="91"/>
    </row>
    <row r="1393">
      <c r="A1393" s="91"/>
      <c r="D1393" s="91"/>
      <c r="G1393" s="91"/>
      <c r="J1393" s="91"/>
      <c r="M1393" s="91"/>
      <c r="P1393" s="91"/>
      <c r="S1393" s="91"/>
      <c r="T1393" s="91"/>
      <c r="U1393" s="91"/>
      <c r="V1393" s="91"/>
      <c r="W1393" s="91"/>
    </row>
    <row r="1394">
      <c r="A1394" s="91"/>
      <c r="D1394" s="91"/>
      <c r="G1394" s="91"/>
      <c r="J1394" s="91"/>
      <c r="M1394" s="91"/>
      <c r="P1394" s="91"/>
      <c r="S1394" s="91"/>
      <c r="T1394" s="91"/>
      <c r="U1394" s="91"/>
      <c r="V1394" s="91"/>
      <c r="W1394" s="91"/>
    </row>
    <row r="1395">
      <c r="A1395" s="91"/>
      <c r="D1395" s="91"/>
      <c r="G1395" s="91"/>
      <c r="J1395" s="91"/>
      <c r="M1395" s="91"/>
      <c r="P1395" s="91"/>
      <c r="S1395" s="91"/>
      <c r="T1395" s="91"/>
      <c r="U1395" s="91"/>
      <c r="V1395" s="91"/>
      <c r="W1395" s="91"/>
    </row>
    <row r="1396">
      <c r="A1396" s="91"/>
      <c r="D1396" s="91"/>
      <c r="G1396" s="91"/>
      <c r="J1396" s="91"/>
      <c r="M1396" s="91"/>
      <c r="P1396" s="91"/>
      <c r="S1396" s="91"/>
      <c r="T1396" s="91"/>
      <c r="U1396" s="91"/>
      <c r="V1396" s="91"/>
      <c r="W1396" s="91"/>
    </row>
    <row r="1397">
      <c r="A1397" s="91"/>
      <c r="D1397" s="91"/>
      <c r="G1397" s="91"/>
      <c r="J1397" s="91"/>
      <c r="M1397" s="91"/>
      <c r="P1397" s="91"/>
      <c r="S1397" s="91"/>
      <c r="T1397" s="91"/>
      <c r="U1397" s="91"/>
      <c r="V1397" s="91"/>
      <c r="W1397" s="91"/>
    </row>
    <row r="1398">
      <c r="A1398" s="91"/>
      <c r="D1398" s="91"/>
      <c r="G1398" s="91"/>
      <c r="J1398" s="91"/>
      <c r="M1398" s="91"/>
      <c r="P1398" s="91"/>
      <c r="S1398" s="91"/>
      <c r="T1398" s="91"/>
      <c r="U1398" s="91"/>
      <c r="V1398" s="91"/>
      <c r="W1398" s="91"/>
    </row>
    <row r="1399">
      <c r="A1399" s="91"/>
      <c r="D1399" s="91"/>
      <c r="G1399" s="91"/>
      <c r="J1399" s="91"/>
      <c r="M1399" s="91"/>
      <c r="P1399" s="91"/>
      <c r="S1399" s="91"/>
      <c r="T1399" s="91"/>
      <c r="U1399" s="91"/>
      <c r="V1399" s="91"/>
      <c r="W1399" s="91"/>
    </row>
    <row r="1400">
      <c r="A1400" s="91"/>
      <c r="D1400" s="91"/>
      <c r="G1400" s="91"/>
      <c r="J1400" s="91"/>
      <c r="M1400" s="91"/>
      <c r="P1400" s="91"/>
      <c r="S1400" s="91"/>
      <c r="T1400" s="91"/>
      <c r="U1400" s="91"/>
      <c r="V1400" s="91"/>
      <c r="W1400" s="91"/>
    </row>
    <row r="1401">
      <c r="A1401" s="91"/>
      <c r="D1401" s="91"/>
      <c r="G1401" s="91"/>
      <c r="J1401" s="91"/>
      <c r="M1401" s="91"/>
      <c r="P1401" s="91"/>
      <c r="S1401" s="91"/>
      <c r="T1401" s="91"/>
      <c r="U1401" s="91"/>
      <c r="V1401" s="91"/>
      <c r="W1401" s="91"/>
    </row>
    <row r="1402">
      <c r="A1402" s="91"/>
      <c r="D1402" s="91"/>
      <c r="G1402" s="91"/>
      <c r="J1402" s="91"/>
      <c r="M1402" s="91"/>
      <c r="P1402" s="91"/>
      <c r="S1402" s="91"/>
      <c r="T1402" s="91"/>
      <c r="U1402" s="91"/>
      <c r="V1402" s="91"/>
      <c r="W1402" s="91"/>
    </row>
    <row r="1403">
      <c r="A1403" s="91"/>
      <c r="D1403" s="91"/>
      <c r="G1403" s="91"/>
      <c r="J1403" s="91"/>
      <c r="M1403" s="91"/>
      <c r="P1403" s="91"/>
      <c r="S1403" s="91"/>
      <c r="T1403" s="91"/>
      <c r="U1403" s="91"/>
      <c r="V1403" s="91"/>
      <c r="W1403" s="91"/>
    </row>
    <row r="1404">
      <c r="A1404" s="91"/>
      <c r="D1404" s="91"/>
      <c r="G1404" s="91"/>
      <c r="J1404" s="91"/>
      <c r="M1404" s="91"/>
      <c r="P1404" s="91"/>
      <c r="S1404" s="91"/>
      <c r="T1404" s="91"/>
      <c r="U1404" s="91"/>
      <c r="V1404" s="91"/>
      <c r="W1404" s="91"/>
    </row>
    <row r="1405">
      <c r="A1405" s="91"/>
      <c r="D1405" s="91"/>
      <c r="G1405" s="91"/>
      <c r="J1405" s="91"/>
      <c r="M1405" s="91"/>
      <c r="P1405" s="91"/>
      <c r="S1405" s="91"/>
      <c r="T1405" s="91"/>
      <c r="U1405" s="91"/>
      <c r="V1405" s="91"/>
      <c r="W1405" s="91"/>
    </row>
    <row r="1406">
      <c r="A1406" s="91"/>
      <c r="D1406" s="91"/>
      <c r="G1406" s="91"/>
      <c r="J1406" s="91"/>
      <c r="M1406" s="91"/>
      <c r="P1406" s="91"/>
      <c r="S1406" s="91"/>
      <c r="T1406" s="91"/>
      <c r="U1406" s="91"/>
      <c r="V1406" s="91"/>
      <c r="W1406" s="91"/>
    </row>
    <row r="1407">
      <c r="A1407" s="91"/>
      <c r="D1407" s="91"/>
      <c r="G1407" s="91"/>
      <c r="J1407" s="91"/>
      <c r="M1407" s="91"/>
      <c r="P1407" s="91"/>
      <c r="S1407" s="91"/>
      <c r="T1407" s="91"/>
      <c r="U1407" s="91"/>
      <c r="V1407" s="91"/>
      <c r="W1407" s="91"/>
    </row>
    <row r="1408">
      <c r="A1408" s="91"/>
      <c r="D1408" s="91"/>
      <c r="G1408" s="91"/>
      <c r="J1408" s="91"/>
      <c r="M1408" s="91"/>
      <c r="P1408" s="91"/>
      <c r="S1408" s="91"/>
      <c r="T1408" s="91"/>
      <c r="U1408" s="91"/>
      <c r="V1408" s="91"/>
      <c r="W1408" s="91"/>
    </row>
    <row r="1409">
      <c r="A1409" s="91"/>
      <c r="D1409" s="91"/>
      <c r="G1409" s="91"/>
      <c r="J1409" s="91"/>
      <c r="M1409" s="91"/>
      <c r="P1409" s="91"/>
      <c r="S1409" s="91"/>
      <c r="T1409" s="91"/>
      <c r="U1409" s="91"/>
      <c r="V1409" s="91"/>
      <c r="W1409" s="91"/>
    </row>
    <row r="1410">
      <c r="A1410" s="91"/>
      <c r="D1410" s="91"/>
      <c r="G1410" s="91"/>
      <c r="J1410" s="91"/>
      <c r="M1410" s="91"/>
      <c r="P1410" s="91"/>
      <c r="S1410" s="91"/>
      <c r="T1410" s="91"/>
      <c r="U1410" s="91"/>
      <c r="V1410" s="91"/>
      <c r="W1410" s="91"/>
    </row>
    <row r="1411">
      <c r="A1411" s="91"/>
      <c r="D1411" s="91"/>
      <c r="G1411" s="91"/>
      <c r="J1411" s="91"/>
      <c r="M1411" s="91"/>
      <c r="P1411" s="91"/>
      <c r="S1411" s="91"/>
      <c r="T1411" s="91"/>
      <c r="U1411" s="91"/>
      <c r="V1411" s="91"/>
      <c r="W1411" s="91"/>
    </row>
    <row r="1412">
      <c r="A1412" s="91"/>
      <c r="D1412" s="91"/>
      <c r="G1412" s="91"/>
      <c r="J1412" s="91"/>
      <c r="M1412" s="91"/>
      <c r="P1412" s="91"/>
      <c r="S1412" s="91"/>
      <c r="T1412" s="91"/>
      <c r="U1412" s="91"/>
      <c r="V1412" s="91"/>
      <c r="W1412" s="91"/>
    </row>
    <row r="1413">
      <c r="A1413" s="91"/>
      <c r="D1413" s="91"/>
      <c r="G1413" s="91"/>
      <c r="J1413" s="91"/>
      <c r="M1413" s="91"/>
      <c r="P1413" s="91"/>
      <c r="S1413" s="91"/>
      <c r="T1413" s="91"/>
      <c r="U1413" s="91"/>
      <c r="V1413" s="91"/>
      <c r="W1413" s="91"/>
    </row>
    <row r="1414">
      <c r="A1414" s="91"/>
      <c r="D1414" s="91"/>
      <c r="G1414" s="91"/>
      <c r="J1414" s="91"/>
      <c r="M1414" s="91"/>
      <c r="P1414" s="91"/>
      <c r="S1414" s="91"/>
      <c r="T1414" s="91"/>
      <c r="U1414" s="91"/>
      <c r="V1414" s="91"/>
      <c r="W1414" s="91"/>
    </row>
    <row r="1415">
      <c r="A1415" s="91"/>
      <c r="D1415" s="91"/>
      <c r="G1415" s="91"/>
      <c r="J1415" s="91"/>
      <c r="M1415" s="91"/>
      <c r="P1415" s="91"/>
      <c r="S1415" s="91"/>
      <c r="T1415" s="91"/>
      <c r="U1415" s="91"/>
      <c r="V1415" s="91"/>
      <c r="W1415" s="91"/>
    </row>
    <row r="1416">
      <c r="A1416" s="91"/>
      <c r="D1416" s="91"/>
      <c r="G1416" s="91"/>
      <c r="J1416" s="91"/>
      <c r="M1416" s="91"/>
      <c r="P1416" s="91"/>
      <c r="S1416" s="91"/>
      <c r="T1416" s="91"/>
      <c r="U1416" s="91"/>
      <c r="V1416" s="91"/>
      <c r="W1416" s="91"/>
    </row>
    <row r="1417">
      <c r="A1417" s="91"/>
      <c r="D1417" s="91"/>
      <c r="G1417" s="91"/>
      <c r="J1417" s="91"/>
      <c r="M1417" s="91"/>
      <c r="P1417" s="91"/>
      <c r="S1417" s="91"/>
      <c r="T1417" s="91"/>
      <c r="U1417" s="91"/>
      <c r="V1417" s="91"/>
      <c r="W1417" s="91"/>
    </row>
    <row r="1418">
      <c r="A1418" s="91"/>
      <c r="D1418" s="91"/>
      <c r="G1418" s="91"/>
      <c r="J1418" s="91"/>
      <c r="M1418" s="91"/>
      <c r="P1418" s="91"/>
      <c r="S1418" s="91"/>
      <c r="T1418" s="91"/>
      <c r="U1418" s="91"/>
      <c r="V1418" s="91"/>
      <c r="W1418" s="91"/>
    </row>
    <row r="1419">
      <c r="A1419" s="91"/>
      <c r="D1419" s="91"/>
      <c r="G1419" s="91"/>
      <c r="J1419" s="91"/>
      <c r="M1419" s="91"/>
      <c r="P1419" s="91"/>
      <c r="S1419" s="91"/>
      <c r="T1419" s="91"/>
      <c r="U1419" s="91"/>
      <c r="V1419" s="91"/>
      <c r="W1419" s="91"/>
    </row>
    <row r="1420">
      <c r="A1420" s="91"/>
      <c r="D1420" s="91"/>
      <c r="G1420" s="91"/>
      <c r="J1420" s="91"/>
      <c r="M1420" s="91"/>
      <c r="P1420" s="91"/>
      <c r="S1420" s="91"/>
      <c r="T1420" s="91"/>
      <c r="U1420" s="91"/>
      <c r="V1420" s="91"/>
      <c r="W1420" s="91"/>
    </row>
    <row r="1421">
      <c r="A1421" s="91"/>
      <c r="D1421" s="91"/>
      <c r="G1421" s="91"/>
      <c r="J1421" s="91"/>
      <c r="M1421" s="91"/>
      <c r="P1421" s="91"/>
      <c r="S1421" s="91"/>
      <c r="T1421" s="91"/>
      <c r="U1421" s="91"/>
      <c r="V1421" s="91"/>
      <c r="W1421" s="91"/>
    </row>
    <row r="1422">
      <c r="A1422" s="91"/>
      <c r="D1422" s="91"/>
      <c r="G1422" s="91"/>
      <c r="J1422" s="91"/>
      <c r="M1422" s="91"/>
      <c r="P1422" s="91"/>
      <c r="S1422" s="91"/>
      <c r="T1422" s="91"/>
      <c r="U1422" s="91"/>
      <c r="V1422" s="91"/>
      <c r="W1422" s="91"/>
    </row>
    <row r="1423">
      <c r="A1423" s="91"/>
      <c r="D1423" s="91"/>
      <c r="G1423" s="91"/>
      <c r="J1423" s="91"/>
      <c r="M1423" s="91"/>
      <c r="P1423" s="91"/>
      <c r="S1423" s="91"/>
      <c r="T1423" s="91"/>
      <c r="U1423" s="91"/>
      <c r="V1423" s="91"/>
      <c r="W1423" s="91"/>
    </row>
    <row r="1424">
      <c r="A1424" s="91"/>
      <c r="D1424" s="91"/>
      <c r="G1424" s="91"/>
      <c r="J1424" s="91"/>
      <c r="M1424" s="91"/>
      <c r="P1424" s="91"/>
      <c r="S1424" s="91"/>
      <c r="T1424" s="91"/>
      <c r="U1424" s="91"/>
      <c r="V1424" s="91"/>
      <c r="W1424" s="91"/>
    </row>
    <row r="1425">
      <c r="A1425" s="91"/>
      <c r="D1425" s="91"/>
      <c r="G1425" s="91"/>
      <c r="J1425" s="91"/>
      <c r="M1425" s="91"/>
      <c r="P1425" s="91"/>
      <c r="S1425" s="91"/>
      <c r="T1425" s="91"/>
      <c r="U1425" s="91"/>
      <c r="V1425" s="91"/>
      <c r="W1425" s="91"/>
    </row>
    <row r="1426">
      <c r="A1426" s="91"/>
      <c r="D1426" s="91"/>
      <c r="G1426" s="91"/>
      <c r="J1426" s="91"/>
      <c r="M1426" s="91"/>
      <c r="P1426" s="91"/>
      <c r="S1426" s="91"/>
      <c r="T1426" s="91"/>
      <c r="U1426" s="91"/>
      <c r="V1426" s="91"/>
      <c r="W1426" s="91"/>
    </row>
    <row r="1427">
      <c r="A1427" s="91"/>
      <c r="D1427" s="91"/>
      <c r="G1427" s="91"/>
      <c r="J1427" s="91"/>
      <c r="M1427" s="91"/>
      <c r="P1427" s="91"/>
      <c r="S1427" s="91"/>
      <c r="T1427" s="91"/>
      <c r="U1427" s="91"/>
      <c r="V1427" s="91"/>
      <c r="W1427" s="91"/>
    </row>
    <row r="1428">
      <c r="A1428" s="91"/>
      <c r="D1428" s="91"/>
      <c r="G1428" s="91"/>
      <c r="J1428" s="91"/>
      <c r="M1428" s="91"/>
      <c r="P1428" s="91"/>
      <c r="S1428" s="91"/>
      <c r="T1428" s="91"/>
      <c r="U1428" s="91"/>
      <c r="V1428" s="91"/>
      <c r="W1428" s="91"/>
    </row>
    <row r="1429">
      <c r="A1429" s="91"/>
      <c r="D1429" s="91"/>
      <c r="G1429" s="91"/>
      <c r="J1429" s="91"/>
      <c r="M1429" s="91"/>
      <c r="P1429" s="91"/>
      <c r="S1429" s="91"/>
      <c r="T1429" s="91"/>
      <c r="U1429" s="91"/>
      <c r="V1429" s="91"/>
      <c r="W1429" s="91"/>
    </row>
    <row r="1430">
      <c r="A1430" s="91"/>
      <c r="D1430" s="91"/>
      <c r="G1430" s="91"/>
      <c r="J1430" s="91"/>
      <c r="M1430" s="91"/>
      <c r="P1430" s="91"/>
      <c r="S1430" s="91"/>
      <c r="T1430" s="91"/>
      <c r="U1430" s="91"/>
      <c r="V1430" s="91"/>
      <c r="W1430" s="91"/>
    </row>
    <row r="1431">
      <c r="A1431" s="91"/>
      <c r="D1431" s="91"/>
      <c r="G1431" s="91"/>
      <c r="J1431" s="91"/>
      <c r="M1431" s="91"/>
      <c r="P1431" s="91"/>
      <c r="S1431" s="91"/>
      <c r="T1431" s="91"/>
      <c r="U1431" s="91"/>
      <c r="V1431" s="91"/>
      <c r="W1431" s="91"/>
    </row>
    <row r="1432">
      <c r="A1432" s="91"/>
      <c r="D1432" s="91"/>
      <c r="G1432" s="91"/>
      <c r="J1432" s="91"/>
      <c r="M1432" s="91"/>
      <c r="P1432" s="91"/>
      <c r="S1432" s="91"/>
      <c r="T1432" s="91"/>
      <c r="U1432" s="91"/>
      <c r="V1432" s="91"/>
      <c r="W1432" s="91"/>
    </row>
    <row r="1433">
      <c r="A1433" s="91"/>
      <c r="D1433" s="91"/>
      <c r="G1433" s="91"/>
      <c r="J1433" s="91"/>
      <c r="M1433" s="91"/>
      <c r="P1433" s="91"/>
      <c r="S1433" s="91"/>
      <c r="T1433" s="91"/>
      <c r="U1433" s="91"/>
      <c r="V1433" s="91"/>
      <c r="W1433" s="91"/>
    </row>
    <row r="1434">
      <c r="A1434" s="91"/>
      <c r="D1434" s="91"/>
      <c r="G1434" s="91"/>
      <c r="J1434" s="91"/>
      <c r="M1434" s="91"/>
      <c r="P1434" s="91"/>
      <c r="S1434" s="91"/>
      <c r="T1434" s="91"/>
      <c r="U1434" s="91"/>
      <c r="V1434" s="91"/>
      <c r="W1434" s="91"/>
    </row>
    <row r="1435">
      <c r="A1435" s="91"/>
      <c r="D1435" s="91"/>
      <c r="G1435" s="91"/>
      <c r="J1435" s="91"/>
      <c r="M1435" s="91"/>
      <c r="P1435" s="91"/>
      <c r="S1435" s="91"/>
      <c r="T1435" s="91"/>
      <c r="U1435" s="91"/>
      <c r="V1435" s="91"/>
      <c r="W1435" s="91"/>
    </row>
    <row r="1436">
      <c r="A1436" s="91"/>
      <c r="D1436" s="91"/>
      <c r="G1436" s="91"/>
      <c r="J1436" s="91"/>
      <c r="M1436" s="91"/>
      <c r="P1436" s="91"/>
      <c r="S1436" s="91"/>
      <c r="T1436" s="91"/>
      <c r="U1436" s="91"/>
      <c r="V1436" s="91"/>
      <c r="W1436" s="91"/>
    </row>
    <row r="1437">
      <c r="A1437" s="91"/>
      <c r="D1437" s="91"/>
      <c r="G1437" s="91"/>
      <c r="J1437" s="91"/>
      <c r="M1437" s="91"/>
      <c r="P1437" s="91"/>
      <c r="S1437" s="91"/>
      <c r="T1437" s="91"/>
      <c r="U1437" s="91"/>
      <c r="V1437" s="91"/>
      <c r="W1437" s="91"/>
    </row>
    <row r="1438">
      <c r="A1438" s="91"/>
      <c r="D1438" s="91"/>
      <c r="G1438" s="91"/>
      <c r="J1438" s="91"/>
      <c r="M1438" s="91"/>
      <c r="P1438" s="91"/>
      <c r="S1438" s="91"/>
      <c r="T1438" s="91"/>
      <c r="U1438" s="91"/>
      <c r="V1438" s="91"/>
      <c r="W1438" s="91"/>
    </row>
    <row r="1439">
      <c r="A1439" s="91"/>
      <c r="D1439" s="91"/>
      <c r="G1439" s="91"/>
      <c r="J1439" s="91"/>
      <c r="M1439" s="91"/>
      <c r="P1439" s="91"/>
      <c r="S1439" s="91"/>
      <c r="T1439" s="91"/>
      <c r="U1439" s="91"/>
      <c r="V1439" s="91"/>
      <c r="W1439" s="91"/>
    </row>
    <row r="1440">
      <c r="A1440" s="91"/>
      <c r="D1440" s="91"/>
      <c r="G1440" s="91"/>
      <c r="J1440" s="91"/>
      <c r="M1440" s="91"/>
      <c r="P1440" s="91"/>
      <c r="S1440" s="91"/>
      <c r="T1440" s="91"/>
      <c r="U1440" s="91"/>
      <c r="V1440" s="91"/>
      <c r="W1440" s="91"/>
    </row>
    <row r="1441">
      <c r="A1441" s="91"/>
      <c r="D1441" s="91"/>
      <c r="G1441" s="91"/>
      <c r="J1441" s="91"/>
      <c r="M1441" s="91"/>
      <c r="P1441" s="91"/>
      <c r="S1441" s="91"/>
      <c r="T1441" s="91"/>
      <c r="U1441" s="91"/>
      <c r="V1441" s="91"/>
      <c r="W1441" s="91"/>
    </row>
    <row r="1442">
      <c r="A1442" s="91"/>
      <c r="D1442" s="91"/>
      <c r="G1442" s="91"/>
      <c r="J1442" s="91"/>
      <c r="M1442" s="91"/>
      <c r="P1442" s="91"/>
      <c r="S1442" s="91"/>
      <c r="T1442" s="91"/>
      <c r="U1442" s="91"/>
      <c r="V1442" s="91"/>
      <c r="W1442" s="91"/>
    </row>
    <row r="1443">
      <c r="A1443" s="91"/>
      <c r="D1443" s="91"/>
      <c r="G1443" s="91"/>
      <c r="J1443" s="91"/>
      <c r="M1443" s="91"/>
      <c r="P1443" s="91"/>
      <c r="S1443" s="91"/>
      <c r="T1443" s="91"/>
      <c r="U1443" s="91"/>
      <c r="V1443" s="91"/>
      <c r="W1443" s="91"/>
    </row>
    <row r="1444">
      <c r="A1444" s="91"/>
      <c r="D1444" s="91"/>
      <c r="G1444" s="91"/>
      <c r="J1444" s="91"/>
      <c r="M1444" s="91"/>
      <c r="P1444" s="91"/>
      <c r="S1444" s="91"/>
      <c r="T1444" s="91"/>
      <c r="U1444" s="91"/>
      <c r="V1444" s="91"/>
      <c r="W1444" s="91"/>
    </row>
    <row r="1445">
      <c r="A1445" s="91"/>
      <c r="D1445" s="91"/>
      <c r="G1445" s="91"/>
      <c r="J1445" s="91"/>
      <c r="M1445" s="91"/>
      <c r="P1445" s="91"/>
      <c r="S1445" s="91"/>
      <c r="T1445" s="91"/>
      <c r="U1445" s="91"/>
      <c r="V1445" s="91"/>
      <c r="W1445" s="91"/>
    </row>
    <row r="1446">
      <c r="A1446" s="91"/>
      <c r="D1446" s="91"/>
      <c r="G1446" s="91"/>
      <c r="J1446" s="91"/>
      <c r="M1446" s="91"/>
      <c r="P1446" s="91"/>
      <c r="S1446" s="91"/>
      <c r="T1446" s="91"/>
      <c r="U1446" s="91"/>
      <c r="V1446" s="91"/>
      <c r="W1446" s="91"/>
    </row>
    <row r="1447">
      <c r="A1447" s="91"/>
      <c r="D1447" s="91"/>
      <c r="G1447" s="91"/>
      <c r="J1447" s="91"/>
      <c r="M1447" s="91"/>
      <c r="P1447" s="91"/>
      <c r="S1447" s="91"/>
      <c r="T1447" s="91"/>
      <c r="U1447" s="91"/>
      <c r="V1447" s="91"/>
      <c r="W1447" s="91"/>
    </row>
    <row r="1448">
      <c r="A1448" s="91"/>
      <c r="D1448" s="91"/>
      <c r="G1448" s="91"/>
      <c r="J1448" s="91"/>
      <c r="M1448" s="91"/>
      <c r="P1448" s="91"/>
      <c r="S1448" s="91"/>
      <c r="T1448" s="91"/>
      <c r="U1448" s="91"/>
      <c r="V1448" s="91"/>
      <c r="W1448" s="91"/>
    </row>
    <row r="1449">
      <c r="A1449" s="91"/>
      <c r="D1449" s="91"/>
      <c r="G1449" s="91"/>
      <c r="J1449" s="91"/>
      <c r="M1449" s="91"/>
      <c r="P1449" s="91"/>
      <c r="S1449" s="91"/>
      <c r="T1449" s="91"/>
      <c r="U1449" s="91"/>
      <c r="V1449" s="91"/>
      <c r="W1449" s="91"/>
    </row>
    <row r="1450">
      <c r="A1450" s="91"/>
      <c r="D1450" s="91"/>
      <c r="G1450" s="91"/>
      <c r="J1450" s="91"/>
      <c r="M1450" s="91"/>
      <c r="P1450" s="91"/>
      <c r="S1450" s="91"/>
      <c r="T1450" s="91"/>
      <c r="U1450" s="91"/>
      <c r="V1450" s="91"/>
      <c r="W1450" s="91"/>
    </row>
    <row r="1451">
      <c r="A1451" s="91"/>
      <c r="D1451" s="91"/>
      <c r="G1451" s="91"/>
      <c r="J1451" s="91"/>
      <c r="M1451" s="91"/>
      <c r="P1451" s="91"/>
      <c r="S1451" s="91"/>
      <c r="T1451" s="91"/>
      <c r="U1451" s="91"/>
      <c r="V1451" s="91"/>
      <c r="W1451" s="91"/>
    </row>
    <row r="1452">
      <c r="A1452" s="91"/>
      <c r="D1452" s="91"/>
      <c r="G1452" s="91"/>
      <c r="J1452" s="91"/>
      <c r="M1452" s="91"/>
      <c r="P1452" s="91"/>
      <c r="S1452" s="91"/>
      <c r="T1452" s="91"/>
      <c r="U1452" s="91"/>
      <c r="V1452" s="91"/>
      <c r="W1452" s="91"/>
    </row>
    <row r="1453">
      <c r="A1453" s="91"/>
      <c r="D1453" s="91"/>
      <c r="G1453" s="91"/>
      <c r="J1453" s="91"/>
      <c r="M1453" s="91"/>
      <c r="P1453" s="91"/>
      <c r="S1453" s="91"/>
      <c r="T1453" s="91"/>
      <c r="U1453" s="91"/>
      <c r="V1453" s="91"/>
      <c r="W1453" s="91"/>
    </row>
    <row r="1454">
      <c r="A1454" s="91"/>
      <c r="D1454" s="91"/>
      <c r="G1454" s="91"/>
      <c r="J1454" s="91"/>
      <c r="M1454" s="91"/>
      <c r="P1454" s="91"/>
      <c r="S1454" s="91"/>
      <c r="T1454" s="91"/>
      <c r="U1454" s="91"/>
      <c r="V1454" s="91"/>
      <c r="W1454" s="91"/>
    </row>
    <row r="1455">
      <c r="A1455" s="91"/>
      <c r="D1455" s="91"/>
      <c r="G1455" s="91"/>
      <c r="J1455" s="91"/>
      <c r="M1455" s="91"/>
      <c r="P1455" s="91"/>
      <c r="S1455" s="91"/>
      <c r="T1455" s="91"/>
      <c r="U1455" s="91"/>
      <c r="V1455" s="91"/>
      <c r="W1455" s="91"/>
    </row>
    <row r="1456">
      <c r="A1456" s="91"/>
      <c r="D1456" s="91"/>
      <c r="G1456" s="91"/>
      <c r="J1456" s="91"/>
      <c r="M1456" s="91"/>
      <c r="P1456" s="91"/>
      <c r="S1456" s="91"/>
      <c r="T1456" s="91"/>
      <c r="U1456" s="91"/>
      <c r="V1456" s="91"/>
      <c r="W1456" s="91"/>
    </row>
    <row r="1457">
      <c r="A1457" s="91"/>
      <c r="D1457" s="91"/>
      <c r="G1457" s="91"/>
      <c r="J1457" s="91"/>
      <c r="M1457" s="91"/>
      <c r="P1457" s="91"/>
      <c r="S1457" s="91"/>
      <c r="T1457" s="91"/>
      <c r="U1457" s="91"/>
      <c r="V1457" s="91"/>
      <c r="W1457" s="91"/>
    </row>
    <row r="1458">
      <c r="A1458" s="91"/>
      <c r="D1458" s="91"/>
      <c r="G1458" s="91"/>
      <c r="J1458" s="91"/>
      <c r="M1458" s="91"/>
      <c r="P1458" s="91"/>
      <c r="S1458" s="91"/>
      <c r="T1458" s="91"/>
      <c r="U1458" s="91"/>
      <c r="V1458" s="91"/>
      <c r="W1458" s="91"/>
    </row>
    <row r="1459">
      <c r="A1459" s="91"/>
      <c r="D1459" s="91"/>
      <c r="G1459" s="91"/>
      <c r="J1459" s="91"/>
      <c r="M1459" s="91"/>
      <c r="P1459" s="91"/>
      <c r="S1459" s="91"/>
      <c r="T1459" s="91"/>
      <c r="U1459" s="91"/>
      <c r="V1459" s="91"/>
      <c r="W1459" s="91"/>
    </row>
    <row r="1460">
      <c r="A1460" s="91"/>
      <c r="D1460" s="91"/>
      <c r="G1460" s="91"/>
      <c r="J1460" s="91"/>
      <c r="M1460" s="91"/>
      <c r="P1460" s="91"/>
      <c r="S1460" s="91"/>
      <c r="T1460" s="91"/>
      <c r="U1460" s="91"/>
      <c r="V1460" s="91"/>
      <c r="W1460" s="91"/>
    </row>
    <row r="1461">
      <c r="A1461" s="91"/>
      <c r="D1461" s="91"/>
      <c r="G1461" s="91"/>
      <c r="J1461" s="91"/>
      <c r="M1461" s="91"/>
      <c r="P1461" s="91"/>
      <c r="S1461" s="91"/>
      <c r="T1461" s="91"/>
      <c r="U1461" s="91"/>
      <c r="V1461" s="91"/>
      <c r="W1461" s="91"/>
    </row>
    <row r="1462">
      <c r="A1462" s="91"/>
      <c r="D1462" s="91"/>
      <c r="G1462" s="91"/>
      <c r="J1462" s="91"/>
      <c r="M1462" s="91"/>
      <c r="P1462" s="91"/>
      <c r="S1462" s="91"/>
      <c r="T1462" s="91"/>
      <c r="U1462" s="91"/>
      <c r="V1462" s="91"/>
      <c r="W1462" s="91"/>
    </row>
    <row r="1463">
      <c r="A1463" s="91"/>
      <c r="D1463" s="91"/>
      <c r="G1463" s="91"/>
      <c r="J1463" s="91"/>
      <c r="M1463" s="91"/>
      <c r="P1463" s="91"/>
      <c r="S1463" s="91"/>
      <c r="T1463" s="91"/>
      <c r="U1463" s="91"/>
      <c r="V1463" s="91"/>
      <c r="W1463" s="91"/>
    </row>
    <row r="1464">
      <c r="A1464" s="91"/>
      <c r="D1464" s="91"/>
      <c r="G1464" s="91"/>
      <c r="J1464" s="91"/>
      <c r="M1464" s="91"/>
      <c r="P1464" s="91"/>
      <c r="S1464" s="91"/>
      <c r="T1464" s="91"/>
      <c r="U1464" s="91"/>
      <c r="V1464" s="91"/>
      <c r="W1464" s="91"/>
    </row>
    <row r="1465">
      <c r="A1465" s="91"/>
      <c r="D1465" s="91"/>
      <c r="G1465" s="91"/>
      <c r="J1465" s="91"/>
      <c r="M1465" s="91"/>
      <c r="P1465" s="91"/>
      <c r="S1465" s="91"/>
      <c r="T1465" s="91"/>
      <c r="U1465" s="91"/>
      <c r="V1465" s="91"/>
      <c r="W1465" s="91"/>
    </row>
    <row r="1466">
      <c r="A1466" s="91"/>
      <c r="D1466" s="91"/>
      <c r="G1466" s="91"/>
      <c r="J1466" s="91"/>
      <c r="M1466" s="91"/>
      <c r="P1466" s="91"/>
      <c r="S1466" s="91"/>
      <c r="T1466" s="91"/>
      <c r="U1466" s="91"/>
      <c r="V1466" s="91"/>
      <c r="W1466" s="91"/>
    </row>
    <row r="1467">
      <c r="A1467" s="91"/>
      <c r="D1467" s="91"/>
      <c r="G1467" s="91"/>
      <c r="J1467" s="91"/>
      <c r="M1467" s="91"/>
      <c r="P1467" s="91"/>
      <c r="S1467" s="91"/>
      <c r="T1467" s="91"/>
      <c r="U1467" s="91"/>
      <c r="V1467" s="91"/>
      <c r="W1467" s="91"/>
    </row>
    <row r="1468">
      <c r="A1468" s="91"/>
      <c r="D1468" s="91"/>
      <c r="G1468" s="91"/>
      <c r="J1468" s="91"/>
      <c r="M1468" s="91"/>
      <c r="P1468" s="91"/>
      <c r="S1468" s="91"/>
      <c r="T1468" s="91"/>
      <c r="U1468" s="91"/>
      <c r="V1468" s="91"/>
      <c r="W1468" s="91"/>
    </row>
    <row r="1469">
      <c r="A1469" s="91"/>
      <c r="D1469" s="91"/>
      <c r="G1469" s="91"/>
      <c r="J1469" s="91"/>
      <c r="M1469" s="91"/>
      <c r="P1469" s="91"/>
      <c r="S1469" s="91"/>
      <c r="T1469" s="91"/>
      <c r="U1469" s="91"/>
      <c r="V1469" s="91"/>
      <c r="W1469" s="91"/>
    </row>
    <row r="1470">
      <c r="A1470" s="91"/>
      <c r="D1470" s="91"/>
      <c r="G1470" s="91"/>
      <c r="J1470" s="91"/>
      <c r="M1470" s="91"/>
      <c r="P1470" s="91"/>
      <c r="S1470" s="91"/>
      <c r="T1470" s="91"/>
      <c r="U1470" s="91"/>
      <c r="V1470" s="91"/>
      <c r="W1470" s="91"/>
    </row>
    <row r="1471">
      <c r="A1471" s="91"/>
      <c r="D1471" s="91"/>
      <c r="G1471" s="91"/>
      <c r="J1471" s="91"/>
      <c r="M1471" s="91"/>
      <c r="P1471" s="91"/>
      <c r="S1471" s="91"/>
      <c r="T1471" s="91"/>
      <c r="U1471" s="91"/>
      <c r="V1471" s="91"/>
      <c r="W1471" s="91"/>
    </row>
    <row r="1472">
      <c r="A1472" s="91"/>
      <c r="D1472" s="91"/>
      <c r="G1472" s="91"/>
      <c r="J1472" s="91"/>
      <c r="M1472" s="91"/>
      <c r="P1472" s="91"/>
      <c r="S1472" s="91"/>
      <c r="T1472" s="91"/>
      <c r="U1472" s="91"/>
      <c r="V1472" s="91"/>
      <c r="W1472" s="91"/>
    </row>
    <row r="1473">
      <c r="A1473" s="91"/>
      <c r="D1473" s="91"/>
      <c r="G1473" s="91"/>
      <c r="J1473" s="91"/>
      <c r="M1473" s="91"/>
      <c r="P1473" s="91"/>
      <c r="S1473" s="91"/>
      <c r="T1473" s="91"/>
      <c r="U1473" s="91"/>
      <c r="V1473" s="91"/>
      <c r="W1473" s="91"/>
    </row>
    <row r="1474">
      <c r="A1474" s="91"/>
      <c r="D1474" s="91"/>
      <c r="G1474" s="91"/>
      <c r="J1474" s="91"/>
      <c r="M1474" s="91"/>
      <c r="P1474" s="91"/>
      <c r="S1474" s="91"/>
      <c r="T1474" s="91"/>
      <c r="U1474" s="91"/>
      <c r="V1474" s="91"/>
      <c r="W1474" s="91"/>
    </row>
    <row r="1475">
      <c r="A1475" s="91"/>
      <c r="D1475" s="91"/>
      <c r="G1475" s="91"/>
      <c r="J1475" s="91"/>
      <c r="M1475" s="91"/>
      <c r="P1475" s="91"/>
      <c r="S1475" s="91"/>
      <c r="T1475" s="91"/>
      <c r="U1475" s="91"/>
      <c r="V1475" s="91"/>
      <c r="W1475" s="91"/>
    </row>
    <row r="1476">
      <c r="A1476" s="91"/>
      <c r="D1476" s="91"/>
      <c r="G1476" s="91"/>
      <c r="J1476" s="91"/>
      <c r="M1476" s="91"/>
      <c r="P1476" s="91"/>
      <c r="S1476" s="91"/>
      <c r="T1476" s="91"/>
      <c r="U1476" s="91"/>
      <c r="V1476" s="91"/>
      <c r="W1476" s="91"/>
    </row>
    <row r="1477">
      <c r="A1477" s="91"/>
      <c r="D1477" s="91"/>
      <c r="G1477" s="91"/>
      <c r="J1477" s="91"/>
      <c r="M1477" s="91"/>
      <c r="P1477" s="91"/>
      <c r="S1477" s="91"/>
      <c r="T1477" s="91"/>
      <c r="U1477" s="91"/>
      <c r="V1477" s="91"/>
      <c r="W1477" s="91"/>
    </row>
    <row r="1478">
      <c r="A1478" s="91"/>
      <c r="D1478" s="91"/>
      <c r="G1478" s="91"/>
      <c r="J1478" s="91"/>
      <c r="M1478" s="91"/>
      <c r="P1478" s="91"/>
      <c r="S1478" s="91"/>
      <c r="T1478" s="91"/>
      <c r="U1478" s="91"/>
      <c r="V1478" s="91"/>
      <c r="W1478" s="91"/>
    </row>
    <row r="1479">
      <c r="A1479" s="91"/>
      <c r="D1479" s="91"/>
      <c r="G1479" s="91"/>
      <c r="J1479" s="91"/>
      <c r="M1479" s="91"/>
      <c r="P1479" s="91"/>
      <c r="S1479" s="91"/>
      <c r="T1479" s="91"/>
      <c r="U1479" s="91"/>
      <c r="V1479" s="91"/>
      <c r="W1479" s="91"/>
    </row>
    <row r="1480">
      <c r="A1480" s="91"/>
      <c r="D1480" s="91"/>
      <c r="G1480" s="91"/>
      <c r="J1480" s="91"/>
      <c r="M1480" s="91"/>
      <c r="P1480" s="91"/>
      <c r="S1480" s="91"/>
      <c r="T1480" s="91"/>
      <c r="U1480" s="91"/>
      <c r="V1480" s="91"/>
      <c r="W1480" s="91"/>
    </row>
    <row r="1481">
      <c r="A1481" s="91"/>
      <c r="D1481" s="91"/>
      <c r="G1481" s="91"/>
      <c r="J1481" s="91"/>
      <c r="M1481" s="91"/>
      <c r="P1481" s="91"/>
      <c r="S1481" s="91"/>
      <c r="T1481" s="91"/>
      <c r="U1481" s="91"/>
      <c r="V1481" s="91"/>
      <c r="W1481" s="91"/>
    </row>
    <row r="1482">
      <c r="A1482" s="91"/>
      <c r="D1482" s="91"/>
      <c r="G1482" s="91"/>
      <c r="J1482" s="91"/>
      <c r="M1482" s="91"/>
      <c r="P1482" s="91"/>
      <c r="S1482" s="91"/>
      <c r="T1482" s="91"/>
      <c r="U1482" s="91"/>
      <c r="V1482" s="91"/>
      <c r="W1482" s="91"/>
    </row>
    <row r="1483">
      <c r="A1483" s="91"/>
      <c r="D1483" s="91"/>
      <c r="G1483" s="91"/>
      <c r="J1483" s="91"/>
      <c r="M1483" s="91"/>
      <c r="P1483" s="91"/>
      <c r="S1483" s="91"/>
      <c r="T1483" s="91"/>
      <c r="U1483" s="91"/>
      <c r="V1483" s="91"/>
      <c r="W1483" s="91"/>
    </row>
    <row r="1484">
      <c r="A1484" s="91"/>
      <c r="D1484" s="91"/>
      <c r="G1484" s="91"/>
      <c r="J1484" s="91"/>
      <c r="M1484" s="91"/>
      <c r="P1484" s="91"/>
      <c r="S1484" s="91"/>
      <c r="T1484" s="91"/>
      <c r="U1484" s="91"/>
      <c r="V1484" s="91"/>
      <c r="W1484" s="91"/>
    </row>
    <row r="1485">
      <c r="A1485" s="91"/>
      <c r="D1485" s="91"/>
      <c r="G1485" s="91"/>
      <c r="J1485" s="91"/>
      <c r="M1485" s="91"/>
      <c r="P1485" s="91"/>
      <c r="S1485" s="91"/>
      <c r="T1485" s="91"/>
      <c r="U1485" s="91"/>
      <c r="V1485" s="91"/>
      <c r="W1485" s="91"/>
    </row>
    <row r="1486">
      <c r="A1486" s="91"/>
      <c r="D1486" s="91"/>
      <c r="G1486" s="91"/>
      <c r="J1486" s="91"/>
      <c r="M1486" s="91"/>
      <c r="P1486" s="91"/>
      <c r="S1486" s="91"/>
      <c r="T1486" s="91"/>
      <c r="U1486" s="91"/>
      <c r="V1486" s="91"/>
      <c r="W1486" s="91"/>
    </row>
    <row r="1487">
      <c r="A1487" s="91"/>
      <c r="D1487" s="91"/>
      <c r="G1487" s="91"/>
      <c r="J1487" s="91"/>
      <c r="M1487" s="91"/>
      <c r="P1487" s="91"/>
      <c r="S1487" s="91"/>
      <c r="T1487" s="91"/>
      <c r="U1487" s="91"/>
      <c r="V1487" s="91"/>
      <c r="W1487" s="91"/>
    </row>
    <row r="1488">
      <c r="A1488" s="91"/>
      <c r="D1488" s="91"/>
      <c r="G1488" s="91"/>
      <c r="J1488" s="91"/>
      <c r="M1488" s="91"/>
      <c r="P1488" s="91"/>
      <c r="S1488" s="91"/>
      <c r="T1488" s="91"/>
      <c r="U1488" s="91"/>
      <c r="V1488" s="91"/>
      <c r="W1488" s="91"/>
    </row>
    <row r="1489">
      <c r="A1489" s="91"/>
      <c r="D1489" s="91"/>
      <c r="G1489" s="91"/>
      <c r="J1489" s="91"/>
      <c r="M1489" s="91"/>
      <c r="P1489" s="91"/>
      <c r="S1489" s="91"/>
      <c r="T1489" s="91"/>
      <c r="U1489" s="91"/>
      <c r="V1489" s="91"/>
      <c r="W1489" s="91"/>
    </row>
    <row r="1490">
      <c r="A1490" s="91"/>
      <c r="D1490" s="91"/>
      <c r="G1490" s="91"/>
      <c r="J1490" s="91"/>
      <c r="M1490" s="91"/>
      <c r="P1490" s="91"/>
      <c r="S1490" s="91"/>
      <c r="T1490" s="91"/>
      <c r="U1490" s="91"/>
      <c r="V1490" s="91"/>
      <c r="W1490" s="91"/>
    </row>
    <row r="1491">
      <c r="A1491" s="91"/>
      <c r="D1491" s="91"/>
      <c r="G1491" s="91"/>
      <c r="J1491" s="91"/>
      <c r="M1491" s="91"/>
      <c r="P1491" s="91"/>
      <c r="S1491" s="91"/>
      <c r="T1491" s="91"/>
      <c r="U1491" s="91"/>
      <c r="V1491" s="91"/>
      <c r="W1491" s="91"/>
    </row>
    <row r="1492">
      <c r="A1492" s="91"/>
      <c r="D1492" s="91"/>
      <c r="G1492" s="91"/>
      <c r="J1492" s="91"/>
      <c r="M1492" s="91"/>
      <c r="P1492" s="91"/>
      <c r="S1492" s="91"/>
      <c r="T1492" s="91"/>
      <c r="U1492" s="91"/>
      <c r="V1492" s="91"/>
      <c r="W1492" s="91"/>
    </row>
    <row r="1493">
      <c r="A1493" s="91"/>
      <c r="D1493" s="91"/>
      <c r="G1493" s="91"/>
      <c r="J1493" s="91"/>
      <c r="M1493" s="91"/>
      <c r="P1493" s="91"/>
      <c r="S1493" s="91"/>
      <c r="T1493" s="91"/>
      <c r="U1493" s="91"/>
      <c r="V1493" s="91"/>
      <c r="W1493" s="91"/>
    </row>
    <row r="1494">
      <c r="A1494" s="91"/>
      <c r="D1494" s="91"/>
      <c r="G1494" s="91"/>
      <c r="J1494" s="91"/>
      <c r="M1494" s="91"/>
      <c r="P1494" s="91"/>
      <c r="S1494" s="91"/>
      <c r="T1494" s="91"/>
      <c r="U1494" s="91"/>
      <c r="V1494" s="91"/>
      <c r="W1494" s="91"/>
    </row>
    <row r="1495">
      <c r="A1495" s="91"/>
      <c r="D1495" s="91"/>
      <c r="G1495" s="91"/>
      <c r="J1495" s="91"/>
      <c r="M1495" s="91"/>
      <c r="P1495" s="91"/>
      <c r="S1495" s="91"/>
      <c r="T1495" s="91"/>
      <c r="U1495" s="91"/>
      <c r="V1495" s="91"/>
      <c r="W1495" s="91"/>
    </row>
    <row r="1496">
      <c r="A1496" s="91"/>
      <c r="D1496" s="91"/>
      <c r="G1496" s="91"/>
      <c r="J1496" s="91"/>
      <c r="M1496" s="91"/>
      <c r="P1496" s="91"/>
      <c r="S1496" s="91"/>
      <c r="T1496" s="91"/>
      <c r="U1496" s="91"/>
      <c r="V1496" s="91"/>
      <c r="W1496" s="91"/>
    </row>
    <row r="1497">
      <c r="A1497" s="91"/>
      <c r="D1497" s="91"/>
      <c r="G1497" s="91"/>
      <c r="J1497" s="91"/>
      <c r="M1497" s="91"/>
      <c r="P1497" s="91"/>
      <c r="S1497" s="91"/>
      <c r="T1497" s="91"/>
      <c r="U1497" s="91"/>
      <c r="V1497" s="91"/>
      <c r="W1497" s="91"/>
    </row>
    <row r="1498">
      <c r="A1498" s="91"/>
      <c r="D1498" s="91"/>
      <c r="G1498" s="91"/>
      <c r="J1498" s="91"/>
      <c r="M1498" s="91"/>
      <c r="P1498" s="91"/>
      <c r="S1498" s="91"/>
      <c r="T1498" s="91"/>
      <c r="U1498" s="91"/>
      <c r="V1498" s="91"/>
      <c r="W1498" s="91"/>
    </row>
    <row r="1499">
      <c r="A1499" s="91"/>
      <c r="D1499" s="91"/>
      <c r="G1499" s="91"/>
      <c r="J1499" s="91"/>
      <c r="M1499" s="91"/>
      <c r="P1499" s="91"/>
      <c r="S1499" s="91"/>
      <c r="T1499" s="91"/>
      <c r="U1499" s="91"/>
      <c r="V1499" s="91"/>
      <c r="W1499" s="91"/>
    </row>
    <row r="1500">
      <c r="A1500" s="91"/>
      <c r="D1500" s="91"/>
      <c r="G1500" s="91"/>
      <c r="J1500" s="91"/>
      <c r="M1500" s="91"/>
      <c r="P1500" s="91"/>
      <c r="S1500" s="91"/>
      <c r="T1500" s="91"/>
      <c r="U1500" s="91"/>
      <c r="V1500" s="91"/>
      <c r="W1500" s="91"/>
    </row>
    <row r="1501">
      <c r="A1501" s="91"/>
      <c r="D1501" s="91"/>
      <c r="G1501" s="91"/>
      <c r="J1501" s="91"/>
      <c r="M1501" s="91"/>
      <c r="P1501" s="91"/>
      <c r="S1501" s="91"/>
      <c r="T1501" s="91"/>
      <c r="U1501" s="91"/>
      <c r="V1501" s="91"/>
      <c r="W1501" s="91"/>
    </row>
    <row r="1502">
      <c r="A1502" s="91"/>
      <c r="D1502" s="91"/>
      <c r="G1502" s="91"/>
      <c r="J1502" s="91"/>
      <c r="M1502" s="91"/>
      <c r="P1502" s="91"/>
      <c r="S1502" s="91"/>
      <c r="T1502" s="91"/>
      <c r="U1502" s="91"/>
      <c r="V1502" s="91"/>
      <c r="W1502" s="91"/>
    </row>
    <row r="1503">
      <c r="A1503" s="91"/>
      <c r="D1503" s="91"/>
      <c r="G1503" s="91"/>
      <c r="J1503" s="91"/>
      <c r="M1503" s="91"/>
      <c r="P1503" s="91"/>
      <c r="S1503" s="91"/>
      <c r="T1503" s="91"/>
      <c r="U1503" s="91"/>
      <c r="V1503" s="91"/>
      <c r="W1503" s="91"/>
    </row>
    <row r="1504">
      <c r="A1504" s="91"/>
      <c r="D1504" s="91"/>
      <c r="G1504" s="91"/>
      <c r="J1504" s="91"/>
      <c r="M1504" s="91"/>
      <c r="P1504" s="91"/>
      <c r="S1504" s="91"/>
      <c r="T1504" s="91"/>
      <c r="U1504" s="91"/>
      <c r="V1504" s="91"/>
      <c r="W1504" s="91"/>
    </row>
    <row r="1505">
      <c r="A1505" s="91"/>
      <c r="D1505" s="91"/>
      <c r="G1505" s="91"/>
      <c r="J1505" s="91"/>
      <c r="M1505" s="91"/>
      <c r="P1505" s="91"/>
      <c r="S1505" s="91"/>
      <c r="T1505" s="91"/>
      <c r="U1505" s="91"/>
      <c r="V1505" s="91"/>
      <c r="W1505" s="91"/>
    </row>
    <row r="1506">
      <c r="A1506" s="91"/>
      <c r="D1506" s="91"/>
      <c r="G1506" s="91"/>
      <c r="J1506" s="91"/>
      <c r="M1506" s="91"/>
      <c r="P1506" s="91"/>
      <c r="S1506" s="91"/>
      <c r="T1506" s="91"/>
      <c r="U1506" s="91"/>
      <c r="V1506" s="91"/>
      <c r="W1506" s="91"/>
    </row>
    <row r="1507">
      <c r="A1507" s="91"/>
      <c r="D1507" s="91"/>
      <c r="G1507" s="91"/>
      <c r="J1507" s="91"/>
      <c r="M1507" s="91"/>
      <c r="P1507" s="91"/>
      <c r="S1507" s="91"/>
      <c r="T1507" s="91"/>
      <c r="U1507" s="91"/>
      <c r="V1507" s="91"/>
      <c r="W1507" s="91"/>
    </row>
    <row r="1508">
      <c r="A1508" s="91"/>
      <c r="D1508" s="91"/>
      <c r="G1508" s="91"/>
      <c r="J1508" s="91"/>
      <c r="M1508" s="91"/>
      <c r="P1508" s="91"/>
      <c r="S1508" s="91"/>
      <c r="T1508" s="91"/>
      <c r="U1508" s="91"/>
      <c r="V1508" s="91"/>
      <c r="W1508" s="91"/>
    </row>
    <row r="1509">
      <c r="A1509" s="91"/>
      <c r="D1509" s="91"/>
      <c r="G1509" s="91"/>
      <c r="J1509" s="91"/>
      <c r="M1509" s="91"/>
      <c r="P1509" s="91"/>
      <c r="S1509" s="91"/>
      <c r="T1509" s="91"/>
      <c r="U1509" s="91"/>
      <c r="V1509" s="91"/>
      <c r="W1509" s="91"/>
    </row>
    <row r="1510">
      <c r="A1510" s="91"/>
      <c r="D1510" s="91"/>
      <c r="G1510" s="91"/>
      <c r="J1510" s="91"/>
      <c r="M1510" s="91"/>
      <c r="P1510" s="91"/>
      <c r="S1510" s="91"/>
      <c r="T1510" s="91"/>
      <c r="U1510" s="91"/>
      <c r="V1510" s="91"/>
      <c r="W1510" s="91"/>
    </row>
    <row r="1511">
      <c r="A1511" s="91"/>
      <c r="D1511" s="91"/>
      <c r="G1511" s="91"/>
      <c r="J1511" s="91"/>
      <c r="M1511" s="91"/>
      <c r="P1511" s="91"/>
      <c r="S1511" s="91"/>
      <c r="T1511" s="91"/>
      <c r="U1511" s="91"/>
      <c r="V1511" s="91"/>
      <c r="W1511" s="91"/>
    </row>
    <row r="1512">
      <c r="A1512" s="91"/>
      <c r="D1512" s="91"/>
      <c r="G1512" s="91"/>
      <c r="J1512" s="91"/>
      <c r="M1512" s="91"/>
      <c r="P1512" s="91"/>
      <c r="S1512" s="91"/>
      <c r="T1512" s="91"/>
      <c r="U1512" s="91"/>
      <c r="V1512" s="91"/>
      <c r="W1512" s="91"/>
    </row>
    <row r="1513">
      <c r="A1513" s="91"/>
      <c r="D1513" s="91"/>
      <c r="G1513" s="91"/>
      <c r="J1513" s="91"/>
      <c r="M1513" s="91"/>
      <c r="P1513" s="91"/>
      <c r="S1513" s="91"/>
      <c r="T1513" s="91"/>
      <c r="U1513" s="91"/>
      <c r="V1513" s="91"/>
      <c r="W1513" s="91"/>
    </row>
    <row r="1514">
      <c r="A1514" s="91"/>
      <c r="D1514" s="91"/>
      <c r="G1514" s="91"/>
      <c r="J1514" s="91"/>
      <c r="M1514" s="91"/>
      <c r="P1514" s="91"/>
      <c r="S1514" s="91"/>
      <c r="T1514" s="91"/>
      <c r="U1514" s="91"/>
      <c r="V1514" s="91"/>
      <c r="W1514" s="91"/>
    </row>
    <row r="1515">
      <c r="A1515" s="91"/>
      <c r="D1515" s="91"/>
      <c r="G1515" s="91"/>
      <c r="J1515" s="91"/>
      <c r="M1515" s="91"/>
      <c r="P1515" s="91"/>
      <c r="S1515" s="91"/>
      <c r="T1515" s="91"/>
      <c r="U1515" s="91"/>
      <c r="V1515" s="91"/>
      <c r="W1515" s="91"/>
    </row>
    <row r="1516">
      <c r="A1516" s="91"/>
      <c r="D1516" s="91"/>
      <c r="G1516" s="91"/>
      <c r="J1516" s="91"/>
      <c r="M1516" s="91"/>
      <c r="P1516" s="91"/>
      <c r="S1516" s="91"/>
      <c r="T1516" s="91"/>
      <c r="U1516" s="91"/>
      <c r="V1516" s="91"/>
      <c r="W1516" s="91"/>
    </row>
    <row r="1517">
      <c r="A1517" s="91"/>
      <c r="D1517" s="91"/>
      <c r="G1517" s="91"/>
      <c r="J1517" s="91"/>
      <c r="M1517" s="91"/>
      <c r="P1517" s="91"/>
      <c r="S1517" s="91"/>
      <c r="T1517" s="91"/>
      <c r="U1517" s="91"/>
      <c r="V1517" s="91"/>
      <c r="W1517" s="91"/>
    </row>
    <row r="1518">
      <c r="A1518" s="91"/>
      <c r="D1518" s="91"/>
      <c r="G1518" s="91"/>
      <c r="J1518" s="91"/>
      <c r="M1518" s="91"/>
      <c r="P1518" s="91"/>
      <c r="S1518" s="91"/>
      <c r="T1518" s="91"/>
      <c r="U1518" s="91"/>
      <c r="V1518" s="91"/>
      <c r="W1518" s="91"/>
    </row>
    <row r="1519">
      <c r="A1519" s="91"/>
      <c r="D1519" s="91"/>
      <c r="G1519" s="91"/>
      <c r="J1519" s="91"/>
      <c r="M1519" s="91"/>
      <c r="P1519" s="91"/>
      <c r="S1519" s="91"/>
      <c r="T1519" s="91"/>
      <c r="U1519" s="91"/>
      <c r="V1519" s="91"/>
      <c r="W1519" s="91"/>
    </row>
    <row r="1520">
      <c r="A1520" s="91"/>
      <c r="D1520" s="91"/>
      <c r="G1520" s="91"/>
      <c r="J1520" s="91"/>
      <c r="M1520" s="91"/>
      <c r="P1520" s="91"/>
      <c r="S1520" s="91"/>
      <c r="T1520" s="91"/>
      <c r="U1520" s="91"/>
      <c r="V1520" s="91"/>
      <c r="W1520" s="91"/>
    </row>
    <row r="1521">
      <c r="A1521" s="91"/>
      <c r="D1521" s="91"/>
      <c r="G1521" s="91"/>
      <c r="J1521" s="91"/>
      <c r="M1521" s="91"/>
      <c r="P1521" s="91"/>
      <c r="S1521" s="91"/>
      <c r="T1521" s="91"/>
      <c r="U1521" s="91"/>
      <c r="V1521" s="91"/>
      <c r="W1521" s="91"/>
    </row>
    <row r="1522">
      <c r="A1522" s="91"/>
      <c r="D1522" s="91"/>
      <c r="G1522" s="91"/>
      <c r="J1522" s="91"/>
      <c r="M1522" s="91"/>
      <c r="P1522" s="91"/>
      <c r="S1522" s="91"/>
      <c r="T1522" s="91"/>
      <c r="U1522" s="91"/>
      <c r="V1522" s="91"/>
      <c r="W1522" s="91"/>
    </row>
    <row r="1523">
      <c r="A1523" s="91"/>
      <c r="D1523" s="91"/>
      <c r="G1523" s="91"/>
      <c r="J1523" s="91"/>
      <c r="M1523" s="91"/>
      <c r="P1523" s="91"/>
      <c r="S1523" s="91"/>
      <c r="T1523" s="91"/>
      <c r="U1523" s="91"/>
      <c r="V1523" s="91"/>
      <c r="W1523" s="91"/>
    </row>
    <row r="1524">
      <c r="A1524" s="91"/>
      <c r="D1524" s="91"/>
      <c r="G1524" s="91"/>
      <c r="J1524" s="91"/>
      <c r="M1524" s="91"/>
      <c r="P1524" s="91"/>
      <c r="S1524" s="91"/>
      <c r="T1524" s="91"/>
      <c r="U1524" s="91"/>
      <c r="V1524" s="91"/>
      <c r="W1524" s="91"/>
    </row>
    <row r="1525">
      <c r="A1525" s="91"/>
      <c r="D1525" s="91"/>
      <c r="G1525" s="91"/>
      <c r="J1525" s="91"/>
      <c r="M1525" s="91"/>
      <c r="P1525" s="91"/>
      <c r="S1525" s="91"/>
      <c r="T1525" s="91"/>
      <c r="U1525" s="91"/>
      <c r="V1525" s="91"/>
      <c r="W1525" s="91"/>
    </row>
    <row r="1526">
      <c r="A1526" s="91"/>
      <c r="D1526" s="91"/>
      <c r="G1526" s="91"/>
      <c r="J1526" s="91"/>
      <c r="M1526" s="91"/>
      <c r="P1526" s="91"/>
      <c r="S1526" s="91"/>
      <c r="T1526" s="91"/>
      <c r="U1526" s="91"/>
      <c r="V1526" s="91"/>
      <c r="W1526" s="91"/>
    </row>
    <row r="1527">
      <c r="A1527" s="91"/>
      <c r="D1527" s="91"/>
      <c r="G1527" s="91"/>
      <c r="J1527" s="91"/>
      <c r="M1527" s="91"/>
      <c r="P1527" s="91"/>
      <c r="S1527" s="91"/>
      <c r="T1527" s="91"/>
      <c r="U1527" s="91"/>
      <c r="V1527" s="91"/>
      <c r="W1527" s="91"/>
    </row>
    <row r="1528">
      <c r="A1528" s="91"/>
      <c r="D1528" s="91"/>
      <c r="G1528" s="91"/>
      <c r="J1528" s="91"/>
      <c r="M1528" s="91"/>
      <c r="P1528" s="91"/>
      <c r="S1528" s="91"/>
      <c r="T1528" s="91"/>
      <c r="U1528" s="91"/>
      <c r="V1528" s="91"/>
      <c r="W1528" s="91"/>
    </row>
    <row r="1529">
      <c r="A1529" s="91"/>
      <c r="D1529" s="91"/>
      <c r="G1529" s="91"/>
      <c r="J1529" s="91"/>
      <c r="M1529" s="91"/>
      <c r="P1529" s="91"/>
      <c r="S1529" s="91"/>
      <c r="T1529" s="91"/>
      <c r="U1529" s="91"/>
      <c r="V1529" s="91"/>
      <c r="W1529" s="91"/>
    </row>
    <row r="1530">
      <c r="A1530" s="91"/>
      <c r="D1530" s="91"/>
      <c r="G1530" s="91"/>
      <c r="J1530" s="91"/>
      <c r="M1530" s="91"/>
      <c r="P1530" s="91"/>
      <c r="S1530" s="91"/>
      <c r="T1530" s="91"/>
      <c r="U1530" s="91"/>
      <c r="V1530" s="91"/>
      <c r="W1530" s="91"/>
    </row>
    <row r="1531">
      <c r="A1531" s="91"/>
      <c r="D1531" s="91"/>
      <c r="G1531" s="91"/>
      <c r="J1531" s="91"/>
      <c r="M1531" s="91"/>
      <c r="P1531" s="91"/>
      <c r="S1531" s="91"/>
      <c r="T1531" s="91"/>
      <c r="U1531" s="91"/>
      <c r="V1531" s="91"/>
      <c r="W1531" s="91"/>
    </row>
    <row r="1532">
      <c r="A1532" s="91"/>
      <c r="D1532" s="91"/>
      <c r="G1532" s="91"/>
      <c r="J1532" s="91"/>
      <c r="M1532" s="91"/>
      <c r="P1532" s="91"/>
      <c r="S1532" s="91"/>
      <c r="T1532" s="91"/>
      <c r="U1532" s="91"/>
      <c r="V1532" s="91"/>
      <c r="W1532" s="91"/>
    </row>
    <row r="1533">
      <c r="A1533" s="91"/>
      <c r="D1533" s="91"/>
      <c r="G1533" s="91"/>
      <c r="J1533" s="91"/>
      <c r="M1533" s="91"/>
      <c r="P1533" s="91"/>
      <c r="S1533" s="91"/>
      <c r="T1533" s="91"/>
      <c r="U1533" s="91"/>
      <c r="V1533" s="91"/>
      <c r="W1533" s="91"/>
    </row>
    <row r="1534">
      <c r="A1534" s="91"/>
      <c r="D1534" s="91"/>
      <c r="G1534" s="91"/>
      <c r="J1534" s="91"/>
      <c r="M1534" s="91"/>
      <c r="P1534" s="91"/>
      <c r="S1534" s="91"/>
      <c r="T1534" s="91"/>
      <c r="U1534" s="91"/>
      <c r="V1534" s="91"/>
      <c r="W1534" s="91"/>
    </row>
    <row r="1535">
      <c r="A1535" s="91"/>
      <c r="D1535" s="91"/>
      <c r="G1535" s="91"/>
      <c r="J1535" s="91"/>
      <c r="M1535" s="91"/>
      <c r="P1535" s="91"/>
      <c r="S1535" s="91"/>
      <c r="T1535" s="91"/>
      <c r="U1535" s="91"/>
      <c r="V1535" s="91"/>
      <c r="W1535" s="91"/>
    </row>
    <row r="1536">
      <c r="A1536" s="91"/>
      <c r="D1536" s="91"/>
      <c r="G1536" s="91"/>
      <c r="J1536" s="91"/>
      <c r="M1536" s="91"/>
      <c r="P1536" s="91"/>
      <c r="S1536" s="91"/>
      <c r="T1536" s="91"/>
      <c r="U1536" s="91"/>
      <c r="V1536" s="91"/>
      <c r="W1536" s="91"/>
    </row>
    <row r="1537">
      <c r="A1537" s="91"/>
      <c r="D1537" s="91"/>
      <c r="G1537" s="91"/>
      <c r="J1537" s="91"/>
      <c r="M1537" s="91"/>
      <c r="P1537" s="91"/>
      <c r="S1537" s="91"/>
      <c r="T1537" s="91"/>
      <c r="U1537" s="91"/>
      <c r="V1537" s="91"/>
      <c r="W1537" s="91"/>
    </row>
    <row r="1538">
      <c r="A1538" s="91"/>
      <c r="D1538" s="91"/>
      <c r="G1538" s="91"/>
      <c r="J1538" s="91"/>
      <c r="M1538" s="91"/>
      <c r="P1538" s="91"/>
      <c r="S1538" s="91"/>
      <c r="T1538" s="91"/>
      <c r="U1538" s="91"/>
      <c r="V1538" s="91"/>
      <c r="W1538" s="91"/>
    </row>
    <row r="1539">
      <c r="A1539" s="91"/>
      <c r="D1539" s="91"/>
      <c r="G1539" s="91"/>
      <c r="J1539" s="91"/>
      <c r="M1539" s="91"/>
      <c r="P1539" s="91"/>
      <c r="S1539" s="91"/>
      <c r="T1539" s="91"/>
      <c r="U1539" s="91"/>
      <c r="V1539" s="91"/>
      <c r="W1539" s="91"/>
    </row>
    <row r="1540">
      <c r="A1540" s="91"/>
      <c r="D1540" s="91"/>
      <c r="G1540" s="91"/>
      <c r="J1540" s="91"/>
      <c r="M1540" s="91"/>
      <c r="P1540" s="91"/>
      <c r="S1540" s="91"/>
      <c r="T1540" s="91"/>
      <c r="U1540" s="91"/>
      <c r="V1540" s="91"/>
      <c r="W1540" s="91"/>
    </row>
    <row r="1541">
      <c r="A1541" s="91"/>
      <c r="D1541" s="91"/>
      <c r="G1541" s="91"/>
      <c r="J1541" s="91"/>
      <c r="M1541" s="91"/>
      <c r="P1541" s="91"/>
      <c r="S1541" s="91"/>
      <c r="T1541" s="91"/>
      <c r="U1541" s="91"/>
      <c r="V1541" s="91"/>
      <c r="W1541" s="91"/>
    </row>
    <row r="1542">
      <c r="A1542" s="91"/>
      <c r="D1542" s="91"/>
      <c r="G1542" s="91"/>
      <c r="J1542" s="91"/>
      <c r="M1542" s="91"/>
      <c r="P1542" s="91"/>
      <c r="S1542" s="91"/>
      <c r="T1542" s="91"/>
      <c r="U1542" s="91"/>
      <c r="V1542" s="91"/>
      <c r="W1542" s="91"/>
    </row>
    <row r="1543">
      <c r="A1543" s="91"/>
      <c r="D1543" s="91"/>
      <c r="G1543" s="91"/>
      <c r="J1543" s="91"/>
      <c r="M1543" s="91"/>
      <c r="P1543" s="91"/>
      <c r="S1543" s="91"/>
      <c r="T1543" s="91"/>
      <c r="U1543" s="91"/>
      <c r="V1543" s="91"/>
      <c r="W1543" s="91"/>
    </row>
    <row r="1544">
      <c r="A1544" s="91"/>
      <c r="D1544" s="91"/>
      <c r="G1544" s="91"/>
      <c r="J1544" s="91"/>
      <c r="M1544" s="91"/>
      <c r="P1544" s="91"/>
      <c r="S1544" s="91"/>
      <c r="T1544" s="91"/>
      <c r="U1544" s="91"/>
      <c r="V1544" s="91"/>
      <c r="W1544" s="91"/>
    </row>
    <row r="1545">
      <c r="A1545" s="91"/>
      <c r="D1545" s="91"/>
      <c r="G1545" s="91"/>
      <c r="J1545" s="91"/>
      <c r="M1545" s="91"/>
      <c r="P1545" s="91"/>
      <c r="S1545" s="91"/>
      <c r="T1545" s="91"/>
      <c r="U1545" s="91"/>
      <c r="V1545" s="91"/>
      <c r="W1545" s="91"/>
    </row>
    <row r="1546">
      <c r="A1546" s="91"/>
      <c r="D1546" s="91"/>
      <c r="G1546" s="91"/>
      <c r="J1546" s="91"/>
      <c r="M1546" s="91"/>
      <c r="P1546" s="91"/>
      <c r="S1546" s="91"/>
      <c r="T1546" s="91"/>
      <c r="U1546" s="91"/>
      <c r="V1546" s="91"/>
      <c r="W1546" s="91"/>
    </row>
    <row r="1547">
      <c r="A1547" s="91"/>
      <c r="D1547" s="91"/>
      <c r="G1547" s="91"/>
      <c r="J1547" s="91"/>
      <c r="M1547" s="91"/>
      <c r="P1547" s="91"/>
      <c r="S1547" s="91"/>
      <c r="T1547" s="91"/>
      <c r="U1547" s="91"/>
      <c r="V1547" s="91"/>
      <c r="W1547" s="91"/>
    </row>
    <row r="1548">
      <c r="A1548" s="91"/>
      <c r="D1548" s="91"/>
      <c r="G1548" s="91"/>
      <c r="J1548" s="91"/>
      <c r="M1548" s="91"/>
      <c r="P1548" s="91"/>
      <c r="S1548" s="91"/>
      <c r="T1548" s="91"/>
      <c r="U1548" s="91"/>
      <c r="V1548" s="91"/>
      <c r="W1548" s="91"/>
    </row>
    <row r="1549">
      <c r="A1549" s="91"/>
      <c r="D1549" s="91"/>
      <c r="G1549" s="91"/>
      <c r="J1549" s="91"/>
      <c r="M1549" s="91"/>
      <c r="P1549" s="91"/>
      <c r="S1549" s="91"/>
      <c r="T1549" s="91"/>
      <c r="U1549" s="91"/>
      <c r="V1549" s="91"/>
      <c r="W1549" s="91"/>
    </row>
    <row r="1550">
      <c r="A1550" s="91"/>
      <c r="D1550" s="91"/>
      <c r="G1550" s="91"/>
      <c r="J1550" s="91"/>
      <c r="M1550" s="91"/>
      <c r="P1550" s="91"/>
      <c r="S1550" s="91"/>
      <c r="T1550" s="91"/>
      <c r="U1550" s="91"/>
      <c r="V1550" s="91"/>
      <c r="W1550" s="91"/>
    </row>
    <row r="1551">
      <c r="A1551" s="91"/>
      <c r="D1551" s="91"/>
      <c r="G1551" s="91"/>
      <c r="J1551" s="91"/>
      <c r="M1551" s="91"/>
      <c r="P1551" s="91"/>
      <c r="S1551" s="91"/>
      <c r="T1551" s="91"/>
      <c r="U1551" s="91"/>
      <c r="V1551" s="91"/>
      <c r="W1551" s="91"/>
    </row>
    <row r="1552">
      <c r="A1552" s="91"/>
      <c r="D1552" s="91"/>
      <c r="G1552" s="91"/>
      <c r="J1552" s="91"/>
      <c r="M1552" s="91"/>
      <c r="P1552" s="91"/>
      <c r="S1552" s="91"/>
      <c r="T1552" s="91"/>
      <c r="U1552" s="91"/>
      <c r="V1552" s="91"/>
      <c r="W1552" s="91"/>
    </row>
    <row r="1553">
      <c r="A1553" s="91"/>
      <c r="D1553" s="91"/>
      <c r="G1553" s="91"/>
      <c r="J1553" s="91"/>
      <c r="M1553" s="91"/>
      <c r="P1553" s="91"/>
      <c r="S1553" s="91"/>
      <c r="T1553" s="91"/>
      <c r="U1553" s="91"/>
      <c r="V1553" s="91"/>
      <c r="W1553" s="91"/>
    </row>
    <row r="1554">
      <c r="A1554" s="91"/>
      <c r="D1554" s="91"/>
      <c r="G1554" s="91"/>
      <c r="J1554" s="91"/>
      <c r="M1554" s="91"/>
      <c r="P1554" s="91"/>
      <c r="S1554" s="91"/>
      <c r="T1554" s="91"/>
      <c r="U1554" s="91"/>
      <c r="V1554" s="91"/>
      <c r="W1554" s="91"/>
    </row>
    <row r="1555">
      <c r="A1555" s="91"/>
      <c r="D1555" s="91"/>
      <c r="G1555" s="91"/>
      <c r="J1555" s="91"/>
      <c r="M1555" s="91"/>
      <c r="P1555" s="91"/>
      <c r="S1555" s="91"/>
      <c r="T1555" s="91"/>
      <c r="U1555" s="91"/>
      <c r="V1555" s="91"/>
      <c r="W1555" s="91"/>
    </row>
    <row r="1556">
      <c r="A1556" s="91"/>
      <c r="D1556" s="91"/>
      <c r="G1556" s="91"/>
      <c r="J1556" s="91"/>
      <c r="M1556" s="91"/>
      <c r="P1556" s="91"/>
      <c r="S1556" s="91"/>
      <c r="T1556" s="91"/>
      <c r="U1556" s="91"/>
      <c r="V1556" s="91"/>
      <c r="W1556" s="91"/>
    </row>
    <row r="1557">
      <c r="A1557" s="91"/>
      <c r="D1557" s="91"/>
      <c r="G1557" s="91"/>
      <c r="J1557" s="91"/>
      <c r="M1557" s="91"/>
      <c r="P1557" s="91"/>
      <c r="S1557" s="91"/>
      <c r="T1557" s="91"/>
      <c r="U1557" s="91"/>
      <c r="V1557" s="91"/>
      <c r="W1557" s="91"/>
    </row>
    <row r="1558">
      <c r="A1558" s="91"/>
      <c r="D1558" s="91"/>
      <c r="G1558" s="91"/>
      <c r="J1558" s="91"/>
      <c r="M1558" s="91"/>
      <c r="P1558" s="91"/>
      <c r="S1558" s="91"/>
      <c r="T1558" s="91"/>
      <c r="U1558" s="91"/>
      <c r="V1558" s="91"/>
      <c r="W1558" s="91"/>
    </row>
    <row r="1559">
      <c r="A1559" s="91"/>
      <c r="D1559" s="91"/>
      <c r="G1559" s="91"/>
      <c r="J1559" s="91"/>
      <c r="M1559" s="91"/>
      <c r="P1559" s="91"/>
      <c r="S1559" s="91"/>
      <c r="T1559" s="91"/>
      <c r="U1559" s="91"/>
      <c r="V1559" s="91"/>
      <c r="W1559" s="91"/>
    </row>
    <row r="1560">
      <c r="A1560" s="91"/>
      <c r="D1560" s="91"/>
      <c r="G1560" s="91"/>
      <c r="J1560" s="91"/>
      <c r="M1560" s="91"/>
      <c r="P1560" s="91"/>
      <c r="S1560" s="91"/>
      <c r="T1560" s="91"/>
      <c r="U1560" s="91"/>
      <c r="V1560" s="91"/>
      <c r="W1560" s="91"/>
    </row>
    <row r="1561">
      <c r="A1561" s="91"/>
      <c r="D1561" s="91"/>
      <c r="G1561" s="91"/>
      <c r="J1561" s="91"/>
      <c r="M1561" s="91"/>
      <c r="P1561" s="91"/>
      <c r="S1561" s="91"/>
      <c r="T1561" s="91"/>
      <c r="U1561" s="91"/>
      <c r="V1561" s="91"/>
      <c r="W1561" s="91"/>
    </row>
    <row r="1562">
      <c r="A1562" s="91"/>
      <c r="D1562" s="91"/>
      <c r="G1562" s="91"/>
      <c r="J1562" s="91"/>
      <c r="M1562" s="91"/>
      <c r="P1562" s="91"/>
      <c r="S1562" s="91"/>
      <c r="T1562" s="91"/>
      <c r="U1562" s="91"/>
      <c r="V1562" s="91"/>
      <c r="W1562" s="91"/>
    </row>
    <row r="1563">
      <c r="A1563" s="91"/>
      <c r="D1563" s="91"/>
      <c r="G1563" s="91"/>
      <c r="J1563" s="91"/>
      <c r="M1563" s="91"/>
      <c r="P1563" s="91"/>
      <c r="S1563" s="91"/>
      <c r="T1563" s="91"/>
      <c r="U1563" s="91"/>
      <c r="V1563" s="91"/>
      <c r="W1563" s="91"/>
    </row>
    <row r="1564">
      <c r="A1564" s="91"/>
      <c r="D1564" s="91"/>
      <c r="G1564" s="91"/>
      <c r="J1564" s="91"/>
      <c r="M1564" s="91"/>
      <c r="P1564" s="91"/>
      <c r="S1564" s="91"/>
      <c r="T1564" s="91"/>
      <c r="U1564" s="91"/>
      <c r="V1564" s="91"/>
      <c r="W1564" s="91"/>
    </row>
    <row r="1565">
      <c r="A1565" s="91"/>
      <c r="D1565" s="91"/>
      <c r="G1565" s="91"/>
      <c r="J1565" s="91"/>
      <c r="M1565" s="91"/>
      <c r="P1565" s="91"/>
      <c r="S1565" s="91"/>
      <c r="T1565" s="91"/>
      <c r="U1565" s="91"/>
      <c r="V1565" s="91"/>
      <c r="W1565" s="91"/>
    </row>
    <row r="1566">
      <c r="A1566" s="91"/>
      <c r="D1566" s="91"/>
      <c r="G1566" s="91"/>
      <c r="J1566" s="91"/>
      <c r="M1566" s="91"/>
      <c r="P1566" s="91"/>
      <c r="S1566" s="91"/>
      <c r="T1566" s="91"/>
      <c r="U1566" s="91"/>
      <c r="V1566" s="91"/>
      <c r="W1566" s="91"/>
    </row>
    <row r="1567">
      <c r="A1567" s="91"/>
      <c r="D1567" s="91"/>
      <c r="G1567" s="91"/>
      <c r="J1567" s="91"/>
      <c r="M1567" s="91"/>
      <c r="P1567" s="91"/>
      <c r="S1567" s="91"/>
      <c r="T1567" s="91"/>
      <c r="U1567" s="91"/>
      <c r="V1567" s="91"/>
      <c r="W1567" s="91"/>
    </row>
    <row r="1568">
      <c r="A1568" s="91"/>
      <c r="D1568" s="91"/>
      <c r="G1568" s="91"/>
      <c r="J1568" s="91"/>
      <c r="M1568" s="91"/>
      <c r="P1568" s="91"/>
      <c r="S1568" s="91"/>
      <c r="T1568" s="91"/>
      <c r="U1568" s="91"/>
      <c r="V1568" s="91"/>
      <c r="W1568" s="91"/>
    </row>
    <row r="1569">
      <c r="A1569" s="91"/>
      <c r="D1569" s="91"/>
      <c r="G1569" s="91"/>
      <c r="J1569" s="91"/>
      <c r="M1569" s="91"/>
      <c r="P1569" s="91"/>
      <c r="S1569" s="91"/>
      <c r="T1569" s="91"/>
      <c r="U1569" s="91"/>
      <c r="V1569" s="91"/>
      <c r="W1569" s="91"/>
    </row>
    <row r="1570">
      <c r="A1570" s="91"/>
      <c r="D1570" s="91"/>
      <c r="G1570" s="91"/>
      <c r="J1570" s="91"/>
      <c r="M1570" s="91"/>
      <c r="P1570" s="91"/>
      <c r="S1570" s="91"/>
      <c r="T1570" s="91"/>
      <c r="U1570" s="91"/>
      <c r="V1570" s="91"/>
      <c r="W1570" s="91"/>
    </row>
    <row r="1571">
      <c r="A1571" s="91"/>
      <c r="D1571" s="91"/>
      <c r="G1571" s="91"/>
      <c r="J1571" s="91"/>
      <c r="M1571" s="91"/>
      <c r="P1571" s="91"/>
      <c r="S1571" s="91"/>
      <c r="T1571" s="91"/>
      <c r="U1571" s="91"/>
      <c r="V1571" s="91"/>
      <c r="W1571" s="91"/>
    </row>
    <row r="1572">
      <c r="A1572" s="91"/>
      <c r="D1572" s="91"/>
      <c r="G1572" s="91"/>
      <c r="J1572" s="91"/>
      <c r="M1572" s="91"/>
      <c r="P1572" s="91"/>
      <c r="S1572" s="91"/>
      <c r="T1572" s="91"/>
      <c r="U1572" s="91"/>
      <c r="V1572" s="91"/>
      <c r="W1572" s="91"/>
    </row>
    <row r="1573">
      <c r="A1573" s="91"/>
      <c r="D1573" s="91"/>
      <c r="G1573" s="91"/>
      <c r="J1573" s="91"/>
      <c r="M1573" s="91"/>
      <c r="P1573" s="91"/>
      <c r="S1573" s="91"/>
      <c r="T1573" s="91"/>
      <c r="U1573" s="91"/>
      <c r="V1573" s="91"/>
      <c r="W1573" s="91"/>
    </row>
    <row r="1574">
      <c r="A1574" s="91"/>
      <c r="D1574" s="91"/>
      <c r="G1574" s="91"/>
      <c r="J1574" s="91"/>
      <c r="M1574" s="91"/>
      <c r="P1574" s="91"/>
      <c r="S1574" s="91"/>
      <c r="T1574" s="91"/>
      <c r="U1574" s="91"/>
      <c r="V1574" s="91"/>
      <c r="W1574" s="91"/>
    </row>
    <row r="1575">
      <c r="A1575" s="91"/>
      <c r="D1575" s="91"/>
      <c r="G1575" s="91"/>
      <c r="J1575" s="91"/>
      <c r="M1575" s="91"/>
      <c r="P1575" s="91"/>
      <c r="S1575" s="91"/>
      <c r="T1575" s="91"/>
      <c r="U1575" s="91"/>
      <c r="V1575" s="91"/>
      <c r="W1575" s="91"/>
    </row>
    <row r="1576">
      <c r="A1576" s="91"/>
      <c r="D1576" s="91"/>
      <c r="G1576" s="91"/>
      <c r="J1576" s="91"/>
      <c r="M1576" s="91"/>
      <c r="P1576" s="91"/>
      <c r="S1576" s="91"/>
      <c r="T1576" s="91"/>
      <c r="U1576" s="91"/>
      <c r="V1576" s="91"/>
      <c r="W1576" s="91"/>
    </row>
    <row r="1577">
      <c r="A1577" s="91"/>
      <c r="D1577" s="91"/>
      <c r="G1577" s="91"/>
      <c r="J1577" s="91"/>
      <c r="M1577" s="91"/>
      <c r="P1577" s="91"/>
      <c r="S1577" s="91"/>
      <c r="T1577" s="91"/>
      <c r="U1577" s="91"/>
      <c r="V1577" s="91"/>
      <c r="W1577" s="91"/>
    </row>
    <row r="1578">
      <c r="A1578" s="91"/>
      <c r="D1578" s="91"/>
      <c r="G1578" s="91"/>
      <c r="J1578" s="91"/>
      <c r="M1578" s="91"/>
      <c r="P1578" s="91"/>
      <c r="S1578" s="91"/>
      <c r="T1578" s="91"/>
      <c r="U1578" s="91"/>
      <c r="V1578" s="91"/>
      <c r="W1578" s="91"/>
    </row>
    <row r="1579">
      <c r="A1579" s="91"/>
      <c r="D1579" s="91"/>
      <c r="G1579" s="91"/>
      <c r="J1579" s="91"/>
      <c r="M1579" s="91"/>
      <c r="P1579" s="91"/>
      <c r="S1579" s="91"/>
      <c r="T1579" s="91"/>
      <c r="U1579" s="91"/>
      <c r="V1579" s="91"/>
      <c r="W1579" s="91"/>
    </row>
    <row r="1580">
      <c r="A1580" s="91"/>
      <c r="D1580" s="91"/>
      <c r="G1580" s="91"/>
      <c r="J1580" s="91"/>
      <c r="M1580" s="91"/>
      <c r="P1580" s="91"/>
      <c r="S1580" s="91"/>
      <c r="T1580" s="91"/>
      <c r="U1580" s="91"/>
      <c r="V1580" s="91"/>
      <c r="W1580" s="91"/>
    </row>
    <row r="1581">
      <c r="A1581" s="91"/>
      <c r="D1581" s="91"/>
      <c r="G1581" s="91"/>
      <c r="J1581" s="91"/>
      <c r="M1581" s="91"/>
      <c r="P1581" s="91"/>
      <c r="S1581" s="91"/>
      <c r="T1581" s="91"/>
      <c r="U1581" s="91"/>
      <c r="V1581" s="91"/>
      <c r="W1581" s="91"/>
    </row>
    <row r="1582">
      <c r="A1582" s="91"/>
      <c r="D1582" s="91"/>
      <c r="G1582" s="91"/>
      <c r="J1582" s="91"/>
      <c r="M1582" s="91"/>
      <c r="P1582" s="91"/>
      <c r="S1582" s="91"/>
      <c r="T1582" s="91"/>
      <c r="U1582" s="91"/>
      <c r="V1582" s="91"/>
      <c r="W1582" s="91"/>
    </row>
    <row r="1583">
      <c r="A1583" s="91"/>
      <c r="D1583" s="91"/>
      <c r="G1583" s="91"/>
      <c r="J1583" s="91"/>
      <c r="M1583" s="91"/>
      <c r="P1583" s="91"/>
      <c r="S1583" s="91"/>
      <c r="T1583" s="91"/>
      <c r="U1583" s="91"/>
      <c r="V1583" s="91"/>
      <c r="W1583" s="91"/>
    </row>
    <row r="1584">
      <c r="A1584" s="91"/>
      <c r="D1584" s="91"/>
      <c r="G1584" s="91"/>
      <c r="J1584" s="91"/>
      <c r="M1584" s="91"/>
      <c r="P1584" s="91"/>
      <c r="S1584" s="91"/>
      <c r="T1584" s="91"/>
      <c r="U1584" s="91"/>
      <c r="V1584" s="91"/>
      <c r="W1584" s="91"/>
    </row>
    <row r="1585">
      <c r="A1585" s="91"/>
      <c r="D1585" s="91"/>
      <c r="G1585" s="91"/>
      <c r="J1585" s="91"/>
      <c r="M1585" s="91"/>
      <c r="P1585" s="91"/>
      <c r="S1585" s="91"/>
      <c r="T1585" s="91"/>
      <c r="U1585" s="91"/>
      <c r="V1585" s="91"/>
      <c r="W1585" s="91"/>
    </row>
    <row r="1586">
      <c r="A1586" s="91"/>
      <c r="D1586" s="91"/>
      <c r="G1586" s="91"/>
      <c r="J1586" s="91"/>
      <c r="M1586" s="91"/>
      <c r="P1586" s="91"/>
      <c r="S1586" s="91"/>
      <c r="T1586" s="91"/>
      <c r="U1586" s="91"/>
      <c r="V1586" s="91"/>
      <c r="W1586" s="91"/>
    </row>
    <row r="1587">
      <c r="A1587" s="91"/>
      <c r="D1587" s="91"/>
      <c r="G1587" s="91"/>
      <c r="J1587" s="91"/>
      <c r="M1587" s="91"/>
      <c r="P1587" s="91"/>
      <c r="S1587" s="91"/>
      <c r="T1587" s="91"/>
      <c r="U1587" s="91"/>
      <c r="V1587" s="91"/>
      <c r="W1587" s="91"/>
    </row>
    <row r="1588">
      <c r="A1588" s="91"/>
      <c r="D1588" s="91"/>
      <c r="G1588" s="91"/>
      <c r="J1588" s="91"/>
      <c r="M1588" s="91"/>
      <c r="P1588" s="91"/>
      <c r="S1588" s="91"/>
      <c r="T1588" s="91"/>
      <c r="U1588" s="91"/>
      <c r="V1588" s="91"/>
      <c r="W1588" s="91"/>
    </row>
    <row r="1589">
      <c r="A1589" s="91"/>
      <c r="D1589" s="91"/>
      <c r="G1589" s="91"/>
      <c r="J1589" s="91"/>
      <c r="M1589" s="91"/>
      <c r="P1589" s="91"/>
      <c r="S1589" s="91"/>
      <c r="T1589" s="91"/>
      <c r="U1589" s="91"/>
      <c r="V1589" s="91"/>
      <c r="W1589" s="91"/>
    </row>
    <row r="1590">
      <c r="A1590" s="91"/>
      <c r="D1590" s="91"/>
      <c r="G1590" s="91"/>
      <c r="J1590" s="91"/>
      <c r="M1590" s="91"/>
      <c r="P1590" s="91"/>
      <c r="S1590" s="91"/>
      <c r="T1590" s="91"/>
      <c r="U1590" s="91"/>
      <c r="V1590" s="91"/>
      <c r="W1590" s="91"/>
    </row>
    <row r="1591">
      <c r="A1591" s="91"/>
      <c r="D1591" s="91"/>
      <c r="G1591" s="91"/>
      <c r="J1591" s="91"/>
      <c r="M1591" s="91"/>
      <c r="P1591" s="91"/>
      <c r="S1591" s="91"/>
      <c r="T1591" s="91"/>
      <c r="U1591" s="91"/>
      <c r="V1591" s="91"/>
      <c r="W1591" s="91"/>
    </row>
    <row r="1592">
      <c r="A1592" s="91"/>
      <c r="D1592" s="91"/>
      <c r="G1592" s="91"/>
      <c r="J1592" s="91"/>
      <c r="M1592" s="91"/>
      <c r="P1592" s="91"/>
      <c r="S1592" s="91"/>
      <c r="T1592" s="91"/>
      <c r="U1592" s="91"/>
      <c r="V1592" s="91"/>
      <c r="W1592" s="91"/>
    </row>
    <row r="1593">
      <c r="A1593" s="91"/>
      <c r="D1593" s="91"/>
      <c r="G1593" s="91"/>
      <c r="J1593" s="91"/>
      <c r="M1593" s="91"/>
      <c r="P1593" s="91"/>
      <c r="S1593" s="91"/>
      <c r="T1593" s="91"/>
      <c r="U1593" s="91"/>
      <c r="V1593" s="91"/>
      <c r="W1593" s="91"/>
    </row>
    <row r="1594">
      <c r="A1594" s="91"/>
      <c r="D1594" s="91"/>
      <c r="G1594" s="91"/>
      <c r="J1594" s="91"/>
      <c r="M1594" s="91"/>
      <c r="P1594" s="91"/>
      <c r="S1594" s="91"/>
      <c r="T1594" s="91"/>
      <c r="U1594" s="91"/>
      <c r="V1594" s="91"/>
      <c r="W1594" s="91"/>
    </row>
    <row r="1595">
      <c r="A1595" s="91"/>
      <c r="D1595" s="91"/>
      <c r="G1595" s="91"/>
      <c r="J1595" s="91"/>
      <c r="M1595" s="91"/>
      <c r="P1595" s="91"/>
      <c r="S1595" s="91"/>
      <c r="T1595" s="91"/>
      <c r="U1595" s="91"/>
      <c r="V1595" s="91"/>
      <c r="W1595" s="91"/>
    </row>
    <row r="1596">
      <c r="A1596" s="91"/>
      <c r="D1596" s="91"/>
      <c r="G1596" s="91"/>
      <c r="J1596" s="91"/>
      <c r="M1596" s="91"/>
      <c r="P1596" s="91"/>
      <c r="S1596" s="91"/>
      <c r="T1596" s="91"/>
      <c r="U1596" s="91"/>
      <c r="V1596" s="91"/>
      <c r="W1596" s="91"/>
    </row>
    <row r="1597">
      <c r="A1597" s="91"/>
      <c r="D1597" s="91"/>
      <c r="G1597" s="91"/>
      <c r="J1597" s="91"/>
      <c r="M1597" s="91"/>
      <c r="P1597" s="91"/>
      <c r="S1597" s="91"/>
      <c r="T1597" s="91"/>
      <c r="U1597" s="91"/>
      <c r="V1597" s="91"/>
      <c r="W1597" s="91"/>
    </row>
    <row r="1598">
      <c r="A1598" s="91"/>
      <c r="D1598" s="91"/>
      <c r="G1598" s="91"/>
      <c r="J1598" s="91"/>
      <c r="M1598" s="91"/>
      <c r="P1598" s="91"/>
      <c r="S1598" s="91"/>
      <c r="T1598" s="91"/>
      <c r="U1598" s="91"/>
      <c r="V1598" s="91"/>
      <c r="W1598" s="91"/>
    </row>
    <row r="1599">
      <c r="A1599" s="91"/>
      <c r="D1599" s="91"/>
      <c r="G1599" s="91"/>
      <c r="J1599" s="91"/>
      <c r="M1599" s="91"/>
      <c r="P1599" s="91"/>
      <c r="S1599" s="91"/>
      <c r="T1599" s="91"/>
      <c r="U1599" s="91"/>
      <c r="V1599" s="91"/>
      <c r="W1599" s="91"/>
    </row>
    <row r="1600">
      <c r="A1600" s="91"/>
      <c r="D1600" s="91"/>
      <c r="G1600" s="91"/>
      <c r="J1600" s="91"/>
      <c r="M1600" s="91"/>
      <c r="P1600" s="91"/>
      <c r="S1600" s="91"/>
      <c r="T1600" s="91"/>
      <c r="U1600" s="91"/>
      <c r="V1600" s="91"/>
      <c r="W1600" s="91"/>
    </row>
    <row r="1601">
      <c r="A1601" s="91"/>
      <c r="D1601" s="91"/>
      <c r="G1601" s="91"/>
      <c r="J1601" s="91"/>
      <c r="M1601" s="91"/>
      <c r="P1601" s="91"/>
      <c r="S1601" s="91"/>
      <c r="T1601" s="91"/>
      <c r="U1601" s="91"/>
      <c r="V1601" s="91"/>
      <c r="W1601" s="91"/>
    </row>
    <row r="1602">
      <c r="A1602" s="91"/>
      <c r="D1602" s="91"/>
      <c r="G1602" s="91"/>
      <c r="J1602" s="91"/>
      <c r="M1602" s="91"/>
      <c r="P1602" s="91"/>
      <c r="S1602" s="91"/>
      <c r="T1602" s="91"/>
      <c r="U1602" s="91"/>
      <c r="V1602" s="91"/>
      <c r="W1602" s="91"/>
    </row>
    <row r="1603">
      <c r="A1603" s="91"/>
      <c r="D1603" s="91"/>
      <c r="G1603" s="91"/>
      <c r="J1603" s="91"/>
      <c r="M1603" s="91"/>
      <c r="P1603" s="91"/>
      <c r="S1603" s="91"/>
      <c r="T1603" s="91"/>
      <c r="U1603" s="91"/>
      <c r="V1603" s="91"/>
      <c r="W1603" s="91"/>
    </row>
    <row r="1604">
      <c r="A1604" s="91"/>
      <c r="D1604" s="91"/>
      <c r="G1604" s="91"/>
      <c r="J1604" s="91"/>
      <c r="M1604" s="91"/>
      <c r="P1604" s="91"/>
      <c r="S1604" s="91"/>
      <c r="T1604" s="91"/>
      <c r="U1604" s="91"/>
      <c r="V1604" s="91"/>
      <c r="W1604" s="91"/>
    </row>
    <row r="1605">
      <c r="A1605" s="91"/>
      <c r="D1605" s="91"/>
      <c r="G1605" s="91"/>
      <c r="J1605" s="91"/>
      <c r="M1605" s="91"/>
      <c r="P1605" s="91"/>
      <c r="S1605" s="91"/>
      <c r="T1605" s="91"/>
      <c r="U1605" s="91"/>
      <c r="V1605" s="91"/>
      <c r="W1605" s="91"/>
    </row>
    <row r="1606">
      <c r="A1606" s="91"/>
      <c r="D1606" s="91"/>
      <c r="G1606" s="91"/>
      <c r="J1606" s="91"/>
      <c r="M1606" s="91"/>
      <c r="P1606" s="91"/>
      <c r="S1606" s="91"/>
      <c r="T1606" s="91"/>
      <c r="U1606" s="91"/>
      <c r="V1606" s="91"/>
      <c r="W1606" s="91"/>
    </row>
    <row r="1607">
      <c r="A1607" s="91"/>
      <c r="D1607" s="91"/>
      <c r="G1607" s="91"/>
      <c r="J1607" s="91"/>
      <c r="M1607" s="91"/>
      <c r="P1607" s="91"/>
      <c r="S1607" s="91"/>
      <c r="T1607" s="91"/>
      <c r="U1607" s="91"/>
      <c r="V1607" s="91"/>
      <c r="W1607" s="91"/>
    </row>
    <row r="1608">
      <c r="A1608" s="91"/>
      <c r="D1608" s="91"/>
      <c r="G1608" s="91"/>
      <c r="J1608" s="91"/>
      <c r="M1608" s="91"/>
      <c r="P1608" s="91"/>
      <c r="S1608" s="91"/>
      <c r="T1608" s="91"/>
      <c r="U1608" s="91"/>
      <c r="V1608" s="91"/>
      <c r="W1608" s="91"/>
    </row>
    <row r="1609">
      <c r="A1609" s="91"/>
      <c r="D1609" s="91"/>
      <c r="G1609" s="91"/>
      <c r="J1609" s="91"/>
      <c r="M1609" s="91"/>
      <c r="P1609" s="91"/>
      <c r="S1609" s="91"/>
      <c r="T1609" s="91"/>
      <c r="U1609" s="91"/>
      <c r="V1609" s="91"/>
      <c r="W1609" s="91"/>
    </row>
    <row r="1610">
      <c r="A1610" s="91"/>
      <c r="D1610" s="91"/>
      <c r="G1610" s="91"/>
      <c r="J1610" s="91"/>
      <c r="M1610" s="91"/>
      <c r="P1610" s="91"/>
      <c r="S1610" s="91"/>
      <c r="T1610" s="91"/>
      <c r="U1610" s="91"/>
      <c r="V1610" s="91"/>
      <c r="W1610" s="91"/>
    </row>
    <row r="1611">
      <c r="A1611" s="91"/>
      <c r="D1611" s="91"/>
      <c r="G1611" s="91"/>
      <c r="J1611" s="91"/>
      <c r="M1611" s="91"/>
      <c r="P1611" s="91"/>
      <c r="S1611" s="91"/>
      <c r="T1611" s="91"/>
      <c r="U1611" s="91"/>
      <c r="V1611" s="91"/>
      <c r="W1611" s="91"/>
    </row>
    <row r="1612">
      <c r="A1612" s="91"/>
      <c r="D1612" s="91"/>
      <c r="G1612" s="91"/>
      <c r="J1612" s="91"/>
      <c r="M1612" s="91"/>
      <c r="P1612" s="91"/>
      <c r="S1612" s="91"/>
      <c r="T1612" s="91"/>
      <c r="U1612" s="91"/>
      <c r="V1612" s="91"/>
      <c r="W1612" s="91"/>
    </row>
    <row r="1613">
      <c r="A1613" s="91"/>
      <c r="D1613" s="91"/>
      <c r="G1613" s="91"/>
      <c r="J1613" s="91"/>
      <c r="M1613" s="91"/>
      <c r="P1613" s="91"/>
      <c r="S1613" s="91"/>
      <c r="T1613" s="91"/>
      <c r="U1613" s="91"/>
      <c r="V1613" s="91"/>
      <c r="W1613" s="91"/>
    </row>
    <row r="1614">
      <c r="A1614" s="91"/>
      <c r="D1614" s="91"/>
      <c r="G1614" s="91"/>
      <c r="J1614" s="91"/>
      <c r="M1614" s="91"/>
      <c r="P1614" s="91"/>
      <c r="S1614" s="91"/>
      <c r="T1614" s="91"/>
      <c r="U1614" s="91"/>
      <c r="V1614" s="91"/>
      <c r="W1614" s="91"/>
    </row>
    <row r="1615">
      <c r="A1615" s="91"/>
      <c r="D1615" s="91"/>
      <c r="G1615" s="91"/>
      <c r="J1615" s="91"/>
      <c r="M1615" s="91"/>
      <c r="P1615" s="91"/>
      <c r="S1615" s="91"/>
      <c r="T1615" s="91"/>
      <c r="U1615" s="91"/>
      <c r="V1615" s="91"/>
      <c r="W1615" s="91"/>
    </row>
    <row r="1616">
      <c r="A1616" s="91"/>
      <c r="D1616" s="91"/>
      <c r="G1616" s="91"/>
      <c r="J1616" s="91"/>
      <c r="M1616" s="91"/>
      <c r="P1616" s="91"/>
      <c r="S1616" s="91"/>
      <c r="T1616" s="91"/>
      <c r="U1616" s="91"/>
      <c r="V1616" s="91"/>
      <c r="W1616" s="91"/>
    </row>
    <row r="1617">
      <c r="A1617" s="91"/>
      <c r="D1617" s="91"/>
      <c r="G1617" s="91"/>
      <c r="J1617" s="91"/>
      <c r="M1617" s="91"/>
      <c r="P1617" s="91"/>
      <c r="S1617" s="91"/>
      <c r="T1617" s="91"/>
      <c r="U1617" s="91"/>
      <c r="V1617" s="91"/>
      <c r="W1617" s="91"/>
    </row>
    <row r="1618">
      <c r="A1618" s="91"/>
      <c r="D1618" s="91"/>
      <c r="G1618" s="91"/>
      <c r="J1618" s="91"/>
      <c r="M1618" s="91"/>
      <c r="P1618" s="91"/>
      <c r="S1618" s="91"/>
      <c r="T1618" s="91"/>
      <c r="U1618" s="91"/>
      <c r="V1618" s="91"/>
      <c r="W1618" s="91"/>
    </row>
    <row r="1619">
      <c r="A1619" s="91"/>
      <c r="D1619" s="91"/>
      <c r="G1619" s="91"/>
      <c r="J1619" s="91"/>
      <c r="M1619" s="91"/>
      <c r="P1619" s="91"/>
      <c r="S1619" s="91"/>
      <c r="T1619" s="91"/>
      <c r="U1619" s="91"/>
      <c r="V1619" s="91"/>
      <c r="W1619" s="91"/>
    </row>
    <row r="1620">
      <c r="A1620" s="91"/>
      <c r="D1620" s="91"/>
      <c r="G1620" s="91"/>
      <c r="J1620" s="91"/>
      <c r="M1620" s="91"/>
      <c r="P1620" s="91"/>
      <c r="S1620" s="91"/>
      <c r="T1620" s="91"/>
      <c r="U1620" s="91"/>
      <c r="V1620" s="91"/>
      <c r="W1620" s="91"/>
    </row>
    <row r="1621">
      <c r="A1621" s="91"/>
      <c r="D1621" s="91"/>
      <c r="G1621" s="91"/>
      <c r="J1621" s="91"/>
      <c r="M1621" s="91"/>
      <c r="P1621" s="91"/>
      <c r="S1621" s="91"/>
      <c r="T1621" s="91"/>
      <c r="U1621" s="91"/>
      <c r="V1621" s="91"/>
      <c r="W1621" s="91"/>
    </row>
    <row r="1622">
      <c r="A1622" s="91"/>
      <c r="D1622" s="91"/>
      <c r="G1622" s="91"/>
      <c r="J1622" s="91"/>
      <c r="M1622" s="91"/>
      <c r="P1622" s="91"/>
      <c r="S1622" s="91"/>
      <c r="T1622" s="91"/>
      <c r="U1622" s="91"/>
      <c r="V1622" s="91"/>
      <c r="W1622" s="91"/>
    </row>
    <row r="1623">
      <c r="A1623" s="91"/>
      <c r="D1623" s="91"/>
      <c r="G1623" s="91"/>
      <c r="J1623" s="91"/>
      <c r="M1623" s="91"/>
      <c r="P1623" s="91"/>
      <c r="S1623" s="91"/>
      <c r="T1623" s="91"/>
      <c r="U1623" s="91"/>
      <c r="V1623" s="91"/>
      <c r="W1623" s="91"/>
    </row>
    <row r="1624">
      <c r="A1624" s="91"/>
      <c r="D1624" s="91"/>
      <c r="G1624" s="91"/>
      <c r="J1624" s="91"/>
      <c r="M1624" s="91"/>
      <c r="P1624" s="91"/>
      <c r="S1624" s="91"/>
      <c r="T1624" s="91"/>
      <c r="U1624" s="91"/>
      <c r="V1624" s="91"/>
      <c r="W1624" s="91"/>
    </row>
    <row r="1625">
      <c r="A1625" s="91"/>
      <c r="D1625" s="91"/>
      <c r="G1625" s="91"/>
      <c r="J1625" s="91"/>
      <c r="M1625" s="91"/>
      <c r="P1625" s="91"/>
      <c r="S1625" s="91"/>
      <c r="T1625" s="91"/>
      <c r="U1625" s="91"/>
      <c r="V1625" s="91"/>
      <c r="W1625" s="91"/>
    </row>
    <row r="1626">
      <c r="A1626" s="91"/>
      <c r="D1626" s="91"/>
      <c r="G1626" s="91"/>
      <c r="J1626" s="91"/>
      <c r="M1626" s="91"/>
      <c r="P1626" s="91"/>
      <c r="S1626" s="91"/>
      <c r="T1626" s="91"/>
      <c r="U1626" s="91"/>
      <c r="V1626" s="91"/>
      <c r="W1626" s="91"/>
    </row>
    <row r="1627">
      <c r="A1627" s="91"/>
      <c r="D1627" s="91"/>
      <c r="G1627" s="91"/>
      <c r="J1627" s="91"/>
      <c r="M1627" s="91"/>
      <c r="P1627" s="91"/>
      <c r="S1627" s="91"/>
      <c r="T1627" s="91"/>
      <c r="U1627" s="91"/>
      <c r="V1627" s="91"/>
      <c r="W1627" s="91"/>
    </row>
    <row r="1628">
      <c r="A1628" s="91"/>
      <c r="D1628" s="91"/>
      <c r="G1628" s="91"/>
      <c r="J1628" s="91"/>
      <c r="M1628" s="91"/>
      <c r="P1628" s="91"/>
      <c r="S1628" s="91"/>
      <c r="T1628" s="91"/>
      <c r="U1628" s="91"/>
      <c r="V1628" s="91"/>
      <c r="W1628" s="91"/>
    </row>
    <row r="1629">
      <c r="A1629" s="91"/>
      <c r="D1629" s="91"/>
      <c r="G1629" s="91"/>
      <c r="J1629" s="91"/>
      <c r="M1629" s="91"/>
      <c r="P1629" s="91"/>
      <c r="S1629" s="91"/>
      <c r="T1629" s="91"/>
      <c r="U1629" s="91"/>
      <c r="V1629" s="91"/>
      <c r="W1629" s="91"/>
    </row>
    <row r="1630">
      <c r="A1630" s="91"/>
      <c r="D1630" s="91"/>
      <c r="G1630" s="91"/>
      <c r="J1630" s="91"/>
      <c r="M1630" s="91"/>
      <c r="P1630" s="91"/>
      <c r="S1630" s="91"/>
      <c r="T1630" s="91"/>
      <c r="U1630" s="91"/>
      <c r="V1630" s="91"/>
      <c r="W1630" s="91"/>
    </row>
    <row r="1631">
      <c r="A1631" s="91"/>
      <c r="D1631" s="91"/>
      <c r="G1631" s="91"/>
      <c r="J1631" s="91"/>
      <c r="M1631" s="91"/>
      <c r="P1631" s="91"/>
      <c r="S1631" s="91"/>
      <c r="T1631" s="91"/>
      <c r="U1631" s="91"/>
      <c r="V1631" s="91"/>
      <c r="W1631" s="91"/>
    </row>
    <row r="1632">
      <c r="A1632" s="91"/>
      <c r="D1632" s="91"/>
      <c r="G1632" s="91"/>
      <c r="J1632" s="91"/>
      <c r="M1632" s="91"/>
      <c r="P1632" s="91"/>
      <c r="S1632" s="91"/>
      <c r="T1632" s="91"/>
      <c r="U1632" s="91"/>
      <c r="V1632" s="91"/>
      <c r="W1632" s="91"/>
    </row>
    <row r="1633">
      <c r="A1633" s="91"/>
      <c r="D1633" s="91"/>
      <c r="G1633" s="91"/>
      <c r="J1633" s="91"/>
      <c r="M1633" s="91"/>
      <c r="P1633" s="91"/>
      <c r="S1633" s="91"/>
      <c r="T1633" s="91"/>
      <c r="U1633" s="91"/>
      <c r="V1633" s="91"/>
      <c r="W1633" s="91"/>
    </row>
    <row r="1634">
      <c r="A1634" s="91"/>
      <c r="D1634" s="91"/>
      <c r="G1634" s="91"/>
      <c r="J1634" s="91"/>
      <c r="M1634" s="91"/>
      <c r="P1634" s="91"/>
      <c r="S1634" s="91"/>
      <c r="T1634" s="91"/>
      <c r="U1634" s="91"/>
      <c r="V1634" s="91"/>
      <c r="W1634" s="91"/>
    </row>
    <row r="1635">
      <c r="A1635" s="91"/>
      <c r="D1635" s="91"/>
      <c r="G1635" s="91"/>
      <c r="J1635" s="91"/>
      <c r="M1635" s="91"/>
      <c r="P1635" s="91"/>
      <c r="S1635" s="91"/>
      <c r="T1635" s="91"/>
      <c r="U1635" s="91"/>
      <c r="V1635" s="91"/>
      <c r="W1635" s="91"/>
    </row>
    <row r="1636">
      <c r="A1636" s="91"/>
      <c r="D1636" s="91"/>
      <c r="G1636" s="91"/>
      <c r="J1636" s="91"/>
      <c r="M1636" s="91"/>
      <c r="P1636" s="91"/>
      <c r="S1636" s="91"/>
      <c r="T1636" s="91"/>
      <c r="U1636" s="91"/>
      <c r="V1636" s="91"/>
      <c r="W1636" s="91"/>
    </row>
    <row r="1637">
      <c r="A1637" s="91"/>
      <c r="D1637" s="91"/>
      <c r="G1637" s="91"/>
      <c r="J1637" s="91"/>
      <c r="M1637" s="91"/>
      <c r="P1637" s="91"/>
      <c r="S1637" s="91"/>
      <c r="T1637" s="91"/>
      <c r="U1637" s="91"/>
      <c r="V1637" s="91"/>
      <c r="W1637" s="91"/>
    </row>
    <row r="1638">
      <c r="A1638" s="91"/>
      <c r="D1638" s="91"/>
      <c r="G1638" s="91"/>
      <c r="J1638" s="91"/>
      <c r="M1638" s="91"/>
      <c r="P1638" s="91"/>
      <c r="S1638" s="91"/>
      <c r="T1638" s="91"/>
      <c r="U1638" s="91"/>
      <c r="V1638" s="91"/>
      <c r="W1638" s="91"/>
    </row>
    <row r="1639">
      <c r="A1639" s="91"/>
      <c r="D1639" s="91"/>
      <c r="G1639" s="91"/>
      <c r="J1639" s="91"/>
      <c r="M1639" s="91"/>
      <c r="P1639" s="91"/>
      <c r="S1639" s="91"/>
      <c r="T1639" s="91"/>
      <c r="U1639" s="91"/>
      <c r="V1639" s="91"/>
      <c r="W1639" s="91"/>
    </row>
    <row r="1640">
      <c r="A1640" s="91"/>
      <c r="D1640" s="91"/>
      <c r="G1640" s="91"/>
      <c r="J1640" s="91"/>
      <c r="M1640" s="91"/>
      <c r="P1640" s="91"/>
      <c r="S1640" s="91"/>
      <c r="T1640" s="91"/>
      <c r="U1640" s="91"/>
      <c r="V1640" s="91"/>
      <c r="W1640" s="91"/>
    </row>
    <row r="1641">
      <c r="A1641" s="91"/>
      <c r="D1641" s="91"/>
      <c r="G1641" s="91"/>
      <c r="J1641" s="91"/>
      <c r="M1641" s="91"/>
      <c r="P1641" s="91"/>
      <c r="S1641" s="91"/>
      <c r="T1641" s="91"/>
      <c r="U1641" s="91"/>
      <c r="V1641" s="91"/>
      <c r="W1641" s="91"/>
    </row>
    <row r="1642">
      <c r="A1642" s="91"/>
      <c r="D1642" s="91"/>
      <c r="G1642" s="91"/>
      <c r="J1642" s="91"/>
      <c r="M1642" s="91"/>
      <c r="P1642" s="91"/>
      <c r="S1642" s="91"/>
      <c r="T1642" s="91"/>
      <c r="U1642" s="91"/>
      <c r="V1642" s="91"/>
      <c r="W1642" s="91"/>
    </row>
    <row r="1643">
      <c r="A1643" s="91"/>
      <c r="D1643" s="91"/>
      <c r="G1643" s="91"/>
      <c r="J1643" s="91"/>
      <c r="M1643" s="91"/>
      <c r="P1643" s="91"/>
      <c r="S1643" s="91"/>
      <c r="T1643" s="91"/>
      <c r="U1643" s="91"/>
      <c r="V1643" s="91"/>
      <c r="W1643" s="91"/>
    </row>
    <row r="1644">
      <c r="A1644" s="91"/>
      <c r="D1644" s="91"/>
      <c r="G1644" s="91"/>
      <c r="J1644" s="91"/>
      <c r="M1644" s="91"/>
      <c r="P1644" s="91"/>
      <c r="S1644" s="91"/>
      <c r="T1644" s="91"/>
      <c r="U1644" s="91"/>
      <c r="V1644" s="91"/>
      <c r="W1644" s="91"/>
    </row>
    <row r="1645">
      <c r="A1645" s="91"/>
      <c r="D1645" s="91"/>
      <c r="G1645" s="91"/>
      <c r="J1645" s="91"/>
      <c r="M1645" s="91"/>
      <c r="P1645" s="91"/>
      <c r="S1645" s="91"/>
      <c r="T1645" s="91"/>
      <c r="U1645" s="91"/>
      <c r="V1645" s="91"/>
      <c r="W1645" s="91"/>
    </row>
    <row r="1646">
      <c r="A1646" s="91"/>
      <c r="D1646" s="91"/>
      <c r="G1646" s="91"/>
      <c r="J1646" s="91"/>
      <c r="M1646" s="91"/>
      <c r="P1646" s="91"/>
      <c r="S1646" s="91"/>
      <c r="T1646" s="91"/>
      <c r="U1646" s="91"/>
      <c r="V1646" s="91"/>
      <c r="W1646" s="91"/>
    </row>
    <row r="1647">
      <c r="A1647" s="91"/>
      <c r="D1647" s="91"/>
      <c r="G1647" s="91"/>
      <c r="J1647" s="91"/>
      <c r="M1647" s="91"/>
      <c r="P1647" s="91"/>
      <c r="S1647" s="91"/>
      <c r="T1647" s="91"/>
      <c r="U1647" s="91"/>
      <c r="V1647" s="91"/>
      <c r="W1647" s="91"/>
    </row>
    <row r="1648">
      <c r="A1648" s="91"/>
      <c r="D1648" s="91"/>
      <c r="G1648" s="91"/>
      <c r="J1648" s="91"/>
      <c r="M1648" s="91"/>
      <c r="P1648" s="91"/>
      <c r="S1648" s="91"/>
      <c r="T1648" s="91"/>
      <c r="U1648" s="91"/>
      <c r="V1648" s="91"/>
      <c r="W1648" s="91"/>
    </row>
    <row r="1649">
      <c r="A1649" s="91"/>
      <c r="D1649" s="91"/>
      <c r="G1649" s="91"/>
      <c r="J1649" s="91"/>
      <c r="M1649" s="91"/>
      <c r="P1649" s="91"/>
      <c r="S1649" s="91"/>
      <c r="T1649" s="91"/>
      <c r="U1649" s="91"/>
      <c r="V1649" s="91"/>
      <c r="W1649" s="91"/>
    </row>
    <row r="1650">
      <c r="A1650" s="91"/>
      <c r="D1650" s="91"/>
      <c r="G1650" s="91"/>
      <c r="J1650" s="91"/>
      <c r="M1650" s="91"/>
      <c r="P1650" s="91"/>
      <c r="S1650" s="91"/>
      <c r="T1650" s="91"/>
      <c r="U1650" s="91"/>
      <c r="V1650" s="91"/>
      <c r="W1650" s="91"/>
    </row>
    <row r="1651">
      <c r="A1651" s="91"/>
      <c r="D1651" s="91"/>
      <c r="G1651" s="91"/>
      <c r="J1651" s="91"/>
      <c r="M1651" s="91"/>
      <c r="P1651" s="91"/>
      <c r="S1651" s="91"/>
      <c r="T1651" s="91"/>
      <c r="U1651" s="91"/>
      <c r="V1651" s="91"/>
      <c r="W1651" s="91"/>
    </row>
    <row r="1652">
      <c r="A1652" s="91"/>
      <c r="D1652" s="91"/>
      <c r="G1652" s="91"/>
      <c r="J1652" s="91"/>
      <c r="M1652" s="91"/>
      <c r="P1652" s="91"/>
      <c r="S1652" s="91"/>
      <c r="T1652" s="91"/>
      <c r="U1652" s="91"/>
      <c r="V1652" s="91"/>
      <c r="W1652" s="91"/>
    </row>
    <row r="1653">
      <c r="A1653" s="91"/>
      <c r="D1653" s="91"/>
      <c r="G1653" s="91"/>
      <c r="J1653" s="91"/>
      <c r="M1653" s="91"/>
      <c r="P1653" s="91"/>
      <c r="S1653" s="91"/>
      <c r="T1653" s="91"/>
      <c r="U1653" s="91"/>
      <c r="V1653" s="91"/>
      <c r="W1653" s="91"/>
    </row>
    <row r="1654">
      <c r="A1654" s="91"/>
      <c r="D1654" s="91"/>
      <c r="G1654" s="91"/>
      <c r="J1654" s="91"/>
      <c r="M1654" s="91"/>
      <c r="P1654" s="91"/>
      <c r="S1654" s="91"/>
      <c r="T1654" s="91"/>
      <c r="U1654" s="91"/>
      <c r="V1654" s="91"/>
      <c r="W1654" s="91"/>
    </row>
    <row r="1655">
      <c r="A1655" s="91"/>
      <c r="D1655" s="91"/>
      <c r="G1655" s="91"/>
      <c r="J1655" s="91"/>
      <c r="M1655" s="91"/>
      <c r="P1655" s="91"/>
      <c r="S1655" s="91"/>
      <c r="T1655" s="91"/>
      <c r="U1655" s="91"/>
      <c r="V1655" s="91"/>
      <c r="W1655" s="91"/>
    </row>
    <row r="1656">
      <c r="A1656" s="91"/>
      <c r="D1656" s="91"/>
      <c r="G1656" s="91"/>
      <c r="J1656" s="91"/>
      <c r="M1656" s="91"/>
      <c r="P1656" s="91"/>
      <c r="S1656" s="91"/>
      <c r="T1656" s="91"/>
      <c r="U1656" s="91"/>
      <c r="V1656" s="91"/>
      <c r="W1656" s="91"/>
    </row>
    <row r="1657">
      <c r="A1657" s="91"/>
      <c r="D1657" s="91"/>
      <c r="G1657" s="91"/>
      <c r="J1657" s="91"/>
      <c r="M1657" s="91"/>
      <c r="P1657" s="91"/>
      <c r="S1657" s="91"/>
      <c r="T1657" s="91"/>
      <c r="U1657" s="91"/>
      <c r="V1657" s="91"/>
      <c r="W1657" s="91"/>
    </row>
    <row r="1658">
      <c r="A1658" s="91"/>
      <c r="D1658" s="91"/>
      <c r="G1658" s="91"/>
      <c r="J1658" s="91"/>
      <c r="M1658" s="91"/>
      <c r="P1658" s="91"/>
      <c r="S1658" s="91"/>
      <c r="T1658" s="91"/>
      <c r="U1658" s="91"/>
      <c r="V1658" s="91"/>
      <c r="W1658" s="91"/>
    </row>
    <row r="1659">
      <c r="A1659" s="91"/>
      <c r="D1659" s="91"/>
      <c r="G1659" s="91"/>
      <c r="J1659" s="91"/>
      <c r="M1659" s="91"/>
      <c r="P1659" s="91"/>
      <c r="S1659" s="91"/>
      <c r="T1659" s="91"/>
      <c r="U1659" s="91"/>
      <c r="V1659" s="91"/>
      <c r="W1659" s="91"/>
    </row>
    <row r="1660">
      <c r="A1660" s="91"/>
      <c r="D1660" s="91"/>
      <c r="G1660" s="91"/>
      <c r="J1660" s="91"/>
      <c r="M1660" s="91"/>
      <c r="P1660" s="91"/>
      <c r="S1660" s="91"/>
      <c r="T1660" s="91"/>
      <c r="U1660" s="91"/>
      <c r="V1660" s="91"/>
      <c r="W1660" s="91"/>
    </row>
    <row r="1661">
      <c r="A1661" s="91"/>
      <c r="D1661" s="91"/>
      <c r="G1661" s="91"/>
      <c r="J1661" s="91"/>
      <c r="M1661" s="91"/>
      <c r="P1661" s="91"/>
      <c r="S1661" s="91"/>
      <c r="T1661" s="91"/>
      <c r="U1661" s="91"/>
      <c r="V1661" s="91"/>
      <c r="W1661" s="91"/>
    </row>
    <row r="1662">
      <c r="A1662" s="91"/>
      <c r="D1662" s="91"/>
      <c r="G1662" s="91"/>
      <c r="J1662" s="91"/>
      <c r="M1662" s="91"/>
      <c r="P1662" s="91"/>
      <c r="S1662" s="91"/>
      <c r="T1662" s="91"/>
      <c r="U1662" s="91"/>
      <c r="V1662" s="91"/>
      <c r="W1662" s="91"/>
    </row>
    <row r="1663">
      <c r="A1663" s="91"/>
      <c r="D1663" s="91"/>
      <c r="G1663" s="91"/>
      <c r="J1663" s="91"/>
      <c r="M1663" s="91"/>
      <c r="P1663" s="91"/>
      <c r="S1663" s="91"/>
      <c r="T1663" s="91"/>
      <c r="U1663" s="91"/>
      <c r="V1663" s="91"/>
      <c r="W1663" s="91"/>
    </row>
    <row r="1664">
      <c r="A1664" s="91"/>
      <c r="D1664" s="91"/>
      <c r="G1664" s="91"/>
      <c r="J1664" s="91"/>
      <c r="M1664" s="91"/>
      <c r="P1664" s="91"/>
      <c r="S1664" s="91"/>
      <c r="T1664" s="91"/>
      <c r="U1664" s="91"/>
      <c r="V1664" s="91"/>
      <c r="W1664" s="91"/>
    </row>
    <row r="1665">
      <c r="A1665" s="91"/>
      <c r="D1665" s="91"/>
      <c r="G1665" s="91"/>
      <c r="J1665" s="91"/>
      <c r="M1665" s="91"/>
      <c r="P1665" s="91"/>
      <c r="S1665" s="91"/>
      <c r="T1665" s="91"/>
      <c r="U1665" s="91"/>
      <c r="V1665" s="91"/>
      <c r="W1665" s="91"/>
    </row>
    <row r="1666">
      <c r="A1666" s="91"/>
      <c r="D1666" s="91"/>
      <c r="G1666" s="91"/>
      <c r="J1666" s="91"/>
      <c r="M1666" s="91"/>
      <c r="P1666" s="91"/>
      <c r="S1666" s="91"/>
      <c r="T1666" s="91"/>
      <c r="U1666" s="91"/>
      <c r="V1666" s="91"/>
      <c r="W1666" s="91"/>
    </row>
    <row r="1667">
      <c r="A1667" s="91"/>
      <c r="D1667" s="91"/>
      <c r="G1667" s="91"/>
      <c r="J1667" s="91"/>
      <c r="M1667" s="91"/>
      <c r="P1667" s="91"/>
      <c r="S1667" s="91"/>
      <c r="T1667" s="91"/>
      <c r="U1667" s="91"/>
      <c r="V1667" s="91"/>
      <c r="W1667" s="91"/>
    </row>
    <row r="1668">
      <c r="A1668" s="91"/>
      <c r="D1668" s="91"/>
      <c r="G1668" s="91"/>
      <c r="J1668" s="91"/>
      <c r="M1668" s="91"/>
      <c r="P1668" s="91"/>
      <c r="S1668" s="91"/>
      <c r="T1668" s="91"/>
      <c r="U1668" s="91"/>
      <c r="V1668" s="91"/>
      <c r="W1668" s="91"/>
    </row>
    <row r="1669">
      <c r="A1669" s="91"/>
      <c r="D1669" s="91"/>
      <c r="G1669" s="91"/>
      <c r="J1669" s="91"/>
      <c r="M1669" s="91"/>
      <c r="P1669" s="91"/>
      <c r="S1669" s="91"/>
      <c r="T1669" s="91"/>
      <c r="U1669" s="91"/>
      <c r="V1669" s="91"/>
      <c r="W1669" s="91"/>
    </row>
    <row r="1670">
      <c r="A1670" s="91"/>
      <c r="D1670" s="91"/>
      <c r="G1670" s="91"/>
      <c r="J1670" s="91"/>
      <c r="M1670" s="91"/>
      <c r="P1670" s="91"/>
      <c r="S1670" s="91"/>
      <c r="T1670" s="91"/>
      <c r="U1670" s="91"/>
      <c r="V1670" s="91"/>
      <c r="W1670" s="91"/>
    </row>
    <row r="1671">
      <c r="A1671" s="91"/>
      <c r="D1671" s="91"/>
      <c r="G1671" s="91"/>
      <c r="J1671" s="91"/>
      <c r="M1671" s="91"/>
      <c r="P1671" s="91"/>
      <c r="S1671" s="91"/>
      <c r="T1671" s="91"/>
      <c r="U1671" s="91"/>
      <c r="V1671" s="91"/>
      <c r="W1671" s="91"/>
    </row>
    <row r="1672">
      <c r="A1672" s="91"/>
      <c r="D1672" s="91"/>
      <c r="G1672" s="91"/>
      <c r="J1672" s="91"/>
      <c r="M1672" s="91"/>
      <c r="P1672" s="91"/>
      <c r="S1672" s="91"/>
      <c r="T1672" s="91"/>
      <c r="U1672" s="91"/>
      <c r="V1672" s="91"/>
      <c r="W1672" s="91"/>
    </row>
    <row r="1673">
      <c r="A1673" s="91"/>
      <c r="D1673" s="91"/>
      <c r="G1673" s="91"/>
      <c r="J1673" s="91"/>
      <c r="M1673" s="91"/>
      <c r="P1673" s="91"/>
      <c r="S1673" s="91"/>
      <c r="T1673" s="91"/>
      <c r="U1673" s="91"/>
      <c r="V1673" s="91"/>
      <c r="W1673" s="91"/>
    </row>
    <row r="1674">
      <c r="A1674" s="91"/>
      <c r="D1674" s="91"/>
      <c r="G1674" s="91"/>
      <c r="J1674" s="91"/>
      <c r="M1674" s="91"/>
      <c r="P1674" s="91"/>
      <c r="S1674" s="91"/>
      <c r="T1674" s="91"/>
      <c r="U1674" s="91"/>
      <c r="V1674" s="91"/>
      <c r="W1674" s="91"/>
    </row>
    <row r="1675">
      <c r="A1675" s="91"/>
      <c r="D1675" s="91"/>
      <c r="G1675" s="91"/>
      <c r="J1675" s="91"/>
      <c r="M1675" s="91"/>
      <c r="P1675" s="91"/>
      <c r="S1675" s="91"/>
      <c r="T1675" s="91"/>
      <c r="U1675" s="91"/>
      <c r="V1675" s="91"/>
      <c r="W1675" s="91"/>
    </row>
    <row r="1676">
      <c r="A1676" s="91"/>
      <c r="D1676" s="91"/>
      <c r="G1676" s="91"/>
      <c r="J1676" s="91"/>
      <c r="M1676" s="91"/>
      <c r="P1676" s="91"/>
      <c r="S1676" s="91"/>
      <c r="T1676" s="91"/>
      <c r="U1676" s="91"/>
      <c r="V1676" s="91"/>
      <c r="W1676" s="91"/>
    </row>
    <row r="1677">
      <c r="A1677" s="91"/>
      <c r="D1677" s="91"/>
      <c r="G1677" s="91"/>
      <c r="J1677" s="91"/>
      <c r="M1677" s="91"/>
      <c r="P1677" s="91"/>
      <c r="S1677" s="91"/>
      <c r="T1677" s="91"/>
      <c r="U1677" s="91"/>
      <c r="V1677" s="91"/>
      <c r="W1677" s="91"/>
    </row>
    <row r="1678">
      <c r="A1678" s="91"/>
      <c r="D1678" s="91"/>
      <c r="G1678" s="91"/>
      <c r="J1678" s="91"/>
      <c r="M1678" s="91"/>
      <c r="P1678" s="91"/>
      <c r="S1678" s="91"/>
      <c r="T1678" s="91"/>
      <c r="U1678" s="91"/>
      <c r="V1678" s="91"/>
      <c r="W1678" s="91"/>
    </row>
    <row r="1679">
      <c r="A1679" s="91"/>
      <c r="D1679" s="91"/>
      <c r="G1679" s="91"/>
      <c r="J1679" s="91"/>
      <c r="M1679" s="91"/>
      <c r="P1679" s="91"/>
      <c r="S1679" s="91"/>
      <c r="T1679" s="91"/>
      <c r="U1679" s="91"/>
      <c r="V1679" s="91"/>
      <c r="W1679" s="91"/>
    </row>
    <row r="1680">
      <c r="A1680" s="91"/>
      <c r="D1680" s="91"/>
      <c r="G1680" s="91"/>
      <c r="J1680" s="91"/>
      <c r="M1680" s="91"/>
      <c r="P1680" s="91"/>
      <c r="S1680" s="91"/>
      <c r="T1680" s="91"/>
      <c r="U1680" s="91"/>
      <c r="V1680" s="91"/>
      <c r="W1680" s="91"/>
    </row>
    <row r="1681">
      <c r="A1681" s="91"/>
      <c r="D1681" s="91"/>
      <c r="G1681" s="91"/>
      <c r="J1681" s="91"/>
      <c r="M1681" s="91"/>
      <c r="P1681" s="91"/>
      <c r="S1681" s="91"/>
      <c r="T1681" s="91"/>
      <c r="U1681" s="91"/>
      <c r="V1681" s="91"/>
      <c r="W1681" s="91"/>
    </row>
    <row r="1682">
      <c r="A1682" s="91"/>
      <c r="D1682" s="91"/>
      <c r="G1682" s="91"/>
      <c r="J1682" s="91"/>
      <c r="M1682" s="91"/>
      <c r="P1682" s="91"/>
      <c r="S1682" s="91"/>
      <c r="T1682" s="91"/>
      <c r="U1682" s="91"/>
      <c r="V1682" s="91"/>
      <c r="W1682" s="91"/>
    </row>
    <row r="1683">
      <c r="A1683" s="91"/>
      <c r="D1683" s="91"/>
      <c r="G1683" s="91"/>
      <c r="J1683" s="91"/>
      <c r="M1683" s="91"/>
      <c r="P1683" s="91"/>
      <c r="S1683" s="91"/>
      <c r="T1683" s="91"/>
      <c r="U1683" s="91"/>
      <c r="V1683" s="91"/>
      <c r="W1683" s="91"/>
    </row>
    <row r="1684">
      <c r="A1684" s="91"/>
      <c r="D1684" s="91"/>
      <c r="G1684" s="91"/>
      <c r="J1684" s="91"/>
      <c r="M1684" s="91"/>
      <c r="P1684" s="91"/>
      <c r="S1684" s="91"/>
      <c r="T1684" s="91"/>
      <c r="U1684" s="91"/>
      <c r="V1684" s="91"/>
      <c r="W1684" s="91"/>
    </row>
    <row r="1685">
      <c r="A1685" s="91"/>
      <c r="D1685" s="91"/>
      <c r="G1685" s="91"/>
      <c r="J1685" s="91"/>
      <c r="M1685" s="91"/>
      <c r="P1685" s="91"/>
      <c r="S1685" s="91"/>
      <c r="T1685" s="91"/>
      <c r="U1685" s="91"/>
      <c r="V1685" s="91"/>
      <c r="W1685" s="91"/>
    </row>
    <row r="1686">
      <c r="A1686" s="91"/>
      <c r="D1686" s="91"/>
      <c r="G1686" s="91"/>
      <c r="J1686" s="91"/>
      <c r="M1686" s="91"/>
      <c r="P1686" s="91"/>
      <c r="S1686" s="91"/>
      <c r="T1686" s="91"/>
      <c r="U1686" s="91"/>
      <c r="V1686" s="91"/>
      <c r="W1686" s="91"/>
    </row>
    <row r="1687">
      <c r="A1687" s="91"/>
      <c r="D1687" s="91"/>
      <c r="G1687" s="91"/>
      <c r="J1687" s="91"/>
      <c r="M1687" s="91"/>
      <c r="P1687" s="91"/>
      <c r="S1687" s="91"/>
      <c r="T1687" s="91"/>
      <c r="U1687" s="91"/>
      <c r="V1687" s="91"/>
      <c r="W1687" s="91"/>
    </row>
    <row r="1688">
      <c r="A1688" s="91"/>
      <c r="D1688" s="91"/>
      <c r="G1688" s="91"/>
      <c r="J1688" s="91"/>
      <c r="M1688" s="91"/>
      <c r="P1688" s="91"/>
      <c r="S1688" s="91"/>
      <c r="T1688" s="91"/>
      <c r="U1688" s="91"/>
      <c r="V1688" s="91"/>
      <c r="W1688" s="91"/>
    </row>
    <row r="1689">
      <c r="A1689" s="91"/>
      <c r="D1689" s="91"/>
      <c r="G1689" s="91"/>
      <c r="J1689" s="91"/>
      <c r="M1689" s="91"/>
      <c r="P1689" s="91"/>
      <c r="S1689" s="91"/>
      <c r="T1689" s="91"/>
      <c r="U1689" s="91"/>
      <c r="V1689" s="91"/>
      <c r="W1689" s="91"/>
    </row>
    <row r="1690">
      <c r="A1690" s="91"/>
      <c r="D1690" s="91"/>
      <c r="G1690" s="91"/>
      <c r="J1690" s="91"/>
      <c r="M1690" s="91"/>
      <c r="P1690" s="91"/>
      <c r="S1690" s="91"/>
      <c r="T1690" s="91"/>
      <c r="U1690" s="91"/>
      <c r="V1690" s="91"/>
      <c r="W1690" s="91"/>
    </row>
    <row r="1691">
      <c r="A1691" s="91"/>
      <c r="D1691" s="91"/>
      <c r="G1691" s="91"/>
      <c r="J1691" s="91"/>
      <c r="M1691" s="91"/>
      <c r="P1691" s="91"/>
      <c r="S1691" s="91"/>
      <c r="T1691" s="91"/>
      <c r="U1691" s="91"/>
      <c r="V1691" s="91"/>
      <c r="W1691" s="91"/>
    </row>
    <row r="1692">
      <c r="A1692" s="91"/>
      <c r="D1692" s="91"/>
      <c r="G1692" s="91"/>
      <c r="J1692" s="91"/>
      <c r="M1692" s="91"/>
      <c r="P1692" s="91"/>
      <c r="S1692" s="91"/>
      <c r="T1692" s="91"/>
      <c r="U1692" s="91"/>
      <c r="V1692" s="91"/>
      <c r="W1692" s="91"/>
    </row>
    <row r="1693">
      <c r="A1693" s="91"/>
      <c r="D1693" s="91"/>
      <c r="G1693" s="91"/>
      <c r="J1693" s="91"/>
      <c r="M1693" s="91"/>
      <c r="P1693" s="91"/>
      <c r="S1693" s="91"/>
      <c r="T1693" s="91"/>
      <c r="U1693" s="91"/>
      <c r="V1693" s="91"/>
      <c r="W1693" s="91"/>
    </row>
    <row r="1694">
      <c r="A1694" s="91"/>
      <c r="D1694" s="91"/>
      <c r="G1694" s="91"/>
      <c r="J1694" s="91"/>
      <c r="M1694" s="91"/>
      <c r="P1694" s="91"/>
      <c r="S1694" s="91"/>
      <c r="T1694" s="91"/>
      <c r="U1694" s="91"/>
      <c r="V1694" s="91"/>
      <c r="W1694" s="91"/>
    </row>
    <row r="1695">
      <c r="A1695" s="91"/>
      <c r="D1695" s="91"/>
      <c r="G1695" s="91"/>
      <c r="J1695" s="91"/>
      <c r="M1695" s="91"/>
      <c r="P1695" s="91"/>
      <c r="S1695" s="91"/>
      <c r="T1695" s="91"/>
      <c r="U1695" s="91"/>
      <c r="V1695" s="91"/>
      <c r="W1695" s="91"/>
    </row>
    <row r="1696">
      <c r="A1696" s="91"/>
      <c r="D1696" s="91"/>
      <c r="G1696" s="91"/>
      <c r="J1696" s="91"/>
      <c r="M1696" s="91"/>
      <c r="P1696" s="91"/>
      <c r="S1696" s="91"/>
      <c r="T1696" s="91"/>
      <c r="U1696" s="91"/>
      <c r="V1696" s="91"/>
      <c r="W1696" s="91"/>
    </row>
    <row r="1697">
      <c r="A1697" s="91"/>
      <c r="D1697" s="91"/>
      <c r="G1697" s="91"/>
      <c r="J1697" s="91"/>
      <c r="M1697" s="91"/>
      <c r="P1697" s="91"/>
      <c r="S1697" s="91"/>
      <c r="T1697" s="91"/>
      <c r="U1697" s="91"/>
      <c r="V1697" s="91"/>
      <c r="W1697" s="91"/>
    </row>
    <row r="1698">
      <c r="A1698" s="91"/>
      <c r="D1698" s="91"/>
      <c r="G1698" s="91"/>
      <c r="J1698" s="91"/>
      <c r="M1698" s="91"/>
      <c r="P1698" s="91"/>
      <c r="S1698" s="91"/>
      <c r="T1698" s="91"/>
      <c r="U1698" s="91"/>
      <c r="V1698" s="91"/>
      <c r="W1698" s="91"/>
    </row>
    <row r="1699">
      <c r="A1699" s="91"/>
      <c r="D1699" s="91"/>
      <c r="G1699" s="91"/>
      <c r="J1699" s="91"/>
      <c r="M1699" s="91"/>
      <c r="P1699" s="91"/>
      <c r="S1699" s="91"/>
      <c r="T1699" s="91"/>
      <c r="U1699" s="91"/>
      <c r="V1699" s="91"/>
      <c r="W1699" s="91"/>
    </row>
    <row r="1700">
      <c r="A1700" s="91"/>
      <c r="D1700" s="91"/>
      <c r="G1700" s="91"/>
      <c r="J1700" s="91"/>
      <c r="M1700" s="91"/>
      <c r="P1700" s="91"/>
      <c r="S1700" s="91"/>
      <c r="T1700" s="91"/>
      <c r="U1700" s="91"/>
      <c r="V1700" s="91"/>
      <c r="W1700" s="91"/>
    </row>
    <row r="1701">
      <c r="A1701" s="91"/>
      <c r="D1701" s="91"/>
      <c r="G1701" s="91"/>
      <c r="J1701" s="91"/>
      <c r="M1701" s="91"/>
      <c r="P1701" s="91"/>
      <c r="S1701" s="91"/>
      <c r="T1701" s="91"/>
      <c r="U1701" s="91"/>
      <c r="V1701" s="91"/>
      <c r="W1701" s="91"/>
    </row>
    <row r="1702">
      <c r="A1702" s="91"/>
      <c r="D1702" s="91"/>
      <c r="G1702" s="91"/>
      <c r="J1702" s="91"/>
      <c r="M1702" s="91"/>
      <c r="P1702" s="91"/>
      <c r="S1702" s="91"/>
      <c r="T1702" s="91"/>
      <c r="U1702" s="91"/>
      <c r="V1702" s="91"/>
      <c r="W1702" s="91"/>
    </row>
    <row r="1703">
      <c r="A1703" s="91"/>
      <c r="D1703" s="91"/>
      <c r="G1703" s="91"/>
      <c r="J1703" s="91"/>
      <c r="M1703" s="91"/>
      <c r="P1703" s="91"/>
      <c r="S1703" s="91"/>
      <c r="T1703" s="91"/>
      <c r="U1703" s="91"/>
      <c r="V1703" s="91"/>
      <c r="W1703" s="91"/>
    </row>
    <row r="1704">
      <c r="A1704" s="91"/>
      <c r="D1704" s="91"/>
      <c r="G1704" s="91"/>
      <c r="J1704" s="91"/>
      <c r="M1704" s="91"/>
      <c r="P1704" s="91"/>
      <c r="S1704" s="91"/>
      <c r="T1704" s="91"/>
      <c r="U1704" s="91"/>
      <c r="V1704" s="91"/>
      <c r="W1704" s="91"/>
    </row>
    <row r="1705">
      <c r="A1705" s="91"/>
      <c r="D1705" s="91"/>
      <c r="G1705" s="91"/>
      <c r="J1705" s="91"/>
      <c r="M1705" s="91"/>
      <c r="P1705" s="91"/>
      <c r="S1705" s="91"/>
      <c r="T1705" s="91"/>
      <c r="U1705" s="91"/>
      <c r="V1705" s="91"/>
      <c r="W1705" s="91"/>
    </row>
    <row r="1706">
      <c r="A1706" s="91"/>
      <c r="D1706" s="91"/>
      <c r="G1706" s="91"/>
      <c r="J1706" s="91"/>
      <c r="M1706" s="91"/>
      <c r="P1706" s="91"/>
      <c r="S1706" s="91"/>
      <c r="T1706" s="91"/>
      <c r="U1706" s="91"/>
      <c r="V1706" s="91"/>
      <c r="W1706" s="91"/>
    </row>
    <row r="1707">
      <c r="A1707" s="91"/>
      <c r="D1707" s="91"/>
      <c r="G1707" s="91"/>
      <c r="J1707" s="91"/>
      <c r="M1707" s="91"/>
      <c r="P1707" s="91"/>
      <c r="S1707" s="91"/>
      <c r="T1707" s="91"/>
      <c r="U1707" s="91"/>
      <c r="V1707" s="91"/>
      <c r="W1707" s="91"/>
    </row>
    <row r="1708">
      <c r="A1708" s="91"/>
      <c r="D1708" s="91"/>
      <c r="G1708" s="91"/>
      <c r="J1708" s="91"/>
      <c r="M1708" s="91"/>
      <c r="P1708" s="91"/>
      <c r="S1708" s="91"/>
      <c r="T1708" s="91"/>
      <c r="U1708" s="91"/>
      <c r="V1708" s="91"/>
      <c r="W1708" s="91"/>
    </row>
    <row r="1709">
      <c r="A1709" s="91"/>
      <c r="D1709" s="91"/>
      <c r="G1709" s="91"/>
      <c r="J1709" s="91"/>
      <c r="M1709" s="91"/>
      <c r="P1709" s="91"/>
      <c r="S1709" s="91"/>
      <c r="T1709" s="91"/>
      <c r="U1709" s="91"/>
      <c r="V1709" s="91"/>
      <c r="W1709" s="91"/>
    </row>
    <row r="1710">
      <c r="A1710" s="91"/>
      <c r="D1710" s="91"/>
      <c r="G1710" s="91"/>
      <c r="J1710" s="91"/>
      <c r="M1710" s="91"/>
      <c r="P1710" s="91"/>
      <c r="S1710" s="91"/>
      <c r="T1710" s="91"/>
      <c r="U1710" s="91"/>
      <c r="V1710" s="91"/>
      <c r="W1710" s="91"/>
    </row>
    <row r="1711">
      <c r="A1711" s="91"/>
      <c r="D1711" s="91"/>
      <c r="G1711" s="91"/>
      <c r="J1711" s="91"/>
      <c r="M1711" s="91"/>
      <c r="P1711" s="91"/>
      <c r="S1711" s="91"/>
      <c r="T1711" s="91"/>
      <c r="U1711" s="91"/>
      <c r="V1711" s="91"/>
      <c r="W1711" s="91"/>
    </row>
    <row r="1712">
      <c r="A1712" s="91"/>
      <c r="D1712" s="91"/>
      <c r="G1712" s="91"/>
      <c r="J1712" s="91"/>
      <c r="M1712" s="91"/>
      <c r="P1712" s="91"/>
      <c r="S1712" s="91"/>
      <c r="T1712" s="91"/>
      <c r="U1712" s="91"/>
      <c r="V1712" s="91"/>
      <c r="W1712" s="91"/>
    </row>
    <row r="1713">
      <c r="A1713" s="91"/>
      <c r="D1713" s="91"/>
      <c r="G1713" s="91"/>
      <c r="J1713" s="91"/>
      <c r="M1713" s="91"/>
      <c r="P1713" s="91"/>
      <c r="S1713" s="91"/>
      <c r="T1713" s="91"/>
      <c r="U1713" s="91"/>
      <c r="V1713" s="91"/>
      <c r="W1713" s="91"/>
    </row>
    <row r="1714">
      <c r="A1714" s="91"/>
      <c r="D1714" s="91"/>
      <c r="G1714" s="91"/>
      <c r="J1714" s="91"/>
      <c r="M1714" s="91"/>
      <c r="P1714" s="91"/>
      <c r="S1714" s="91"/>
      <c r="T1714" s="91"/>
      <c r="U1714" s="91"/>
      <c r="V1714" s="91"/>
      <c r="W1714" s="91"/>
    </row>
    <row r="1715">
      <c r="A1715" s="91"/>
      <c r="D1715" s="91"/>
      <c r="G1715" s="91"/>
      <c r="J1715" s="91"/>
      <c r="M1715" s="91"/>
      <c r="P1715" s="91"/>
      <c r="S1715" s="91"/>
      <c r="T1715" s="91"/>
      <c r="U1715" s="91"/>
      <c r="V1715" s="91"/>
      <c r="W1715" s="91"/>
    </row>
    <row r="1716">
      <c r="A1716" s="91"/>
      <c r="D1716" s="91"/>
      <c r="G1716" s="91"/>
      <c r="J1716" s="91"/>
      <c r="M1716" s="91"/>
      <c r="P1716" s="91"/>
      <c r="S1716" s="91"/>
      <c r="T1716" s="91"/>
      <c r="U1716" s="91"/>
      <c r="V1716" s="91"/>
      <c r="W1716" s="91"/>
    </row>
    <row r="1717">
      <c r="A1717" s="91"/>
      <c r="D1717" s="91"/>
      <c r="G1717" s="91"/>
      <c r="J1717" s="91"/>
      <c r="M1717" s="91"/>
      <c r="P1717" s="91"/>
      <c r="S1717" s="91"/>
      <c r="T1717" s="91"/>
      <c r="U1717" s="91"/>
      <c r="V1717" s="91"/>
      <c r="W1717" s="91"/>
    </row>
    <row r="1718">
      <c r="A1718" s="91"/>
      <c r="D1718" s="91"/>
      <c r="G1718" s="91"/>
      <c r="J1718" s="91"/>
      <c r="M1718" s="91"/>
      <c r="P1718" s="91"/>
      <c r="S1718" s="91"/>
      <c r="T1718" s="91"/>
      <c r="U1718" s="91"/>
      <c r="V1718" s="91"/>
      <c r="W1718" s="91"/>
    </row>
    <row r="1719">
      <c r="A1719" s="91"/>
      <c r="D1719" s="91"/>
      <c r="G1719" s="91"/>
      <c r="J1719" s="91"/>
      <c r="M1719" s="91"/>
      <c r="P1719" s="91"/>
      <c r="S1719" s="91"/>
      <c r="T1719" s="91"/>
      <c r="U1719" s="91"/>
      <c r="V1719" s="91"/>
      <c r="W1719" s="91"/>
    </row>
    <row r="1720">
      <c r="A1720" s="91"/>
      <c r="D1720" s="91"/>
      <c r="G1720" s="91"/>
      <c r="J1720" s="91"/>
      <c r="M1720" s="91"/>
      <c r="P1720" s="91"/>
      <c r="S1720" s="91"/>
      <c r="T1720" s="91"/>
      <c r="U1720" s="91"/>
      <c r="V1720" s="91"/>
      <c r="W1720" s="91"/>
    </row>
    <row r="1721">
      <c r="A1721" s="91"/>
      <c r="D1721" s="91"/>
      <c r="G1721" s="91"/>
      <c r="J1721" s="91"/>
      <c r="M1721" s="91"/>
      <c r="P1721" s="91"/>
      <c r="S1721" s="91"/>
      <c r="T1721" s="91"/>
      <c r="U1721" s="91"/>
      <c r="V1721" s="91"/>
      <c r="W1721" s="91"/>
    </row>
    <row r="1722">
      <c r="A1722" s="91"/>
      <c r="D1722" s="91"/>
      <c r="G1722" s="91"/>
      <c r="J1722" s="91"/>
      <c r="M1722" s="91"/>
      <c r="P1722" s="91"/>
      <c r="S1722" s="91"/>
      <c r="T1722" s="91"/>
      <c r="U1722" s="91"/>
      <c r="V1722" s="91"/>
      <c r="W1722" s="91"/>
    </row>
    <row r="1723">
      <c r="A1723" s="91"/>
      <c r="D1723" s="91"/>
      <c r="G1723" s="91"/>
      <c r="J1723" s="91"/>
      <c r="M1723" s="91"/>
      <c r="P1723" s="91"/>
      <c r="S1723" s="91"/>
      <c r="T1723" s="91"/>
      <c r="U1723" s="91"/>
      <c r="V1723" s="91"/>
      <c r="W1723" s="91"/>
    </row>
    <row r="1724">
      <c r="A1724" s="91"/>
      <c r="D1724" s="91"/>
      <c r="G1724" s="91"/>
      <c r="J1724" s="91"/>
      <c r="M1724" s="91"/>
      <c r="P1724" s="91"/>
      <c r="S1724" s="91"/>
      <c r="T1724" s="91"/>
      <c r="U1724" s="91"/>
      <c r="V1724" s="91"/>
      <c r="W1724" s="91"/>
    </row>
    <row r="1725">
      <c r="A1725" s="91"/>
      <c r="D1725" s="91"/>
      <c r="G1725" s="91"/>
      <c r="J1725" s="91"/>
      <c r="M1725" s="91"/>
      <c r="P1725" s="91"/>
      <c r="S1725" s="91"/>
      <c r="T1725" s="91"/>
      <c r="U1725" s="91"/>
      <c r="V1725" s="91"/>
      <c r="W1725" s="91"/>
    </row>
    <row r="1726">
      <c r="A1726" s="91"/>
      <c r="D1726" s="91"/>
      <c r="G1726" s="91"/>
      <c r="J1726" s="91"/>
      <c r="M1726" s="91"/>
      <c r="P1726" s="91"/>
      <c r="S1726" s="91"/>
      <c r="T1726" s="91"/>
      <c r="U1726" s="91"/>
      <c r="V1726" s="91"/>
      <c r="W1726" s="91"/>
    </row>
    <row r="1727">
      <c r="A1727" s="91"/>
      <c r="D1727" s="91"/>
      <c r="G1727" s="91"/>
      <c r="J1727" s="91"/>
      <c r="M1727" s="91"/>
      <c r="P1727" s="91"/>
      <c r="S1727" s="91"/>
      <c r="T1727" s="91"/>
      <c r="U1727" s="91"/>
      <c r="V1727" s="91"/>
      <c r="W1727" s="91"/>
    </row>
    <row r="1728">
      <c r="A1728" s="91"/>
      <c r="D1728" s="91"/>
      <c r="G1728" s="91"/>
      <c r="J1728" s="91"/>
      <c r="M1728" s="91"/>
      <c r="P1728" s="91"/>
      <c r="S1728" s="91"/>
      <c r="T1728" s="91"/>
      <c r="U1728" s="91"/>
      <c r="V1728" s="91"/>
      <c r="W1728" s="91"/>
    </row>
    <row r="1729">
      <c r="A1729" s="91"/>
      <c r="D1729" s="91"/>
      <c r="G1729" s="91"/>
      <c r="J1729" s="91"/>
      <c r="M1729" s="91"/>
      <c r="P1729" s="91"/>
      <c r="S1729" s="91"/>
      <c r="T1729" s="91"/>
      <c r="U1729" s="91"/>
      <c r="V1729" s="91"/>
      <c r="W1729" s="91"/>
    </row>
    <row r="1730">
      <c r="A1730" s="91"/>
      <c r="D1730" s="91"/>
      <c r="G1730" s="91"/>
      <c r="J1730" s="91"/>
      <c r="M1730" s="91"/>
      <c r="P1730" s="91"/>
      <c r="S1730" s="91"/>
      <c r="T1730" s="91"/>
      <c r="U1730" s="91"/>
      <c r="V1730" s="91"/>
      <c r="W1730" s="91"/>
    </row>
    <row r="1731">
      <c r="A1731" s="91"/>
      <c r="D1731" s="91"/>
      <c r="G1731" s="91"/>
      <c r="J1731" s="91"/>
      <c r="M1731" s="91"/>
      <c r="P1731" s="91"/>
      <c r="S1731" s="91"/>
      <c r="T1731" s="91"/>
      <c r="U1731" s="91"/>
      <c r="V1731" s="91"/>
      <c r="W1731" s="91"/>
    </row>
    <row r="1732">
      <c r="A1732" s="91"/>
      <c r="D1732" s="91"/>
      <c r="G1732" s="91"/>
      <c r="J1732" s="91"/>
      <c r="M1732" s="91"/>
      <c r="P1732" s="91"/>
      <c r="S1732" s="91"/>
      <c r="T1732" s="91"/>
      <c r="U1732" s="91"/>
      <c r="V1732" s="91"/>
      <c r="W1732" s="91"/>
    </row>
    <row r="1733">
      <c r="A1733" s="91"/>
      <c r="D1733" s="91"/>
      <c r="G1733" s="91"/>
      <c r="J1733" s="91"/>
      <c r="M1733" s="91"/>
      <c r="P1733" s="91"/>
      <c r="S1733" s="91"/>
      <c r="T1733" s="91"/>
      <c r="U1733" s="91"/>
      <c r="V1733" s="91"/>
      <c r="W1733" s="91"/>
    </row>
    <row r="1734">
      <c r="A1734" s="91"/>
      <c r="D1734" s="91"/>
      <c r="G1734" s="91"/>
      <c r="J1734" s="91"/>
      <c r="M1734" s="91"/>
      <c r="P1734" s="91"/>
      <c r="S1734" s="91"/>
      <c r="T1734" s="91"/>
      <c r="U1734" s="91"/>
      <c r="V1734" s="91"/>
      <c r="W1734" s="91"/>
    </row>
    <row r="1735">
      <c r="A1735" s="91"/>
      <c r="D1735" s="91"/>
      <c r="G1735" s="91"/>
      <c r="J1735" s="91"/>
      <c r="M1735" s="91"/>
      <c r="P1735" s="91"/>
      <c r="S1735" s="91"/>
      <c r="T1735" s="91"/>
      <c r="U1735" s="91"/>
      <c r="V1735" s="91"/>
      <c r="W1735" s="91"/>
    </row>
    <row r="1736">
      <c r="A1736" s="91"/>
      <c r="D1736" s="91"/>
      <c r="G1736" s="91"/>
      <c r="J1736" s="91"/>
      <c r="M1736" s="91"/>
      <c r="P1736" s="91"/>
      <c r="S1736" s="91"/>
      <c r="T1736" s="91"/>
      <c r="U1736" s="91"/>
      <c r="V1736" s="91"/>
      <c r="W1736" s="91"/>
    </row>
    <row r="1737">
      <c r="A1737" s="91"/>
      <c r="D1737" s="91"/>
      <c r="G1737" s="91"/>
      <c r="J1737" s="91"/>
      <c r="M1737" s="91"/>
      <c r="P1737" s="91"/>
      <c r="S1737" s="91"/>
      <c r="T1737" s="91"/>
      <c r="U1737" s="91"/>
      <c r="V1737" s="91"/>
      <c r="W1737" s="91"/>
    </row>
    <row r="1738">
      <c r="A1738" s="91"/>
      <c r="D1738" s="91"/>
      <c r="G1738" s="91"/>
      <c r="J1738" s="91"/>
      <c r="M1738" s="91"/>
      <c r="P1738" s="91"/>
      <c r="S1738" s="91"/>
      <c r="T1738" s="91"/>
      <c r="U1738" s="91"/>
      <c r="V1738" s="91"/>
      <c r="W1738" s="91"/>
    </row>
    <row r="1739">
      <c r="A1739" s="91"/>
      <c r="D1739" s="91"/>
      <c r="G1739" s="91"/>
      <c r="J1739" s="91"/>
      <c r="M1739" s="91"/>
      <c r="P1739" s="91"/>
      <c r="S1739" s="91"/>
      <c r="T1739" s="91"/>
      <c r="U1739" s="91"/>
      <c r="V1739" s="91"/>
      <c r="W1739" s="91"/>
    </row>
    <row r="1740">
      <c r="A1740" s="91"/>
      <c r="D1740" s="91"/>
      <c r="G1740" s="91"/>
      <c r="J1740" s="91"/>
      <c r="M1740" s="91"/>
      <c r="P1740" s="91"/>
      <c r="S1740" s="91"/>
      <c r="T1740" s="91"/>
      <c r="U1740" s="91"/>
      <c r="V1740" s="91"/>
      <c r="W1740" s="91"/>
    </row>
    <row r="1741">
      <c r="A1741" s="91"/>
      <c r="D1741" s="91"/>
      <c r="G1741" s="91"/>
      <c r="J1741" s="91"/>
      <c r="M1741" s="91"/>
      <c r="P1741" s="91"/>
      <c r="S1741" s="91"/>
      <c r="T1741" s="91"/>
      <c r="U1741" s="91"/>
      <c r="V1741" s="91"/>
      <c r="W1741" s="91"/>
    </row>
    <row r="1742">
      <c r="A1742" s="91"/>
      <c r="D1742" s="91"/>
      <c r="G1742" s="91"/>
      <c r="J1742" s="91"/>
      <c r="M1742" s="91"/>
      <c r="P1742" s="91"/>
      <c r="S1742" s="91"/>
      <c r="T1742" s="91"/>
      <c r="U1742" s="91"/>
      <c r="V1742" s="91"/>
      <c r="W1742" s="91"/>
    </row>
    <row r="1743">
      <c r="A1743" s="91"/>
      <c r="D1743" s="91"/>
      <c r="G1743" s="91"/>
      <c r="J1743" s="91"/>
      <c r="M1743" s="91"/>
      <c r="P1743" s="91"/>
      <c r="S1743" s="91"/>
      <c r="T1743" s="91"/>
      <c r="U1743" s="91"/>
      <c r="V1743" s="91"/>
      <c r="W1743" s="91"/>
    </row>
    <row r="1744">
      <c r="A1744" s="91"/>
      <c r="D1744" s="91"/>
      <c r="G1744" s="91"/>
      <c r="J1744" s="91"/>
      <c r="M1744" s="91"/>
      <c r="P1744" s="91"/>
      <c r="S1744" s="91"/>
      <c r="T1744" s="91"/>
      <c r="U1744" s="91"/>
      <c r="V1744" s="91"/>
      <c r="W1744" s="91"/>
    </row>
    <row r="1745">
      <c r="A1745" s="91"/>
      <c r="D1745" s="91"/>
      <c r="G1745" s="91"/>
      <c r="J1745" s="91"/>
      <c r="M1745" s="91"/>
      <c r="P1745" s="91"/>
      <c r="S1745" s="91"/>
      <c r="T1745" s="91"/>
      <c r="U1745" s="91"/>
      <c r="V1745" s="91"/>
      <c r="W1745" s="91"/>
    </row>
    <row r="1746">
      <c r="A1746" s="91"/>
      <c r="D1746" s="91"/>
      <c r="G1746" s="91"/>
      <c r="J1746" s="91"/>
      <c r="M1746" s="91"/>
      <c r="P1746" s="91"/>
      <c r="S1746" s="91"/>
      <c r="T1746" s="91"/>
      <c r="U1746" s="91"/>
      <c r="V1746" s="91"/>
      <c r="W1746" s="91"/>
    </row>
    <row r="1747">
      <c r="A1747" s="91"/>
      <c r="D1747" s="91"/>
      <c r="G1747" s="91"/>
      <c r="J1747" s="91"/>
      <c r="M1747" s="91"/>
      <c r="P1747" s="91"/>
      <c r="S1747" s="91"/>
      <c r="T1747" s="91"/>
      <c r="U1747" s="91"/>
      <c r="V1747" s="91"/>
      <c r="W1747" s="91"/>
    </row>
    <row r="1748">
      <c r="A1748" s="91"/>
      <c r="D1748" s="91"/>
      <c r="G1748" s="91"/>
      <c r="J1748" s="91"/>
      <c r="M1748" s="91"/>
      <c r="P1748" s="91"/>
      <c r="S1748" s="91"/>
      <c r="T1748" s="91"/>
      <c r="U1748" s="91"/>
      <c r="V1748" s="91"/>
      <c r="W1748" s="91"/>
    </row>
    <row r="1749">
      <c r="A1749" s="91"/>
      <c r="D1749" s="91"/>
      <c r="G1749" s="91"/>
      <c r="J1749" s="91"/>
      <c r="M1749" s="91"/>
      <c r="P1749" s="91"/>
      <c r="S1749" s="91"/>
      <c r="T1749" s="91"/>
      <c r="U1749" s="91"/>
      <c r="V1749" s="91"/>
      <c r="W1749" s="91"/>
    </row>
    <row r="1750">
      <c r="A1750" s="91"/>
      <c r="D1750" s="91"/>
      <c r="G1750" s="91"/>
      <c r="J1750" s="91"/>
      <c r="M1750" s="91"/>
      <c r="P1750" s="91"/>
      <c r="S1750" s="91"/>
      <c r="T1750" s="91"/>
      <c r="U1750" s="91"/>
      <c r="V1750" s="91"/>
      <c r="W1750" s="91"/>
    </row>
    <row r="1751">
      <c r="A1751" s="91"/>
      <c r="D1751" s="91"/>
      <c r="G1751" s="91"/>
      <c r="J1751" s="91"/>
      <c r="M1751" s="91"/>
      <c r="P1751" s="91"/>
      <c r="S1751" s="91"/>
      <c r="T1751" s="91"/>
      <c r="U1751" s="91"/>
      <c r="V1751" s="91"/>
      <c r="W1751" s="91"/>
    </row>
    <row r="1752">
      <c r="A1752" s="91"/>
      <c r="D1752" s="91"/>
      <c r="G1752" s="91"/>
      <c r="J1752" s="91"/>
      <c r="M1752" s="91"/>
      <c r="P1752" s="91"/>
      <c r="S1752" s="91"/>
      <c r="T1752" s="91"/>
      <c r="U1752" s="91"/>
      <c r="V1752" s="91"/>
      <c r="W1752" s="91"/>
    </row>
    <row r="1753">
      <c r="A1753" s="91"/>
      <c r="D1753" s="91"/>
      <c r="G1753" s="91"/>
      <c r="J1753" s="91"/>
      <c r="M1753" s="91"/>
      <c r="P1753" s="91"/>
      <c r="S1753" s="91"/>
      <c r="T1753" s="91"/>
      <c r="U1753" s="91"/>
      <c r="V1753" s="91"/>
      <c r="W1753" s="91"/>
    </row>
    <row r="1754">
      <c r="A1754" s="91"/>
      <c r="D1754" s="91"/>
      <c r="G1754" s="91"/>
      <c r="J1754" s="91"/>
      <c r="M1754" s="91"/>
      <c r="P1754" s="91"/>
      <c r="S1754" s="91"/>
      <c r="T1754" s="91"/>
      <c r="U1754" s="91"/>
      <c r="V1754" s="91"/>
      <c r="W1754" s="91"/>
    </row>
    <row r="1755">
      <c r="A1755" s="91"/>
      <c r="D1755" s="91"/>
      <c r="G1755" s="91"/>
      <c r="J1755" s="91"/>
      <c r="M1755" s="91"/>
      <c r="P1755" s="91"/>
      <c r="S1755" s="91"/>
      <c r="T1755" s="91"/>
      <c r="U1755" s="91"/>
      <c r="V1755" s="91"/>
      <c r="W1755" s="91"/>
    </row>
    <row r="1756">
      <c r="A1756" s="91"/>
      <c r="D1756" s="91"/>
      <c r="G1756" s="91"/>
      <c r="J1756" s="91"/>
      <c r="M1756" s="91"/>
      <c r="P1756" s="91"/>
      <c r="S1756" s="91"/>
      <c r="T1756" s="91"/>
      <c r="U1756" s="91"/>
      <c r="V1756" s="91"/>
      <c r="W1756" s="91"/>
    </row>
    <row r="1757">
      <c r="A1757" s="91"/>
      <c r="D1757" s="91"/>
      <c r="G1757" s="91"/>
      <c r="J1757" s="91"/>
      <c r="M1757" s="91"/>
      <c r="P1757" s="91"/>
      <c r="S1757" s="91"/>
      <c r="T1757" s="91"/>
      <c r="U1757" s="91"/>
      <c r="V1757" s="91"/>
      <c r="W1757" s="91"/>
    </row>
    <row r="1758">
      <c r="A1758" s="91"/>
      <c r="D1758" s="91"/>
      <c r="G1758" s="91"/>
      <c r="J1758" s="91"/>
      <c r="M1758" s="91"/>
      <c r="P1758" s="91"/>
      <c r="S1758" s="91"/>
      <c r="T1758" s="91"/>
      <c r="U1758" s="91"/>
      <c r="V1758" s="91"/>
      <c r="W1758" s="91"/>
    </row>
    <row r="1759">
      <c r="A1759" s="91"/>
      <c r="D1759" s="91"/>
      <c r="G1759" s="91"/>
      <c r="J1759" s="91"/>
      <c r="M1759" s="91"/>
      <c r="P1759" s="91"/>
      <c r="S1759" s="91"/>
      <c r="T1759" s="91"/>
      <c r="U1759" s="91"/>
      <c r="V1759" s="91"/>
      <c r="W1759" s="91"/>
    </row>
    <row r="1760">
      <c r="A1760" s="91"/>
      <c r="D1760" s="91"/>
      <c r="G1760" s="91"/>
      <c r="J1760" s="91"/>
      <c r="M1760" s="91"/>
      <c r="P1760" s="91"/>
      <c r="S1760" s="91"/>
      <c r="T1760" s="91"/>
      <c r="U1760" s="91"/>
      <c r="V1760" s="91"/>
      <c r="W1760" s="91"/>
    </row>
    <row r="1761">
      <c r="A1761" s="91"/>
      <c r="D1761" s="91"/>
      <c r="G1761" s="91"/>
      <c r="J1761" s="91"/>
      <c r="M1761" s="91"/>
      <c r="P1761" s="91"/>
      <c r="S1761" s="91"/>
      <c r="T1761" s="91"/>
      <c r="U1761" s="91"/>
      <c r="V1761" s="91"/>
      <c r="W1761" s="91"/>
    </row>
    <row r="1762">
      <c r="A1762" s="91"/>
      <c r="D1762" s="91"/>
      <c r="G1762" s="91"/>
      <c r="J1762" s="91"/>
      <c r="M1762" s="91"/>
      <c r="P1762" s="91"/>
      <c r="S1762" s="91"/>
      <c r="T1762" s="91"/>
      <c r="U1762" s="91"/>
      <c r="V1762" s="91"/>
      <c r="W1762" s="91"/>
    </row>
    <row r="1763">
      <c r="A1763" s="91"/>
      <c r="D1763" s="91"/>
      <c r="G1763" s="91"/>
      <c r="J1763" s="91"/>
      <c r="M1763" s="91"/>
      <c r="P1763" s="91"/>
      <c r="S1763" s="91"/>
      <c r="T1763" s="91"/>
      <c r="U1763" s="91"/>
      <c r="V1763" s="91"/>
      <c r="W1763" s="91"/>
    </row>
    <row r="1764">
      <c r="A1764" s="91"/>
      <c r="D1764" s="91"/>
      <c r="G1764" s="91"/>
      <c r="J1764" s="91"/>
      <c r="M1764" s="91"/>
      <c r="P1764" s="91"/>
      <c r="S1764" s="91"/>
      <c r="T1764" s="91"/>
      <c r="U1764" s="91"/>
      <c r="V1764" s="91"/>
      <c r="W1764" s="91"/>
    </row>
    <row r="1765">
      <c r="A1765" s="91"/>
      <c r="D1765" s="91"/>
      <c r="G1765" s="91"/>
      <c r="J1765" s="91"/>
      <c r="M1765" s="91"/>
      <c r="P1765" s="91"/>
      <c r="S1765" s="91"/>
      <c r="T1765" s="91"/>
      <c r="U1765" s="91"/>
      <c r="V1765" s="91"/>
      <c r="W1765" s="91"/>
    </row>
    <row r="1766">
      <c r="A1766" s="91"/>
      <c r="D1766" s="91"/>
      <c r="G1766" s="91"/>
      <c r="J1766" s="91"/>
      <c r="M1766" s="91"/>
      <c r="P1766" s="91"/>
      <c r="S1766" s="91"/>
      <c r="T1766" s="91"/>
      <c r="U1766" s="91"/>
      <c r="V1766" s="91"/>
      <c r="W1766" s="91"/>
    </row>
    <row r="1767">
      <c r="A1767" s="91"/>
      <c r="D1767" s="91"/>
      <c r="G1767" s="91"/>
      <c r="J1767" s="91"/>
      <c r="M1767" s="91"/>
      <c r="P1767" s="91"/>
      <c r="S1767" s="91"/>
      <c r="T1767" s="91"/>
      <c r="U1767" s="91"/>
      <c r="V1767" s="91"/>
      <c r="W1767" s="91"/>
    </row>
    <row r="1768">
      <c r="A1768" s="91"/>
      <c r="D1768" s="91"/>
      <c r="G1768" s="91"/>
      <c r="J1768" s="91"/>
      <c r="M1768" s="91"/>
      <c r="P1768" s="91"/>
      <c r="S1768" s="91"/>
      <c r="T1768" s="91"/>
      <c r="U1768" s="91"/>
      <c r="V1768" s="91"/>
      <c r="W1768" s="91"/>
    </row>
    <row r="1769">
      <c r="A1769" s="91"/>
      <c r="D1769" s="91"/>
      <c r="G1769" s="91"/>
      <c r="J1769" s="91"/>
      <c r="M1769" s="91"/>
      <c r="P1769" s="91"/>
      <c r="S1769" s="91"/>
      <c r="T1769" s="91"/>
      <c r="U1769" s="91"/>
      <c r="V1769" s="91"/>
      <c r="W1769" s="91"/>
    </row>
    <row r="1770">
      <c r="A1770" s="91"/>
      <c r="D1770" s="91"/>
      <c r="G1770" s="91"/>
      <c r="J1770" s="91"/>
      <c r="M1770" s="91"/>
      <c r="P1770" s="91"/>
      <c r="S1770" s="91"/>
      <c r="T1770" s="91"/>
      <c r="U1770" s="91"/>
      <c r="V1770" s="91"/>
      <c r="W1770" s="91"/>
    </row>
    <row r="1771">
      <c r="A1771" s="91"/>
      <c r="D1771" s="91"/>
      <c r="G1771" s="91"/>
      <c r="J1771" s="91"/>
      <c r="M1771" s="91"/>
      <c r="P1771" s="91"/>
      <c r="S1771" s="91"/>
      <c r="T1771" s="91"/>
      <c r="U1771" s="91"/>
      <c r="V1771" s="91"/>
      <c r="W1771" s="91"/>
    </row>
    <row r="1772">
      <c r="A1772" s="91"/>
      <c r="D1772" s="91"/>
      <c r="G1772" s="91"/>
      <c r="J1772" s="91"/>
      <c r="M1772" s="91"/>
      <c r="P1772" s="91"/>
      <c r="S1772" s="91"/>
      <c r="T1772" s="91"/>
      <c r="U1772" s="91"/>
      <c r="V1772" s="91"/>
      <c r="W1772" s="91"/>
    </row>
    <row r="1773">
      <c r="A1773" s="91"/>
      <c r="D1773" s="91"/>
      <c r="G1773" s="91"/>
      <c r="J1773" s="91"/>
      <c r="M1773" s="91"/>
      <c r="P1773" s="91"/>
      <c r="S1773" s="91"/>
      <c r="T1773" s="91"/>
      <c r="U1773" s="91"/>
      <c r="V1773" s="91"/>
      <c r="W1773" s="91"/>
    </row>
    <row r="1774">
      <c r="A1774" s="91"/>
      <c r="D1774" s="91"/>
      <c r="G1774" s="91"/>
      <c r="J1774" s="91"/>
      <c r="M1774" s="91"/>
      <c r="P1774" s="91"/>
      <c r="S1774" s="91"/>
      <c r="T1774" s="91"/>
      <c r="U1774" s="91"/>
      <c r="V1774" s="91"/>
      <c r="W1774" s="91"/>
    </row>
    <row r="1775">
      <c r="A1775" s="91"/>
      <c r="D1775" s="91"/>
      <c r="G1775" s="91"/>
      <c r="J1775" s="91"/>
      <c r="M1775" s="91"/>
      <c r="P1775" s="91"/>
      <c r="S1775" s="91"/>
      <c r="T1775" s="91"/>
      <c r="U1775" s="91"/>
      <c r="V1775" s="91"/>
      <c r="W1775" s="91"/>
    </row>
    <row r="1776">
      <c r="A1776" s="91"/>
      <c r="D1776" s="91"/>
      <c r="G1776" s="91"/>
      <c r="J1776" s="91"/>
      <c r="M1776" s="91"/>
      <c r="P1776" s="91"/>
      <c r="S1776" s="91"/>
      <c r="T1776" s="91"/>
      <c r="U1776" s="91"/>
      <c r="V1776" s="91"/>
      <c r="W1776" s="91"/>
    </row>
    <row r="1777">
      <c r="A1777" s="91"/>
      <c r="D1777" s="91"/>
      <c r="G1777" s="91"/>
      <c r="J1777" s="91"/>
      <c r="M1777" s="91"/>
      <c r="P1777" s="91"/>
      <c r="S1777" s="91"/>
      <c r="T1777" s="91"/>
      <c r="U1777" s="91"/>
      <c r="V1777" s="91"/>
      <c r="W1777" s="91"/>
    </row>
    <row r="1778">
      <c r="A1778" s="91"/>
      <c r="D1778" s="91"/>
      <c r="G1778" s="91"/>
      <c r="J1778" s="91"/>
      <c r="M1778" s="91"/>
      <c r="P1778" s="91"/>
      <c r="S1778" s="91"/>
      <c r="T1778" s="91"/>
      <c r="U1778" s="91"/>
      <c r="V1778" s="91"/>
      <c r="W1778" s="91"/>
    </row>
    <row r="1779">
      <c r="A1779" s="91"/>
      <c r="D1779" s="91"/>
      <c r="G1779" s="91"/>
      <c r="J1779" s="91"/>
      <c r="M1779" s="91"/>
      <c r="P1779" s="91"/>
      <c r="S1779" s="91"/>
      <c r="T1779" s="91"/>
      <c r="U1779" s="91"/>
      <c r="V1779" s="91"/>
      <c r="W1779" s="91"/>
    </row>
    <row r="1780">
      <c r="A1780" s="91"/>
      <c r="D1780" s="91"/>
      <c r="G1780" s="91"/>
      <c r="J1780" s="91"/>
      <c r="M1780" s="91"/>
      <c r="P1780" s="91"/>
      <c r="S1780" s="91"/>
      <c r="T1780" s="91"/>
      <c r="U1780" s="91"/>
      <c r="V1780" s="91"/>
      <c r="W1780" s="91"/>
    </row>
    <row r="1781">
      <c r="A1781" s="91"/>
      <c r="D1781" s="91"/>
      <c r="G1781" s="91"/>
      <c r="J1781" s="91"/>
      <c r="M1781" s="91"/>
      <c r="P1781" s="91"/>
      <c r="S1781" s="91"/>
      <c r="T1781" s="91"/>
      <c r="U1781" s="91"/>
      <c r="V1781" s="91"/>
      <c r="W1781" s="91"/>
    </row>
    <row r="1782">
      <c r="A1782" s="91"/>
      <c r="D1782" s="91"/>
      <c r="G1782" s="91"/>
      <c r="J1782" s="91"/>
      <c r="M1782" s="91"/>
      <c r="P1782" s="91"/>
      <c r="S1782" s="91"/>
      <c r="T1782" s="91"/>
      <c r="U1782" s="91"/>
      <c r="V1782" s="91"/>
      <c r="W1782" s="91"/>
    </row>
    <row r="1783">
      <c r="A1783" s="91"/>
      <c r="D1783" s="91"/>
      <c r="G1783" s="91"/>
      <c r="J1783" s="91"/>
      <c r="M1783" s="91"/>
      <c r="P1783" s="91"/>
      <c r="S1783" s="91"/>
      <c r="T1783" s="91"/>
      <c r="U1783" s="91"/>
      <c r="V1783" s="91"/>
      <c r="W1783" s="91"/>
    </row>
    <row r="1784">
      <c r="A1784" s="91"/>
      <c r="D1784" s="91"/>
      <c r="G1784" s="91"/>
      <c r="J1784" s="91"/>
      <c r="M1784" s="91"/>
      <c r="P1784" s="91"/>
      <c r="S1784" s="91"/>
      <c r="T1784" s="91"/>
      <c r="U1784" s="91"/>
      <c r="V1784" s="91"/>
      <c r="W1784" s="91"/>
    </row>
    <row r="1785">
      <c r="A1785" s="91"/>
      <c r="D1785" s="91"/>
      <c r="G1785" s="91"/>
      <c r="J1785" s="91"/>
      <c r="M1785" s="91"/>
      <c r="P1785" s="91"/>
      <c r="S1785" s="91"/>
      <c r="T1785" s="91"/>
      <c r="U1785" s="91"/>
      <c r="V1785" s="91"/>
      <c r="W1785" s="91"/>
    </row>
    <row r="1786">
      <c r="A1786" s="91"/>
      <c r="D1786" s="91"/>
      <c r="G1786" s="91"/>
      <c r="J1786" s="91"/>
      <c r="M1786" s="91"/>
      <c r="P1786" s="91"/>
      <c r="S1786" s="91"/>
      <c r="T1786" s="91"/>
      <c r="U1786" s="91"/>
      <c r="V1786" s="91"/>
      <c r="W1786" s="91"/>
    </row>
    <row r="1787">
      <c r="A1787" s="91"/>
      <c r="D1787" s="91"/>
      <c r="G1787" s="91"/>
      <c r="J1787" s="91"/>
      <c r="M1787" s="91"/>
      <c r="P1787" s="91"/>
      <c r="S1787" s="91"/>
      <c r="T1787" s="91"/>
      <c r="U1787" s="91"/>
      <c r="V1787" s="91"/>
      <c r="W1787" s="91"/>
    </row>
    <row r="1788">
      <c r="A1788" s="91"/>
      <c r="D1788" s="91"/>
      <c r="G1788" s="91"/>
      <c r="J1788" s="91"/>
      <c r="M1788" s="91"/>
      <c r="P1788" s="91"/>
      <c r="S1788" s="91"/>
      <c r="T1788" s="91"/>
      <c r="U1788" s="91"/>
      <c r="V1788" s="91"/>
      <c r="W1788" s="91"/>
    </row>
    <row r="1789">
      <c r="A1789" s="91"/>
      <c r="D1789" s="91"/>
      <c r="G1789" s="91"/>
      <c r="J1789" s="91"/>
      <c r="M1789" s="91"/>
      <c r="P1789" s="91"/>
      <c r="S1789" s="91"/>
      <c r="T1789" s="91"/>
      <c r="U1789" s="91"/>
      <c r="V1789" s="91"/>
      <c r="W1789" s="91"/>
    </row>
    <row r="1790">
      <c r="A1790" s="91"/>
      <c r="D1790" s="91"/>
      <c r="G1790" s="91"/>
      <c r="J1790" s="91"/>
      <c r="M1790" s="91"/>
      <c r="P1790" s="91"/>
      <c r="S1790" s="91"/>
      <c r="T1790" s="91"/>
      <c r="U1790" s="91"/>
      <c r="V1790" s="91"/>
      <c r="W1790" s="91"/>
    </row>
    <row r="1791">
      <c r="A1791" s="91"/>
      <c r="D1791" s="91"/>
      <c r="G1791" s="91"/>
      <c r="J1791" s="91"/>
      <c r="M1791" s="91"/>
      <c r="P1791" s="91"/>
      <c r="S1791" s="91"/>
      <c r="T1791" s="91"/>
      <c r="U1791" s="91"/>
      <c r="V1791" s="91"/>
      <c r="W1791" s="91"/>
    </row>
    <row r="1792">
      <c r="A1792" s="91"/>
      <c r="D1792" s="91"/>
      <c r="G1792" s="91"/>
      <c r="J1792" s="91"/>
      <c r="M1792" s="91"/>
      <c r="P1792" s="91"/>
      <c r="S1792" s="91"/>
      <c r="T1792" s="91"/>
      <c r="U1792" s="91"/>
      <c r="V1792" s="91"/>
      <c r="W1792" s="91"/>
    </row>
    <row r="1793">
      <c r="A1793" s="91"/>
      <c r="D1793" s="91"/>
      <c r="G1793" s="91"/>
      <c r="J1793" s="91"/>
      <c r="M1793" s="91"/>
      <c r="P1793" s="91"/>
      <c r="S1793" s="91"/>
      <c r="T1793" s="91"/>
      <c r="U1793" s="91"/>
      <c r="V1793" s="91"/>
      <c r="W1793" s="91"/>
    </row>
    <row r="1794">
      <c r="A1794" s="91"/>
      <c r="D1794" s="91"/>
      <c r="G1794" s="91"/>
      <c r="J1794" s="91"/>
      <c r="M1794" s="91"/>
      <c r="P1794" s="91"/>
      <c r="S1794" s="91"/>
      <c r="T1794" s="91"/>
      <c r="U1794" s="91"/>
      <c r="V1794" s="91"/>
      <c r="W1794" s="91"/>
    </row>
    <row r="1795">
      <c r="A1795" s="91"/>
      <c r="D1795" s="91"/>
      <c r="G1795" s="91"/>
      <c r="J1795" s="91"/>
      <c r="M1795" s="91"/>
      <c r="P1795" s="91"/>
      <c r="S1795" s="91"/>
      <c r="T1795" s="91"/>
      <c r="U1795" s="91"/>
      <c r="V1795" s="91"/>
      <c r="W1795" s="91"/>
    </row>
    <row r="1796">
      <c r="A1796" s="91"/>
      <c r="D1796" s="91"/>
      <c r="G1796" s="91"/>
      <c r="J1796" s="91"/>
      <c r="M1796" s="91"/>
      <c r="P1796" s="91"/>
      <c r="S1796" s="91"/>
      <c r="T1796" s="91"/>
      <c r="U1796" s="91"/>
      <c r="V1796" s="91"/>
      <c r="W1796" s="91"/>
    </row>
    <row r="1797">
      <c r="A1797" s="91"/>
      <c r="D1797" s="91"/>
      <c r="G1797" s="91"/>
      <c r="J1797" s="91"/>
      <c r="M1797" s="91"/>
      <c r="P1797" s="91"/>
      <c r="S1797" s="91"/>
      <c r="T1797" s="91"/>
      <c r="U1797" s="91"/>
      <c r="V1797" s="91"/>
      <c r="W1797" s="91"/>
    </row>
    <row r="1798">
      <c r="A1798" s="91"/>
      <c r="D1798" s="91"/>
      <c r="G1798" s="91"/>
      <c r="J1798" s="91"/>
      <c r="M1798" s="91"/>
      <c r="P1798" s="91"/>
      <c r="S1798" s="91"/>
      <c r="T1798" s="91"/>
      <c r="U1798" s="91"/>
      <c r="V1798" s="91"/>
      <c r="W1798" s="91"/>
    </row>
    <row r="1799">
      <c r="A1799" s="91"/>
      <c r="D1799" s="91"/>
      <c r="G1799" s="91"/>
      <c r="J1799" s="91"/>
      <c r="M1799" s="91"/>
      <c r="P1799" s="91"/>
      <c r="S1799" s="91"/>
      <c r="T1799" s="91"/>
      <c r="U1799" s="91"/>
      <c r="V1799" s="91"/>
      <c r="W1799" s="91"/>
    </row>
    <row r="1800">
      <c r="A1800" s="91"/>
      <c r="D1800" s="91"/>
      <c r="G1800" s="91"/>
      <c r="J1800" s="91"/>
      <c r="M1800" s="91"/>
      <c r="P1800" s="91"/>
      <c r="S1800" s="91"/>
      <c r="T1800" s="91"/>
      <c r="U1800" s="91"/>
      <c r="V1800" s="91"/>
      <c r="W1800" s="91"/>
    </row>
    <row r="1801">
      <c r="A1801" s="91"/>
      <c r="D1801" s="91"/>
      <c r="G1801" s="91"/>
      <c r="J1801" s="91"/>
      <c r="M1801" s="91"/>
      <c r="P1801" s="91"/>
      <c r="S1801" s="91"/>
      <c r="T1801" s="91"/>
      <c r="U1801" s="91"/>
      <c r="V1801" s="91"/>
      <c r="W1801" s="91"/>
    </row>
    <row r="1802">
      <c r="A1802" s="91"/>
      <c r="D1802" s="91"/>
      <c r="G1802" s="91"/>
      <c r="J1802" s="91"/>
      <c r="M1802" s="91"/>
      <c r="P1802" s="91"/>
      <c r="S1802" s="91"/>
      <c r="T1802" s="91"/>
      <c r="U1802" s="91"/>
      <c r="V1802" s="91"/>
      <c r="W1802" s="91"/>
    </row>
    <row r="1803">
      <c r="A1803" s="91"/>
      <c r="D1803" s="91"/>
      <c r="G1803" s="91"/>
      <c r="J1803" s="91"/>
      <c r="M1803" s="91"/>
      <c r="P1803" s="91"/>
      <c r="S1803" s="91"/>
      <c r="T1803" s="91"/>
      <c r="U1803" s="91"/>
      <c r="V1803" s="91"/>
      <c r="W1803" s="91"/>
    </row>
    <row r="1804">
      <c r="A1804" s="91"/>
      <c r="D1804" s="91"/>
      <c r="G1804" s="91"/>
      <c r="J1804" s="91"/>
      <c r="M1804" s="91"/>
      <c r="P1804" s="91"/>
      <c r="S1804" s="91"/>
      <c r="T1804" s="91"/>
      <c r="U1804" s="91"/>
      <c r="V1804" s="91"/>
      <c r="W1804" s="91"/>
    </row>
    <row r="1805">
      <c r="A1805" s="91"/>
      <c r="D1805" s="91"/>
      <c r="G1805" s="91"/>
      <c r="J1805" s="91"/>
      <c r="M1805" s="91"/>
      <c r="P1805" s="91"/>
      <c r="S1805" s="91"/>
      <c r="T1805" s="91"/>
      <c r="U1805" s="91"/>
      <c r="V1805" s="91"/>
      <c r="W1805" s="91"/>
    </row>
    <row r="1806">
      <c r="A1806" s="91"/>
      <c r="D1806" s="91"/>
      <c r="G1806" s="91"/>
      <c r="J1806" s="91"/>
      <c r="M1806" s="91"/>
      <c r="P1806" s="91"/>
      <c r="S1806" s="91"/>
      <c r="T1806" s="91"/>
      <c r="U1806" s="91"/>
      <c r="V1806" s="91"/>
      <c r="W1806" s="91"/>
    </row>
    <row r="1807">
      <c r="A1807" s="91"/>
      <c r="D1807" s="91"/>
      <c r="G1807" s="91"/>
      <c r="J1807" s="91"/>
      <c r="M1807" s="91"/>
      <c r="P1807" s="91"/>
      <c r="S1807" s="91"/>
      <c r="T1807" s="91"/>
      <c r="U1807" s="91"/>
      <c r="V1807" s="91"/>
      <c r="W1807" s="91"/>
    </row>
    <row r="1808">
      <c r="A1808" s="91"/>
      <c r="D1808" s="91"/>
      <c r="G1808" s="91"/>
      <c r="J1808" s="91"/>
      <c r="M1808" s="91"/>
      <c r="P1808" s="91"/>
      <c r="S1808" s="91"/>
      <c r="T1808" s="91"/>
      <c r="U1808" s="91"/>
      <c r="V1808" s="91"/>
      <c r="W1808" s="91"/>
    </row>
    <row r="1809">
      <c r="A1809" s="91"/>
      <c r="D1809" s="91"/>
      <c r="G1809" s="91"/>
      <c r="J1809" s="91"/>
      <c r="M1809" s="91"/>
      <c r="P1809" s="91"/>
      <c r="S1809" s="91"/>
      <c r="T1809" s="91"/>
      <c r="U1809" s="91"/>
      <c r="V1809" s="91"/>
      <c r="W1809" s="91"/>
    </row>
    <row r="1810">
      <c r="A1810" s="91"/>
      <c r="D1810" s="91"/>
      <c r="G1810" s="91"/>
      <c r="J1810" s="91"/>
      <c r="M1810" s="91"/>
      <c r="P1810" s="91"/>
      <c r="S1810" s="91"/>
      <c r="T1810" s="91"/>
      <c r="U1810" s="91"/>
      <c r="V1810" s="91"/>
      <c r="W1810" s="91"/>
    </row>
    <row r="1811">
      <c r="A1811" s="91"/>
      <c r="D1811" s="91"/>
      <c r="G1811" s="91"/>
      <c r="J1811" s="91"/>
      <c r="M1811" s="91"/>
      <c r="P1811" s="91"/>
      <c r="S1811" s="91"/>
      <c r="T1811" s="91"/>
      <c r="U1811" s="91"/>
      <c r="V1811" s="91"/>
      <c r="W1811" s="91"/>
    </row>
    <row r="1812">
      <c r="A1812" s="91"/>
      <c r="D1812" s="91"/>
      <c r="G1812" s="91"/>
      <c r="J1812" s="91"/>
      <c r="M1812" s="91"/>
      <c r="P1812" s="91"/>
      <c r="S1812" s="91"/>
      <c r="T1812" s="91"/>
      <c r="U1812" s="91"/>
      <c r="V1812" s="91"/>
      <c r="W1812" s="91"/>
    </row>
    <row r="1813">
      <c r="A1813" s="91"/>
      <c r="D1813" s="91"/>
      <c r="G1813" s="91"/>
      <c r="J1813" s="91"/>
      <c r="M1813" s="91"/>
      <c r="P1813" s="91"/>
      <c r="S1813" s="91"/>
      <c r="T1813" s="91"/>
      <c r="U1813" s="91"/>
      <c r="V1813" s="91"/>
      <c r="W1813" s="91"/>
    </row>
    <row r="1814">
      <c r="A1814" s="91"/>
      <c r="D1814" s="91"/>
      <c r="G1814" s="91"/>
      <c r="J1814" s="91"/>
      <c r="M1814" s="91"/>
      <c r="P1814" s="91"/>
      <c r="S1814" s="91"/>
      <c r="T1814" s="91"/>
      <c r="U1814" s="91"/>
      <c r="V1814" s="91"/>
      <c r="W1814" s="91"/>
    </row>
    <row r="1815">
      <c r="A1815" s="91"/>
      <c r="D1815" s="91"/>
      <c r="G1815" s="91"/>
      <c r="J1815" s="91"/>
      <c r="M1815" s="91"/>
      <c r="P1815" s="91"/>
      <c r="S1815" s="91"/>
      <c r="T1815" s="91"/>
      <c r="U1815" s="91"/>
      <c r="V1815" s="91"/>
      <c r="W1815" s="91"/>
    </row>
    <row r="1816">
      <c r="A1816" s="91"/>
      <c r="D1816" s="91"/>
      <c r="G1816" s="91"/>
      <c r="J1816" s="91"/>
      <c r="M1816" s="91"/>
      <c r="P1816" s="91"/>
      <c r="S1816" s="91"/>
      <c r="T1816" s="91"/>
      <c r="U1816" s="91"/>
      <c r="V1816" s="91"/>
      <c r="W1816" s="91"/>
    </row>
    <row r="1817">
      <c r="A1817" s="91"/>
      <c r="D1817" s="91"/>
      <c r="G1817" s="91"/>
      <c r="J1817" s="91"/>
      <c r="M1817" s="91"/>
      <c r="P1817" s="91"/>
      <c r="S1817" s="91"/>
      <c r="T1817" s="91"/>
      <c r="U1817" s="91"/>
      <c r="V1817" s="91"/>
      <c r="W1817" s="91"/>
    </row>
    <row r="1818">
      <c r="A1818" s="91"/>
      <c r="D1818" s="91"/>
      <c r="G1818" s="91"/>
      <c r="J1818" s="91"/>
      <c r="M1818" s="91"/>
      <c r="P1818" s="91"/>
      <c r="S1818" s="91"/>
      <c r="T1818" s="91"/>
      <c r="U1818" s="91"/>
      <c r="V1818" s="91"/>
      <c r="W1818" s="91"/>
    </row>
    <row r="1819">
      <c r="A1819" s="91"/>
      <c r="D1819" s="91"/>
      <c r="G1819" s="91"/>
      <c r="J1819" s="91"/>
      <c r="M1819" s="91"/>
      <c r="P1819" s="91"/>
      <c r="S1819" s="91"/>
      <c r="T1819" s="91"/>
      <c r="U1819" s="91"/>
      <c r="V1819" s="91"/>
      <c r="W1819" s="91"/>
    </row>
    <row r="1820">
      <c r="A1820" s="91"/>
      <c r="D1820" s="91"/>
      <c r="G1820" s="91"/>
      <c r="J1820" s="91"/>
      <c r="M1820" s="91"/>
      <c r="P1820" s="91"/>
      <c r="S1820" s="91"/>
      <c r="T1820" s="91"/>
      <c r="U1820" s="91"/>
      <c r="V1820" s="91"/>
      <c r="W1820" s="91"/>
    </row>
    <row r="1821">
      <c r="A1821" s="91"/>
      <c r="D1821" s="91"/>
      <c r="G1821" s="91"/>
      <c r="J1821" s="91"/>
      <c r="M1821" s="91"/>
      <c r="P1821" s="91"/>
      <c r="S1821" s="91"/>
      <c r="T1821" s="91"/>
      <c r="U1821" s="91"/>
      <c r="V1821" s="91"/>
      <c r="W1821" s="91"/>
    </row>
    <row r="1822">
      <c r="A1822" s="91"/>
      <c r="D1822" s="91"/>
      <c r="G1822" s="91"/>
      <c r="J1822" s="91"/>
      <c r="M1822" s="91"/>
      <c r="P1822" s="91"/>
      <c r="S1822" s="91"/>
      <c r="T1822" s="91"/>
      <c r="U1822" s="91"/>
      <c r="V1822" s="91"/>
      <c r="W1822" s="91"/>
    </row>
    <row r="1823">
      <c r="A1823" s="91"/>
      <c r="D1823" s="91"/>
      <c r="G1823" s="91"/>
      <c r="J1823" s="91"/>
      <c r="M1823" s="91"/>
      <c r="P1823" s="91"/>
      <c r="S1823" s="91"/>
      <c r="T1823" s="91"/>
      <c r="U1823" s="91"/>
      <c r="V1823" s="91"/>
      <c r="W1823" s="91"/>
    </row>
    <row r="1824">
      <c r="A1824" s="91"/>
      <c r="D1824" s="91"/>
      <c r="G1824" s="91"/>
      <c r="J1824" s="91"/>
      <c r="M1824" s="91"/>
      <c r="P1824" s="91"/>
      <c r="S1824" s="91"/>
      <c r="T1824" s="91"/>
      <c r="U1824" s="91"/>
      <c r="V1824" s="91"/>
      <c r="W1824" s="91"/>
    </row>
    <row r="1825">
      <c r="A1825" s="91"/>
      <c r="D1825" s="91"/>
      <c r="G1825" s="91"/>
      <c r="J1825" s="91"/>
      <c r="M1825" s="91"/>
      <c r="P1825" s="91"/>
      <c r="S1825" s="91"/>
      <c r="T1825" s="91"/>
      <c r="U1825" s="91"/>
      <c r="V1825" s="91"/>
      <c r="W1825" s="91"/>
    </row>
    <row r="1826">
      <c r="A1826" s="91"/>
      <c r="D1826" s="91"/>
      <c r="G1826" s="91"/>
      <c r="J1826" s="91"/>
      <c r="M1826" s="91"/>
      <c r="P1826" s="91"/>
      <c r="S1826" s="91"/>
      <c r="T1826" s="91"/>
      <c r="U1826" s="91"/>
      <c r="V1826" s="91"/>
      <c r="W1826" s="91"/>
    </row>
    <row r="1827">
      <c r="A1827" s="91"/>
      <c r="D1827" s="91"/>
      <c r="G1827" s="91"/>
      <c r="J1827" s="91"/>
      <c r="M1827" s="91"/>
      <c r="P1827" s="91"/>
      <c r="S1827" s="91"/>
      <c r="T1827" s="91"/>
      <c r="U1827" s="91"/>
      <c r="V1827" s="91"/>
      <c r="W1827" s="91"/>
    </row>
    <row r="1828">
      <c r="A1828" s="91"/>
      <c r="D1828" s="91"/>
      <c r="G1828" s="91"/>
      <c r="J1828" s="91"/>
      <c r="M1828" s="91"/>
      <c r="P1828" s="91"/>
      <c r="S1828" s="91"/>
      <c r="T1828" s="91"/>
      <c r="U1828" s="91"/>
      <c r="V1828" s="91"/>
      <c r="W1828" s="91"/>
    </row>
    <row r="1829">
      <c r="A1829" s="91"/>
      <c r="D1829" s="91"/>
      <c r="G1829" s="91"/>
      <c r="J1829" s="91"/>
      <c r="M1829" s="91"/>
      <c r="P1829" s="91"/>
      <c r="S1829" s="91"/>
      <c r="T1829" s="91"/>
      <c r="U1829" s="91"/>
      <c r="V1829" s="91"/>
      <c r="W1829" s="91"/>
    </row>
    <row r="1830">
      <c r="A1830" s="91"/>
      <c r="D1830" s="91"/>
      <c r="G1830" s="91"/>
      <c r="J1830" s="91"/>
      <c r="M1830" s="91"/>
      <c r="P1830" s="91"/>
      <c r="S1830" s="91"/>
      <c r="T1830" s="91"/>
      <c r="U1830" s="91"/>
      <c r="V1830" s="91"/>
      <c r="W1830" s="91"/>
    </row>
    <row r="1831">
      <c r="A1831" s="91"/>
      <c r="D1831" s="91"/>
      <c r="G1831" s="91"/>
      <c r="J1831" s="91"/>
      <c r="M1831" s="91"/>
      <c r="P1831" s="91"/>
      <c r="S1831" s="91"/>
      <c r="T1831" s="91"/>
      <c r="U1831" s="91"/>
      <c r="V1831" s="91"/>
      <c r="W1831" s="91"/>
    </row>
    <row r="1832">
      <c r="A1832" s="91"/>
      <c r="D1832" s="91"/>
      <c r="G1832" s="91"/>
      <c r="J1832" s="91"/>
      <c r="M1832" s="91"/>
      <c r="P1832" s="91"/>
      <c r="S1832" s="91"/>
      <c r="T1832" s="91"/>
      <c r="U1832" s="91"/>
      <c r="V1832" s="91"/>
      <c r="W1832" s="91"/>
    </row>
    <row r="1833">
      <c r="A1833" s="91"/>
      <c r="D1833" s="91"/>
      <c r="G1833" s="91"/>
      <c r="J1833" s="91"/>
      <c r="M1833" s="91"/>
      <c r="P1833" s="91"/>
      <c r="S1833" s="91"/>
      <c r="T1833" s="91"/>
      <c r="U1833" s="91"/>
      <c r="V1833" s="91"/>
      <c r="W1833" s="91"/>
    </row>
    <row r="1834">
      <c r="A1834" s="91"/>
      <c r="D1834" s="91"/>
      <c r="G1834" s="91"/>
      <c r="J1834" s="91"/>
      <c r="M1834" s="91"/>
      <c r="P1834" s="91"/>
      <c r="S1834" s="91"/>
      <c r="T1834" s="91"/>
      <c r="U1834" s="91"/>
      <c r="V1834" s="91"/>
      <c r="W1834" s="91"/>
    </row>
    <row r="1835">
      <c r="A1835" s="91"/>
      <c r="D1835" s="91"/>
      <c r="G1835" s="91"/>
      <c r="J1835" s="91"/>
      <c r="M1835" s="91"/>
      <c r="P1835" s="91"/>
      <c r="S1835" s="91"/>
      <c r="T1835" s="91"/>
      <c r="U1835" s="91"/>
      <c r="V1835" s="91"/>
      <c r="W1835" s="91"/>
    </row>
    <row r="1836">
      <c r="A1836" s="91"/>
      <c r="D1836" s="91"/>
      <c r="G1836" s="91"/>
      <c r="J1836" s="91"/>
      <c r="M1836" s="91"/>
      <c r="P1836" s="91"/>
      <c r="S1836" s="91"/>
      <c r="T1836" s="91"/>
      <c r="U1836" s="91"/>
      <c r="V1836" s="91"/>
      <c r="W1836" s="91"/>
    </row>
    <row r="1837">
      <c r="A1837" s="91"/>
      <c r="D1837" s="91"/>
      <c r="G1837" s="91"/>
      <c r="J1837" s="91"/>
      <c r="M1837" s="91"/>
      <c r="P1837" s="91"/>
      <c r="S1837" s="91"/>
      <c r="T1837" s="91"/>
      <c r="U1837" s="91"/>
      <c r="V1837" s="91"/>
      <c r="W1837" s="91"/>
    </row>
    <row r="1838">
      <c r="A1838" s="91"/>
      <c r="D1838" s="91"/>
      <c r="G1838" s="91"/>
      <c r="J1838" s="91"/>
      <c r="M1838" s="91"/>
      <c r="P1838" s="91"/>
      <c r="S1838" s="91"/>
      <c r="T1838" s="91"/>
      <c r="U1838" s="91"/>
      <c r="V1838" s="91"/>
      <c r="W1838" s="91"/>
    </row>
    <row r="1839">
      <c r="A1839" s="91"/>
      <c r="D1839" s="91"/>
      <c r="G1839" s="91"/>
      <c r="J1839" s="91"/>
      <c r="M1839" s="91"/>
      <c r="P1839" s="91"/>
      <c r="S1839" s="91"/>
      <c r="T1839" s="91"/>
      <c r="U1839" s="91"/>
      <c r="V1839" s="91"/>
      <c r="W1839" s="91"/>
    </row>
    <row r="1840">
      <c r="A1840" s="91"/>
      <c r="D1840" s="91"/>
      <c r="G1840" s="91"/>
      <c r="J1840" s="91"/>
      <c r="M1840" s="91"/>
      <c r="P1840" s="91"/>
      <c r="S1840" s="91"/>
      <c r="T1840" s="91"/>
      <c r="U1840" s="91"/>
      <c r="V1840" s="91"/>
      <c r="W1840" s="91"/>
    </row>
    <row r="1841">
      <c r="A1841" s="91"/>
      <c r="D1841" s="91"/>
      <c r="G1841" s="91"/>
      <c r="J1841" s="91"/>
      <c r="M1841" s="91"/>
      <c r="P1841" s="91"/>
      <c r="S1841" s="91"/>
      <c r="T1841" s="91"/>
      <c r="U1841" s="91"/>
      <c r="V1841" s="91"/>
      <c r="W1841" s="91"/>
    </row>
    <row r="1842">
      <c r="A1842" s="91"/>
      <c r="D1842" s="91"/>
      <c r="G1842" s="91"/>
      <c r="J1842" s="91"/>
      <c r="M1842" s="91"/>
      <c r="P1842" s="91"/>
      <c r="S1842" s="91"/>
      <c r="T1842" s="91"/>
      <c r="U1842" s="91"/>
      <c r="V1842" s="91"/>
      <c r="W1842" s="91"/>
    </row>
    <row r="1843">
      <c r="A1843" s="91"/>
      <c r="D1843" s="91"/>
      <c r="G1843" s="91"/>
      <c r="J1843" s="91"/>
      <c r="M1843" s="91"/>
      <c r="P1843" s="91"/>
      <c r="S1843" s="91"/>
      <c r="T1843" s="91"/>
      <c r="U1843" s="91"/>
      <c r="V1843" s="91"/>
      <c r="W1843" s="91"/>
    </row>
    <row r="1844">
      <c r="A1844" s="91"/>
      <c r="D1844" s="91"/>
      <c r="G1844" s="91"/>
      <c r="J1844" s="91"/>
      <c r="M1844" s="91"/>
      <c r="P1844" s="91"/>
      <c r="S1844" s="91"/>
      <c r="T1844" s="91"/>
      <c r="U1844" s="91"/>
      <c r="V1844" s="91"/>
      <c r="W1844" s="91"/>
    </row>
    <row r="1845">
      <c r="A1845" s="91"/>
      <c r="D1845" s="91"/>
      <c r="G1845" s="91"/>
      <c r="J1845" s="91"/>
      <c r="M1845" s="91"/>
      <c r="P1845" s="91"/>
      <c r="S1845" s="91"/>
      <c r="T1845" s="91"/>
      <c r="U1845" s="91"/>
      <c r="V1845" s="91"/>
      <c r="W1845" s="91"/>
    </row>
    <row r="1846">
      <c r="A1846" s="91"/>
      <c r="D1846" s="91"/>
      <c r="G1846" s="91"/>
      <c r="J1846" s="91"/>
      <c r="M1846" s="91"/>
      <c r="P1846" s="91"/>
      <c r="S1846" s="91"/>
      <c r="T1846" s="91"/>
      <c r="U1846" s="91"/>
      <c r="V1846" s="91"/>
      <c r="W1846" s="91"/>
    </row>
    <row r="1847">
      <c r="A1847" s="91"/>
      <c r="D1847" s="91"/>
      <c r="G1847" s="91"/>
      <c r="J1847" s="91"/>
      <c r="M1847" s="91"/>
      <c r="P1847" s="91"/>
      <c r="S1847" s="91"/>
      <c r="T1847" s="91"/>
      <c r="U1847" s="91"/>
      <c r="V1847" s="91"/>
      <c r="W1847" s="91"/>
    </row>
    <row r="1848">
      <c r="A1848" s="91"/>
      <c r="D1848" s="91"/>
      <c r="G1848" s="91"/>
      <c r="J1848" s="91"/>
      <c r="M1848" s="91"/>
      <c r="P1848" s="91"/>
      <c r="S1848" s="91"/>
      <c r="T1848" s="91"/>
      <c r="U1848" s="91"/>
      <c r="V1848" s="91"/>
      <c r="W1848" s="91"/>
    </row>
    <row r="1849">
      <c r="A1849" s="91"/>
      <c r="D1849" s="91"/>
      <c r="G1849" s="91"/>
      <c r="J1849" s="91"/>
      <c r="M1849" s="91"/>
      <c r="P1849" s="91"/>
      <c r="S1849" s="91"/>
      <c r="T1849" s="91"/>
      <c r="U1849" s="91"/>
      <c r="V1849" s="91"/>
      <c r="W1849" s="91"/>
    </row>
    <row r="1850">
      <c r="A1850" s="91"/>
      <c r="D1850" s="91"/>
      <c r="G1850" s="91"/>
      <c r="J1850" s="91"/>
      <c r="M1850" s="91"/>
      <c r="P1850" s="91"/>
      <c r="S1850" s="91"/>
      <c r="T1850" s="91"/>
      <c r="U1850" s="91"/>
      <c r="V1850" s="91"/>
      <c r="W1850" s="91"/>
    </row>
    <row r="1851">
      <c r="A1851" s="91"/>
      <c r="D1851" s="91"/>
      <c r="G1851" s="91"/>
      <c r="J1851" s="91"/>
      <c r="M1851" s="91"/>
      <c r="P1851" s="91"/>
      <c r="S1851" s="91"/>
      <c r="T1851" s="91"/>
      <c r="U1851" s="91"/>
      <c r="V1851" s="91"/>
      <c r="W1851" s="91"/>
    </row>
    <row r="1852">
      <c r="A1852" s="91"/>
      <c r="D1852" s="91"/>
      <c r="G1852" s="91"/>
      <c r="J1852" s="91"/>
      <c r="M1852" s="91"/>
      <c r="P1852" s="91"/>
      <c r="S1852" s="91"/>
      <c r="T1852" s="91"/>
      <c r="U1852" s="91"/>
      <c r="V1852" s="91"/>
      <c r="W1852" s="91"/>
    </row>
    <row r="1853">
      <c r="A1853" s="91"/>
      <c r="D1853" s="91"/>
      <c r="G1853" s="91"/>
      <c r="J1853" s="91"/>
      <c r="M1853" s="91"/>
      <c r="P1853" s="91"/>
      <c r="S1853" s="91"/>
      <c r="T1853" s="91"/>
      <c r="U1853" s="91"/>
      <c r="V1853" s="91"/>
      <c r="W1853" s="91"/>
    </row>
    <row r="1854">
      <c r="A1854" s="91"/>
      <c r="D1854" s="91"/>
      <c r="G1854" s="91"/>
      <c r="J1854" s="91"/>
      <c r="M1854" s="91"/>
      <c r="P1854" s="91"/>
      <c r="S1854" s="91"/>
      <c r="T1854" s="91"/>
      <c r="U1854" s="91"/>
      <c r="V1854" s="91"/>
      <c r="W1854" s="91"/>
    </row>
    <row r="1855">
      <c r="A1855" s="91"/>
      <c r="D1855" s="91"/>
      <c r="G1855" s="91"/>
      <c r="J1855" s="91"/>
      <c r="M1855" s="91"/>
      <c r="P1855" s="91"/>
      <c r="S1855" s="91"/>
      <c r="T1855" s="91"/>
      <c r="U1855" s="91"/>
      <c r="V1855" s="91"/>
      <c r="W1855" s="91"/>
    </row>
    <row r="1856">
      <c r="A1856" s="91"/>
      <c r="D1856" s="91"/>
      <c r="G1856" s="91"/>
      <c r="J1856" s="91"/>
      <c r="M1856" s="91"/>
      <c r="P1856" s="91"/>
      <c r="S1856" s="91"/>
      <c r="T1856" s="91"/>
      <c r="U1856" s="91"/>
      <c r="V1856" s="91"/>
      <c r="W1856" s="91"/>
    </row>
    <row r="1857">
      <c r="A1857" s="91"/>
      <c r="D1857" s="91"/>
      <c r="G1857" s="91"/>
      <c r="J1857" s="91"/>
      <c r="M1857" s="91"/>
      <c r="P1857" s="91"/>
      <c r="S1857" s="91"/>
      <c r="T1857" s="91"/>
      <c r="U1857" s="91"/>
      <c r="V1857" s="91"/>
      <c r="W1857" s="91"/>
    </row>
    <row r="1858">
      <c r="A1858" s="91"/>
      <c r="D1858" s="91"/>
      <c r="G1858" s="91"/>
      <c r="J1858" s="91"/>
      <c r="M1858" s="91"/>
      <c r="P1858" s="91"/>
      <c r="S1858" s="91"/>
      <c r="T1858" s="91"/>
      <c r="U1858" s="91"/>
      <c r="V1858" s="91"/>
      <c r="W1858" s="91"/>
    </row>
    <row r="1859">
      <c r="A1859" s="91"/>
      <c r="D1859" s="91"/>
      <c r="G1859" s="91"/>
      <c r="J1859" s="91"/>
      <c r="M1859" s="91"/>
      <c r="P1859" s="91"/>
      <c r="S1859" s="91"/>
      <c r="T1859" s="91"/>
      <c r="U1859" s="91"/>
      <c r="V1859" s="91"/>
      <c r="W1859" s="91"/>
    </row>
    <row r="1860">
      <c r="A1860" s="91"/>
      <c r="D1860" s="91"/>
      <c r="G1860" s="91"/>
      <c r="J1860" s="91"/>
      <c r="M1860" s="91"/>
      <c r="P1860" s="91"/>
      <c r="S1860" s="91"/>
      <c r="T1860" s="91"/>
      <c r="U1860" s="91"/>
      <c r="V1860" s="91"/>
      <c r="W1860" s="91"/>
    </row>
    <row r="1861">
      <c r="A1861" s="91"/>
      <c r="D1861" s="91"/>
      <c r="G1861" s="91"/>
      <c r="J1861" s="91"/>
      <c r="M1861" s="91"/>
      <c r="P1861" s="91"/>
      <c r="S1861" s="91"/>
      <c r="T1861" s="91"/>
      <c r="U1861" s="91"/>
      <c r="V1861" s="91"/>
      <c r="W1861" s="91"/>
    </row>
    <row r="1862">
      <c r="A1862" s="91"/>
      <c r="D1862" s="91"/>
      <c r="G1862" s="91"/>
      <c r="J1862" s="91"/>
      <c r="M1862" s="91"/>
      <c r="P1862" s="91"/>
      <c r="S1862" s="91"/>
      <c r="T1862" s="91"/>
      <c r="U1862" s="91"/>
      <c r="V1862" s="91"/>
      <c r="W1862" s="91"/>
    </row>
    <row r="1863">
      <c r="A1863" s="91"/>
      <c r="D1863" s="91"/>
      <c r="G1863" s="91"/>
      <c r="J1863" s="91"/>
      <c r="M1863" s="91"/>
      <c r="P1863" s="91"/>
      <c r="S1863" s="91"/>
      <c r="T1863" s="91"/>
      <c r="U1863" s="91"/>
      <c r="V1863" s="91"/>
      <c r="W1863" s="91"/>
    </row>
    <row r="1864">
      <c r="A1864" s="91"/>
      <c r="D1864" s="91"/>
      <c r="G1864" s="91"/>
      <c r="J1864" s="91"/>
      <c r="M1864" s="91"/>
      <c r="P1864" s="91"/>
      <c r="S1864" s="91"/>
      <c r="T1864" s="91"/>
      <c r="U1864" s="91"/>
      <c r="V1864" s="91"/>
      <c r="W1864" s="91"/>
    </row>
    <row r="1865">
      <c r="A1865" s="91"/>
      <c r="D1865" s="91"/>
      <c r="G1865" s="91"/>
      <c r="J1865" s="91"/>
      <c r="M1865" s="91"/>
      <c r="P1865" s="91"/>
      <c r="S1865" s="91"/>
      <c r="T1865" s="91"/>
      <c r="U1865" s="91"/>
      <c r="V1865" s="91"/>
      <c r="W1865" s="91"/>
    </row>
    <row r="1866">
      <c r="A1866" s="91"/>
      <c r="D1866" s="91"/>
      <c r="G1866" s="91"/>
      <c r="J1866" s="91"/>
      <c r="M1866" s="91"/>
      <c r="P1866" s="91"/>
      <c r="S1866" s="91"/>
      <c r="T1866" s="91"/>
      <c r="U1866" s="91"/>
      <c r="V1866" s="91"/>
      <c r="W1866" s="91"/>
    </row>
    <row r="1867">
      <c r="A1867" s="91"/>
      <c r="D1867" s="91"/>
      <c r="G1867" s="91"/>
      <c r="J1867" s="91"/>
      <c r="M1867" s="91"/>
      <c r="P1867" s="91"/>
      <c r="S1867" s="91"/>
      <c r="T1867" s="91"/>
      <c r="U1867" s="91"/>
      <c r="V1867" s="91"/>
      <c r="W1867" s="91"/>
    </row>
    <row r="1868">
      <c r="A1868" s="91"/>
      <c r="D1868" s="91"/>
      <c r="G1868" s="91"/>
      <c r="J1868" s="91"/>
      <c r="M1868" s="91"/>
      <c r="P1868" s="91"/>
      <c r="S1868" s="91"/>
      <c r="T1868" s="91"/>
      <c r="U1868" s="91"/>
      <c r="V1868" s="91"/>
      <c r="W1868" s="91"/>
    </row>
    <row r="1869">
      <c r="A1869" s="91"/>
      <c r="D1869" s="91"/>
      <c r="G1869" s="91"/>
      <c r="J1869" s="91"/>
      <c r="M1869" s="91"/>
      <c r="P1869" s="91"/>
      <c r="S1869" s="91"/>
      <c r="T1869" s="91"/>
      <c r="U1869" s="91"/>
      <c r="V1869" s="91"/>
      <c r="W1869" s="91"/>
    </row>
    <row r="1870">
      <c r="A1870" s="91"/>
      <c r="D1870" s="91"/>
      <c r="G1870" s="91"/>
      <c r="J1870" s="91"/>
      <c r="M1870" s="91"/>
      <c r="P1870" s="91"/>
      <c r="S1870" s="91"/>
      <c r="T1870" s="91"/>
      <c r="U1870" s="91"/>
      <c r="V1870" s="91"/>
      <c r="W1870" s="91"/>
    </row>
    <row r="1871">
      <c r="A1871" s="91"/>
      <c r="D1871" s="91"/>
      <c r="G1871" s="91"/>
      <c r="J1871" s="91"/>
      <c r="M1871" s="91"/>
      <c r="P1871" s="91"/>
      <c r="S1871" s="91"/>
      <c r="T1871" s="91"/>
      <c r="U1871" s="91"/>
      <c r="V1871" s="91"/>
      <c r="W1871" s="91"/>
    </row>
    <row r="1872">
      <c r="A1872" s="91"/>
      <c r="D1872" s="91"/>
      <c r="G1872" s="91"/>
      <c r="J1872" s="91"/>
      <c r="M1872" s="91"/>
      <c r="P1872" s="91"/>
      <c r="S1872" s="91"/>
      <c r="T1872" s="91"/>
      <c r="U1872" s="91"/>
      <c r="V1872" s="91"/>
      <c r="W1872" s="91"/>
    </row>
    <row r="1873">
      <c r="A1873" s="91"/>
      <c r="D1873" s="91"/>
      <c r="G1873" s="91"/>
      <c r="J1873" s="91"/>
      <c r="M1873" s="91"/>
      <c r="P1873" s="91"/>
      <c r="S1873" s="91"/>
      <c r="T1873" s="91"/>
      <c r="U1873" s="91"/>
      <c r="V1873" s="91"/>
      <c r="W1873" s="91"/>
    </row>
    <row r="1874">
      <c r="A1874" s="91"/>
      <c r="D1874" s="91"/>
      <c r="G1874" s="91"/>
      <c r="J1874" s="91"/>
      <c r="M1874" s="91"/>
      <c r="P1874" s="91"/>
      <c r="S1874" s="91"/>
      <c r="T1874" s="91"/>
      <c r="U1874" s="91"/>
      <c r="V1874" s="91"/>
      <c r="W1874" s="91"/>
    </row>
    <row r="1875">
      <c r="A1875" s="91"/>
      <c r="D1875" s="91"/>
      <c r="G1875" s="91"/>
      <c r="J1875" s="91"/>
      <c r="M1875" s="91"/>
      <c r="P1875" s="91"/>
      <c r="S1875" s="91"/>
      <c r="T1875" s="91"/>
      <c r="U1875" s="91"/>
      <c r="V1875" s="91"/>
      <c r="W1875" s="91"/>
    </row>
    <row r="1876">
      <c r="A1876" s="91"/>
      <c r="D1876" s="91"/>
      <c r="G1876" s="91"/>
      <c r="J1876" s="91"/>
      <c r="M1876" s="91"/>
      <c r="P1876" s="91"/>
      <c r="S1876" s="91"/>
      <c r="T1876" s="91"/>
      <c r="U1876" s="91"/>
      <c r="V1876" s="91"/>
      <c r="W1876" s="91"/>
    </row>
    <row r="1877">
      <c r="A1877" s="91"/>
      <c r="D1877" s="91"/>
      <c r="G1877" s="91"/>
      <c r="J1877" s="91"/>
      <c r="M1877" s="91"/>
      <c r="P1877" s="91"/>
      <c r="S1877" s="91"/>
      <c r="T1877" s="91"/>
      <c r="U1877" s="91"/>
      <c r="V1877" s="91"/>
      <c r="W1877" s="91"/>
    </row>
    <row r="1878">
      <c r="A1878" s="91"/>
      <c r="D1878" s="91"/>
      <c r="G1878" s="91"/>
      <c r="J1878" s="91"/>
      <c r="M1878" s="91"/>
      <c r="P1878" s="91"/>
      <c r="S1878" s="91"/>
      <c r="T1878" s="91"/>
      <c r="U1878" s="91"/>
      <c r="V1878" s="91"/>
      <c r="W1878" s="91"/>
    </row>
    <row r="1879">
      <c r="A1879" s="91"/>
      <c r="D1879" s="91"/>
      <c r="G1879" s="91"/>
      <c r="J1879" s="91"/>
      <c r="M1879" s="91"/>
      <c r="P1879" s="91"/>
      <c r="S1879" s="91"/>
      <c r="T1879" s="91"/>
      <c r="U1879" s="91"/>
      <c r="V1879" s="91"/>
      <c r="W1879" s="91"/>
    </row>
    <row r="1880">
      <c r="A1880" s="91"/>
      <c r="D1880" s="91"/>
      <c r="G1880" s="91"/>
      <c r="J1880" s="91"/>
      <c r="M1880" s="91"/>
      <c r="P1880" s="91"/>
      <c r="S1880" s="91"/>
      <c r="T1880" s="91"/>
      <c r="U1880" s="91"/>
      <c r="V1880" s="91"/>
      <c r="W1880" s="91"/>
    </row>
    <row r="1881">
      <c r="A1881" s="91"/>
      <c r="D1881" s="91"/>
      <c r="G1881" s="91"/>
      <c r="J1881" s="91"/>
      <c r="M1881" s="91"/>
      <c r="P1881" s="91"/>
      <c r="S1881" s="91"/>
      <c r="T1881" s="91"/>
      <c r="U1881" s="91"/>
      <c r="V1881" s="91"/>
      <c r="W1881" s="91"/>
    </row>
    <row r="1882">
      <c r="A1882" s="91"/>
      <c r="D1882" s="91"/>
      <c r="G1882" s="91"/>
      <c r="J1882" s="91"/>
      <c r="M1882" s="91"/>
      <c r="P1882" s="91"/>
      <c r="S1882" s="91"/>
      <c r="T1882" s="91"/>
      <c r="U1882" s="91"/>
      <c r="V1882" s="91"/>
      <c r="W1882" s="91"/>
    </row>
    <row r="1883">
      <c r="A1883" s="91"/>
      <c r="D1883" s="91"/>
      <c r="G1883" s="91"/>
      <c r="J1883" s="91"/>
      <c r="M1883" s="91"/>
      <c r="P1883" s="91"/>
      <c r="S1883" s="91"/>
      <c r="T1883" s="91"/>
      <c r="U1883" s="91"/>
      <c r="V1883" s="91"/>
      <c r="W1883" s="91"/>
    </row>
    <row r="1884">
      <c r="A1884" s="91"/>
      <c r="D1884" s="91"/>
      <c r="G1884" s="91"/>
      <c r="J1884" s="91"/>
      <c r="M1884" s="91"/>
      <c r="P1884" s="91"/>
      <c r="S1884" s="91"/>
      <c r="T1884" s="91"/>
      <c r="U1884" s="91"/>
      <c r="V1884" s="91"/>
      <c r="W1884" s="91"/>
    </row>
    <row r="1885">
      <c r="A1885" s="91"/>
      <c r="D1885" s="91"/>
      <c r="G1885" s="91"/>
      <c r="J1885" s="91"/>
      <c r="M1885" s="91"/>
      <c r="P1885" s="91"/>
      <c r="S1885" s="91"/>
      <c r="T1885" s="91"/>
      <c r="U1885" s="91"/>
      <c r="V1885" s="91"/>
      <c r="W1885" s="91"/>
    </row>
    <row r="1886">
      <c r="A1886" s="91"/>
      <c r="D1886" s="91"/>
      <c r="G1886" s="91"/>
      <c r="J1886" s="91"/>
      <c r="M1886" s="91"/>
      <c r="P1886" s="91"/>
      <c r="S1886" s="91"/>
      <c r="T1886" s="91"/>
      <c r="U1886" s="91"/>
      <c r="V1886" s="91"/>
      <c r="W1886" s="91"/>
    </row>
    <row r="1887">
      <c r="A1887" s="91"/>
      <c r="D1887" s="91"/>
      <c r="G1887" s="91"/>
      <c r="J1887" s="91"/>
      <c r="M1887" s="91"/>
      <c r="P1887" s="91"/>
      <c r="S1887" s="91"/>
      <c r="T1887" s="91"/>
      <c r="U1887" s="91"/>
      <c r="V1887" s="91"/>
      <c r="W1887" s="91"/>
    </row>
    <row r="1888">
      <c r="A1888" s="91"/>
      <c r="D1888" s="91"/>
      <c r="G1888" s="91"/>
      <c r="J1888" s="91"/>
      <c r="M1888" s="91"/>
      <c r="P1888" s="91"/>
      <c r="S1888" s="91"/>
      <c r="T1888" s="91"/>
      <c r="U1888" s="91"/>
      <c r="V1888" s="91"/>
      <c r="W1888" s="91"/>
    </row>
    <row r="1889">
      <c r="A1889" s="91"/>
      <c r="D1889" s="91"/>
      <c r="G1889" s="91"/>
      <c r="J1889" s="91"/>
      <c r="M1889" s="91"/>
      <c r="P1889" s="91"/>
      <c r="S1889" s="91"/>
      <c r="T1889" s="91"/>
      <c r="U1889" s="91"/>
      <c r="V1889" s="91"/>
      <c r="W1889" s="91"/>
    </row>
    <row r="1890">
      <c r="A1890" s="91"/>
      <c r="D1890" s="91"/>
      <c r="G1890" s="91"/>
      <c r="J1890" s="91"/>
      <c r="M1890" s="91"/>
      <c r="P1890" s="91"/>
      <c r="S1890" s="91"/>
      <c r="T1890" s="91"/>
      <c r="U1890" s="91"/>
      <c r="V1890" s="91"/>
      <c r="W1890" s="91"/>
    </row>
    <row r="1891">
      <c r="A1891" s="91"/>
      <c r="D1891" s="91"/>
      <c r="G1891" s="91"/>
      <c r="J1891" s="91"/>
      <c r="M1891" s="91"/>
      <c r="P1891" s="91"/>
      <c r="S1891" s="91"/>
      <c r="T1891" s="91"/>
      <c r="U1891" s="91"/>
      <c r="V1891" s="91"/>
      <c r="W1891" s="91"/>
    </row>
    <row r="1892">
      <c r="A1892" s="91"/>
      <c r="D1892" s="91"/>
      <c r="G1892" s="91"/>
      <c r="J1892" s="91"/>
      <c r="M1892" s="91"/>
      <c r="P1892" s="91"/>
      <c r="S1892" s="91"/>
      <c r="T1892" s="91"/>
      <c r="U1892" s="91"/>
      <c r="V1892" s="91"/>
      <c r="W1892" s="91"/>
    </row>
    <row r="1893">
      <c r="A1893" s="91"/>
      <c r="D1893" s="91"/>
      <c r="G1893" s="91"/>
      <c r="J1893" s="91"/>
      <c r="M1893" s="91"/>
      <c r="P1893" s="91"/>
      <c r="S1893" s="91"/>
      <c r="T1893" s="91"/>
      <c r="U1893" s="91"/>
      <c r="V1893" s="91"/>
      <c r="W1893" s="91"/>
    </row>
    <row r="1894">
      <c r="A1894" s="91"/>
      <c r="D1894" s="91"/>
      <c r="G1894" s="91"/>
      <c r="J1894" s="91"/>
      <c r="M1894" s="91"/>
      <c r="P1894" s="91"/>
      <c r="S1894" s="91"/>
      <c r="T1894" s="91"/>
      <c r="U1894" s="91"/>
      <c r="V1894" s="91"/>
      <c r="W1894" s="91"/>
    </row>
    <row r="1895">
      <c r="A1895" s="91"/>
      <c r="D1895" s="91"/>
      <c r="G1895" s="91"/>
      <c r="J1895" s="91"/>
      <c r="M1895" s="91"/>
      <c r="P1895" s="91"/>
      <c r="S1895" s="91"/>
      <c r="T1895" s="91"/>
      <c r="U1895" s="91"/>
      <c r="V1895" s="91"/>
      <c r="W1895" s="91"/>
    </row>
    <row r="1896">
      <c r="A1896" s="91"/>
      <c r="D1896" s="91"/>
      <c r="G1896" s="91"/>
      <c r="J1896" s="91"/>
      <c r="M1896" s="91"/>
      <c r="P1896" s="91"/>
      <c r="S1896" s="91"/>
      <c r="T1896" s="91"/>
      <c r="U1896" s="91"/>
      <c r="V1896" s="91"/>
      <c r="W1896" s="91"/>
    </row>
    <row r="1897">
      <c r="A1897" s="91"/>
      <c r="D1897" s="91"/>
      <c r="G1897" s="91"/>
      <c r="J1897" s="91"/>
      <c r="M1897" s="91"/>
      <c r="P1897" s="91"/>
      <c r="S1897" s="91"/>
      <c r="T1897" s="91"/>
      <c r="U1897" s="91"/>
      <c r="V1897" s="91"/>
      <c r="W1897" s="91"/>
    </row>
    <row r="1898">
      <c r="A1898" s="91"/>
      <c r="D1898" s="91"/>
      <c r="G1898" s="91"/>
      <c r="J1898" s="91"/>
      <c r="M1898" s="91"/>
      <c r="P1898" s="91"/>
      <c r="S1898" s="91"/>
      <c r="T1898" s="91"/>
      <c r="U1898" s="91"/>
      <c r="V1898" s="91"/>
      <c r="W1898" s="91"/>
    </row>
    <row r="1899">
      <c r="A1899" s="91"/>
      <c r="D1899" s="91"/>
      <c r="G1899" s="91"/>
      <c r="J1899" s="91"/>
      <c r="M1899" s="91"/>
      <c r="P1899" s="91"/>
      <c r="S1899" s="91"/>
      <c r="T1899" s="91"/>
      <c r="U1899" s="91"/>
      <c r="V1899" s="91"/>
      <c r="W1899" s="91"/>
    </row>
    <row r="1900">
      <c r="A1900" s="91"/>
      <c r="D1900" s="91"/>
      <c r="G1900" s="91"/>
      <c r="J1900" s="91"/>
      <c r="M1900" s="91"/>
      <c r="P1900" s="91"/>
      <c r="S1900" s="91"/>
      <c r="T1900" s="91"/>
      <c r="U1900" s="91"/>
      <c r="V1900" s="91"/>
      <c r="W1900" s="91"/>
    </row>
    <row r="1901">
      <c r="A1901" s="91"/>
      <c r="D1901" s="91"/>
      <c r="G1901" s="91"/>
      <c r="J1901" s="91"/>
      <c r="M1901" s="91"/>
      <c r="P1901" s="91"/>
      <c r="S1901" s="91"/>
      <c r="T1901" s="91"/>
      <c r="U1901" s="91"/>
      <c r="V1901" s="91"/>
      <c r="W1901" s="91"/>
    </row>
    <row r="1902">
      <c r="A1902" s="91"/>
      <c r="D1902" s="91"/>
      <c r="G1902" s="91"/>
      <c r="J1902" s="91"/>
      <c r="M1902" s="91"/>
      <c r="P1902" s="91"/>
      <c r="S1902" s="91"/>
      <c r="T1902" s="91"/>
      <c r="U1902" s="91"/>
      <c r="V1902" s="91"/>
      <c r="W1902" s="91"/>
    </row>
    <row r="1903">
      <c r="A1903" s="91"/>
      <c r="D1903" s="91"/>
      <c r="G1903" s="91"/>
      <c r="J1903" s="91"/>
      <c r="M1903" s="91"/>
      <c r="P1903" s="91"/>
      <c r="S1903" s="91"/>
      <c r="T1903" s="91"/>
      <c r="U1903" s="91"/>
      <c r="V1903" s="91"/>
      <c r="W1903" s="91"/>
    </row>
    <row r="1904">
      <c r="A1904" s="91"/>
      <c r="D1904" s="91"/>
      <c r="G1904" s="91"/>
      <c r="J1904" s="91"/>
      <c r="M1904" s="91"/>
      <c r="P1904" s="91"/>
      <c r="S1904" s="91"/>
      <c r="T1904" s="91"/>
      <c r="U1904" s="91"/>
      <c r="V1904" s="91"/>
      <c r="W1904" s="91"/>
    </row>
    <row r="1905">
      <c r="A1905" s="91"/>
      <c r="D1905" s="91"/>
      <c r="G1905" s="91"/>
      <c r="J1905" s="91"/>
      <c r="M1905" s="91"/>
      <c r="P1905" s="91"/>
      <c r="S1905" s="91"/>
      <c r="T1905" s="91"/>
      <c r="U1905" s="91"/>
      <c r="V1905" s="91"/>
      <c r="W1905" s="91"/>
    </row>
    <row r="1906">
      <c r="A1906" s="91"/>
      <c r="D1906" s="91"/>
      <c r="G1906" s="91"/>
      <c r="J1906" s="91"/>
      <c r="M1906" s="91"/>
      <c r="P1906" s="91"/>
      <c r="S1906" s="91"/>
      <c r="T1906" s="91"/>
      <c r="U1906" s="91"/>
      <c r="V1906" s="91"/>
      <c r="W1906" s="91"/>
    </row>
    <row r="1907">
      <c r="A1907" s="91"/>
      <c r="D1907" s="91"/>
      <c r="G1907" s="91"/>
      <c r="J1907" s="91"/>
      <c r="M1907" s="91"/>
      <c r="P1907" s="91"/>
      <c r="S1907" s="91"/>
      <c r="T1907" s="91"/>
      <c r="U1907" s="91"/>
      <c r="V1907" s="91"/>
      <c r="W1907" s="91"/>
    </row>
    <row r="1908">
      <c r="A1908" s="91"/>
      <c r="D1908" s="91"/>
      <c r="G1908" s="91"/>
      <c r="J1908" s="91"/>
      <c r="M1908" s="91"/>
      <c r="P1908" s="91"/>
      <c r="S1908" s="91"/>
      <c r="T1908" s="91"/>
      <c r="U1908" s="91"/>
      <c r="V1908" s="91"/>
      <c r="W1908" s="91"/>
    </row>
    <row r="1909">
      <c r="A1909" s="91"/>
      <c r="D1909" s="91"/>
      <c r="G1909" s="91"/>
      <c r="J1909" s="91"/>
      <c r="M1909" s="91"/>
      <c r="P1909" s="91"/>
      <c r="S1909" s="91"/>
      <c r="T1909" s="91"/>
      <c r="U1909" s="91"/>
      <c r="V1909" s="91"/>
      <c r="W1909" s="91"/>
    </row>
    <row r="1910">
      <c r="A1910" s="91"/>
      <c r="D1910" s="91"/>
      <c r="G1910" s="91"/>
      <c r="J1910" s="91"/>
      <c r="M1910" s="91"/>
      <c r="P1910" s="91"/>
      <c r="S1910" s="91"/>
      <c r="T1910" s="91"/>
      <c r="U1910" s="91"/>
      <c r="V1910" s="91"/>
      <c r="W1910" s="91"/>
    </row>
    <row r="1911">
      <c r="A1911" s="91"/>
      <c r="D1911" s="91"/>
      <c r="G1911" s="91"/>
      <c r="J1911" s="91"/>
      <c r="M1911" s="91"/>
      <c r="P1911" s="91"/>
      <c r="S1911" s="91"/>
      <c r="T1911" s="91"/>
      <c r="U1911" s="91"/>
      <c r="V1911" s="91"/>
      <c r="W1911" s="91"/>
    </row>
    <row r="1912">
      <c r="A1912" s="91"/>
      <c r="D1912" s="91"/>
      <c r="G1912" s="91"/>
      <c r="J1912" s="91"/>
      <c r="M1912" s="91"/>
      <c r="P1912" s="91"/>
      <c r="S1912" s="91"/>
      <c r="T1912" s="91"/>
      <c r="U1912" s="91"/>
      <c r="V1912" s="91"/>
      <c r="W1912" s="91"/>
    </row>
    <row r="1913">
      <c r="A1913" s="91"/>
      <c r="D1913" s="91"/>
      <c r="G1913" s="91"/>
      <c r="J1913" s="91"/>
      <c r="M1913" s="91"/>
      <c r="P1913" s="91"/>
      <c r="S1913" s="91"/>
      <c r="T1913" s="91"/>
      <c r="U1913" s="91"/>
      <c r="V1913" s="91"/>
      <c r="W1913" s="91"/>
    </row>
    <row r="1914">
      <c r="A1914" s="91"/>
      <c r="D1914" s="91"/>
      <c r="G1914" s="91"/>
      <c r="J1914" s="91"/>
      <c r="M1914" s="91"/>
      <c r="P1914" s="91"/>
      <c r="S1914" s="91"/>
      <c r="T1914" s="91"/>
      <c r="U1914" s="91"/>
      <c r="V1914" s="91"/>
      <c r="W1914" s="91"/>
    </row>
    <row r="1915">
      <c r="A1915" s="91"/>
      <c r="D1915" s="91"/>
      <c r="G1915" s="91"/>
      <c r="J1915" s="91"/>
      <c r="M1915" s="91"/>
      <c r="P1915" s="91"/>
      <c r="S1915" s="91"/>
      <c r="T1915" s="91"/>
      <c r="U1915" s="91"/>
      <c r="V1915" s="91"/>
      <c r="W1915" s="91"/>
    </row>
    <row r="1916">
      <c r="A1916" s="91"/>
      <c r="D1916" s="91"/>
      <c r="G1916" s="91"/>
      <c r="J1916" s="91"/>
      <c r="M1916" s="91"/>
      <c r="P1916" s="91"/>
      <c r="S1916" s="91"/>
      <c r="T1916" s="91"/>
      <c r="U1916" s="91"/>
      <c r="V1916" s="91"/>
      <c r="W1916" s="91"/>
    </row>
    <row r="1917">
      <c r="A1917" s="91"/>
      <c r="D1917" s="91"/>
      <c r="G1917" s="91"/>
      <c r="J1917" s="91"/>
      <c r="M1917" s="91"/>
      <c r="P1917" s="91"/>
      <c r="S1917" s="91"/>
      <c r="T1917" s="91"/>
      <c r="U1917" s="91"/>
      <c r="V1917" s="91"/>
      <c r="W1917" s="91"/>
    </row>
    <row r="1918">
      <c r="A1918" s="91"/>
      <c r="D1918" s="91"/>
      <c r="G1918" s="91"/>
      <c r="J1918" s="91"/>
      <c r="M1918" s="91"/>
      <c r="P1918" s="91"/>
      <c r="S1918" s="91"/>
      <c r="T1918" s="91"/>
      <c r="U1918" s="91"/>
      <c r="V1918" s="91"/>
      <c r="W1918" s="91"/>
    </row>
    <row r="1919">
      <c r="A1919" s="91"/>
      <c r="D1919" s="91"/>
      <c r="G1919" s="91"/>
      <c r="J1919" s="91"/>
      <c r="M1919" s="91"/>
      <c r="P1919" s="91"/>
      <c r="S1919" s="91"/>
      <c r="T1919" s="91"/>
      <c r="U1919" s="91"/>
      <c r="V1919" s="91"/>
      <c r="W1919" s="91"/>
    </row>
    <row r="1920">
      <c r="A1920" s="91"/>
      <c r="D1920" s="91"/>
      <c r="G1920" s="91"/>
      <c r="J1920" s="91"/>
      <c r="M1920" s="91"/>
      <c r="P1920" s="91"/>
      <c r="S1920" s="91"/>
      <c r="T1920" s="91"/>
      <c r="U1920" s="91"/>
      <c r="V1920" s="91"/>
      <c r="W1920" s="91"/>
    </row>
    <row r="1921">
      <c r="A1921" s="91"/>
      <c r="D1921" s="91"/>
      <c r="G1921" s="91"/>
      <c r="J1921" s="91"/>
      <c r="M1921" s="91"/>
      <c r="P1921" s="91"/>
      <c r="S1921" s="91"/>
      <c r="T1921" s="91"/>
      <c r="U1921" s="91"/>
      <c r="V1921" s="91"/>
      <c r="W1921" s="91"/>
    </row>
    <row r="1922">
      <c r="A1922" s="91"/>
      <c r="D1922" s="91"/>
      <c r="G1922" s="91"/>
      <c r="J1922" s="91"/>
      <c r="M1922" s="91"/>
      <c r="P1922" s="91"/>
      <c r="S1922" s="91"/>
      <c r="T1922" s="91"/>
      <c r="U1922" s="91"/>
      <c r="V1922" s="91"/>
      <c r="W1922" s="91"/>
    </row>
    <row r="1923">
      <c r="A1923" s="91"/>
      <c r="D1923" s="91"/>
      <c r="G1923" s="91"/>
      <c r="J1923" s="91"/>
      <c r="M1923" s="91"/>
      <c r="P1923" s="91"/>
      <c r="S1923" s="91"/>
      <c r="T1923" s="91"/>
      <c r="U1923" s="91"/>
      <c r="V1923" s="91"/>
      <c r="W1923" s="91"/>
    </row>
    <row r="1924">
      <c r="A1924" s="91"/>
      <c r="D1924" s="91"/>
      <c r="G1924" s="91"/>
      <c r="J1924" s="91"/>
      <c r="M1924" s="91"/>
      <c r="P1924" s="91"/>
      <c r="S1924" s="91"/>
      <c r="T1924" s="91"/>
      <c r="U1924" s="91"/>
      <c r="V1924" s="91"/>
      <c r="W1924" s="91"/>
    </row>
    <row r="1925">
      <c r="A1925" s="91"/>
      <c r="D1925" s="91"/>
      <c r="G1925" s="91"/>
      <c r="J1925" s="91"/>
      <c r="M1925" s="91"/>
      <c r="P1925" s="91"/>
      <c r="S1925" s="91"/>
      <c r="T1925" s="91"/>
      <c r="U1925" s="91"/>
      <c r="V1925" s="91"/>
      <c r="W1925" s="91"/>
    </row>
    <row r="1926">
      <c r="A1926" s="91"/>
      <c r="D1926" s="91"/>
      <c r="G1926" s="91"/>
      <c r="J1926" s="91"/>
      <c r="M1926" s="91"/>
      <c r="P1926" s="91"/>
      <c r="S1926" s="91"/>
      <c r="T1926" s="91"/>
      <c r="U1926" s="91"/>
      <c r="V1926" s="91"/>
      <c r="W1926" s="91"/>
    </row>
    <row r="1927">
      <c r="A1927" s="91"/>
      <c r="D1927" s="91"/>
      <c r="G1927" s="91"/>
      <c r="J1927" s="91"/>
      <c r="M1927" s="91"/>
      <c r="P1927" s="91"/>
      <c r="S1927" s="91"/>
      <c r="T1927" s="91"/>
      <c r="U1927" s="91"/>
      <c r="V1927" s="91"/>
      <c r="W1927" s="91"/>
    </row>
    <row r="1928">
      <c r="A1928" s="91"/>
      <c r="D1928" s="91"/>
      <c r="G1928" s="91"/>
      <c r="J1928" s="91"/>
      <c r="M1928" s="91"/>
      <c r="P1928" s="91"/>
      <c r="S1928" s="91"/>
      <c r="T1928" s="91"/>
      <c r="U1928" s="91"/>
      <c r="V1928" s="91"/>
      <c r="W1928" s="91"/>
    </row>
    <row r="1929">
      <c r="A1929" s="91"/>
      <c r="D1929" s="91"/>
      <c r="G1929" s="91"/>
      <c r="J1929" s="91"/>
      <c r="M1929" s="91"/>
      <c r="P1929" s="91"/>
      <c r="S1929" s="91"/>
      <c r="T1929" s="91"/>
      <c r="U1929" s="91"/>
      <c r="V1929" s="91"/>
      <c r="W1929" s="91"/>
    </row>
    <row r="1930">
      <c r="A1930" s="91"/>
      <c r="D1930" s="91"/>
      <c r="G1930" s="91"/>
      <c r="J1930" s="91"/>
      <c r="M1930" s="91"/>
      <c r="P1930" s="91"/>
      <c r="S1930" s="91"/>
      <c r="T1930" s="91"/>
      <c r="U1930" s="91"/>
      <c r="V1930" s="91"/>
      <c r="W1930" s="91"/>
    </row>
    <row r="1931">
      <c r="A1931" s="91"/>
      <c r="D1931" s="91"/>
      <c r="G1931" s="91"/>
      <c r="J1931" s="91"/>
      <c r="M1931" s="91"/>
      <c r="P1931" s="91"/>
      <c r="S1931" s="91"/>
      <c r="T1931" s="91"/>
      <c r="U1931" s="91"/>
      <c r="V1931" s="91"/>
      <c r="W1931" s="91"/>
    </row>
    <row r="1932">
      <c r="A1932" s="91"/>
      <c r="D1932" s="91"/>
      <c r="G1932" s="91"/>
      <c r="J1932" s="91"/>
      <c r="M1932" s="91"/>
      <c r="P1932" s="91"/>
      <c r="S1932" s="91"/>
      <c r="T1932" s="91"/>
      <c r="U1932" s="91"/>
      <c r="V1932" s="91"/>
      <c r="W1932" s="91"/>
    </row>
    <row r="1933">
      <c r="A1933" s="91"/>
      <c r="D1933" s="91"/>
      <c r="G1933" s="91"/>
      <c r="J1933" s="91"/>
      <c r="M1933" s="91"/>
      <c r="P1933" s="91"/>
      <c r="S1933" s="91"/>
      <c r="T1933" s="91"/>
      <c r="U1933" s="91"/>
      <c r="V1933" s="91"/>
      <c r="W1933" s="91"/>
    </row>
    <row r="1934">
      <c r="A1934" s="91"/>
      <c r="D1934" s="91"/>
      <c r="G1934" s="91"/>
      <c r="J1934" s="91"/>
      <c r="M1934" s="91"/>
      <c r="P1934" s="91"/>
      <c r="S1934" s="91"/>
      <c r="T1934" s="91"/>
      <c r="U1934" s="91"/>
      <c r="V1934" s="91"/>
      <c r="W1934" s="91"/>
    </row>
    <row r="1935">
      <c r="A1935" s="91"/>
      <c r="D1935" s="91"/>
      <c r="G1935" s="91"/>
      <c r="J1935" s="91"/>
      <c r="M1935" s="91"/>
      <c r="P1935" s="91"/>
      <c r="S1935" s="91"/>
      <c r="T1935" s="91"/>
      <c r="U1935" s="91"/>
      <c r="V1935" s="91"/>
      <c r="W1935" s="91"/>
    </row>
    <row r="1936">
      <c r="A1936" s="91"/>
      <c r="D1936" s="91"/>
      <c r="G1936" s="91"/>
      <c r="J1936" s="91"/>
      <c r="M1936" s="91"/>
      <c r="P1936" s="91"/>
      <c r="S1936" s="91"/>
      <c r="T1936" s="91"/>
      <c r="U1936" s="91"/>
      <c r="V1936" s="91"/>
      <c r="W1936" s="91"/>
    </row>
    <row r="1937">
      <c r="A1937" s="91"/>
      <c r="D1937" s="91"/>
      <c r="G1937" s="91"/>
      <c r="J1937" s="91"/>
      <c r="M1937" s="91"/>
      <c r="P1937" s="91"/>
      <c r="S1937" s="91"/>
      <c r="T1937" s="91"/>
      <c r="U1937" s="91"/>
      <c r="V1937" s="91"/>
      <c r="W1937" s="91"/>
    </row>
    <row r="1938">
      <c r="A1938" s="91"/>
      <c r="D1938" s="91"/>
      <c r="G1938" s="91"/>
      <c r="J1938" s="91"/>
      <c r="M1938" s="91"/>
      <c r="P1938" s="91"/>
      <c r="S1938" s="91"/>
      <c r="T1938" s="91"/>
      <c r="U1938" s="91"/>
      <c r="V1938" s="91"/>
      <c r="W1938" s="91"/>
    </row>
    <row r="1939">
      <c r="A1939" s="91"/>
      <c r="D1939" s="91"/>
      <c r="G1939" s="91"/>
      <c r="J1939" s="91"/>
      <c r="M1939" s="91"/>
      <c r="P1939" s="91"/>
      <c r="S1939" s="91"/>
      <c r="T1939" s="91"/>
      <c r="U1939" s="91"/>
      <c r="V1939" s="91"/>
      <c r="W1939" s="91"/>
    </row>
    <row r="1940">
      <c r="A1940" s="91"/>
      <c r="D1940" s="91"/>
      <c r="G1940" s="91"/>
      <c r="J1940" s="91"/>
      <c r="M1940" s="91"/>
      <c r="P1940" s="91"/>
      <c r="S1940" s="91"/>
      <c r="T1940" s="91"/>
      <c r="U1940" s="91"/>
      <c r="V1940" s="91"/>
      <c r="W1940" s="91"/>
    </row>
    <row r="1941">
      <c r="A1941" s="91"/>
      <c r="D1941" s="91"/>
      <c r="G1941" s="91"/>
      <c r="J1941" s="91"/>
      <c r="M1941" s="91"/>
      <c r="P1941" s="91"/>
      <c r="S1941" s="91"/>
      <c r="T1941" s="91"/>
      <c r="U1941" s="91"/>
      <c r="V1941" s="91"/>
      <c r="W1941" s="91"/>
    </row>
    <row r="1942">
      <c r="A1942" s="91"/>
      <c r="D1942" s="91"/>
      <c r="G1942" s="91"/>
      <c r="J1942" s="91"/>
      <c r="M1942" s="91"/>
      <c r="P1942" s="91"/>
      <c r="S1942" s="91"/>
      <c r="T1942" s="91"/>
      <c r="U1942" s="91"/>
      <c r="V1942" s="91"/>
      <c r="W1942" s="91"/>
    </row>
    <row r="1943">
      <c r="A1943" s="91"/>
      <c r="D1943" s="91"/>
      <c r="G1943" s="91"/>
      <c r="J1943" s="91"/>
      <c r="M1943" s="91"/>
      <c r="P1943" s="91"/>
      <c r="S1943" s="91"/>
      <c r="T1943" s="91"/>
      <c r="U1943" s="91"/>
      <c r="V1943" s="91"/>
      <c r="W1943" s="91"/>
    </row>
    <row r="1944">
      <c r="A1944" s="91"/>
      <c r="D1944" s="91"/>
      <c r="G1944" s="91"/>
      <c r="J1944" s="91"/>
      <c r="M1944" s="91"/>
      <c r="P1944" s="91"/>
      <c r="S1944" s="91"/>
      <c r="T1944" s="91"/>
      <c r="U1944" s="91"/>
      <c r="V1944" s="91"/>
      <c r="W1944" s="91"/>
    </row>
    <row r="1945">
      <c r="A1945" s="91"/>
      <c r="D1945" s="91"/>
      <c r="G1945" s="91"/>
      <c r="J1945" s="91"/>
      <c r="M1945" s="91"/>
      <c r="P1945" s="91"/>
      <c r="S1945" s="91"/>
      <c r="T1945" s="91"/>
      <c r="U1945" s="91"/>
      <c r="V1945" s="91"/>
      <c r="W1945" s="91"/>
    </row>
    <row r="1946">
      <c r="A1946" s="91"/>
      <c r="D1946" s="91"/>
      <c r="G1946" s="91"/>
      <c r="J1946" s="91"/>
      <c r="M1946" s="91"/>
      <c r="P1946" s="91"/>
      <c r="S1946" s="91"/>
      <c r="T1946" s="91"/>
      <c r="U1946" s="91"/>
      <c r="V1946" s="91"/>
      <c r="W1946" s="91"/>
    </row>
    <row r="1947">
      <c r="A1947" s="91"/>
      <c r="D1947" s="91"/>
      <c r="G1947" s="91"/>
      <c r="J1947" s="91"/>
      <c r="M1947" s="91"/>
      <c r="P1947" s="91"/>
      <c r="S1947" s="91"/>
      <c r="T1947" s="91"/>
      <c r="U1947" s="91"/>
      <c r="V1947" s="91"/>
      <c r="W1947" s="91"/>
    </row>
    <row r="1948">
      <c r="A1948" s="91"/>
      <c r="D1948" s="91"/>
      <c r="G1948" s="91"/>
      <c r="J1948" s="91"/>
      <c r="M1948" s="91"/>
      <c r="P1948" s="91"/>
      <c r="S1948" s="91"/>
      <c r="T1948" s="91"/>
      <c r="U1948" s="91"/>
      <c r="V1948" s="91"/>
      <c r="W1948" s="91"/>
    </row>
    <row r="1949">
      <c r="A1949" s="91"/>
      <c r="D1949" s="91"/>
      <c r="G1949" s="91"/>
      <c r="J1949" s="91"/>
      <c r="M1949" s="91"/>
      <c r="P1949" s="91"/>
      <c r="S1949" s="91"/>
      <c r="T1949" s="91"/>
      <c r="U1949" s="91"/>
      <c r="V1949" s="91"/>
      <c r="W1949" s="91"/>
    </row>
    <row r="1950">
      <c r="A1950" s="91"/>
      <c r="D1950" s="91"/>
      <c r="G1950" s="91"/>
      <c r="J1950" s="91"/>
      <c r="M1950" s="91"/>
      <c r="P1950" s="91"/>
      <c r="S1950" s="91"/>
      <c r="T1950" s="91"/>
      <c r="U1950" s="91"/>
      <c r="V1950" s="91"/>
      <c r="W1950" s="91"/>
    </row>
    <row r="1951">
      <c r="A1951" s="91"/>
      <c r="D1951" s="91"/>
      <c r="G1951" s="91"/>
      <c r="J1951" s="91"/>
      <c r="M1951" s="91"/>
      <c r="P1951" s="91"/>
      <c r="S1951" s="91"/>
      <c r="T1951" s="91"/>
      <c r="U1951" s="91"/>
      <c r="V1951" s="91"/>
      <c r="W1951" s="91"/>
    </row>
    <row r="1952">
      <c r="A1952" s="91"/>
      <c r="D1952" s="91"/>
      <c r="G1952" s="91"/>
      <c r="J1952" s="91"/>
      <c r="M1952" s="91"/>
      <c r="P1952" s="91"/>
      <c r="S1952" s="91"/>
      <c r="T1952" s="91"/>
      <c r="U1952" s="91"/>
      <c r="V1952" s="91"/>
      <c r="W1952" s="91"/>
    </row>
    <row r="1953">
      <c r="A1953" s="91"/>
      <c r="D1953" s="91"/>
      <c r="G1953" s="91"/>
      <c r="J1953" s="91"/>
      <c r="M1953" s="91"/>
      <c r="P1953" s="91"/>
      <c r="S1953" s="91"/>
      <c r="T1953" s="91"/>
      <c r="U1953" s="91"/>
      <c r="V1953" s="91"/>
      <c r="W1953" s="91"/>
    </row>
    <row r="1954">
      <c r="A1954" s="91"/>
      <c r="D1954" s="91"/>
      <c r="G1954" s="91"/>
      <c r="J1954" s="91"/>
      <c r="M1954" s="91"/>
      <c r="P1954" s="91"/>
      <c r="S1954" s="91"/>
      <c r="T1954" s="91"/>
      <c r="U1954" s="91"/>
      <c r="V1954" s="91"/>
      <c r="W1954" s="91"/>
    </row>
    <row r="1955">
      <c r="A1955" s="91"/>
      <c r="D1955" s="91"/>
      <c r="G1955" s="91"/>
      <c r="J1955" s="91"/>
      <c r="M1955" s="91"/>
      <c r="P1955" s="91"/>
      <c r="S1955" s="91"/>
      <c r="T1955" s="91"/>
      <c r="U1955" s="91"/>
      <c r="V1955" s="91"/>
      <c r="W1955" s="91"/>
    </row>
    <row r="1956">
      <c r="A1956" s="91"/>
      <c r="D1956" s="91"/>
      <c r="G1956" s="91"/>
      <c r="J1956" s="91"/>
      <c r="M1956" s="91"/>
      <c r="P1956" s="91"/>
      <c r="S1956" s="91"/>
      <c r="T1956" s="91"/>
      <c r="U1956" s="91"/>
      <c r="V1956" s="91"/>
      <c r="W1956" s="91"/>
    </row>
    <row r="1957">
      <c r="A1957" s="91"/>
      <c r="D1957" s="91"/>
      <c r="G1957" s="91"/>
      <c r="J1957" s="91"/>
      <c r="M1957" s="91"/>
      <c r="P1957" s="91"/>
      <c r="S1957" s="91"/>
      <c r="T1957" s="91"/>
      <c r="U1957" s="91"/>
      <c r="V1957" s="91"/>
      <c r="W1957" s="91"/>
    </row>
    <row r="1958">
      <c r="A1958" s="91"/>
      <c r="D1958" s="91"/>
      <c r="G1958" s="91"/>
      <c r="J1958" s="91"/>
      <c r="M1958" s="91"/>
      <c r="P1958" s="91"/>
      <c r="S1958" s="91"/>
      <c r="T1958" s="91"/>
      <c r="U1958" s="91"/>
      <c r="V1958" s="91"/>
      <c r="W1958" s="91"/>
    </row>
    <row r="1959">
      <c r="A1959" s="91"/>
      <c r="D1959" s="91"/>
      <c r="G1959" s="91"/>
      <c r="J1959" s="91"/>
      <c r="M1959" s="91"/>
      <c r="P1959" s="91"/>
      <c r="S1959" s="91"/>
      <c r="T1959" s="91"/>
      <c r="U1959" s="91"/>
      <c r="V1959" s="91"/>
      <c r="W1959" s="91"/>
    </row>
    <row r="1960">
      <c r="A1960" s="91"/>
      <c r="D1960" s="91"/>
      <c r="G1960" s="91"/>
      <c r="J1960" s="91"/>
      <c r="M1960" s="91"/>
      <c r="P1960" s="91"/>
      <c r="S1960" s="91"/>
      <c r="T1960" s="91"/>
      <c r="U1960" s="91"/>
      <c r="V1960" s="91"/>
      <c r="W1960" s="91"/>
    </row>
    <row r="1961">
      <c r="A1961" s="91"/>
      <c r="D1961" s="91"/>
      <c r="G1961" s="91"/>
      <c r="J1961" s="91"/>
      <c r="M1961" s="91"/>
      <c r="P1961" s="91"/>
      <c r="S1961" s="91"/>
      <c r="T1961" s="91"/>
      <c r="U1961" s="91"/>
      <c r="V1961" s="91"/>
      <c r="W1961" s="91"/>
    </row>
    <row r="1962">
      <c r="A1962" s="91"/>
      <c r="D1962" s="91"/>
      <c r="G1962" s="91"/>
      <c r="J1962" s="91"/>
      <c r="M1962" s="91"/>
      <c r="P1962" s="91"/>
      <c r="S1962" s="91"/>
      <c r="T1962" s="91"/>
      <c r="U1962" s="91"/>
      <c r="V1962" s="91"/>
      <c r="W1962" s="91"/>
    </row>
    <row r="1963">
      <c r="A1963" s="91"/>
      <c r="D1963" s="91"/>
      <c r="G1963" s="91"/>
      <c r="J1963" s="91"/>
      <c r="M1963" s="91"/>
      <c r="P1963" s="91"/>
      <c r="S1963" s="91"/>
      <c r="T1963" s="91"/>
      <c r="U1963" s="91"/>
      <c r="V1963" s="91"/>
      <c r="W1963" s="91"/>
    </row>
    <row r="1964">
      <c r="A1964" s="91"/>
      <c r="D1964" s="91"/>
      <c r="G1964" s="91"/>
      <c r="J1964" s="91"/>
      <c r="M1964" s="91"/>
      <c r="P1964" s="91"/>
      <c r="S1964" s="91"/>
      <c r="T1964" s="91"/>
      <c r="U1964" s="91"/>
      <c r="V1964" s="91"/>
      <c r="W1964" s="91"/>
    </row>
    <row r="1965">
      <c r="A1965" s="91"/>
      <c r="D1965" s="91"/>
      <c r="G1965" s="91"/>
      <c r="J1965" s="91"/>
      <c r="M1965" s="91"/>
      <c r="P1965" s="91"/>
      <c r="S1965" s="91"/>
      <c r="T1965" s="91"/>
      <c r="U1965" s="91"/>
      <c r="V1965" s="91"/>
      <c r="W1965" s="91"/>
    </row>
    <row r="1966">
      <c r="A1966" s="91"/>
      <c r="D1966" s="91"/>
      <c r="G1966" s="91"/>
      <c r="J1966" s="91"/>
      <c r="M1966" s="91"/>
      <c r="P1966" s="91"/>
      <c r="S1966" s="91"/>
      <c r="T1966" s="91"/>
      <c r="U1966" s="91"/>
      <c r="V1966" s="91"/>
      <c r="W1966" s="91"/>
    </row>
    <row r="1967">
      <c r="A1967" s="91"/>
      <c r="D1967" s="91"/>
      <c r="G1967" s="91"/>
      <c r="J1967" s="91"/>
      <c r="M1967" s="91"/>
      <c r="P1967" s="91"/>
      <c r="S1967" s="91"/>
      <c r="T1967" s="91"/>
      <c r="U1967" s="91"/>
      <c r="V1967" s="91"/>
      <c r="W1967" s="91"/>
    </row>
    <row r="1968">
      <c r="A1968" s="91"/>
      <c r="D1968" s="91"/>
      <c r="G1968" s="91"/>
      <c r="J1968" s="91"/>
      <c r="M1968" s="91"/>
      <c r="P1968" s="91"/>
      <c r="S1968" s="91"/>
      <c r="T1968" s="91"/>
      <c r="U1968" s="91"/>
      <c r="V1968" s="91"/>
      <c r="W1968" s="91"/>
    </row>
    <row r="1969">
      <c r="A1969" s="91"/>
      <c r="D1969" s="91"/>
      <c r="G1969" s="91"/>
      <c r="J1969" s="91"/>
      <c r="M1969" s="91"/>
      <c r="P1969" s="91"/>
      <c r="S1969" s="91"/>
      <c r="T1969" s="91"/>
      <c r="U1969" s="91"/>
      <c r="V1969" s="91"/>
      <c r="W1969" s="91"/>
    </row>
    <row r="1970">
      <c r="A1970" s="91"/>
      <c r="D1970" s="91"/>
      <c r="G1970" s="91"/>
      <c r="J1970" s="91"/>
      <c r="M1970" s="91"/>
      <c r="P1970" s="91"/>
      <c r="S1970" s="91"/>
      <c r="T1970" s="91"/>
      <c r="U1970" s="91"/>
      <c r="V1970" s="91"/>
      <c r="W1970" s="91"/>
    </row>
    <row r="1971">
      <c r="A1971" s="91"/>
      <c r="D1971" s="91"/>
      <c r="G1971" s="91"/>
      <c r="J1971" s="91"/>
      <c r="M1971" s="91"/>
      <c r="P1971" s="91"/>
      <c r="S1971" s="91"/>
      <c r="T1971" s="91"/>
      <c r="U1971" s="91"/>
      <c r="V1971" s="91"/>
      <c r="W1971" s="91"/>
    </row>
    <row r="1972">
      <c r="A1972" s="91"/>
      <c r="D1972" s="91"/>
      <c r="G1972" s="91"/>
      <c r="J1972" s="91"/>
      <c r="M1972" s="91"/>
      <c r="P1972" s="91"/>
      <c r="S1972" s="91"/>
      <c r="T1972" s="91"/>
      <c r="U1972" s="91"/>
      <c r="V1972" s="91"/>
      <c r="W1972" s="91"/>
    </row>
    <row r="1973">
      <c r="A1973" s="91"/>
      <c r="D1973" s="91"/>
      <c r="G1973" s="91"/>
      <c r="J1973" s="91"/>
      <c r="M1973" s="91"/>
      <c r="P1973" s="91"/>
      <c r="S1973" s="91"/>
      <c r="T1973" s="91"/>
      <c r="U1973" s="91"/>
      <c r="V1973" s="91"/>
      <c r="W1973" s="91"/>
    </row>
    <row r="1974">
      <c r="A1974" s="91"/>
      <c r="D1974" s="91"/>
      <c r="G1974" s="91"/>
      <c r="J1974" s="91"/>
      <c r="M1974" s="91"/>
      <c r="P1974" s="91"/>
      <c r="S1974" s="91"/>
      <c r="T1974" s="91"/>
      <c r="U1974" s="91"/>
      <c r="V1974" s="91"/>
      <c r="W1974" s="91"/>
    </row>
    <row r="1975">
      <c r="A1975" s="91"/>
      <c r="D1975" s="91"/>
      <c r="G1975" s="91"/>
      <c r="J1975" s="91"/>
      <c r="M1975" s="91"/>
      <c r="P1975" s="91"/>
      <c r="S1975" s="91"/>
      <c r="T1975" s="91"/>
      <c r="U1975" s="91"/>
      <c r="V1975" s="91"/>
      <c r="W1975" s="91"/>
    </row>
    <row r="1976">
      <c r="A1976" s="91"/>
      <c r="D1976" s="91"/>
      <c r="G1976" s="91"/>
      <c r="J1976" s="91"/>
      <c r="M1976" s="91"/>
      <c r="P1976" s="91"/>
      <c r="S1976" s="91"/>
      <c r="T1976" s="91"/>
      <c r="U1976" s="91"/>
      <c r="V1976" s="91"/>
      <c r="W1976" s="91"/>
    </row>
    <row r="1977">
      <c r="A1977" s="91"/>
      <c r="D1977" s="91"/>
      <c r="G1977" s="91"/>
      <c r="J1977" s="91"/>
      <c r="M1977" s="91"/>
      <c r="P1977" s="91"/>
      <c r="S1977" s="91"/>
      <c r="T1977" s="91"/>
      <c r="U1977" s="91"/>
      <c r="V1977" s="91"/>
      <c r="W1977" s="91"/>
    </row>
    <row r="1978">
      <c r="A1978" s="91"/>
      <c r="D1978" s="91"/>
      <c r="G1978" s="91"/>
      <c r="J1978" s="91"/>
      <c r="M1978" s="91"/>
      <c r="P1978" s="91"/>
      <c r="S1978" s="91"/>
      <c r="T1978" s="91"/>
      <c r="U1978" s="91"/>
      <c r="V1978" s="91"/>
      <c r="W1978" s="91"/>
    </row>
    <row r="1979">
      <c r="A1979" s="91"/>
      <c r="D1979" s="91"/>
      <c r="G1979" s="91"/>
      <c r="J1979" s="91"/>
      <c r="M1979" s="91"/>
      <c r="P1979" s="91"/>
      <c r="S1979" s="91"/>
      <c r="T1979" s="91"/>
      <c r="U1979" s="91"/>
      <c r="V1979" s="91"/>
      <c r="W1979" s="91"/>
    </row>
    <row r="1980">
      <c r="A1980" s="91"/>
      <c r="D1980" s="91"/>
      <c r="G1980" s="91"/>
      <c r="J1980" s="91"/>
      <c r="M1980" s="91"/>
      <c r="P1980" s="91"/>
      <c r="S1980" s="91"/>
      <c r="T1980" s="91"/>
      <c r="U1980" s="91"/>
      <c r="V1980" s="91"/>
      <c r="W1980" s="91"/>
    </row>
    <row r="1981">
      <c r="A1981" s="91"/>
      <c r="D1981" s="91"/>
      <c r="G1981" s="91"/>
      <c r="J1981" s="91"/>
      <c r="M1981" s="91"/>
      <c r="P1981" s="91"/>
      <c r="S1981" s="91"/>
      <c r="T1981" s="91"/>
      <c r="U1981" s="91"/>
      <c r="V1981" s="91"/>
      <c r="W1981" s="91"/>
    </row>
    <row r="1982">
      <c r="A1982" s="91"/>
      <c r="D1982" s="91"/>
      <c r="G1982" s="91"/>
      <c r="J1982" s="91"/>
      <c r="M1982" s="91"/>
      <c r="P1982" s="91"/>
      <c r="S1982" s="91"/>
      <c r="T1982" s="91"/>
      <c r="U1982" s="91"/>
      <c r="V1982" s="91"/>
      <c r="W1982" s="91"/>
    </row>
    <row r="1983">
      <c r="A1983" s="91"/>
      <c r="D1983" s="91"/>
      <c r="G1983" s="91"/>
      <c r="J1983" s="91"/>
      <c r="M1983" s="91"/>
      <c r="P1983" s="91"/>
      <c r="S1983" s="91"/>
      <c r="T1983" s="91"/>
      <c r="U1983" s="91"/>
      <c r="V1983" s="91"/>
      <c r="W1983" s="91"/>
    </row>
    <row r="1984">
      <c r="A1984" s="91"/>
      <c r="D1984" s="91"/>
      <c r="G1984" s="91"/>
      <c r="J1984" s="91"/>
      <c r="M1984" s="91"/>
      <c r="P1984" s="91"/>
      <c r="S1984" s="91"/>
      <c r="T1984" s="91"/>
      <c r="U1984" s="91"/>
      <c r="V1984" s="91"/>
      <c r="W1984" s="91"/>
    </row>
    <row r="1985">
      <c r="A1985" s="91"/>
      <c r="D1985" s="91"/>
      <c r="G1985" s="91"/>
      <c r="J1985" s="91"/>
      <c r="M1985" s="91"/>
      <c r="P1985" s="91"/>
      <c r="S1985" s="91"/>
      <c r="T1985" s="91"/>
      <c r="U1985" s="91"/>
      <c r="V1985" s="91"/>
      <c r="W1985" s="91"/>
    </row>
    <row r="1986">
      <c r="A1986" s="91"/>
      <c r="D1986" s="91"/>
      <c r="G1986" s="91"/>
      <c r="J1986" s="91"/>
      <c r="M1986" s="91"/>
      <c r="P1986" s="91"/>
      <c r="S1986" s="91"/>
      <c r="T1986" s="91"/>
      <c r="U1986" s="91"/>
      <c r="V1986" s="91"/>
      <c r="W1986" s="91"/>
    </row>
    <row r="1987">
      <c r="A1987" s="91"/>
      <c r="D1987" s="91"/>
      <c r="G1987" s="91"/>
      <c r="J1987" s="91"/>
      <c r="M1987" s="91"/>
      <c r="P1987" s="91"/>
      <c r="S1987" s="91"/>
      <c r="T1987" s="91"/>
      <c r="U1987" s="91"/>
      <c r="V1987" s="91"/>
      <c r="W1987" s="91"/>
    </row>
    <row r="1988">
      <c r="A1988" s="91"/>
      <c r="D1988" s="91"/>
      <c r="G1988" s="91"/>
      <c r="J1988" s="91"/>
      <c r="M1988" s="91"/>
      <c r="P1988" s="91"/>
      <c r="S1988" s="91"/>
      <c r="T1988" s="91"/>
      <c r="U1988" s="91"/>
      <c r="V1988" s="91"/>
      <c r="W1988" s="91"/>
    </row>
    <row r="1989">
      <c r="A1989" s="91"/>
      <c r="D1989" s="91"/>
      <c r="G1989" s="91"/>
      <c r="J1989" s="91"/>
      <c r="M1989" s="91"/>
      <c r="P1989" s="91"/>
      <c r="S1989" s="91"/>
      <c r="T1989" s="91"/>
      <c r="U1989" s="91"/>
      <c r="V1989" s="91"/>
      <c r="W1989" s="91"/>
    </row>
    <row r="1990">
      <c r="A1990" s="91"/>
      <c r="D1990" s="91"/>
      <c r="G1990" s="91"/>
      <c r="J1990" s="91"/>
      <c r="M1990" s="91"/>
      <c r="P1990" s="91"/>
      <c r="S1990" s="91"/>
      <c r="T1990" s="91"/>
      <c r="U1990" s="91"/>
      <c r="V1990" s="91"/>
      <c r="W1990" s="91"/>
    </row>
    <row r="1991">
      <c r="A1991" s="91"/>
      <c r="D1991" s="91"/>
      <c r="G1991" s="91"/>
      <c r="J1991" s="91"/>
      <c r="M1991" s="91"/>
      <c r="P1991" s="91"/>
      <c r="S1991" s="91"/>
      <c r="T1991" s="91"/>
      <c r="U1991" s="91"/>
      <c r="V1991" s="91"/>
      <c r="W1991" s="91"/>
    </row>
    <row r="1992">
      <c r="A1992" s="91"/>
      <c r="D1992" s="91"/>
      <c r="G1992" s="91"/>
      <c r="J1992" s="91"/>
      <c r="M1992" s="91"/>
      <c r="P1992" s="91"/>
      <c r="S1992" s="91"/>
      <c r="T1992" s="91"/>
      <c r="U1992" s="91"/>
      <c r="V1992" s="91"/>
      <c r="W1992" s="91"/>
    </row>
    <row r="1993">
      <c r="A1993" s="91"/>
      <c r="D1993" s="91"/>
      <c r="G1993" s="91"/>
      <c r="J1993" s="91"/>
      <c r="M1993" s="91"/>
      <c r="P1993" s="91"/>
      <c r="S1993" s="91"/>
      <c r="T1993" s="91"/>
      <c r="U1993" s="91"/>
      <c r="V1993" s="91"/>
      <c r="W1993" s="91"/>
    </row>
    <row r="1994">
      <c r="A1994" s="91"/>
      <c r="D1994" s="91"/>
      <c r="G1994" s="91"/>
      <c r="J1994" s="91"/>
      <c r="M1994" s="91"/>
      <c r="P1994" s="91"/>
      <c r="S1994" s="91"/>
      <c r="T1994" s="91"/>
      <c r="U1994" s="91"/>
      <c r="V1994" s="91"/>
      <c r="W1994" s="91"/>
    </row>
    <row r="1995">
      <c r="A1995" s="91"/>
      <c r="D1995" s="91"/>
      <c r="G1995" s="91"/>
      <c r="J1995" s="91"/>
      <c r="M1995" s="91"/>
      <c r="P1995" s="91"/>
      <c r="S1995" s="91"/>
      <c r="T1995" s="91"/>
      <c r="U1995" s="91"/>
      <c r="V1995" s="91"/>
      <c r="W1995" s="91"/>
    </row>
    <row r="1996">
      <c r="A1996" s="91"/>
      <c r="D1996" s="91"/>
      <c r="G1996" s="91"/>
      <c r="J1996" s="91"/>
      <c r="M1996" s="91"/>
      <c r="P1996" s="91"/>
      <c r="S1996" s="91"/>
      <c r="T1996" s="91"/>
      <c r="U1996" s="91"/>
      <c r="V1996" s="91"/>
      <c r="W1996" s="91"/>
    </row>
    <row r="1997">
      <c r="A1997" s="91"/>
      <c r="D1997" s="91"/>
      <c r="G1997" s="91"/>
      <c r="J1997" s="91"/>
      <c r="M1997" s="91"/>
      <c r="P1997" s="91"/>
      <c r="S1997" s="91"/>
      <c r="T1997" s="91"/>
      <c r="U1997" s="91"/>
      <c r="V1997" s="91"/>
      <c r="W1997" s="91"/>
    </row>
    <row r="1998">
      <c r="A1998" s="91"/>
      <c r="D1998" s="91"/>
      <c r="G1998" s="91"/>
      <c r="J1998" s="91"/>
      <c r="M1998" s="91"/>
      <c r="P1998" s="91"/>
      <c r="S1998" s="91"/>
      <c r="T1998" s="91"/>
      <c r="U1998" s="91"/>
      <c r="V1998" s="91"/>
      <c r="W1998" s="91"/>
    </row>
    <row r="1999">
      <c r="A1999" s="91"/>
      <c r="D1999" s="91"/>
      <c r="G1999" s="91"/>
      <c r="J1999" s="91"/>
      <c r="M1999" s="91"/>
      <c r="P1999" s="91"/>
      <c r="S1999" s="91"/>
      <c r="T1999" s="91"/>
      <c r="U1999" s="91"/>
      <c r="V1999" s="91"/>
      <c r="W1999" s="91"/>
    </row>
    <row r="2000">
      <c r="A2000" s="91"/>
      <c r="D2000" s="91"/>
      <c r="G2000" s="91"/>
      <c r="J2000" s="91"/>
      <c r="M2000" s="91"/>
      <c r="P2000" s="91"/>
      <c r="S2000" s="91"/>
      <c r="T2000" s="91"/>
      <c r="U2000" s="91"/>
      <c r="V2000" s="91"/>
      <c r="W2000" s="91"/>
    </row>
    <row r="2001">
      <c r="A2001" s="91"/>
      <c r="D2001" s="91"/>
      <c r="G2001" s="91"/>
      <c r="J2001" s="91"/>
      <c r="M2001" s="91"/>
      <c r="P2001" s="91"/>
      <c r="S2001" s="91"/>
      <c r="T2001" s="91"/>
      <c r="U2001" s="91"/>
      <c r="V2001" s="91"/>
      <c r="W2001" s="91"/>
    </row>
    <row r="2002">
      <c r="A2002" s="91"/>
      <c r="D2002" s="91"/>
      <c r="G2002" s="91"/>
      <c r="J2002" s="91"/>
      <c r="M2002" s="91"/>
      <c r="P2002" s="91"/>
      <c r="S2002" s="91"/>
      <c r="T2002" s="91"/>
      <c r="U2002" s="91"/>
      <c r="V2002" s="91"/>
      <c r="W2002" s="91"/>
    </row>
    <row r="2003">
      <c r="A2003" s="91"/>
      <c r="D2003" s="91"/>
      <c r="G2003" s="91"/>
      <c r="J2003" s="91"/>
      <c r="M2003" s="91"/>
      <c r="P2003" s="91"/>
      <c r="S2003" s="91"/>
      <c r="T2003" s="91"/>
      <c r="U2003" s="91"/>
      <c r="V2003" s="91"/>
      <c r="W2003" s="91"/>
    </row>
    <row r="2004">
      <c r="A2004" s="91"/>
      <c r="D2004" s="91"/>
      <c r="G2004" s="91"/>
      <c r="J2004" s="91"/>
      <c r="M2004" s="91"/>
      <c r="P2004" s="91"/>
      <c r="S2004" s="91"/>
      <c r="T2004" s="91"/>
      <c r="U2004" s="91"/>
      <c r="V2004" s="91"/>
      <c r="W2004" s="91"/>
    </row>
    <row r="2005">
      <c r="A2005" s="91"/>
      <c r="D2005" s="91"/>
      <c r="G2005" s="91"/>
      <c r="J2005" s="91"/>
      <c r="M2005" s="91"/>
      <c r="P2005" s="91"/>
      <c r="S2005" s="91"/>
      <c r="T2005" s="91"/>
      <c r="U2005" s="91"/>
      <c r="V2005" s="91"/>
      <c r="W2005" s="91"/>
    </row>
    <row r="2006">
      <c r="A2006" s="91"/>
      <c r="D2006" s="91"/>
      <c r="G2006" s="91"/>
      <c r="J2006" s="91"/>
      <c r="M2006" s="91"/>
      <c r="P2006" s="91"/>
      <c r="S2006" s="91"/>
      <c r="T2006" s="91"/>
      <c r="U2006" s="91"/>
      <c r="V2006" s="91"/>
      <c r="W2006" s="91"/>
    </row>
    <row r="2007">
      <c r="A2007" s="91"/>
      <c r="D2007" s="91"/>
      <c r="G2007" s="91"/>
      <c r="J2007" s="91"/>
      <c r="M2007" s="91"/>
      <c r="P2007" s="91"/>
      <c r="S2007" s="91"/>
      <c r="T2007" s="91"/>
      <c r="U2007" s="91"/>
      <c r="V2007" s="91"/>
      <c r="W2007" s="91"/>
    </row>
    <row r="2008">
      <c r="A2008" s="91"/>
      <c r="D2008" s="91"/>
      <c r="G2008" s="91"/>
      <c r="J2008" s="91"/>
      <c r="M2008" s="91"/>
      <c r="P2008" s="91"/>
      <c r="S2008" s="91"/>
      <c r="T2008" s="91"/>
      <c r="U2008" s="91"/>
      <c r="V2008" s="91"/>
      <c r="W2008" s="91"/>
    </row>
    <row r="2009">
      <c r="A2009" s="91"/>
      <c r="D2009" s="91"/>
      <c r="G2009" s="91"/>
      <c r="J2009" s="91"/>
      <c r="M2009" s="91"/>
      <c r="P2009" s="91"/>
      <c r="S2009" s="91"/>
      <c r="T2009" s="91"/>
      <c r="U2009" s="91"/>
      <c r="V2009" s="91"/>
      <c r="W2009" s="91"/>
    </row>
    <row r="2010">
      <c r="A2010" s="91"/>
      <c r="D2010" s="91"/>
      <c r="G2010" s="91"/>
      <c r="J2010" s="91"/>
      <c r="M2010" s="91"/>
      <c r="P2010" s="91"/>
      <c r="S2010" s="91"/>
      <c r="T2010" s="91"/>
      <c r="U2010" s="91"/>
      <c r="V2010" s="91"/>
      <c r="W2010" s="91"/>
    </row>
    <row r="2011">
      <c r="A2011" s="91"/>
      <c r="D2011" s="91"/>
      <c r="G2011" s="91"/>
      <c r="J2011" s="91"/>
      <c r="M2011" s="91"/>
      <c r="P2011" s="91"/>
      <c r="S2011" s="91"/>
      <c r="T2011" s="91"/>
      <c r="U2011" s="91"/>
      <c r="V2011" s="91"/>
      <c r="W2011" s="91"/>
    </row>
    <row r="2012">
      <c r="A2012" s="91"/>
      <c r="D2012" s="91"/>
      <c r="G2012" s="91"/>
      <c r="J2012" s="91"/>
      <c r="M2012" s="91"/>
      <c r="P2012" s="91"/>
      <c r="S2012" s="91"/>
      <c r="T2012" s="91"/>
      <c r="U2012" s="91"/>
      <c r="V2012" s="91"/>
      <c r="W2012" s="91"/>
    </row>
    <row r="2013">
      <c r="A2013" s="91"/>
      <c r="D2013" s="91"/>
      <c r="G2013" s="91"/>
      <c r="J2013" s="91"/>
      <c r="M2013" s="91"/>
      <c r="P2013" s="91"/>
      <c r="S2013" s="91"/>
      <c r="T2013" s="91"/>
      <c r="U2013" s="91"/>
      <c r="V2013" s="91"/>
      <c r="W2013" s="91"/>
    </row>
    <row r="2014">
      <c r="A2014" s="91"/>
      <c r="D2014" s="91"/>
      <c r="G2014" s="91"/>
      <c r="J2014" s="91"/>
      <c r="M2014" s="91"/>
      <c r="P2014" s="91"/>
      <c r="S2014" s="91"/>
      <c r="T2014" s="91"/>
      <c r="U2014" s="91"/>
      <c r="V2014" s="91"/>
      <c r="W2014" s="91"/>
    </row>
    <row r="2015">
      <c r="A2015" s="91"/>
      <c r="D2015" s="91"/>
      <c r="G2015" s="91"/>
      <c r="J2015" s="91"/>
      <c r="M2015" s="91"/>
      <c r="P2015" s="91"/>
      <c r="S2015" s="91"/>
      <c r="T2015" s="91"/>
      <c r="U2015" s="91"/>
      <c r="V2015" s="91"/>
      <c r="W2015" s="91"/>
    </row>
    <row r="2016">
      <c r="A2016" s="91"/>
      <c r="D2016" s="91"/>
      <c r="G2016" s="91"/>
      <c r="J2016" s="91"/>
      <c r="M2016" s="91"/>
      <c r="P2016" s="91"/>
      <c r="S2016" s="91"/>
      <c r="T2016" s="91"/>
      <c r="U2016" s="91"/>
      <c r="V2016" s="91"/>
      <c r="W2016" s="91"/>
    </row>
    <row r="2017">
      <c r="A2017" s="91"/>
      <c r="D2017" s="91"/>
      <c r="G2017" s="91"/>
      <c r="J2017" s="91"/>
      <c r="M2017" s="91"/>
      <c r="P2017" s="91"/>
      <c r="S2017" s="91"/>
      <c r="T2017" s="91"/>
      <c r="U2017" s="91"/>
      <c r="V2017" s="91"/>
      <c r="W2017" s="91"/>
    </row>
    <row r="2018">
      <c r="A2018" s="91"/>
      <c r="D2018" s="91"/>
      <c r="G2018" s="91"/>
      <c r="J2018" s="91"/>
      <c r="M2018" s="91"/>
      <c r="P2018" s="91"/>
      <c r="S2018" s="91"/>
      <c r="T2018" s="91"/>
      <c r="U2018" s="91"/>
      <c r="V2018" s="91"/>
      <c r="W2018" s="91"/>
    </row>
    <row r="2019">
      <c r="A2019" s="91"/>
      <c r="D2019" s="91"/>
      <c r="G2019" s="91"/>
      <c r="J2019" s="91"/>
      <c r="M2019" s="91"/>
      <c r="P2019" s="91"/>
      <c r="S2019" s="91"/>
      <c r="T2019" s="91"/>
      <c r="U2019" s="91"/>
      <c r="V2019" s="91"/>
      <c r="W2019" s="91"/>
    </row>
    <row r="2020">
      <c r="A2020" s="91"/>
      <c r="D2020" s="91"/>
      <c r="G2020" s="91"/>
      <c r="J2020" s="91"/>
      <c r="M2020" s="91"/>
      <c r="P2020" s="91"/>
      <c r="S2020" s="91"/>
      <c r="T2020" s="91"/>
      <c r="U2020" s="91"/>
      <c r="V2020" s="91"/>
      <c r="W2020" s="91"/>
    </row>
    <row r="2021">
      <c r="A2021" s="91"/>
      <c r="D2021" s="91"/>
      <c r="G2021" s="91"/>
      <c r="J2021" s="91"/>
      <c r="M2021" s="91"/>
      <c r="P2021" s="91"/>
      <c r="S2021" s="91"/>
      <c r="T2021" s="91"/>
      <c r="U2021" s="91"/>
      <c r="V2021" s="91"/>
      <c r="W2021" s="91"/>
    </row>
    <row r="2022">
      <c r="A2022" s="91"/>
      <c r="D2022" s="91"/>
      <c r="G2022" s="91"/>
      <c r="J2022" s="91"/>
      <c r="M2022" s="91"/>
      <c r="P2022" s="91"/>
      <c r="S2022" s="91"/>
      <c r="T2022" s="91"/>
      <c r="U2022" s="91"/>
      <c r="V2022" s="91"/>
      <c r="W2022" s="91"/>
    </row>
    <row r="2023">
      <c r="A2023" s="91"/>
      <c r="D2023" s="91"/>
      <c r="G2023" s="91"/>
      <c r="J2023" s="91"/>
      <c r="M2023" s="91"/>
      <c r="P2023" s="91"/>
      <c r="S2023" s="91"/>
      <c r="T2023" s="91"/>
      <c r="U2023" s="91"/>
      <c r="V2023" s="91"/>
      <c r="W2023" s="91"/>
    </row>
    <row r="2024">
      <c r="A2024" s="91"/>
      <c r="D2024" s="91"/>
      <c r="G2024" s="91"/>
      <c r="J2024" s="91"/>
      <c r="M2024" s="91"/>
      <c r="P2024" s="91"/>
      <c r="S2024" s="91"/>
      <c r="T2024" s="91"/>
      <c r="U2024" s="91"/>
      <c r="V2024" s="91"/>
      <c r="W2024" s="91"/>
    </row>
    <row r="2025">
      <c r="A2025" s="91"/>
      <c r="D2025" s="91"/>
      <c r="G2025" s="91"/>
      <c r="J2025" s="91"/>
      <c r="M2025" s="91"/>
      <c r="P2025" s="91"/>
      <c r="S2025" s="91"/>
      <c r="T2025" s="91"/>
      <c r="U2025" s="91"/>
      <c r="V2025" s="91"/>
      <c r="W2025" s="91"/>
    </row>
    <row r="2026">
      <c r="A2026" s="91"/>
      <c r="D2026" s="91"/>
      <c r="G2026" s="91"/>
      <c r="J2026" s="91"/>
      <c r="M2026" s="91"/>
      <c r="P2026" s="91"/>
      <c r="S2026" s="91"/>
      <c r="T2026" s="91"/>
      <c r="U2026" s="91"/>
      <c r="V2026" s="91"/>
      <c r="W2026" s="91"/>
    </row>
    <row r="2027">
      <c r="A2027" s="91"/>
      <c r="D2027" s="91"/>
      <c r="G2027" s="91"/>
      <c r="J2027" s="91"/>
      <c r="M2027" s="91"/>
      <c r="P2027" s="91"/>
      <c r="S2027" s="91"/>
      <c r="T2027" s="91"/>
      <c r="U2027" s="91"/>
      <c r="V2027" s="91"/>
      <c r="W2027" s="91"/>
    </row>
    <row r="2028">
      <c r="A2028" s="91"/>
      <c r="D2028" s="91"/>
      <c r="G2028" s="91"/>
      <c r="J2028" s="91"/>
      <c r="M2028" s="91"/>
      <c r="P2028" s="91"/>
      <c r="S2028" s="91"/>
      <c r="T2028" s="91"/>
      <c r="U2028" s="91"/>
      <c r="V2028" s="91"/>
      <c r="W2028" s="91"/>
    </row>
    <row r="2029">
      <c r="A2029" s="91"/>
      <c r="D2029" s="91"/>
      <c r="G2029" s="91"/>
      <c r="J2029" s="91"/>
      <c r="M2029" s="91"/>
      <c r="P2029" s="91"/>
      <c r="S2029" s="91"/>
      <c r="T2029" s="91"/>
      <c r="U2029" s="91"/>
      <c r="V2029" s="91"/>
      <c r="W2029" s="91"/>
    </row>
    <row r="2030">
      <c r="A2030" s="91"/>
      <c r="D2030" s="91"/>
      <c r="G2030" s="91"/>
      <c r="J2030" s="91"/>
      <c r="M2030" s="91"/>
      <c r="P2030" s="91"/>
      <c r="S2030" s="91"/>
      <c r="T2030" s="91"/>
      <c r="U2030" s="91"/>
      <c r="V2030" s="91"/>
      <c r="W2030" s="91"/>
    </row>
    <row r="2031">
      <c r="A2031" s="91"/>
      <c r="D2031" s="91"/>
      <c r="G2031" s="91"/>
      <c r="J2031" s="91"/>
      <c r="M2031" s="91"/>
      <c r="P2031" s="91"/>
      <c r="S2031" s="91"/>
      <c r="T2031" s="91"/>
      <c r="U2031" s="91"/>
      <c r="V2031" s="91"/>
      <c r="W2031" s="91"/>
    </row>
    <row r="2032">
      <c r="A2032" s="91"/>
      <c r="D2032" s="91"/>
      <c r="G2032" s="91"/>
      <c r="J2032" s="91"/>
      <c r="M2032" s="91"/>
      <c r="P2032" s="91"/>
      <c r="S2032" s="91"/>
      <c r="T2032" s="91"/>
      <c r="U2032" s="91"/>
      <c r="V2032" s="91"/>
      <c r="W2032" s="91"/>
    </row>
    <row r="2033">
      <c r="A2033" s="91"/>
      <c r="D2033" s="91"/>
      <c r="G2033" s="91"/>
      <c r="J2033" s="91"/>
      <c r="M2033" s="91"/>
      <c r="P2033" s="91"/>
      <c r="S2033" s="91"/>
      <c r="T2033" s="91"/>
      <c r="U2033" s="91"/>
      <c r="V2033" s="91"/>
      <c r="W2033" s="91"/>
    </row>
    <row r="2034">
      <c r="A2034" s="91"/>
      <c r="D2034" s="91"/>
      <c r="G2034" s="91"/>
      <c r="J2034" s="91"/>
      <c r="M2034" s="91"/>
      <c r="P2034" s="91"/>
      <c r="S2034" s="91"/>
      <c r="T2034" s="91"/>
      <c r="U2034" s="91"/>
      <c r="V2034" s="91"/>
      <c r="W2034" s="91"/>
    </row>
    <row r="2035">
      <c r="A2035" s="91"/>
      <c r="D2035" s="91"/>
      <c r="G2035" s="91"/>
      <c r="J2035" s="91"/>
      <c r="M2035" s="91"/>
      <c r="P2035" s="91"/>
      <c r="S2035" s="91"/>
      <c r="T2035" s="91"/>
      <c r="U2035" s="91"/>
      <c r="V2035" s="91"/>
      <c r="W2035" s="91"/>
    </row>
    <row r="2036">
      <c r="A2036" s="91"/>
      <c r="D2036" s="91"/>
      <c r="G2036" s="91"/>
      <c r="J2036" s="91"/>
      <c r="M2036" s="91"/>
      <c r="P2036" s="91"/>
      <c r="S2036" s="91"/>
      <c r="T2036" s="91"/>
      <c r="U2036" s="91"/>
      <c r="V2036" s="91"/>
      <c r="W2036" s="91"/>
    </row>
    <row r="2037">
      <c r="A2037" s="91"/>
      <c r="D2037" s="91"/>
      <c r="G2037" s="91"/>
      <c r="J2037" s="91"/>
      <c r="M2037" s="91"/>
      <c r="P2037" s="91"/>
      <c r="S2037" s="91"/>
      <c r="T2037" s="91"/>
      <c r="U2037" s="91"/>
      <c r="V2037" s="91"/>
      <c r="W2037" s="91"/>
    </row>
    <row r="2038">
      <c r="A2038" s="91"/>
      <c r="D2038" s="91"/>
      <c r="G2038" s="91"/>
      <c r="J2038" s="91"/>
      <c r="M2038" s="91"/>
      <c r="P2038" s="91"/>
      <c r="S2038" s="91"/>
      <c r="T2038" s="91"/>
      <c r="U2038" s="91"/>
      <c r="V2038" s="91"/>
      <c r="W2038" s="91"/>
    </row>
    <row r="2039">
      <c r="A2039" s="91"/>
      <c r="D2039" s="91"/>
      <c r="G2039" s="91"/>
      <c r="J2039" s="91"/>
      <c r="M2039" s="91"/>
      <c r="P2039" s="91"/>
      <c r="S2039" s="91"/>
      <c r="T2039" s="91"/>
      <c r="U2039" s="91"/>
      <c r="V2039" s="91"/>
      <c r="W2039" s="91"/>
    </row>
    <row r="2040">
      <c r="A2040" s="91"/>
      <c r="D2040" s="91"/>
      <c r="G2040" s="91"/>
      <c r="J2040" s="91"/>
      <c r="M2040" s="91"/>
      <c r="P2040" s="91"/>
      <c r="S2040" s="91"/>
      <c r="T2040" s="91"/>
      <c r="U2040" s="91"/>
      <c r="V2040" s="91"/>
      <c r="W2040" s="91"/>
    </row>
    <row r="2041">
      <c r="A2041" s="91"/>
      <c r="D2041" s="91"/>
      <c r="G2041" s="91"/>
      <c r="J2041" s="91"/>
      <c r="M2041" s="91"/>
      <c r="P2041" s="91"/>
      <c r="S2041" s="91"/>
      <c r="T2041" s="91"/>
      <c r="U2041" s="91"/>
      <c r="V2041" s="91"/>
      <c r="W2041" s="91"/>
    </row>
    <row r="2042">
      <c r="A2042" s="91"/>
      <c r="D2042" s="91"/>
      <c r="G2042" s="91"/>
      <c r="J2042" s="91"/>
      <c r="M2042" s="91"/>
      <c r="P2042" s="91"/>
      <c r="S2042" s="91"/>
      <c r="T2042" s="91"/>
      <c r="U2042" s="91"/>
      <c r="V2042" s="91"/>
      <c r="W2042" s="91"/>
    </row>
    <row r="2043">
      <c r="A2043" s="91"/>
      <c r="D2043" s="91"/>
      <c r="G2043" s="91"/>
      <c r="J2043" s="91"/>
      <c r="M2043" s="91"/>
      <c r="P2043" s="91"/>
      <c r="S2043" s="91"/>
      <c r="T2043" s="91"/>
      <c r="U2043" s="91"/>
      <c r="V2043" s="91"/>
      <c r="W2043" s="91"/>
    </row>
    <row r="2044">
      <c r="A2044" s="91"/>
      <c r="D2044" s="91"/>
      <c r="G2044" s="91"/>
      <c r="J2044" s="91"/>
      <c r="M2044" s="91"/>
      <c r="P2044" s="91"/>
      <c r="S2044" s="91"/>
      <c r="T2044" s="91"/>
      <c r="U2044" s="91"/>
      <c r="V2044" s="91"/>
      <c r="W2044" s="91"/>
    </row>
    <row r="2045">
      <c r="A2045" s="91"/>
      <c r="D2045" s="91"/>
      <c r="G2045" s="91"/>
      <c r="J2045" s="91"/>
      <c r="M2045" s="91"/>
      <c r="P2045" s="91"/>
      <c r="S2045" s="91"/>
      <c r="T2045" s="91"/>
      <c r="U2045" s="91"/>
      <c r="V2045" s="91"/>
      <c r="W2045" s="91"/>
    </row>
    <row r="2046">
      <c r="A2046" s="91"/>
      <c r="D2046" s="91"/>
      <c r="G2046" s="91"/>
      <c r="J2046" s="91"/>
      <c r="M2046" s="91"/>
      <c r="P2046" s="91"/>
      <c r="S2046" s="91"/>
      <c r="T2046" s="91"/>
      <c r="U2046" s="91"/>
      <c r="V2046" s="91"/>
      <c r="W2046" s="91"/>
    </row>
    <row r="2047">
      <c r="A2047" s="91"/>
      <c r="D2047" s="91"/>
      <c r="G2047" s="91"/>
      <c r="J2047" s="91"/>
      <c r="M2047" s="91"/>
      <c r="P2047" s="91"/>
      <c r="S2047" s="91"/>
      <c r="T2047" s="91"/>
      <c r="U2047" s="91"/>
      <c r="V2047" s="91"/>
      <c r="W2047" s="91"/>
    </row>
    <row r="2048">
      <c r="A2048" s="91"/>
      <c r="D2048" s="91"/>
      <c r="G2048" s="91"/>
      <c r="J2048" s="91"/>
      <c r="M2048" s="91"/>
      <c r="P2048" s="91"/>
      <c r="S2048" s="91"/>
      <c r="T2048" s="91"/>
      <c r="U2048" s="91"/>
      <c r="V2048" s="91"/>
      <c r="W2048" s="91"/>
    </row>
    <row r="2049">
      <c r="A2049" s="91"/>
      <c r="D2049" s="91"/>
      <c r="G2049" s="91"/>
      <c r="J2049" s="91"/>
      <c r="M2049" s="91"/>
      <c r="P2049" s="91"/>
      <c r="S2049" s="91"/>
      <c r="T2049" s="91"/>
      <c r="U2049" s="91"/>
      <c r="V2049" s="91"/>
      <c r="W2049" s="91"/>
    </row>
    <row r="2050">
      <c r="A2050" s="91"/>
      <c r="D2050" s="91"/>
      <c r="G2050" s="91"/>
      <c r="J2050" s="91"/>
      <c r="M2050" s="91"/>
      <c r="P2050" s="91"/>
      <c r="S2050" s="91"/>
      <c r="T2050" s="91"/>
      <c r="U2050" s="91"/>
      <c r="V2050" s="91"/>
      <c r="W2050" s="91"/>
    </row>
    <row r="2051">
      <c r="A2051" s="91"/>
      <c r="D2051" s="91"/>
      <c r="G2051" s="91"/>
      <c r="J2051" s="91"/>
      <c r="M2051" s="91"/>
      <c r="P2051" s="91"/>
      <c r="S2051" s="91"/>
      <c r="T2051" s="91"/>
      <c r="U2051" s="91"/>
      <c r="V2051" s="91"/>
      <c r="W2051" s="91"/>
    </row>
    <row r="2052">
      <c r="A2052" s="91"/>
      <c r="D2052" s="91"/>
      <c r="G2052" s="91"/>
      <c r="J2052" s="91"/>
      <c r="M2052" s="91"/>
      <c r="P2052" s="91"/>
      <c r="S2052" s="91"/>
      <c r="T2052" s="91"/>
      <c r="U2052" s="91"/>
      <c r="V2052" s="91"/>
      <c r="W2052" s="91"/>
    </row>
    <row r="2053">
      <c r="A2053" s="91"/>
      <c r="D2053" s="91"/>
      <c r="G2053" s="91"/>
      <c r="J2053" s="91"/>
      <c r="M2053" s="91"/>
      <c r="P2053" s="91"/>
      <c r="S2053" s="91"/>
      <c r="T2053" s="91"/>
      <c r="U2053" s="91"/>
      <c r="V2053" s="91"/>
      <c r="W2053" s="91"/>
    </row>
    <row r="2054">
      <c r="A2054" s="91"/>
      <c r="D2054" s="91"/>
      <c r="G2054" s="91"/>
      <c r="J2054" s="91"/>
      <c r="M2054" s="91"/>
      <c r="P2054" s="91"/>
      <c r="S2054" s="91"/>
      <c r="T2054" s="91"/>
      <c r="U2054" s="91"/>
      <c r="V2054" s="91"/>
      <c r="W2054" s="91"/>
    </row>
    <row r="2055">
      <c r="A2055" s="91"/>
      <c r="D2055" s="91"/>
      <c r="G2055" s="91"/>
      <c r="J2055" s="91"/>
      <c r="M2055" s="91"/>
      <c r="P2055" s="91"/>
      <c r="S2055" s="91"/>
      <c r="T2055" s="91"/>
      <c r="U2055" s="91"/>
      <c r="V2055" s="91"/>
      <c r="W2055" s="91"/>
    </row>
    <row r="2056">
      <c r="A2056" s="91"/>
      <c r="D2056" s="91"/>
      <c r="G2056" s="91"/>
      <c r="J2056" s="91"/>
      <c r="M2056" s="91"/>
      <c r="P2056" s="91"/>
      <c r="S2056" s="91"/>
      <c r="T2056" s="91"/>
      <c r="U2056" s="91"/>
      <c r="V2056" s="91"/>
      <c r="W2056" s="91"/>
    </row>
    <row r="2057">
      <c r="A2057" s="91"/>
      <c r="D2057" s="91"/>
      <c r="G2057" s="91"/>
      <c r="J2057" s="91"/>
      <c r="M2057" s="91"/>
      <c r="P2057" s="91"/>
      <c r="S2057" s="91"/>
      <c r="T2057" s="91"/>
      <c r="U2057" s="91"/>
      <c r="V2057" s="91"/>
      <c r="W2057" s="91"/>
    </row>
    <row r="2058">
      <c r="A2058" s="91"/>
      <c r="D2058" s="91"/>
      <c r="G2058" s="91"/>
      <c r="J2058" s="91"/>
      <c r="M2058" s="91"/>
      <c r="P2058" s="91"/>
      <c r="S2058" s="91"/>
      <c r="T2058" s="91"/>
      <c r="U2058" s="91"/>
      <c r="V2058" s="91"/>
      <c r="W2058" s="91"/>
    </row>
    <row r="2059">
      <c r="A2059" s="91"/>
      <c r="D2059" s="91"/>
      <c r="G2059" s="91"/>
      <c r="J2059" s="91"/>
      <c r="M2059" s="91"/>
      <c r="P2059" s="91"/>
      <c r="S2059" s="91"/>
      <c r="T2059" s="91"/>
      <c r="U2059" s="91"/>
      <c r="V2059" s="91"/>
      <c r="W2059" s="91"/>
    </row>
    <row r="2060">
      <c r="A2060" s="91"/>
      <c r="D2060" s="91"/>
      <c r="G2060" s="91"/>
      <c r="J2060" s="91"/>
      <c r="M2060" s="91"/>
      <c r="P2060" s="91"/>
      <c r="S2060" s="91"/>
      <c r="T2060" s="91"/>
      <c r="U2060" s="91"/>
      <c r="V2060" s="91"/>
      <c r="W2060" s="91"/>
    </row>
    <row r="2061">
      <c r="A2061" s="91"/>
      <c r="D2061" s="91"/>
      <c r="G2061" s="91"/>
      <c r="J2061" s="91"/>
      <c r="M2061" s="91"/>
      <c r="P2061" s="91"/>
      <c r="S2061" s="91"/>
      <c r="T2061" s="91"/>
      <c r="U2061" s="91"/>
      <c r="V2061" s="91"/>
      <c r="W2061" s="91"/>
    </row>
    <row r="2062">
      <c r="A2062" s="91"/>
      <c r="D2062" s="91"/>
      <c r="G2062" s="91"/>
      <c r="J2062" s="91"/>
      <c r="M2062" s="91"/>
      <c r="P2062" s="91"/>
      <c r="S2062" s="91"/>
      <c r="T2062" s="91"/>
      <c r="U2062" s="91"/>
      <c r="V2062" s="91"/>
      <c r="W2062" s="91"/>
    </row>
    <row r="2063">
      <c r="A2063" s="91"/>
      <c r="D2063" s="91"/>
      <c r="G2063" s="91"/>
      <c r="J2063" s="91"/>
      <c r="M2063" s="91"/>
      <c r="P2063" s="91"/>
      <c r="S2063" s="91"/>
      <c r="T2063" s="91"/>
      <c r="U2063" s="91"/>
      <c r="V2063" s="91"/>
      <c r="W2063" s="91"/>
    </row>
    <row r="2064">
      <c r="A2064" s="91"/>
      <c r="D2064" s="91"/>
      <c r="G2064" s="91"/>
      <c r="J2064" s="91"/>
      <c r="M2064" s="91"/>
      <c r="P2064" s="91"/>
      <c r="S2064" s="91"/>
      <c r="T2064" s="91"/>
      <c r="U2064" s="91"/>
      <c r="V2064" s="91"/>
      <c r="W2064" s="91"/>
    </row>
    <row r="2065">
      <c r="A2065" s="91"/>
      <c r="D2065" s="91"/>
      <c r="G2065" s="91"/>
      <c r="J2065" s="91"/>
      <c r="M2065" s="91"/>
      <c r="P2065" s="91"/>
      <c r="S2065" s="91"/>
      <c r="T2065" s="91"/>
      <c r="U2065" s="91"/>
      <c r="V2065" s="91"/>
      <c r="W2065" s="91"/>
    </row>
    <row r="2066">
      <c r="A2066" s="91"/>
      <c r="D2066" s="91"/>
      <c r="G2066" s="91"/>
      <c r="J2066" s="91"/>
      <c r="M2066" s="91"/>
      <c r="P2066" s="91"/>
      <c r="S2066" s="91"/>
      <c r="T2066" s="91"/>
      <c r="U2066" s="91"/>
      <c r="V2066" s="91"/>
      <c r="W2066" s="91"/>
    </row>
    <row r="2067">
      <c r="A2067" s="91"/>
      <c r="D2067" s="91"/>
      <c r="G2067" s="91"/>
      <c r="J2067" s="91"/>
      <c r="M2067" s="91"/>
      <c r="P2067" s="91"/>
      <c r="S2067" s="91"/>
      <c r="T2067" s="91"/>
      <c r="U2067" s="91"/>
      <c r="V2067" s="91"/>
      <c r="W2067" s="91"/>
    </row>
    <row r="2068">
      <c r="A2068" s="91"/>
      <c r="D2068" s="91"/>
      <c r="G2068" s="91"/>
      <c r="J2068" s="91"/>
      <c r="M2068" s="91"/>
      <c r="P2068" s="91"/>
      <c r="S2068" s="91"/>
      <c r="T2068" s="91"/>
      <c r="U2068" s="91"/>
      <c r="V2068" s="91"/>
      <c r="W2068" s="91"/>
    </row>
    <row r="2069">
      <c r="A2069" s="91"/>
      <c r="D2069" s="91"/>
      <c r="G2069" s="91"/>
      <c r="J2069" s="91"/>
      <c r="M2069" s="91"/>
      <c r="P2069" s="91"/>
      <c r="S2069" s="91"/>
      <c r="T2069" s="91"/>
      <c r="U2069" s="91"/>
      <c r="V2069" s="91"/>
      <c r="W2069" s="91"/>
    </row>
    <row r="2070">
      <c r="A2070" s="91"/>
      <c r="D2070" s="91"/>
      <c r="G2070" s="91"/>
      <c r="J2070" s="91"/>
      <c r="M2070" s="91"/>
      <c r="P2070" s="91"/>
      <c r="S2070" s="91"/>
      <c r="T2070" s="91"/>
      <c r="U2070" s="91"/>
      <c r="V2070" s="91"/>
      <c r="W2070" s="91"/>
    </row>
    <row r="2071">
      <c r="A2071" s="91"/>
      <c r="D2071" s="91"/>
      <c r="G2071" s="91"/>
      <c r="J2071" s="91"/>
      <c r="M2071" s="91"/>
      <c r="P2071" s="91"/>
      <c r="S2071" s="91"/>
      <c r="T2071" s="91"/>
      <c r="U2071" s="91"/>
      <c r="V2071" s="91"/>
      <c r="W2071" s="91"/>
    </row>
    <row r="2072">
      <c r="A2072" s="91"/>
      <c r="D2072" s="91"/>
      <c r="G2072" s="91"/>
      <c r="J2072" s="91"/>
      <c r="M2072" s="91"/>
      <c r="P2072" s="91"/>
      <c r="S2072" s="91"/>
      <c r="T2072" s="91"/>
      <c r="U2072" s="91"/>
      <c r="V2072" s="91"/>
      <c r="W2072" s="91"/>
    </row>
    <row r="2073">
      <c r="A2073" s="91"/>
      <c r="D2073" s="91"/>
      <c r="G2073" s="91"/>
      <c r="J2073" s="91"/>
      <c r="M2073" s="91"/>
      <c r="P2073" s="91"/>
      <c r="S2073" s="91"/>
      <c r="T2073" s="91"/>
      <c r="U2073" s="91"/>
      <c r="V2073" s="91"/>
      <c r="W2073" s="91"/>
    </row>
    <row r="2074">
      <c r="A2074" s="91"/>
      <c r="D2074" s="91"/>
      <c r="G2074" s="91"/>
      <c r="J2074" s="91"/>
      <c r="M2074" s="91"/>
      <c r="P2074" s="91"/>
      <c r="S2074" s="91"/>
      <c r="T2074" s="91"/>
      <c r="U2074" s="91"/>
      <c r="V2074" s="91"/>
      <c r="W2074" s="91"/>
    </row>
    <row r="2075">
      <c r="A2075" s="91"/>
      <c r="D2075" s="91"/>
      <c r="G2075" s="91"/>
      <c r="J2075" s="91"/>
      <c r="M2075" s="91"/>
      <c r="P2075" s="91"/>
      <c r="S2075" s="91"/>
      <c r="T2075" s="91"/>
      <c r="U2075" s="91"/>
      <c r="V2075" s="91"/>
      <c r="W2075" s="91"/>
    </row>
    <row r="2076">
      <c r="A2076" s="91"/>
      <c r="D2076" s="91"/>
      <c r="G2076" s="91"/>
      <c r="J2076" s="91"/>
      <c r="M2076" s="91"/>
      <c r="P2076" s="91"/>
      <c r="S2076" s="91"/>
      <c r="T2076" s="91"/>
      <c r="U2076" s="91"/>
      <c r="V2076" s="91"/>
      <c r="W2076" s="91"/>
    </row>
    <row r="2077">
      <c r="A2077" s="91"/>
      <c r="D2077" s="91"/>
      <c r="G2077" s="91"/>
      <c r="J2077" s="91"/>
      <c r="M2077" s="91"/>
      <c r="P2077" s="91"/>
      <c r="S2077" s="91"/>
      <c r="T2077" s="91"/>
      <c r="U2077" s="91"/>
      <c r="V2077" s="91"/>
      <c r="W2077" s="91"/>
    </row>
    <row r="2078">
      <c r="A2078" s="91"/>
      <c r="D2078" s="91"/>
      <c r="G2078" s="91"/>
      <c r="J2078" s="91"/>
      <c r="M2078" s="91"/>
      <c r="P2078" s="91"/>
      <c r="S2078" s="91"/>
      <c r="T2078" s="91"/>
      <c r="U2078" s="91"/>
      <c r="V2078" s="91"/>
      <c r="W2078" s="91"/>
    </row>
    <row r="2079">
      <c r="A2079" s="91"/>
      <c r="D2079" s="91"/>
      <c r="G2079" s="91"/>
      <c r="J2079" s="91"/>
      <c r="M2079" s="91"/>
      <c r="P2079" s="91"/>
      <c r="S2079" s="91"/>
      <c r="T2079" s="91"/>
      <c r="U2079" s="91"/>
      <c r="V2079" s="91"/>
      <c r="W2079" s="91"/>
    </row>
    <row r="2080">
      <c r="A2080" s="91"/>
      <c r="D2080" s="91"/>
      <c r="G2080" s="91"/>
      <c r="J2080" s="91"/>
      <c r="M2080" s="91"/>
      <c r="P2080" s="91"/>
      <c r="S2080" s="91"/>
      <c r="T2080" s="91"/>
      <c r="U2080" s="91"/>
      <c r="V2080" s="91"/>
      <c r="W2080" s="91"/>
    </row>
    <row r="2081">
      <c r="A2081" s="91"/>
      <c r="D2081" s="91"/>
      <c r="G2081" s="91"/>
      <c r="J2081" s="91"/>
      <c r="M2081" s="91"/>
      <c r="P2081" s="91"/>
      <c r="S2081" s="91"/>
      <c r="T2081" s="91"/>
      <c r="U2081" s="91"/>
      <c r="V2081" s="91"/>
      <c r="W2081" s="91"/>
    </row>
    <row r="2082">
      <c r="A2082" s="91"/>
      <c r="D2082" s="91"/>
      <c r="G2082" s="91"/>
      <c r="J2082" s="91"/>
      <c r="M2082" s="91"/>
      <c r="P2082" s="91"/>
      <c r="S2082" s="91"/>
      <c r="T2082" s="91"/>
      <c r="U2082" s="91"/>
      <c r="V2082" s="91"/>
      <c r="W2082" s="91"/>
    </row>
    <row r="2083">
      <c r="A2083" s="91"/>
      <c r="D2083" s="91"/>
      <c r="G2083" s="91"/>
      <c r="J2083" s="91"/>
      <c r="M2083" s="91"/>
      <c r="P2083" s="91"/>
      <c r="S2083" s="91"/>
      <c r="T2083" s="91"/>
      <c r="U2083" s="91"/>
      <c r="V2083" s="91"/>
      <c r="W2083" s="91"/>
    </row>
    <row r="2084">
      <c r="A2084" s="91"/>
      <c r="D2084" s="91"/>
      <c r="G2084" s="91"/>
      <c r="J2084" s="91"/>
      <c r="M2084" s="91"/>
      <c r="P2084" s="91"/>
      <c r="S2084" s="91"/>
      <c r="T2084" s="91"/>
      <c r="U2084" s="91"/>
      <c r="V2084" s="91"/>
      <c r="W2084" s="91"/>
    </row>
    <row r="2085">
      <c r="A2085" s="91"/>
      <c r="D2085" s="91"/>
      <c r="G2085" s="91"/>
      <c r="J2085" s="91"/>
      <c r="M2085" s="91"/>
      <c r="P2085" s="91"/>
      <c r="S2085" s="91"/>
      <c r="T2085" s="91"/>
      <c r="U2085" s="91"/>
      <c r="V2085" s="91"/>
      <c r="W2085" s="91"/>
    </row>
    <row r="2086">
      <c r="A2086" s="91"/>
      <c r="D2086" s="91"/>
      <c r="G2086" s="91"/>
      <c r="J2086" s="91"/>
      <c r="M2086" s="91"/>
      <c r="P2086" s="91"/>
      <c r="S2086" s="91"/>
      <c r="T2086" s="91"/>
      <c r="U2086" s="91"/>
      <c r="V2086" s="91"/>
      <c r="W2086" s="91"/>
    </row>
    <row r="2087">
      <c r="A2087" s="91"/>
      <c r="D2087" s="91"/>
      <c r="G2087" s="91"/>
      <c r="J2087" s="91"/>
      <c r="M2087" s="91"/>
      <c r="P2087" s="91"/>
      <c r="S2087" s="91"/>
      <c r="T2087" s="91"/>
      <c r="U2087" s="91"/>
      <c r="V2087" s="91"/>
      <c r="W2087" s="91"/>
    </row>
    <row r="2088">
      <c r="A2088" s="91"/>
      <c r="D2088" s="91"/>
      <c r="G2088" s="91"/>
      <c r="J2088" s="91"/>
      <c r="M2088" s="91"/>
      <c r="P2088" s="91"/>
      <c r="S2088" s="91"/>
      <c r="T2088" s="91"/>
      <c r="U2088" s="91"/>
      <c r="V2088" s="91"/>
      <c r="W2088" s="91"/>
    </row>
    <row r="2089">
      <c r="A2089" s="91"/>
      <c r="D2089" s="91"/>
      <c r="G2089" s="91"/>
      <c r="J2089" s="91"/>
      <c r="M2089" s="91"/>
      <c r="P2089" s="91"/>
      <c r="S2089" s="91"/>
      <c r="T2089" s="91"/>
      <c r="U2089" s="91"/>
      <c r="V2089" s="91"/>
      <c r="W2089" s="91"/>
    </row>
    <row r="2090">
      <c r="A2090" s="91"/>
      <c r="D2090" s="91"/>
      <c r="G2090" s="91"/>
      <c r="J2090" s="91"/>
      <c r="M2090" s="91"/>
      <c r="P2090" s="91"/>
      <c r="S2090" s="91"/>
      <c r="T2090" s="91"/>
      <c r="U2090" s="91"/>
      <c r="V2090" s="91"/>
      <c r="W2090" s="91"/>
    </row>
    <row r="2091">
      <c r="A2091" s="91"/>
      <c r="D2091" s="91"/>
      <c r="G2091" s="91"/>
      <c r="J2091" s="91"/>
      <c r="M2091" s="91"/>
      <c r="P2091" s="91"/>
      <c r="S2091" s="91"/>
      <c r="T2091" s="91"/>
      <c r="U2091" s="91"/>
      <c r="V2091" s="91"/>
      <c r="W2091" s="91"/>
    </row>
    <row r="2092">
      <c r="A2092" s="91"/>
      <c r="D2092" s="91"/>
      <c r="G2092" s="91"/>
      <c r="J2092" s="91"/>
      <c r="M2092" s="91"/>
      <c r="P2092" s="91"/>
      <c r="S2092" s="91"/>
      <c r="T2092" s="91"/>
      <c r="U2092" s="91"/>
      <c r="V2092" s="91"/>
      <c r="W2092" s="91"/>
    </row>
    <row r="2093">
      <c r="A2093" s="91"/>
      <c r="D2093" s="91"/>
      <c r="G2093" s="91"/>
      <c r="J2093" s="91"/>
      <c r="M2093" s="91"/>
      <c r="P2093" s="91"/>
      <c r="S2093" s="91"/>
      <c r="T2093" s="91"/>
      <c r="U2093" s="91"/>
      <c r="V2093" s="91"/>
      <c r="W2093" s="91"/>
    </row>
    <row r="2094">
      <c r="A2094" s="91"/>
      <c r="D2094" s="91"/>
      <c r="G2094" s="91"/>
      <c r="J2094" s="91"/>
      <c r="M2094" s="91"/>
      <c r="P2094" s="91"/>
      <c r="S2094" s="91"/>
      <c r="T2094" s="91"/>
      <c r="U2094" s="91"/>
      <c r="V2094" s="91"/>
      <c r="W2094" s="91"/>
    </row>
    <row r="2095">
      <c r="A2095" s="91"/>
      <c r="D2095" s="91"/>
      <c r="G2095" s="91"/>
      <c r="J2095" s="91"/>
      <c r="M2095" s="91"/>
      <c r="P2095" s="91"/>
      <c r="S2095" s="91"/>
      <c r="T2095" s="91"/>
      <c r="U2095" s="91"/>
      <c r="V2095" s="91"/>
      <c r="W2095" s="91"/>
    </row>
    <row r="2096">
      <c r="A2096" s="91"/>
      <c r="D2096" s="91"/>
      <c r="G2096" s="91"/>
      <c r="J2096" s="91"/>
      <c r="M2096" s="91"/>
      <c r="P2096" s="91"/>
      <c r="S2096" s="91"/>
      <c r="T2096" s="91"/>
      <c r="U2096" s="91"/>
      <c r="V2096" s="91"/>
      <c r="W2096" s="91"/>
    </row>
    <row r="2097">
      <c r="A2097" s="91"/>
      <c r="D2097" s="91"/>
      <c r="G2097" s="91"/>
      <c r="J2097" s="91"/>
      <c r="M2097" s="91"/>
      <c r="P2097" s="91"/>
      <c r="S2097" s="91"/>
      <c r="T2097" s="91"/>
      <c r="U2097" s="91"/>
      <c r="V2097" s="91"/>
      <c r="W2097" s="91"/>
    </row>
    <row r="2098">
      <c r="A2098" s="91"/>
      <c r="D2098" s="91"/>
      <c r="G2098" s="91"/>
      <c r="J2098" s="91"/>
      <c r="M2098" s="91"/>
      <c r="P2098" s="91"/>
      <c r="S2098" s="91"/>
      <c r="T2098" s="91"/>
      <c r="U2098" s="91"/>
      <c r="V2098" s="91"/>
      <c r="W2098" s="91"/>
    </row>
    <row r="2099">
      <c r="A2099" s="91"/>
      <c r="D2099" s="91"/>
      <c r="G2099" s="91"/>
      <c r="J2099" s="91"/>
      <c r="M2099" s="91"/>
      <c r="P2099" s="91"/>
      <c r="S2099" s="91"/>
      <c r="T2099" s="91"/>
      <c r="U2099" s="91"/>
      <c r="V2099" s="91"/>
      <c r="W2099" s="91"/>
    </row>
    <row r="2100">
      <c r="A2100" s="91"/>
      <c r="D2100" s="91"/>
      <c r="G2100" s="91"/>
      <c r="J2100" s="91"/>
      <c r="M2100" s="91"/>
      <c r="P2100" s="91"/>
      <c r="S2100" s="91"/>
      <c r="T2100" s="91"/>
      <c r="U2100" s="91"/>
      <c r="V2100" s="91"/>
      <c r="W2100" s="91"/>
    </row>
    <row r="2101">
      <c r="A2101" s="91"/>
      <c r="D2101" s="91"/>
      <c r="G2101" s="91"/>
      <c r="J2101" s="91"/>
      <c r="M2101" s="91"/>
      <c r="P2101" s="91"/>
      <c r="S2101" s="91"/>
      <c r="T2101" s="91"/>
      <c r="U2101" s="91"/>
      <c r="V2101" s="91"/>
      <c r="W2101" s="91"/>
    </row>
    <row r="2102">
      <c r="A2102" s="91"/>
      <c r="D2102" s="91"/>
      <c r="G2102" s="91"/>
      <c r="J2102" s="91"/>
      <c r="M2102" s="91"/>
      <c r="P2102" s="91"/>
      <c r="S2102" s="91"/>
      <c r="T2102" s="91"/>
      <c r="U2102" s="91"/>
      <c r="V2102" s="91"/>
      <c r="W2102" s="91"/>
    </row>
    <row r="2103">
      <c r="A2103" s="91"/>
      <c r="D2103" s="91"/>
      <c r="G2103" s="91"/>
      <c r="J2103" s="91"/>
      <c r="M2103" s="91"/>
      <c r="P2103" s="91"/>
      <c r="S2103" s="91"/>
      <c r="T2103" s="91"/>
      <c r="U2103" s="91"/>
      <c r="V2103" s="91"/>
      <c r="W2103" s="91"/>
    </row>
    <row r="2104">
      <c r="A2104" s="91"/>
      <c r="D2104" s="91"/>
      <c r="G2104" s="91"/>
      <c r="J2104" s="91"/>
      <c r="M2104" s="91"/>
      <c r="P2104" s="91"/>
      <c r="S2104" s="91"/>
      <c r="T2104" s="91"/>
      <c r="U2104" s="91"/>
      <c r="V2104" s="91"/>
      <c r="W2104" s="91"/>
    </row>
    <row r="2105">
      <c r="A2105" s="91"/>
      <c r="D2105" s="91"/>
      <c r="G2105" s="91"/>
      <c r="J2105" s="91"/>
      <c r="M2105" s="91"/>
      <c r="P2105" s="91"/>
      <c r="S2105" s="91"/>
      <c r="T2105" s="91"/>
      <c r="U2105" s="91"/>
      <c r="V2105" s="91"/>
      <c r="W2105" s="91"/>
    </row>
    <row r="2106">
      <c r="A2106" s="91"/>
      <c r="D2106" s="91"/>
      <c r="G2106" s="91"/>
      <c r="J2106" s="91"/>
      <c r="M2106" s="91"/>
      <c r="P2106" s="91"/>
      <c r="S2106" s="91"/>
      <c r="T2106" s="91"/>
      <c r="U2106" s="91"/>
      <c r="V2106" s="91"/>
      <c r="W2106" s="91"/>
    </row>
    <row r="2107">
      <c r="A2107" s="91"/>
      <c r="D2107" s="91"/>
      <c r="G2107" s="91"/>
      <c r="J2107" s="91"/>
      <c r="M2107" s="91"/>
      <c r="P2107" s="91"/>
      <c r="S2107" s="91"/>
      <c r="T2107" s="91"/>
      <c r="U2107" s="91"/>
      <c r="V2107" s="91"/>
      <c r="W2107" s="91"/>
    </row>
    <row r="2108">
      <c r="A2108" s="91"/>
      <c r="D2108" s="91"/>
      <c r="G2108" s="91"/>
      <c r="J2108" s="91"/>
      <c r="M2108" s="91"/>
      <c r="P2108" s="91"/>
      <c r="S2108" s="91"/>
      <c r="T2108" s="91"/>
      <c r="U2108" s="91"/>
      <c r="V2108" s="91"/>
      <c r="W2108" s="91"/>
    </row>
    <row r="2109">
      <c r="A2109" s="91"/>
      <c r="D2109" s="91"/>
      <c r="G2109" s="91"/>
      <c r="J2109" s="91"/>
      <c r="M2109" s="91"/>
      <c r="P2109" s="91"/>
      <c r="S2109" s="91"/>
      <c r="T2109" s="91"/>
      <c r="U2109" s="91"/>
      <c r="V2109" s="91"/>
      <c r="W2109" s="91"/>
    </row>
    <row r="2110">
      <c r="A2110" s="91"/>
      <c r="D2110" s="91"/>
      <c r="G2110" s="91"/>
      <c r="J2110" s="91"/>
      <c r="M2110" s="91"/>
      <c r="P2110" s="91"/>
      <c r="S2110" s="91"/>
      <c r="T2110" s="91"/>
      <c r="U2110" s="91"/>
      <c r="V2110" s="91"/>
      <c r="W2110" s="91"/>
    </row>
    <row r="2111">
      <c r="A2111" s="91"/>
      <c r="D2111" s="91"/>
      <c r="G2111" s="91"/>
      <c r="J2111" s="91"/>
      <c r="M2111" s="91"/>
      <c r="P2111" s="91"/>
      <c r="S2111" s="91"/>
      <c r="T2111" s="91"/>
      <c r="U2111" s="91"/>
      <c r="V2111" s="91"/>
      <c r="W2111" s="91"/>
    </row>
    <row r="2112">
      <c r="A2112" s="91"/>
      <c r="D2112" s="91"/>
      <c r="G2112" s="91"/>
      <c r="J2112" s="91"/>
      <c r="M2112" s="91"/>
      <c r="P2112" s="91"/>
      <c r="S2112" s="91"/>
      <c r="T2112" s="91"/>
      <c r="U2112" s="91"/>
      <c r="V2112" s="91"/>
      <c r="W2112" s="91"/>
    </row>
    <row r="2113">
      <c r="A2113" s="91"/>
      <c r="D2113" s="91"/>
      <c r="G2113" s="91"/>
      <c r="J2113" s="91"/>
      <c r="M2113" s="91"/>
      <c r="P2113" s="91"/>
      <c r="S2113" s="91"/>
      <c r="T2113" s="91"/>
      <c r="U2113" s="91"/>
      <c r="V2113" s="91"/>
      <c r="W2113" s="91"/>
    </row>
    <row r="2114">
      <c r="A2114" s="91"/>
      <c r="D2114" s="91"/>
      <c r="G2114" s="91"/>
      <c r="J2114" s="91"/>
      <c r="M2114" s="91"/>
      <c r="P2114" s="91"/>
      <c r="S2114" s="91"/>
      <c r="T2114" s="91"/>
      <c r="U2114" s="91"/>
      <c r="V2114" s="91"/>
      <c r="W2114" s="91"/>
    </row>
    <row r="2115">
      <c r="A2115" s="91"/>
      <c r="D2115" s="91"/>
      <c r="G2115" s="91"/>
      <c r="J2115" s="91"/>
      <c r="M2115" s="91"/>
      <c r="P2115" s="91"/>
      <c r="S2115" s="91"/>
      <c r="T2115" s="91"/>
      <c r="U2115" s="91"/>
      <c r="V2115" s="91"/>
      <c r="W2115" s="91"/>
    </row>
    <row r="2116">
      <c r="A2116" s="91"/>
      <c r="D2116" s="91"/>
      <c r="G2116" s="91"/>
      <c r="J2116" s="91"/>
      <c r="M2116" s="91"/>
      <c r="P2116" s="91"/>
      <c r="S2116" s="91"/>
      <c r="T2116" s="91"/>
      <c r="U2116" s="91"/>
      <c r="V2116" s="91"/>
      <c r="W2116" s="91"/>
    </row>
    <row r="2117">
      <c r="A2117" s="91"/>
      <c r="D2117" s="91"/>
      <c r="G2117" s="91"/>
      <c r="J2117" s="91"/>
      <c r="M2117" s="91"/>
      <c r="P2117" s="91"/>
      <c r="S2117" s="91"/>
      <c r="T2117" s="91"/>
      <c r="U2117" s="91"/>
      <c r="V2117" s="91"/>
      <c r="W2117" s="91"/>
    </row>
    <row r="2118">
      <c r="A2118" s="91"/>
      <c r="D2118" s="91"/>
      <c r="G2118" s="91"/>
      <c r="J2118" s="91"/>
      <c r="M2118" s="91"/>
      <c r="P2118" s="91"/>
      <c r="S2118" s="91"/>
      <c r="T2118" s="91"/>
      <c r="U2118" s="91"/>
      <c r="V2118" s="91"/>
      <c r="W2118" s="91"/>
    </row>
    <row r="2119">
      <c r="A2119" s="91"/>
      <c r="D2119" s="91"/>
      <c r="G2119" s="91"/>
      <c r="J2119" s="91"/>
      <c r="M2119" s="91"/>
      <c r="P2119" s="91"/>
      <c r="S2119" s="91"/>
      <c r="T2119" s="91"/>
      <c r="U2119" s="91"/>
      <c r="V2119" s="91"/>
      <c r="W2119" s="91"/>
    </row>
    <row r="2120">
      <c r="A2120" s="91"/>
      <c r="D2120" s="91"/>
      <c r="G2120" s="91"/>
      <c r="J2120" s="91"/>
      <c r="M2120" s="91"/>
      <c r="P2120" s="91"/>
      <c r="S2120" s="91"/>
      <c r="T2120" s="91"/>
      <c r="U2120" s="91"/>
      <c r="V2120" s="91"/>
      <c r="W2120" s="91"/>
    </row>
    <row r="2121">
      <c r="A2121" s="91"/>
      <c r="D2121" s="91"/>
      <c r="G2121" s="91"/>
      <c r="J2121" s="91"/>
      <c r="M2121" s="91"/>
      <c r="P2121" s="91"/>
      <c r="S2121" s="91"/>
      <c r="T2121" s="91"/>
      <c r="U2121" s="91"/>
      <c r="V2121" s="91"/>
      <c r="W2121" s="91"/>
    </row>
    <row r="2122">
      <c r="A2122" s="91"/>
      <c r="D2122" s="91"/>
      <c r="G2122" s="91"/>
      <c r="J2122" s="91"/>
      <c r="M2122" s="91"/>
      <c r="P2122" s="91"/>
      <c r="S2122" s="91"/>
      <c r="T2122" s="91"/>
      <c r="U2122" s="91"/>
      <c r="V2122" s="91"/>
      <c r="W2122" s="91"/>
    </row>
    <row r="2123">
      <c r="A2123" s="91"/>
      <c r="D2123" s="91"/>
      <c r="G2123" s="91"/>
      <c r="J2123" s="91"/>
      <c r="M2123" s="91"/>
      <c r="P2123" s="91"/>
      <c r="S2123" s="91"/>
      <c r="T2123" s="91"/>
      <c r="U2123" s="91"/>
      <c r="V2123" s="91"/>
      <c r="W2123" s="91"/>
    </row>
    <row r="2124">
      <c r="A2124" s="91"/>
      <c r="D2124" s="91"/>
      <c r="G2124" s="91"/>
      <c r="J2124" s="91"/>
      <c r="M2124" s="91"/>
      <c r="P2124" s="91"/>
      <c r="S2124" s="91"/>
      <c r="T2124" s="91"/>
      <c r="U2124" s="91"/>
      <c r="V2124" s="91"/>
      <c r="W2124" s="91"/>
    </row>
    <row r="2125">
      <c r="A2125" s="91"/>
      <c r="D2125" s="91"/>
      <c r="G2125" s="91"/>
      <c r="J2125" s="91"/>
      <c r="M2125" s="91"/>
      <c r="P2125" s="91"/>
      <c r="S2125" s="91"/>
      <c r="T2125" s="91"/>
      <c r="U2125" s="91"/>
      <c r="V2125" s="91"/>
      <c r="W2125" s="91"/>
    </row>
    <row r="2126">
      <c r="A2126" s="91"/>
      <c r="D2126" s="91"/>
      <c r="G2126" s="91"/>
      <c r="J2126" s="91"/>
      <c r="M2126" s="91"/>
      <c r="P2126" s="91"/>
      <c r="S2126" s="91"/>
      <c r="T2126" s="91"/>
      <c r="U2126" s="91"/>
      <c r="V2126" s="91"/>
      <c r="W2126" s="91"/>
    </row>
    <row r="2127">
      <c r="A2127" s="91"/>
      <c r="D2127" s="91"/>
      <c r="G2127" s="91"/>
      <c r="J2127" s="91"/>
      <c r="M2127" s="91"/>
      <c r="P2127" s="91"/>
      <c r="S2127" s="91"/>
      <c r="T2127" s="91"/>
      <c r="U2127" s="91"/>
      <c r="V2127" s="91"/>
      <c r="W2127" s="91"/>
    </row>
    <row r="2128">
      <c r="A2128" s="91"/>
      <c r="D2128" s="91"/>
      <c r="G2128" s="91"/>
      <c r="J2128" s="91"/>
      <c r="M2128" s="91"/>
      <c r="P2128" s="91"/>
      <c r="S2128" s="91"/>
      <c r="T2128" s="91"/>
      <c r="U2128" s="91"/>
      <c r="V2128" s="91"/>
      <c r="W2128" s="91"/>
    </row>
    <row r="2129">
      <c r="A2129" s="91"/>
      <c r="D2129" s="91"/>
      <c r="G2129" s="91"/>
      <c r="J2129" s="91"/>
      <c r="M2129" s="91"/>
      <c r="P2129" s="91"/>
      <c r="S2129" s="91"/>
      <c r="T2129" s="91"/>
      <c r="U2129" s="91"/>
      <c r="V2129" s="91"/>
      <c r="W2129" s="91"/>
    </row>
    <row r="2130">
      <c r="A2130" s="91"/>
      <c r="D2130" s="91"/>
      <c r="G2130" s="91"/>
      <c r="J2130" s="91"/>
      <c r="M2130" s="91"/>
      <c r="P2130" s="91"/>
      <c r="S2130" s="91"/>
      <c r="T2130" s="91"/>
      <c r="U2130" s="91"/>
      <c r="V2130" s="91"/>
      <c r="W2130" s="91"/>
    </row>
    <row r="2131">
      <c r="A2131" s="91"/>
      <c r="D2131" s="91"/>
      <c r="G2131" s="91"/>
      <c r="J2131" s="91"/>
      <c r="M2131" s="91"/>
      <c r="P2131" s="91"/>
      <c r="S2131" s="91"/>
      <c r="T2131" s="91"/>
      <c r="U2131" s="91"/>
      <c r="V2131" s="91"/>
      <c r="W2131" s="91"/>
    </row>
    <row r="2132">
      <c r="A2132" s="91"/>
      <c r="D2132" s="91"/>
      <c r="G2132" s="91"/>
      <c r="J2132" s="91"/>
      <c r="M2132" s="91"/>
      <c r="P2132" s="91"/>
      <c r="S2132" s="91"/>
      <c r="T2132" s="91"/>
      <c r="U2132" s="91"/>
      <c r="V2132" s="91"/>
      <c r="W2132" s="91"/>
    </row>
    <row r="2133">
      <c r="A2133" s="91"/>
      <c r="D2133" s="91"/>
      <c r="G2133" s="91"/>
      <c r="J2133" s="91"/>
      <c r="M2133" s="91"/>
      <c r="P2133" s="91"/>
      <c r="S2133" s="91"/>
      <c r="T2133" s="91"/>
      <c r="U2133" s="91"/>
      <c r="V2133" s="91"/>
      <c r="W2133" s="91"/>
    </row>
    <row r="2134">
      <c r="A2134" s="91"/>
      <c r="D2134" s="91"/>
      <c r="G2134" s="91"/>
      <c r="J2134" s="91"/>
      <c r="M2134" s="91"/>
      <c r="P2134" s="91"/>
      <c r="S2134" s="91"/>
      <c r="T2134" s="91"/>
      <c r="U2134" s="91"/>
      <c r="V2134" s="91"/>
      <c r="W2134" s="91"/>
    </row>
    <row r="2135">
      <c r="A2135" s="91"/>
      <c r="D2135" s="91"/>
      <c r="G2135" s="91"/>
      <c r="J2135" s="91"/>
      <c r="M2135" s="91"/>
      <c r="P2135" s="91"/>
      <c r="S2135" s="91"/>
      <c r="T2135" s="91"/>
      <c r="U2135" s="91"/>
      <c r="V2135" s="91"/>
      <c r="W2135" s="91"/>
    </row>
    <row r="2136">
      <c r="A2136" s="91"/>
      <c r="D2136" s="91"/>
      <c r="G2136" s="91"/>
      <c r="J2136" s="91"/>
      <c r="M2136" s="91"/>
      <c r="P2136" s="91"/>
      <c r="S2136" s="91"/>
      <c r="T2136" s="91"/>
      <c r="U2136" s="91"/>
      <c r="V2136" s="91"/>
      <c r="W2136" s="91"/>
    </row>
    <row r="2137">
      <c r="A2137" s="91"/>
      <c r="D2137" s="91"/>
      <c r="G2137" s="91"/>
      <c r="J2137" s="91"/>
      <c r="M2137" s="91"/>
      <c r="P2137" s="91"/>
      <c r="S2137" s="91"/>
      <c r="T2137" s="91"/>
      <c r="U2137" s="91"/>
      <c r="V2137" s="91"/>
      <c r="W2137" s="91"/>
    </row>
    <row r="2138">
      <c r="A2138" s="91"/>
      <c r="D2138" s="91"/>
      <c r="G2138" s="91"/>
      <c r="J2138" s="91"/>
      <c r="M2138" s="91"/>
      <c r="P2138" s="91"/>
      <c r="S2138" s="91"/>
      <c r="T2138" s="91"/>
      <c r="U2138" s="91"/>
      <c r="V2138" s="91"/>
      <c r="W2138" s="91"/>
    </row>
    <row r="2139">
      <c r="A2139" s="91"/>
      <c r="D2139" s="91"/>
      <c r="G2139" s="91"/>
      <c r="J2139" s="91"/>
      <c r="M2139" s="91"/>
      <c r="P2139" s="91"/>
      <c r="S2139" s="91"/>
      <c r="T2139" s="91"/>
      <c r="U2139" s="91"/>
      <c r="V2139" s="91"/>
      <c r="W2139" s="91"/>
    </row>
    <row r="2140">
      <c r="A2140" s="91"/>
      <c r="D2140" s="91"/>
      <c r="G2140" s="91"/>
      <c r="J2140" s="91"/>
      <c r="M2140" s="91"/>
      <c r="P2140" s="91"/>
      <c r="S2140" s="91"/>
      <c r="T2140" s="91"/>
      <c r="U2140" s="91"/>
      <c r="V2140" s="91"/>
      <c r="W2140" s="91"/>
    </row>
    <row r="2141">
      <c r="A2141" s="91"/>
      <c r="D2141" s="91"/>
      <c r="G2141" s="91"/>
      <c r="J2141" s="91"/>
      <c r="M2141" s="91"/>
      <c r="P2141" s="91"/>
      <c r="S2141" s="91"/>
      <c r="T2141" s="91"/>
      <c r="U2141" s="91"/>
      <c r="V2141" s="91"/>
      <c r="W2141" s="91"/>
    </row>
    <row r="2142">
      <c r="A2142" s="91"/>
      <c r="D2142" s="91"/>
      <c r="G2142" s="91"/>
      <c r="J2142" s="91"/>
      <c r="M2142" s="91"/>
      <c r="P2142" s="91"/>
      <c r="S2142" s="91"/>
      <c r="T2142" s="91"/>
      <c r="U2142" s="91"/>
      <c r="V2142" s="91"/>
      <c r="W2142" s="91"/>
    </row>
    <row r="2143">
      <c r="A2143" s="91"/>
      <c r="D2143" s="91"/>
      <c r="G2143" s="91"/>
      <c r="J2143" s="91"/>
      <c r="M2143" s="91"/>
      <c r="P2143" s="91"/>
      <c r="S2143" s="91"/>
      <c r="T2143" s="91"/>
      <c r="U2143" s="91"/>
      <c r="V2143" s="91"/>
      <c r="W2143" s="91"/>
    </row>
    <row r="2144">
      <c r="A2144" s="91"/>
      <c r="D2144" s="91"/>
      <c r="G2144" s="91"/>
      <c r="J2144" s="91"/>
      <c r="M2144" s="91"/>
      <c r="P2144" s="91"/>
      <c r="S2144" s="91"/>
      <c r="T2144" s="91"/>
      <c r="U2144" s="91"/>
      <c r="V2144" s="91"/>
      <c r="W2144" s="91"/>
    </row>
    <row r="2145">
      <c r="A2145" s="91"/>
      <c r="D2145" s="91"/>
      <c r="G2145" s="91"/>
      <c r="J2145" s="91"/>
      <c r="M2145" s="91"/>
      <c r="P2145" s="91"/>
      <c r="S2145" s="91"/>
      <c r="T2145" s="91"/>
      <c r="U2145" s="91"/>
      <c r="V2145" s="91"/>
      <c r="W2145" s="91"/>
    </row>
    <row r="2146">
      <c r="A2146" s="91"/>
      <c r="D2146" s="91"/>
      <c r="G2146" s="91"/>
      <c r="J2146" s="91"/>
      <c r="M2146" s="91"/>
      <c r="P2146" s="91"/>
      <c r="S2146" s="91"/>
      <c r="T2146" s="91"/>
      <c r="U2146" s="91"/>
      <c r="V2146" s="91"/>
      <c r="W2146" s="91"/>
    </row>
    <row r="2147">
      <c r="A2147" s="91"/>
      <c r="D2147" s="91"/>
      <c r="G2147" s="91"/>
      <c r="J2147" s="91"/>
      <c r="M2147" s="91"/>
      <c r="P2147" s="91"/>
      <c r="S2147" s="91"/>
      <c r="T2147" s="91"/>
      <c r="U2147" s="91"/>
      <c r="V2147" s="91"/>
      <c r="W2147" s="91"/>
    </row>
    <row r="2148">
      <c r="A2148" s="91"/>
      <c r="D2148" s="91"/>
      <c r="G2148" s="91"/>
      <c r="J2148" s="91"/>
      <c r="M2148" s="91"/>
      <c r="P2148" s="91"/>
      <c r="S2148" s="91"/>
      <c r="T2148" s="91"/>
      <c r="U2148" s="91"/>
      <c r="V2148" s="91"/>
      <c r="W2148" s="91"/>
    </row>
    <row r="2149">
      <c r="A2149" s="91"/>
      <c r="D2149" s="91"/>
      <c r="G2149" s="91"/>
      <c r="J2149" s="91"/>
      <c r="M2149" s="91"/>
      <c r="P2149" s="91"/>
      <c r="S2149" s="91"/>
      <c r="T2149" s="91"/>
      <c r="U2149" s="91"/>
      <c r="V2149" s="91"/>
      <c r="W2149" s="91"/>
    </row>
    <row r="2150">
      <c r="A2150" s="91"/>
      <c r="D2150" s="91"/>
      <c r="G2150" s="91"/>
      <c r="J2150" s="91"/>
      <c r="M2150" s="91"/>
      <c r="P2150" s="91"/>
      <c r="S2150" s="91"/>
      <c r="T2150" s="91"/>
      <c r="U2150" s="91"/>
      <c r="V2150" s="91"/>
      <c r="W2150" s="91"/>
    </row>
    <row r="2151">
      <c r="A2151" s="91"/>
      <c r="D2151" s="91"/>
      <c r="G2151" s="91"/>
      <c r="J2151" s="91"/>
      <c r="M2151" s="91"/>
      <c r="P2151" s="91"/>
      <c r="S2151" s="91"/>
      <c r="T2151" s="91"/>
      <c r="U2151" s="91"/>
      <c r="V2151" s="91"/>
      <c r="W2151" s="91"/>
    </row>
    <row r="2152">
      <c r="A2152" s="91"/>
      <c r="D2152" s="91"/>
      <c r="G2152" s="91"/>
      <c r="J2152" s="91"/>
      <c r="M2152" s="91"/>
      <c r="P2152" s="91"/>
      <c r="S2152" s="91"/>
      <c r="T2152" s="91"/>
      <c r="U2152" s="91"/>
      <c r="V2152" s="91"/>
      <c r="W2152" s="91"/>
    </row>
    <row r="2153">
      <c r="A2153" s="91"/>
      <c r="D2153" s="91"/>
      <c r="G2153" s="91"/>
      <c r="J2153" s="91"/>
      <c r="M2153" s="91"/>
      <c r="P2153" s="91"/>
      <c r="S2153" s="91"/>
      <c r="T2153" s="91"/>
      <c r="U2153" s="91"/>
      <c r="V2153" s="91"/>
      <c r="W2153" s="91"/>
    </row>
    <row r="2154">
      <c r="A2154" s="91"/>
      <c r="D2154" s="91"/>
      <c r="G2154" s="91"/>
      <c r="J2154" s="91"/>
      <c r="M2154" s="91"/>
      <c r="P2154" s="91"/>
      <c r="S2154" s="91"/>
      <c r="T2154" s="91"/>
      <c r="U2154" s="91"/>
      <c r="V2154" s="91"/>
      <c r="W2154" s="91"/>
    </row>
    <row r="2155">
      <c r="A2155" s="91"/>
      <c r="D2155" s="91"/>
      <c r="G2155" s="91"/>
      <c r="J2155" s="91"/>
      <c r="M2155" s="91"/>
      <c r="P2155" s="91"/>
      <c r="S2155" s="91"/>
      <c r="T2155" s="91"/>
      <c r="U2155" s="91"/>
      <c r="V2155" s="91"/>
      <c r="W2155" s="91"/>
    </row>
    <row r="2156">
      <c r="A2156" s="91"/>
      <c r="D2156" s="91"/>
      <c r="G2156" s="91"/>
      <c r="J2156" s="91"/>
      <c r="M2156" s="91"/>
      <c r="P2156" s="91"/>
      <c r="S2156" s="91"/>
      <c r="T2156" s="91"/>
      <c r="U2156" s="91"/>
      <c r="V2156" s="91"/>
      <c r="W2156" s="91"/>
    </row>
    <row r="2157">
      <c r="A2157" s="91"/>
      <c r="D2157" s="91"/>
      <c r="G2157" s="91"/>
      <c r="J2157" s="91"/>
      <c r="M2157" s="91"/>
      <c r="P2157" s="91"/>
      <c r="S2157" s="91"/>
      <c r="T2157" s="91"/>
      <c r="U2157" s="91"/>
      <c r="V2157" s="91"/>
      <c r="W2157" s="91"/>
    </row>
    <row r="2158">
      <c r="A2158" s="91"/>
      <c r="D2158" s="91"/>
      <c r="G2158" s="91"/>
      <c r="J2158" s="91"/>
      <c r="M2158" s="91"/>
      <c r="P2158" s="91"/>
      <c r="S2158" s="91"/>
      <c r="T2158" s="91"/>
      <c r="U2158" s="91"/>
      <c r="V2158" s="91"/>
      <c r="W2158" s="91"/>
    </row>
    <row r="2159">
      <c r="A2159" s="91"/>
      <c r="D2159" s="91"/>
      <c r="G2159" s="91"/>
      <c r="J2159" s="91"/>
      <c r="M2159" s="91"/>
      <c r="P2159" s="91"/>
      <c r="S2159" s="91"/>
      <c r="T2159" s="91"/>
      <c r="U2159" s="91"/>
      <c r="V2159" s="91"/>
      <c r="W2159" s="91"/>
    </row>
    <row r="2160">
      <c r="A2160" s="91"/>
      <c r="D2160" s="91"/>
      <c r="G2160" s="91"/>
      <c r="J2160" s="91"/>
      <c r="M2160" s="91"/>
      <c r="P2160" s="91"/>
      <c r="S2160" s="91"/>
      <c r="T2160" s="91"/>
      <c r="U2160" s="91"/>
      <c r="V2160" s="91"/>
      <c r="W2160" s="91"/>
    </row>
    <row r="2161">
      <c r="A2161" s="91"/>
      <c r="D2161" s="91"/>
      <c r="G2161" s="91"/>
      <c r="J2161" s="91"/>
      <c r="M2161" s="91"/>
      <c r="P2161" s="91"/>
      <c r="S2161" s="91"/>
      <c r="T2161" s="91"/>
      <c r="U2161" s="91"/>
      <c r="V2161" s="91"/>
      <c r="W2161" s="91"/>
    </row>
    <row r="2162">
      <c r="A2162" s="91"/>
      <c r="D2162" s="91"/>
      <c r="G2162" s="91"/>
      <c r="J2162" s="91"/>
      <c r="M2162" s="91"/>
      <c r="P2162" s="91"/>
      <c r="S2162" s="91"/>
      <c r="T2162" s="91"/>
      <c r="U2162" s="91"/>
      <c r="V2162" s="91"/>
      <c r="W2162" s="91"/>
    </row>
    <row r="2163">
      <c r="A2163" s="91"/>
      <c r="D2163" s="91"/>
      <c r="G2163" s="91"/>
      <c r="J2163" s="91"/>
      <c r="M2163" s="91"/>
      <c r="P2163" s="91"/>
      <c r="S2163" s="91"/>
      <c r="T2163" s="91"/>
      <c r="U2163" s="91"/>
      <c r="V2163" s="91"/>
      <c r="W2163" s="91"/>
    </row>
    <row r="2164">
      <c r="A2164" s="91"/>
      <c r="D2164" s="91"/>
      <c r="G2164" s="91"/>
      <c r="J2164" s="91"/>
      <c r="M2164" s="91"/>
      <c r="P2164" s="91"/>
      <c r="S2164" s="91"/>
      <c r="T2164" s="91"/>
      <c r="U2164" s="91"/>
      <c r="V2164" s="91"/>
      <c r="W2164" s="91"/>
    </row>
    <row r="2165">
      <c r="A2165" s="91"/>
      <c r="D2165" s="91"/>
      <c r="G2165" s="91"/>
      <c r="J2165" s="91"/>
      <c r="M2165" s="91"/>
      <c r="P2165" s="91"/>
      <c r="S2165" s="91"/>
      <c r="T2165" s="91"/>
      <c r="U2165" s="91"/>
      <c r="V2165" s="91"/>
      <c r="W2165" s="91"/>
    </row>
    <row r="2166">
      <c r="A2166" s="91"/>
      <c r="D2166" s="91"/>
      <c r="G2166" s="91"/>
      <c r="J2166" s="91"/>
      <c r="M2166" s="91"/>
      <c r="P2166" s="91"/>
      <c r="S2166" s="91"/>
      <c r="T2166" s="91"/>
      <c r="U2166" s="91"/>
      <c r="V2166" s="91"/>
      <c r="W2166" s="91"/>
    </row>
    <row r="2167">
      <c r="A2167" s="91"/>
      <c r="D2167" s="91"/>
      <c r="G2167" s="91"/>
      <c r="J2167" s="91"/>
      <c r="M2167" s="91"/>
      <c r="P2167" s="91"/>
      <c r="S2167" s="91"/>
      <c r="T2167" s="91"/>
      <c r="U2167" s="91"/>
      <c r="V2167" s="91"/>
      <c r="W2167" s="91"/>
    </row>
    <row r="2168">
      <c r="A2168" s="91"/>
      <c r="D2168" s="91"/>
      <c r="G2168" s="91"/>
      <c r="J2168" s="91"/>
      <c r="M2168" s="91"/>
      <c r="P2168" s="91"/>
      <c r="S2168" s="91"/>
      <c r="T2168" s="91"/>
      <c r="U2168" s="91"/>
      <c r="V2168" s="91"/>
      <c r="W2168" s="91"/>
    </row>
    <row r="2169">
      <c r="A2169" s="91"/>
      <c r="D2169" s="91"/>
      <c r="G2169" s="91"/>
      <c r="J2169" s="91"/>
      <c r="M2169" s="91"/>
      <c r="P2169" s="91"/>
      <c r="S2169" s="91"/>
      <c r="T2169" s="91"/>
      <c r="U2169" s="91"/>
      <c r="V2169" s="91"/>
      <c r="W2169" s="91"/>
    </row>
    <row r="2170">
      <c r="A2170" s="91"/>
      <c r="D2170" s="91"/>
      <c r="G2170" s="91"/>
      <c r="J2170" s="91"/>
      <c r="M2170" s="91"/>
      <c r="P2170" s="91"/>
      <c r="S2170" s="91"/>
      <c r="T2170" s="91"/>
      <c r="U2170" s="91"/>
      <c r="V2170" s="91"/>
      <c r="W2170" s="91"/>
    </row>
    <row r="2171">
      <c r="A2171" s="91"/>
      <c r="D2171" s="91"/>
      <c r="G2171" s="91"/>
      <c r="J2171" s="91"/>
      <c r="M2171" s="91"/>
      <c r="P2171" s="91"/>
      <c r="S2171" s="91"/>
      <c r="T2171" s="91"/>
      <c r="U2171" s="91"/>
      <c r="V2171" s="91"/>
      <c r="W2171" s="91"/>
    </row>
    <row r="2172">
      <c r="A2172" s="91"/>
      <c r="D2172" s="91"/>
      <c r="G2172" s="91"/>
      <c r="J2172" s="91"/>
      <c r="M2172" s="91"/>
      <c r="P2172" s="91"/>
      <c r="S2172" s="91"/>
      <c r="T2172" s="91"/>
      <c r="U2172" s="91"/>
      <c r="V2172" s="91"/>
      <c r="W2172" s="91"/>
    </row>
    <row r="2173">
      <c r="A2173" s="91"/>
      <c r="D2173" s="91"/>
      <c r="G2173" s="91"/>
      <c r="J2173" s="91"/>
      <c r="M2173" s="91"/>
      <c r="P2173" s="91"/>
      <c r="S2173" s="91"/>
      <c r="T2173" s="91"/>
      <c r="U2173" s="91"/>
      <c r="V2173" s="91"/>
      <c r="W2173" s="91"/>
    </row>
    <row r="2174">
      <c r="A2174" s="91"/>
      <c r="D2174" s="91"/>
      <c r="G2174" s="91"/>
      <c r="J2174" s="91"/>
      <c r="M2174" s="91"/>
      <c r="P2174" s="91"/>
      <c r="S2174" s="91"/>
      <c r="T2174" s="91"/>
      <c r="U2174" s="91"/>
      <c r="V2174" s="91"/>
      <c r="W2174" s="91"/>
    </row>
    <row r="2175">
      <c r="A2175" s="91"/>
      <c r="D2175" s="91"/>
      <c r="G2175" s="91"/>
      <c r="J2175" s="91"/>
      <c r="M2175" s="91"/>
      <c r="P2175" s="91"/>
      <c r="S2175" s="91"/>
      <c r="T2175" s="91"/>
      <c r="U2175" s="91"/>
      <c r="V2175" s="91"/>
      <c r="W2175" s="91"/>
    </row>
    <row r="2176">
      <c r="A2176" s="91"/>
      <c r="D2176" s="91"/>
      <c r="G2176" s="91"/>
      <c r="J2176" s="91"/>
      <c r="M2176" s="91"/>
      <c r="P2176" s="91"/>
      <c r="S2176" s="91"/>
      <c r="T2176" s="91"/>
      <c r="U2176" s="91"/>
      <c r="V2176" s="91"/>
      <c r="W2176" s="91"/>
    </row>
    <row r="2177">
      <c r="A2177" s="91"/>
      <c r="D2177" s="91"/>
      <c r="G2177" s="91"/>
      <c r="J2177" s="91"/>
      <c r="M2177" s="91"/>
      <c r="P2177" s="91"/>
      <c r="S2177" s="91"/>
      <c r="T2177" s="91"/>
      <c r="U2177" s="91"/>
      <c r="V2177" s="91"/>
      <c r="W2177" s="91"/>
    </row>
    <row r="2178">
      <c r="A2178" s="91"/>
      <c r="D2178" s="91"/>
      <c r="G2178" s="91"/>
      <c r="J2178" s="91"/>
      <c r="M2178" s="91"/>
      <c r="P2178" s="91"/>
      <c r="S2178" s="91"/>
      <c r="T2178" s="91"/>
      <c r="U2178" s="91"/>
      <c r="V2178" s="91"/>
      <c r="W2178" s="91"/>
    </row>
    <row r="2179">
      <c r="A2179" s="91"/>
      <c r="D2179" s="91"/>
      <c r="G2179" s="91"/>
      <c r="J2179" s="91"/>
      <c r="M2179" s="91"/>
      <c r="P2179" s="91"/>
      <c r="S2179" s="91"/>
      <c r="T2179" s="91"/>
      <c r="U2179" s="91"/>
      <c r="V2179" s="91"/>
      <c r="W2179" s="91"/>
    </row>
    <row r="2180">
      <c r="A2180" s="91"/>
      <c r="D2180" s="91"/>
      <c r="G2180" s="91"/>
      <c r="J2180" s="91"/>
      <c r="M2180" s="91"/>
      <c r="P2180" s="91"/>
      <c r="S2180" s="91"/>
      <c r="T2180" s="91"/>
      <c r="U2180" s="91"/>
      <c r="V2180" s="91"/>
      <c r="W2180" s="91"/>
    </row>
    <row r="2181">
      <c r="A2181" s="91"/>
      <c r="D2181" s="91"/>
      <c r="G2181" s="91"/>
      <c r="J2181" s="91"/>
      <c r="M2181" s="91"/>
      <c r="P2181" s="91"/>
      <c r="S2181" s="91"/>
      <c r="T2181" s="91"/>
      <c r="U2181" s="91"/>
      <c r="V2181" s="91"/>
      <c r="W2181" s="91"/>
    </row>
    <row r="2182">
      <c r="A2182" s="91"/>
      <c r="D2182" s="91"/>
      <c r="G2182" s="91"/>
      <c r="J2182" s="91"/>
      <c r="M2182" s="91"/>
      <c r="P2182" s="91"/>
      <c r="S2182" s="91"/>
      <c r="T2182" s="91"/>
      <c r="U2182" s="91"/>
      <c r="V2182" s="91"/>
      <c r="W2182" s="91"/>
    </row>
    <row r="2183">
      <c r="A2183" s="91"/>
      <c r="D2183" s="91"/>
      <c r="G2183" s="91"/>
      <c r="J2183" s="91"/>
      <c r="M2183" s="91"/>
      <c r="P2183" s="91"/>
      <c r="S2183" s="91"/>
      <c r="T2183" s="91"/>
      <c r="U2183" s="91"/>
      <c r="V2183" s="91"/>
      <c r="W2183" s="91"/>
    </row>
    <row r="2184">
      <c r="A2184" s="91"/>
      <c r="D2184" s="91"/>
      <c r="G2184" s="91"/>
      <c r="J2184" s="91"/>
      <c r="M2184" s="91"/>
      <c r="P2184" s="91"/>
      <c r="S2184" s="91"/>
      <c r="T2184" s="91"/>
      <c r="U2184" s="91"/>
      <c r="V2184" s="91"/>
      <c r="W2184" s="91"/>
    </row>
    <row r="2185">
      <c r="A2185" s="91"/>
      <c r="D2185" s="91"/>
      <c r="G2185" s="91"/>
      <c r="J2185" s="91"/>
      <c r="M2185" s="91"/>
      <c r="P2185" s="91"/>
      <c r="S2185" s="91"/>
      <c r="T2185" s="91"/>
      <c r="U2185" s="91"/>
      <c r="V2185" s="91"/>
      <c r="W2185" s="91"/>
    </row>
    <row r="2186">
      <c r="A2186" s="91"/>
      <c r="D2186" s="91"/>
      <c r="G2186" s="91"/>
      <c r="J2186" s="91"/>
      <c r="M2186" s="91"/>
      <c r="P2186" s="91"/>
      <c r="S2186" s="91"/>
      <c r="T2186" s="91"/>
      <c r="U2186" s="91"/>
      <c r="V2186" s="91"/>
      <c r="W2186" s="91"/>
    </row>
    <row r="2187">
      <c r="A2187" s="91"/>
      <c r="D2187" s="91"/>
      <c r="G2187" s="91"/>
      <c r="J2187" s="91"/>
      <c r="M2187" s="91"/>
      <c r="P2187" s="91"/>
      <c r="S2187" s="91"/>
      <c r="T2187" s="91"/>
      <c r="U2187" s="91"/>
      <c r="V2187" s="91"/>
      <c r="W2187" s="91"/>
    </row>
    <row r="2188">
      <c r="A2188" s="91"/>
      <c r="D2188" s="91"/>
      <c r="G2188" s="91"/>
      <c r="J2188" s="91"/>
      <c r="M2188" s="91"/>
      <c r="P2188" s="91"/>
      <c r="S2188" s="91"/>
      <c r="T2188" s="91"/>
      <c r="U2188" s="91"/>
      <c r="V2188" s="91"/>
      <c r="W2188" s="91"/>
    </row>
    <row r="2189">
      <c r="A2189" s="91"/>
      <c r="D2189" s="91"/>
      <c r="G2189" s="91"/>
      <c r="J2189" s="91"/>
      <c r="M2189" s="91"/>
      <c r="P2189" s="91"/>
      <c r="S2189" s="91"/>
      <c r="T2189" s="91"/>
      <c r="U2189" s="91"/>
      <c r="V2189" s="91"/>
      <c r="W2189" s="91"/>
    </row>
    <row r="2190">
      <c r="A2190" s="91"/>
      <c r="D2190" s="91"/>
      <c r="G2190" s="91"/>
      <c r="J2190" s="91"/>
      <c r="M2190" s="91"/>
      <c r="P2190" s="91"/>
      <c r="S2190" s="91"/>
      <c r="T2190" s="91"/>
      <c r="U2190" s="91"/>
      <c r="V2190" s="91"/>
      <c r="W2190" s="91"/>
    </row>
    <row r="2191">
      <c r="A2191" s="91"/>
      <c r="D2191" s="91"/>
      <c r="G2191" s="91"/>
      <c r="J2191" s="91"/>
      <c r="M2191" s="91"/>
      <c r="P2191" s="91"/>
      <c r="S2191" s="91"/>
      <c r="T2191" s="91"/>
      <c r="U2191" s="91"/>
      <c r="V2191" s="91"/>
      <c r="W2191" s="91"/>
    </row>
    <row r="2192">
      <c r="A2192" s="91"/>
      <c r="D2192" s="91"/>
      <c r="G2192" s="91"/>
      <c r="J2192" s="91"/>
      <c r="M2192" s="91"/>
      <c r="P2192" s="91"/>
      <c r="S2192" s="91"/>
      <c r="T2192" s="91"/>
      <c r="U2192" s="91"/>
      <c r="V2192" s="91"/>
      <c r="W2192" s="91"/>
    </row>
    <row r="2193">
      <c r="A2193" s="91"/>
      <c r="D2193" s="91"/>
      <c r="G2193" s="91"/>
      <c r="J2193" s="91"/>
      <c r="M2193" s="91"/>
      <c r="P2193" s="91"/>
      <c r="S2193" s="91"/>
      <c r="T2193" s="91"/>
      <c r="U2193" s="91"/>
      <c r="V2193" s="91"/>
      <c r="W2193" s="91"/>
    </row>
    <row r="2194">
      <c r="A2194" s="91"/>
      <c r="D2194" s="91"/>
      <c r="G2194" s="91"/>
      <c r="J2194" s="91"/>
      <c r="M2194" s="91"/>
      <c r="P2194" s="91"/>
      <c r="S2194" s="91"/>
      <c r="T2194" s="91"/>
      <c r="U2194" s="91"/>
      <c r="V2194" s="91"/>
      <c r="W2194" s="91"/>
    </row>
    <row r="2195">
      <c r="A2195" s="91"/>
      <c r="D2195" s="91"/>
      <c r="G2195" s="91"/>
      <c r="J2195" s="91"/>
      <c r="M2195" s="91"/>
      <c r="P2195" s="91"/>
      <c r="S2195" s="91"/>
      <c r="T2195" s="91"/>
      <c r="U2195" s="91"/>
      <c r="V2195" s="91"/>
      <c r="W2195" s="91"/>
    </row>
    <row r="2196">
      <c r="A2196" s="91"/>
      <c r="D2196" s="91"/>
      <c r="G2196" s="91"/>
      <c r="J2196" s="91"/>
      <c r="M2196" s="91"/>
      <c r="P2196" s="91"/>
      <c r="S2196" s="91"/>
      <c r="T2196" s="91"/>
      <c r="U2196" s="91"/>
      <c r="V2196" s="91"/>
      <c r="W2196" s="91"/>
    </row>
    <row r="2197">
      <c r="A2197" s="91"/>
      <c r="D2197" s="91"/>
      <c r="G2197" s="91"/>
      <c r="J2197" s="91"/>
      <c r="M2197" s="91"/>
      <c r="P2197" s="91"/>
      <c r="S2197" s="91"/>
      <c r="T2197" s="91"/>
      <c r="U2197" s="91"/>
      <c r="V2197" s="91"/>
      <c r="W2197" s="91"/>
    </row>
    <row r="2198">
      <c r="A2198" s="91"/>
      <c r="D2198" s="91"/>
      <c r="G2198" s="91"/>
      <c r="J2198" s="91"/>
      <c r="M2198" s="91"/>
      <c r="P2198" s="91"/>
      <c r="S2198" s="91"/>
      <c r="T2198" s="91"/>
      <c r="U2198" s="91"/>
      <c r="V2198" s="91"/>
      <c r="W2198" s="91"/>
    </row>
    <row r="2199">
      <c r="A2199" s="91"/>
      <c r="D2199" s="91"/>
      <c r="G2199" s="91"/>
      <c r="J2199" s="91"/>
      <c r="M2199" s="91"/>
      <c r="P2199" s="91"/>
      <c r="S2199" s="91"/>
      <c r="T2199" s="91"/>
      <c r="U2199" s="91"/>
      <c r="V2199" s="91"/>
      <c r="W2199" s="91"/>
    </row>
    <row r="2200">
      <c r="A2200" s="91"/>
      <c r="D2200" s="91"/>
      <c r="G2200" s="91"/>
      <c r="J2200" s="91"/>
      <c r="M2200" s="91"/>
      <c r="P2200" s="91"/>
      <c r="S2200" s="91"/>
      <c r="T2200" s="91"/>
      <c r="U2200" s="91"/>
      <c r="V2200" s="91"/>
      <c r="W2200" s="91"/>
    </row>
    <row r="2201">
      <c r="A2201" s="91"/>
      <c r="D2201" s="91"/>
      <c r="G2201" s="91"/>
      <c r="J2201" s="91"/>
      <c r="M2201" s="91"/>
      <c r="P2201" s="91"/>
      <c r="S2201" s="91"/>
      <c r="T2201" s="91"/>
      <c r="U2201" s="91"/>
      <c r="V2201" s="91"/>
      <c r="W2201" s="91"/>
    </row>
    <row r="2202">
      <c r="A2202" s="91"/>
      <c r="D2202" s="91"/>
      <c r="G2202" s="91"/>
      <c r="J2202" s="91"/>
      <c r="M2202" s="91"/>
      <c r="P2202" s="91"/>
      <c r="S2202" s="91"/>
      <c r="T2202" s="91"/>
      <c r="U2202" s="91"/>
      <c r="V2202" s="91"/>
      <c r="W2202" s="91"/>
    </row>
    <row r="2203">
      <c r="A2203" s="91"/>
      <c r="D2203" s="91"/>
      <c r="G2203" s="91"/>
      <c r="J2203" s="91"/>
      <c r="M2203" s="91"/>
      <c r="P2203" s="91"/>
      <c r="S2203" s="91"/>
      <c r="T2203" s="91"/>
      <c r="U2203" s="91"/>
      <c r="V2203" s="91"/>
      <c r="W2203" s="91"/>
    </row>
    <row r="2204">
      <c r="A2204" s="91"/>
      <c r="D2204" s="91"/>
      <c r="G2204" s="91"/>
      <c r="J2204" s="91"/>
      <c r="M2204" s="91"/>
      <c r="P2204" s="91"/>
      <c r="S2204" s="91"/>
      <c r="T2204" s="91"/>
      <c r="U2204" s="91"/>
      <c r="V2204" s="91"/>
      <c r="W2204" s="91"/>
    </row>
    <row r="2205">
      <c r="A2205" s="91"/>
      <c r="D2205" s="91"/>
      <c r="G2205" s="91"/>
      <c r="J2205" s="91"/>
      <c r="M2205" s="91"/>
      <c r="P2205" s="91"/>
      <c r="S2205" s="91"/>
      <c r="T2205" s="91"/>
      <c r="U2205" s="91"/>
      <c r="V2205" s="91"/>
      <c r="W2205" s="91"/>
    </row>
    <row r="2206">
      <c r="A2206" s="91"/>
      <c r="D2206" s="91"/>
      <c r="G2206" s="91"/>
      <c r="J2206" s="91"/>
      <c r="M2206" s="91"/>
      <c r="P2206" s="91"/>
      <c r="S2206" s="91"/>
      <c r="T2206" s="91"/>
      <c r="U2206" s="91"/>
      <c r="V2206" s="91"/>
      <c r="W2206" s="91"/>
    </row>
    <row r="2207">
      <c r="A2207" s="91"/>
      <c r="D2207" s="91"/>
      <c r="G2207" s="91"/>
      <c r="J2207" s="91"/>
      <c r="M2207" s="91"/>
      <c r="P2207" s="91"/>
      <c r="S2207" s="91"/>
      <c r="T2207" s="91"/>
      <c r="U2207" s="91"/>
      <c r="V2207" s="91"/>
      <c r="W2207" s="91"/>
    </row>
    <row r="2208">
      <c r="A2208" s="91"/>
      <c r="D2208" s="91"/>
      <c r="G2208" s="91"/>
      <c r="J2208" s="91"/>
      <c r="M2208" s="91"/>
      <c r="P2208" s="91"/>
      <c r="S2208" s="91"/>
      <c r="T2208" s="91"/>
      <c r="U2208" s="91"/>
      <c r="V2208" s="91"/>
      <c r="W2208" s="91"/>
    </row>
    <row r="2209">
      <c r="A2209" s="91"/>
      <c r="D2209" s="91"/>
      <c r="G2209" s="91"/>
      <c r="J2209" s="91"/>
      <c r="M2209" s="91"/>
      <c r="P2209" s="91"/>
      <c r="S2209" s="91"/>
      <c r="T2209" s="91"/>
      <c r="U2209" s="91"/>
      <c r="V2209" s="91"/>
      <c r="W2209" s="91"/>
    </row>
    <row r="2210">
      <c r="A2210" s="91"/>
      <c r="D2210" s="91"/>
      <c r="G2210" s="91"/>
      <c r="J2210" s="91"/>
      <c r="M2210" s="91"/>
      <c r="P2210" s="91"/>
      <c r="S2210" s="91"/>
      <c r="T2210" s="91"/>
      <c r="U2210" s="91"/>
      <c r="V2210" s="91"/>
      <c r="W2210" s="91"/>
    </row>
    <row r="2211">
      <c r="A2211" s="91"/>
      <c r="D2211" s="91"/>
      <c r="G2211" s="91"/>
      <c r="J2211" s="91"/>
      <c r="M2211" s="91"/>
      <c r="P2211" s="91"/>
      <c r="S2211" s="91"/>
      <c r="T2211" s="91"/>
      <c r="U2211" s="91"/>
      <c r="V2211" s="91"/>
      <c r="W2211" s="91"/>
    </row>
    <row r="2212">
      <c r="A2212" s="91"/>
      <c r="D2212" s="91"/>
      <c r="G2212" s="91"/>
      <c r="J2212" s="91"/>
      <c r="M2212" s="91"/>
      <c r="P2212" s="91"/>
      <c r="S2212" s="91"/>
      <c r="T2212" s="91"/>
      <c r="U2212" s="91"/>
      <c r="V2212" s="91"/>
      <c r="W2212" s="91"/>
    </row>
    <row r="2213">
      <c r="A2213" s="91"/>
      <c r="D2213" s="91"/>
      <c r="G2213" s="91"/>
      <c r="J2213" s="91"/>
      <c r="M2213" s="91"/>
      <c r="P2213" s="91"/>
      <c r="S2213" s="91"/>
      <c r="T2213" s="91"/>
      <c r="U2213" s="91"/>
      <c r="V2213" s="91"/>
      <c r="W2213" s="91"/>
    </row>
    <row r="2214">
      <c r="A2214" s="91"/>
      <c r="D2214" s="91"/>
      <c r="G2214" s="91"/>
      <c r="J2214" s="91"/>
      <c r="M2214" s="91"/>
      <c r="P2214" s="91"/>
      <c r="S2214" s="91"/>
      <c r="T2214" s="91"/>
      <c r="U2214" s="91"/>
      <c r="V2214" s="91"/>
      <c r="W2214" s="91"/>
    </row>
    <row r="2215">
      <c r="A2215" s="91"/>
      <c r="D2215" s="91"/>
      <c r="G2215" s="91"/>
      <c r="J2215" s="91"/>
      <c r="M2215" s="91"/>
      <c r="P2215" s="91"/>
      <c r="S2215" s="91"/>
      <c r="T2215" s="91"/>
      <c r="U2215" s="91"/>
      <c r="V2215" s="91"/>
      <c r="W2215" s="91"/>
    </row>
    <row r="2216">
      <c r="A2216" s="91"/>
      <c r="D2216" s="91"/>
      <c r="G2216" s="91"/>
      <c r="J2216" s="91"/>
      <c r="M2216" s="91"/>
      <c r="P2216" s="91"/>
      <c r="S2216" s="91"/>
      <c r="T2216" s="91"/>
      <c r="U2216" s="91"/>
      <c r="V2216" s="91"/>
      <c r="W2216" s="91"/>
    </row>
    <row r="2217">
      <c r="A2217" s="91"/>
      <c r="D2217" s="91"/>
      <c r="G2217" s="91"/>
      <c r="J2217" s="91"/>
      <c r="M2217" s="91"/>
      <c r="P2217" s="91"/>
      <c r="S2217" s="91"/>
      <c r="T2217" s="91"/>
      <c r="U2217" s="91"/>
      <c r="V2217" s="91"/>
      <c r="W2217" s="91"/>
    </row>
    <row r="2218">
      <c r="A2218" s="91"/>
      <c r="D2218" s="91"/>
      <c r="G2218" s="91"/>
      <c r="J2218" s="91"/>
      <c r="M2218" s="91"/>
      <c r="P2218" s="91"/>
      <c r="S2218" s="91"/>
      <c r="T2218" s="91"/>
      <c r="U2218" s="91"/>
      <c r="V2218" s="91"/>
      <c r="W2218" s="91"/>
    </row>
    <row r="2219">
      <c r="A2219" s="91"/>
      <c r="D2219" s="91"/>
      <c r="G2219" s="91"/>
      <c r="J2219" s="91"/>
      <c r="M2219" s="91"/>
      <c r="P2219" s="91"/>
      <c r="S2219" s="91"/>
      <c r="T2219" s="91"/>
      <c r="U2219" s="91"/>
      <c r="V2219" s="91"/>
      <c r="W2219" s="91"/>
    </row>
    <row r="2220">
      <c r="A2220" s="91"/>
      <c r="D2220" s="91"/>
      <c r="G2220" s="91"/>
      <c r="J2220" s="91"/>
      <c r="M2220" s="91"/>
      <c r="P2220" s="91"/>
      <c r="S2220" s="91"/>
      <c r="T2220" s="91"/>
      <c r="U2220" s="91"/>
      <c r="V2220" s="91"/>
      <c r="W2220" s="91"/>
    </row>
    <row r="2221">
      <c r="A2221" s="91"/>
      <c r="D2221" s="91"/>
      <c r="G2221" s="91"/>
      <c r="J2221" s="91"/>
      <c r="M2221" s="91"/>
      <c r="P2221" s="91"/>
      <c r="S2221" s="91"/>
      <c r="T2221" s="91"/>
      <c r="U2221" s="91"/>
      <c r="V2221" s="91"/>
      <c r="W2221" s="91"/>
    </row>
    <row r="2222">
      <c r="A2222" s="91"/>
      <c r="D2222" s="91"/>
      <c r="G2222" s="91"/>
      <c r="J2222" s="91"/>
      <c r="M2222" s="91"/>
      <c r="P2222" s="91"/>
      <c r="S2222" s="91"/>
      <c r="T2222" s="91"/>
      <c r="U2222" s="91"/>
      <c r="V2222" s="91"/>
      <c r="W2222" s="91"/>
    </row>
    <row r="2223">
      <c r="A2223" s="91"/>
      <c r="D2223" s="91"/>
      <c r="G2223" s="91"/>
      <c r="J2223" s="91"/>
      <c r="M2223" s="91"/>
      <c r="P2223" s="91"/>
      <c r="S2223" s="91"/>
      <c r="T2223" s="91"/>
      <c r="U2223" s="91"/>
      <c r="V2223" s="91"/>
      <c r="W2223" s="91"/>
    </row>
    <row r="2224">
      <c r="A2224" s="91"/>
      <c r="D2224" s="91"/>
      <c r="G2224" s="91"/>
      <c r="J2224" s="91"/>
      <c r="M2224" s="91"/>
      <c r="P2224" s="91"/>
      <c r="S2224" s="91"/>
      <c r="T2224" s="91"/>
      <c r="U2224" s="91"/>
      <c r="V2224" s="91"/>
      <c r="W2224" s="91"/>
    </row>
    <row r="2225">
      <c r="A2225" s="91"/>
      <c r="D2225" s="91"/>
      <c r="G2225" s="91"/>
      <c r="J2225" s="91"/>
      <c r="M2225" s="91"/>
      <c r="P2225" s="91"/>
      <c r="S2225" s="91"/>
      <c r="T2225" s="91"/>
      <c r="U2225" s="91"/>
      <c r="V2225" s="91"/>
      <c r="W2225" s="91"/>
    </row>
    <row r="2226">
      <c r="A2226" s="91"/>
      <c r="D2226" s="91"/>
      <c r="G2226" s="91"/>
      <c r="J2226" s="91"/>
      <c r="M2226" s="91"/>
      <c r="P2226" s="91"/>
      <c r="S2226" s="91"/>
      <c r="T2226" s="91"/>
      <c r="U2226" s="91"/>
      <c r="V2226" s="91"/>
      <c r="W2226" s="91"/>
    </row>
    <row r="2227">
      <c r="A2227" s="91"/>
      <c r="D2227" s="91"/>
      <c r="G2227" s="91"/>
      <c r="J2227" s="91"/>
      <c r="M2227" s="91"/>
      <c r="P2227" s="91"/>
      <c r="S2227" s="91"/>
      <c r="T2227" s="91"/>
      <c r="U2227" s="91"/>
      <c r="V2227" s="91"/>
      <c r="W2227" s="91"/>
    </row>
    <row r="2228">
      <c r="A2228" s="91"/>
      <c r="D2228" s="91"/>
      <c r="G2228" s="91"/>
      <c r="J2228" s="91"/>
      <c r="M2228" s="91"/>
      <c r="P2228" s="91"/>
      <c r="S2228" s="91"/>
      <c r="T2228" s="91"/>
      <c r="U2228" s="91"/>
      <c r="V2228" s="91"/>
      <c r="W2228" s="91"/>
    </row>
    <row r="2229">
      <c r="A2229" s="91"/>
      <c r="D2229" s="91"/>
      <c r="G2229" s="91"/>
      <c r="J2229" s="91"/>
      <c r="M2229" s="91"/>
      <c r="P2229" s="91"/>
      <c r="S2229" s="91"/>
      <c r="T2229" s="91"/>
      <c r="U2229" s="91"/>
      <c r="V2229" s="91"/>
      <c r="W2229" s="91"/>
    </row>
    <row r="2230">
      <c r="A2230" s="91"/>
      <c r="D2230" s="91"/>
      <c r="G2230" s="91"/>
      <c r="J2230" s="91"/>
      <c r="M2230" s="91"/>
      <c r="P2230" s="91"/>
      <c r="S2230" s="91"/>
      <c r="T2230" s="91"/>
      <c r="U2230" s="91"/>
      <c r="V2230" s="91"/>
      <c r="W2230" s="91"/>
    </row>
    <row r="2231">
      <c r="A2231" s="91"/>
      <c r="D2231" s="91"/>
      <c r="G2231" s="91"/>
      <c r="J2231" s="91"/>
      <c r="M2231" s="91"/>
      <c r="P2231" s="91"/>
      <c r="S2231" s="91"/>
      <c r="T2231" s="91"/>
      <c r="U2231" s="91"/>
      <c r="V2231" s="91"/>
      <c r="W2231" s="91"/>
    </row>
    <row r="2232">
      <c r="A2232" s="91"/>
      <c r="D2232" s="91"/>
      <c r="G2232" s="91"/>
      <c r="J2232" s="91"/>
      <c r="M2232" s="91"/>
      <c r="P2232" s="91"/>
      <c r="S2232" s="91"/>
      <c r="T2232" s="91"/>
      <c r="U2232" s="91"/>
      <c r="V2232" s="91"/>
      <c r="W2232" s="91"/>
    </row>
    <row r="2233">
      <c r="A2233" s="91"/>
      <c r="D2233" s="91"/>
      <c r="G2233" s="91"/>
      <c r="J2233" s="91"/>
      <c r="M2233" s="91"/>
      <c r="P2233" s="91"/>
      <c r="S2233" s="91"/>
      <c r="T2233" s="91"/>
      <c r="U2233" s="91"/>
      <c r="V2233" s="91"/>
      <c r="W2233" s="91"/>
    </row>
    <row r="2234">
      <c r="A2234" s="91"/>
      <c r="D2234" s="91"/>
      <c r="G2234" s="91"/>
      <c r="J2234" s="91"/>
      <c r="M2234" s="91"/>
      <c r="P2234" s="91"/>
      <c r="S2234" s="91"/>
      <c r="T2234" s="91"/>
      <c r="U2234" s="91"/>
      <c r="V2234" s="91"/>
      <c r="W2234" s="91"/>
    </row>
    <row r="2235">
      <c r="A2235" s="91"/>
      <c r="D2235" s="91"/>
      <c r="G2235" s="91"/>
      <c r="J2235" s="91"/>
      <c r="M2235" s="91"/>
      <c r="P2235" s="91"/>
      <c r="S2235" s="91"/>
      <c r="T2235" s="91"/>
      <c r="U2235" s="91"/>
      <c r="V2235" s="91"/>
      <c r="W2235" s="91"/>
    </row>
    <row r="2236">
      <c r="A2236" s="91"/>
      <c r="D2236" s="91"/>
      <c r="G2236" s="91"/>
      <c r="J2236" s="91"/>
      <c r="M2236" s="91"/>
      <c r="P2236" s="91"/>
      <c r="S2236" s="91"/>
      <c r="T2236" s="91"/>
      <c r="U2236" s="91"/>
      <c r="V2236" s="91"/>
      <c r="W2236" s="91"/>
    </row>
    <row r="2237">
      <c r="A2237" s="91"/>
      <c r="D2237" s="91"/>
      <c r="G2237" s="91"/>
      <c r="J2237" s="91"/>
      <c r="M2237" s="91"/>
      <c r="P2237" s="91"/>
      <c r="S2237" s="91"/>
      <c r="T2237" s="91"/>
      <c r="U2237" s="91"/>
      <c r="V2237" s="91"/>
      <c r="W2237" s="91"/>
    </row>
    <row r="2238">
      <c r="A2238" s="91"/>
      <c r="D2238" s="91"/>
      <c r="G2238" s="91"/>
      <c r="J2238" s="91"/>
      <c r="M2238" s="91"/>
      <c r="P2238" s="91"/>
      <c r="S2238" s="91"/>
      <c r="T2238" s="91"/>
      <c r="U2238" s="91"/>
      <c r="V2238" s="91"/>
      <c r="W2238" s="91"/>
    </row>
    <row r="2239">
      <c r="A2239" s="91"/>
      <c r="D2239" s="91"/>
      <c r="G2239" s="91"/>
      <c r="J2239" s="91"/>
      <c r="M2239" s="91"/>
      <c r="P2239" s="91"/>
      <c r="S2239" s="91"/>
      <c r="T2239" s="91"/>
      <c r="U2239" s="91"/>
      <c r="V2239" s="91"/>
      <c r="W2239" s="91"/>
    </row>
    <row r="2240">
      <c r="A2240" s="91"/>
      <c r="D2240" s="91"/>
      <c r="G2240" s="91"/>
      <c r="J2240" s="91"/>
      <c r="M2240" s="91"/>
      <c r="P2240" s="91"/>
      <c r="S2240" s="91"/>
      <c r="T2240" s="91"/>
      <c r="U2240" s="91"/>
      <c r="V2240" s="91"/>
      <c r="W2240" s="91"/>
    </row>
    <row r="2241">
      <c r="A2241" s="91"/>
      <c r="D2241" s="91"/>
      <c r="G2241" s="91"/>
      <c r="J2241" s="91"/>
      <c r="M2241" s="91"/>
      <c r="P2241" s="91"/>
      <c r="S2241" s="91"/>
      <c r="T2241" s="91"/>
      <c r="U2241" s="91"/>
      <c r="V2241" s="91"/>
      <c r="W2241" s="91"/>
    </row>
    <row r="2242">
      <c r="A2242" s="91"/>
      <c r="D2242" s="91"/>
      <c r="G2242" s="91"/>
      <c r="J2242" s="91"/>
      <c r="M2242" s="91"/>
      <c r="P2242" s="91"/>
      <c r="S2242" s="91"/>
      <c r="T2242" s="91"/>
      <c r="U2242" s="91"/>
      <c r="V2242" s="91"/>
      <c r="W2242" s="91"/>
    </row>
    <row r="2243">
      <c r="A2243" s="91"/>
      <c r="D2243" s="91"/>
      <c r="G2243" s="91"/>
      <c r="J2243" s="91"/>
      <c r="M2243" s="91"/>
      <c r="P2243" s="91"/>
      <c r="S2243" s="91"/>
      <c r="T2243" s="91"/>
      <c r="U2243" s="91"/>
      <c r="V2243" s="91"/>
      <c r="W2243" s="91"/>
    </row>
    <row r="2244">
      <c r="A2244" s="91"/>
      <c r="D2244" s="91"/>
      <c r="G2244" s="91"/>
      <c r="J2244" s="91"/>
      <c r="M2244" s="91"/>
      <c r="P2244" s="91"/>
      <c r="S2244" s="91"/>
      <c r="T2244" s="91"/>
      <c r="U2244" s="91"/>
      <c r="V2244" s="91"/>
      <c r="W2244" s="91"/>
    </row>
    <row r="2245">
      <c r="A2245" s="91"/>
      <c r="D2245" s="91"/>
      <c r="G2245" s="91"/>
      <c r="J2245" s="91"/>
      <c r="M2245" s="91"/>
      <c r="P2245" s="91"/>
      <c r="S2245" s="91"/>
      <c r="T2245" s="91"/>
      <c r="U2245" s="91"/>
      <c r="V2245" s="91"/>
      <c r="W2245" s="91"/>
    </row>
    <row r="2246">
      <c r="A2246" s="91"/>
      <c r="D2246" s="91"/>
      <c r="G2246" s="91"/>
      <c r="J2246" s="91"/>
      <c r="M2246" s="91"/>
      <c r="P2246" s="91"/>
      <c r="S2246" s="91"/>
      <c r="T2246" s="91"/>
      <c r="U2246" s="91"/>
      <c r="V2246" s="91"/>
      <c r="W2246" s="91"/>
    </row>
    <row r="2247">
      <c r="A2247" s="91"/>
      <c r="D2247" s="91"/>
      <c r="G2247" s="91"/>
      <c r="J2247" s="91"/>
      <c r="M2247" s="91"/>
      <c r="P2247" s="91"/>
      <c r="S2247" s="91"/>
      <c r="T2247" s="91"/>
      <c r="U2247" s="91"/>
      <c r="V2247" s="91"/>
      <c r="W2247" s="91"/>
    </row>
    <row r="2248">
      <c r="A2248" s="91"/>
      <c r="D2248" s="91"/>
      <c r="G2248" s="91"/>
      <c r="J2248" s="91"/>
      <c r="M2248" s="91"/>
      <c r="P2248" s="91"/>
      <c r="S2248" s="91"/>
      <c r="T2248" s="91"/>
      <c r="U2248" s="91"/>
      <c r="V2248" s="91"/>
      <c r="W2248" s="91"/>
    </row>
    <row r="2249">
      <c r="A2249" s="91"/>
      <c r="D2249" s="91"/>
      <c r="G2249" s="91"/>
      <c r="J2249" s="91"/>
      <c r="M2249" s="91"/>
      <c r="P2249" s="91"/>
      <c r="S2249" s="91"/>
      <c r="T2249" s="91"/>
      <c r="U2249" s="91"/>
      <c r="V2249" s="91"/>
      <c r="W2249" s="91"/>
    </row>
    <row r="2250">
      <c r="A2250" s="91"/>
      <c r="D2250" s="91"/>
      <c r="G2250" s="91"/>
      <c r="J2250" s="91"/>
      <c r="M2250" s="91"/>
      <c r="P2250" s="91"/>
      <c r="S2250" s="91"/>
      <c r="T2250" s="91"/>
      <c r="U2250" s="91"/>
      <c r="V2250" s="91"/>
      <c r="W2250" s="91"/>
    </row>
    <row r="2251">
      <c r="A2251" s="91"/>
      <c r="D2251" s="91"/>
      <c r="G2251" s="91"/>
      <c r="J2251" s="91"/>
      <c r="M2251" s="91"/>
      <c r="P2251" s="91"/>
      <c r="S2251" s="91"/>
      <c r="T2251" s="91"/>
      <c r="U2251" s="91"/>
      <c r="V2251" s="91"/>
      <c r="W2251" s="91"/>
    </row>
    <row r="2252">
      <c r="A2252" s="91"/>
      <c r="D2252" s="91"/>
      <c r="G2252" s="91"/>
      <c r="J2252" s="91"/>
      <c r="M2252" s="91"/>
      <c r="P2252" s="91"/>
      <c r="S2252" s="91"/>
      <c r="T2252" s="91"/>
      <c r="U2252" s="91"/>
      <c r="V2252" s="91"/>
      <c r="W2252" s="91"/>
    </row>
    <row r="2253">
      <c r="A2253" s="91"/>
      <c r="D2253" s="91"/>
      <c r="G2253" s="91"/>
      <c r="J2253" s="91"/>
      <c r="M2253" s="91"/>
      <c r="P2253" s="91"/>
      <c r="S2253" s="91"/>
      <c r="T2253" s="91"/>
      <c r="U2253" s="91"/>
      <c r="V2253" s="91"/>
      <c r="W2253" s="91"/>
    </row>
    <row r="2254">
      <c r="A2254" s="91"/>
      <c r="D2254" s="91"/>
      <c r="G2254" s="91"/>
      <c r="J2254" s="91"/>
      <c r="M2254" s="91"/>
      <c r="P2254" s="91"/>
      <c r="S2254" s="91"/>
      <c r="T2254" s="91"/>
      <c r="U2254" s="91"/>
      <c r="V2254" s="91"/>
      <c r="W2254" s="91"/>
    </row>
    <row r="2255">
      <c r="A2255" s="91"/>
      <c r="D2255" s="91"/>
      <c r="G2255" s="91"/>
      <c r="J2255" s="91"/>
      <c r="M2255" s="91"/>
      <c r="P2255" s="91"/>
      <c r="S2255" s="91"/>
      <c r="T2255" s="91"/>
      <c r="U2255" s="91"/>
      <c r="V2255" s="91"/>
      <c r="W2255" s="91"/>
    </row>
    <row r="2256">
      <c r="A2256" s="91"/>
      <c r="D2256" s="91"/>
      <c r="G2256" s="91"/>
      <c r="J2256" s="91"/>
      <c r="M2256" s="91"/>
      <c r="P2256" s="91"/>
      <c r="S2256" s="91"/>
      <c r="T2256" s="91"/>
      <c r="U2256" s="91"/>
      <c r="V2256" s="91"/>
      <c r="W2256" s="91"/>
    </row>
    <row r="2257">
      <c r="A2257" s="91"/>
      <c r="D2257" s="91"/>
      <c r="G2257" s="91"/>
      <c r="J2257" s="91"/>
      <c r="M2257" s="91"/>
      <c r="P2257" s="91"/>
      <c r="S2257" s="91"/>
      <c r="T2257" s="91"/>
      <c r="U2257" s="91"/>
      <c r="V2257" s="91"/>
      <c r="W2257" s="91"/>
    </row>
    <row r="2258">
      <c r="A2258" s="91"/>
      <c r="D2258" s="91"/>
      <c r="G2258" s="91"/>
      <c r="J2258" s="91"/>
      <c r="M2258" s="91"/>
      <c r="P2258" s="91"/>
      <c r="S2258" s="91"/>
      <c r="T2258" s="91"/>
      <c r="U2258" s="91"/>
      <c r="V2258" s="91"/>
      <c r="W2258" s="91"/>
    </row>
    <row r="2259">
      <c r="A2259" s="91"/>
      <c r="D2259" s="91"/>
      <c r="G2259" s="91"/>
      <c r="J2259" s="91"/>
      <c r="M2259" s="91"/>
      <c r="P2259" s="91"/>
      <c r="S2259" s="91"/>
      <c r="T2259" s="91"/>
      <c r="U2259" s="91"/>
      <c r="V2259" s="91"/>
      <c r="W2259" s="91"/>
    </row>
    <row r="2260">
      <c r="A2260" s="91"/>
      <c r="D2260" s="91"/>
      <c r="G2260" s="91"/>
      <c r="J2260" s="91"/>
      <c r="M2260" s="91"/>
      <c r="P2260" s="91"/>
      <c r="S2260" s="91"/>
      <c r="T2260" s="91"/>
      <c r="U2260" s="91"/>
      <c r="V2260" s="91"/>
      <c r="W2260" s="91"/>
    </row>
    <row r="2261">
      <c r="A2261" s="91"/>
      <c r="D2261" s="91"/>
      <c r="G2261" s="91"/>
      <c r="J2261" s="91"/>
      <c r="M2261" s="91"/>
      <c r="P2261" s="91"/>
      <c r="S2261" s="91"/>
      <c r="T2261" s="91"/>
      <c r="U2261" s="91"/>
      <c r="V2261" s="91"/>
      <c r="W2261" s="91"/>
    </row>
    <row r="2262">
      <c r="A2262" s="91"/>
      <c r="D2262" s="91"/>
      <c r="G2262" s="91"/>
      <c r="J2262" s="91"/>
      <c r="M2262" s="91"/>
      <c r="P2262" s="91"/>
      <c r="S2262" s="91"/>
      <c r="T2262" s="91"/>
      <c r="U2262" s="91"/>
      <c r="V2262" s="91"/>
      <c r="W2262" s="91"/>
    </row>
    <row r="2263">
      <c r="A2263" s="91"/>
      <c r="D2263" s="91"/>
      <c r="G2263" s="91"/>
      <c r="J2263" s="91"/>
      <c r="M2263" s="91"/>
      <c r="P2263" s="91"/>
      <c r="S2263" s="91"/>
      <c r="T2263" s="91"/>
      <c r="U2263" s="91"/>
      <c r="V2263" s="91"/>
      <c r="W2263" s="91"/>
    </row>
    <row r="2264">
      <c r="A2264" s="91"/>
      <c r="D2264" s="91"/>
      <c r="G2264" s="91"/>
      <c r="J2264" s="91"/>
      <c r="M2264" s="91"/>
      <c r="P2264" s="91"/>
      <c r="S2264" s="91"/>
      <c r="T2264" s="91"/>
      <c r="U2264" s="91"/>
      <c r="V2264" s="91"/>
      <c r="W2264" s="91"/>
    </row>
    <row r="2265">
      <c r="A2265" s="91"/>
      <c r="D2265" s="91"/>
      <c r="G2265" s="91"/>
      <c r="J2265" s="91"/>
      <c r="M2265" s="91"/>
      <c r="P2265" s="91"/>
      <c r="S2265" s="91"/>
      <c r="T2265" s="91"/>
      <c r="U2265" s="91"/>
      <c r="V2265" s="91"/>
      <c r="W2265" s="91"/>
    </row>
    <row r="2266">
      <c r="A2266" s="91"/>
      <c r="D2266" s="91"/>
      <c r="G2266" s="91"/>
      <c r="J2266" s="91"/>
      <c r="M2266" s="91"/>
      <c r="P2266" s="91"/>
      <c r="S2266" s="91"/>
      <c r="T2266" s="91"/>
      <c r="U2266" s="91"/>
      <c r="V2266" s="91"/>
      <c r="W2266" s="91"/>
    </row>
    <row r="2267">
      <c r="A2267" s="91"/>
      <c r="D2267" s="91"/>
      <c r="G2267" s="91"/>
      <c r="J2267" s="91"/>
      <c r="M2267" s="91"/>
      <c r="P2267" s="91"/>
      <c r="S2267" s="91"/>
      <c r="T2267" s="91"/>
      <c r="U2267" s="91"/>
      <c r="V2267" s="91"/>
      <c r="W2267" s="91"/>
    </row>
    <row r="2268">
      <c r="A2268" s="91"/>
      <c r="D2268" s="91"/>
      <c r="G2268" s="91"/>
      <c r="J2268" s="91"/>
      <c r="M2268" s="91"/>
      <c r="P2268" s="91"/>
      <c r="S2268" s="91"/>
      <c r="T2268" s="91"/>
      <c r="U2268" s="91"/>
      <c r="V2268" s="91"/>
      <c r="W2268" s="91"/>
    </row>
    <row r="2269">
      <c r="A2269" s="91"/>
      <c r="D2269" s="91"/>
      <c r="G2269" s="91"/>
      <c r="J2269" s="91"/>
      <c r="M2269" s="91"/>
      <c r="P2269" s="91"/>
      <c r="S2269" s="91"/>
      <c r="T2269" s="91"/>
      <c r="U2269" s="91"/>
      <c r="V2269" s="91"/>
      <c r="W2269" s="91"/>
    </row>
    <row r="2270">
      <c r="A2270" s="91"/>
      <c r="D2270" s="91"/>
      <c r="G2270" s="91"/>
      <c r="J2270" s="91"/>
      <c r="M2270" s="91"/>
      <c r="P2270" s="91"/>
      <c r="S2270" s="91"/>
      <c r="T2270" s="91"/>
      <c r="U2270" s="91"/>
      <c r="V2270" s="91"/>
      <c r="W2270" s="91"/>
    </row>
    <row r="2271">
      <c r="A2271" s="91"/>
      <c r="D2271" s="91"/>
      <c r="G2271" s="91"/>
      <c r="J2271" s="91"/>
      <c r="M2271" s="91"/>
      <c r="P2271" s="91"/>
      <c r="S2271" s="91"/>
      <c r="T2271" s="91"/>
      <c r="U2271" s="91"/>
      <c r="V2271" s="91"/>
      <c r="W2271" s="91"/>
    </row>
    <row r="2272">
      <c r="A2272" s="91"/>
      <c r="D2272" s="91"/>
      <c r="G2272" s="91"/>
      <c r="J2272" s="91"/>
      <c r="M2272" s="91"/>
      <c r="P2272" s="91"/>
      <c r="S2272" s="91"/>
      <c r="T2272" s="91"/>
      <c r="U2272" s="91"/>
      <c r="V2272" s="91"/>
      <c r="W2272" s="91"/>
    </row>
    <row r="2273">
      <c r="A2273" s="91"/>
      <c r="D2273" s="91"/>
      <c r="G2273" s="91"/>
      <c r="J2273" s="91"/>
      <c r="M2273" s="91"/>
      <c r="P2273" s="91"/>
      <c r="S2273" s="91"/>
      <c r="T2273" s="91"/>
      <c r="U2273" s="91"/>
      <c r="V2273" s="91"/>
      <c r="W2273" s="91"/>
    </row>
    <row r="2274">
      <c r="A2274" s="91"/>
      <c r="D2274" s="91"/>
      <c r="G2274" s="91"/>
      <c r="J2274" s="91"/>
      <c r="M2274" s="91"/>
      <c r="P2274" s="91"/>
      <c r="S2274" s="91"/>
      <c r="T2274" s="91"/>
      <c r="U2274" s="91"/>
      <c r="V2274" s="91"/>
      <c r="W2274" s="91"/>
    </row>
    <row r="2275">
      <c r="A2275" s="91"/>
      <c r="D2275" s="91"/>
      <c r="G2275" s="91"/>
      <c r="J2275" s="91"/>
      <c r="M2275" s="91"/>
      <c r="P2275" s="91"/>
      <c r="S2275" s="91"/>
      <c r="T2275" s="91"/>
      <c r="U2275" s="91"/>
      <c r="V2275" s="91"/>
      <c r="W2275" s="91"/>
    </row>
    <row r="2276">
      <c r="A2276" s="91"/>
      <c r="D2276" s="91"/>
      <c r="G2276" s="91"/>
      <c r="J2276" s="91"/>
      <c r="M2276" s="91"/>
      <c r="P2276" s="91"/>
      <c r="S2276" s="91"/>
      <c r="T2276" s="91"/>
      <c r="U2276" s="91"/>
      <c r="V2276" s="91"/>
      <c r="W2276" s="91"/>
    </row>
    <row r="2277">
      <c r="A2277" s="91"/>
      <c r="D2277" s="91"/>
      <c r="G2277" s="91"/>
      <c r="J2277" s="91"/>
      <c r="M2277" s="91"/>
      <c r="P2277" s="91"/>
      <c r="S2277" s="91"/>
      <c r="T2277" s="91"/>
      <c r="U2277" s="91"/>
      <c r="V2277" s="91"/>
      <c r="W2277" s="91"/>
    </row>
    <row r="2278">
      <c r="A2278" s="91"/>
      <c r="D2278" s="91"/>
      <c r="G2278" s="91"/>
      <c r="J2278" s="91"/>
      <c r="M2278" s="91"/>
      <c r="P2278" s="91"/>
      <c r="S2278" s="91"/>
      <c r="T2278" s="91"/>
      <c r="U2278" s="91"/>
      <c r="V2278" s="91"/>
      <c r="W2278" s="91"/>
    </row>
    <row r="2279">
      <c r="A2279" s="91"/>
      <c r="D2279" s="91"/>
      <c r="G2279" s="91"/>
      <c r="J2279" s="91"/>
      <c r="M2279" s="91"/>
      <c r="P2279" s="91"/>
      <c r="S2279" s="91"/>
      <c r="T2279" s="91"/>
      <c r="U2279" s="91"/>
      <c r="V2279" s="91"/>
      <c r="W2279" s="91"/>
    </row>
    <row r="2280">
      <c r="A2280" s="91"/>
      <c r="D2280" s="91"/>
      <c r="G2280" s="91"/>
      <c r="J2280" s="91"/>
      <c r="M2280" s="91"/>
      <c r="P2280" s="91"/>
      <c r="S2280" s="91"/>
      <c r="T2280" s="91"/>
      <c r="U2280" s="91"/>
      <c r="V2280" s="91"/>
      <c r="W2280" s="91"/>
    </row>
    <row r="2281">
      <c r="A2281" s="91"/>
      <c r="D2281" s="91"/>
      <c r="G2281" s="91"/>
      <c r="J2281" s="91"/>
      <c r="M2281" s="91"/>
      <c r="P2281" s="91"/>
      <c r="S2281" s="91"/>
      <c r="T2281" s="91"/>
      <c r="U2281" s="91"/>
      <c r="V2281" s="91"/>
      <c r="W2281" s="91"/>
    </row>
    <row r="2282">
      <c r="A2282" s="91"/>
      <c r="D2282" s="91"/>
      <c r="G2282" s="91"/>
      <c r="J2282" s="91"/>
      <c r="M2282" s="91"/>
      <c r="P2282" s="91"/>
      <c r="S2282" s="91"/>
      <c r="T2282" s="91"/>
      <c r="U2282" s="91"/>
      <c r="V2282" s="91"/>
      <c r="W2282" s="91"/>
    </row>
    <row r="2283">
      <c r="A2283" s="91"/>
      <c r="D2283" s="91"/>
      <c r="G2283" s="91"/>
      <c r="J2283" s="91"/>
      <c r="M2283" s="91"/>
      <c r="P2283" s="91"/>
      <c r="S2283" s="91"/>
      <c r="T2283" s="91"/>
      <c r="U2283" s="91"/>
      <c r="V2283" s="91"/>
      <c r="W2283" s="91"/>
    </row>
    <row r="2284">
      <c r="A2284" s="91"/>
      <c r="D2284" s="91"/>
      <c r="G2284" s="91"/>
      <c r="J2284" s="91"/>
      <c r="M2284" s="91"/>
      <c r="P2284" s="91"/>
      <c r="S2284" s="91"/>
      <c r="T2284" s="91"/>
      <c r="U2284" s="91"/>
      <c r="V2284" s="91"/>
      <c r="W2284" s="91"/>
    </row>
    <row r="2285">
      <c r="A2285" s="91"/>
      <c r="D2285" s="91"/>
      <c r="G2285" s="91"/>
      <c r="J2285" s="91"/>
      <c r="M2285" s="91"/>
      <c r="P2285" s="91"/>
      <c r="S2285" s="91"/>
      <c r="T2285" s="91"/>
      <c r="U2285" s="91"/>
      <c r="V2285" s="91"/>
      <c r="W2285" s="91"/>
    </row>
    <row r="2286">
      <c r="A2286" s="91"/>
      <c r="D2286" s="91"/>
      <c r="G2286" s="91"/>
      <c r="J2286" s="91"/>
      <c r="M2286" s="91"/>
      <c r="P2286" s="91"/>
      <c r="S2286" s="91"/>
      <c r="T2286" s="91"/>
      <c r="U2286" s="91"/>
      <c r="V2286" s="91"/>
      <c r="W2286" s="91"/>
    </row>
    <row r="2287">
      <c r="A2287" s="91"/>
      <c r="D2287" s="91"/>
      <c r="G2287" s="91"/>
      <c r="J2287" s="91"/>
      <c r="M2287" s="91"/>
      <c r="P2287" s="91"/>
      <c r="S2287" s="91"/>
      <c r="T2287" s="91"/>
      <c r="U2287" s="91"/>
      <c r="V2287" s="91"/>
      <c r="W2287" s="91"/>
    </row>
    <row r="2288">
      <c r="A2288" s="91"/>
      <c r="D2288" s="91"/>
      <c r="G2288" s="91"/>
      <c r="J2288" s="91"/>
      <c r="M2288" s="91"/>
      <c r="P2288" s="91"/>
      <c r="S2288" s="91"/>
      <c r="T2288" s="91"/>
      <c r="U2288" s="91"/>
      <c r="V2288" s="91"/>
      <c r="W2288" s="91"/>
    </row>
    <row r="2289">
      <c r="A2289" s="91"/>
      <c r="D2289" s="91"/>
      <c r="G2289" s="91"/>
      <c r="J2289" s="91"/>
      <c r="M2289" s="91"/>
      <c r="P2289" s="91"/>
      <c r="S2289" s="91"/>
      <c r="T2289" s="91"/>
      <c r="U2289" s="91"/>
      <c r="V2289" s="91"/>
      <c r="W2289" s="91"/>
    </row>
    <row r="2290">
      <c r="A2290" s="91"/>
      <c r="D2290" s="91"/>
      <c r="G2290" s="91"/>
      <c r="J2290" s="91"/>
      <c r="M2290" s="91"/>
      <c r="P2290" s="91"/>
      <c r="S2290" s="91"/>
      <c r="T2290" s="91"/>
      <c r="U2290" s="91"/>
      <c r="V2290" s="91"/>
      <c r="W2290" s="91"/>
    </row>
    <row r="2291">
      <c r="A2291" s="91"/>
      <c r="D2291" s="91"/>
      <c r="G2291" s="91"/>
      <c r="J2291" s="91"/>
      <c r="M2291" s="91"/>
      <c r="P2291" s="91"/>
      <c r="S2291" s="91"/>
      <c r="T2291" s="91"/>
      <c r="U2291" s="91"/>
      <c r="V2291" s="91"/>
      <c r="W2291" s="91"/>
    </row>
    <row r="2292">
      <c r="A2292" s="91"/>
      <c r="D2292" s="91"/>
      <c r="G2292" s="91"/>
      <c r="J2292" s="91"/>
      <c r="M2292" s="91"/>
      <c r="P2292" s="91"/>
      <c r="S2292" s="91"/>
      <c r="T2292" s="91"/>
      <c r="U2292" s="91"/>
      <c r="V2292" s="91"/>
      <c r="W2292" s="91"/>
    </row>
    <row r="2293">
      <c r="A2293" s="91"/>
      <c r="D2293" s="91"/>
      <c r="G2293" s="91"/>
      <c r="J2293" s="91"/>
      <c r="M2293" s="91"/>
      <c r="P2293" s="91"/>
      <c r="S2293" s="91"/>
      <c r="T2293" s="91"/>
      <c r="U2293" s="91"/>
      <c r="V2293" s="91"/>
      <c r="W2293" s="91"/>
    </row>
    <row r="2294">
      <c r="A2294" s="91"/>
      <c r="D2294" s="91"/>
      <c r="G2294" s="91"/>
      <c r="J2294" s="91"/>
      <c r="M2294" s="91"/>
      <c r="P2294" s="91"/>
      <c r="S2294" s="91"/>
      <c r="T2294" s="91"/>
      <c r="U2294" s="91"/>
      <c r="V2294" s="91"/>
      <c r="W2294" s="91"/>
    </row>
    <row r="2295">
      <c r="A2295" s="91"/>
      <c r="D2295" s="91"/>
      <c r="G2295" s="91"/>
      <c r="J2295" s="91"/>
      <c r="M2295" s="91"/>
      <c r="P2295" s="91"/>
      <c r="S2295" s="91"/>
      <c r="T2295" s="91"/>
      <c r="U2295" s="91"/>
      <c r="V2295" s="91"/>
      <c r="W2295" s="91"/>
    </row>
    <row r="2296">
      <c r="A2296" s="91"/>
      <c r="D2296" s="91"/>
      <c r="G2296" s="91"/>
      <c r="J2296" s="91"/>
      <c r="M2296" s="91"/>
      <c r="P2296" s="91"/>
      <c r="S2296" s="91"/>
      <c r="T2296" s="91"/>
      <c r="U2296" s="91"/>
      <c r="V2296" s="91"/>
      <c r="W2296" s="91"/>
    </row>
    <row r="2297">
      <c r="A2297" s="91"/>
      <c r="D2297" s="91"/>
      <c r="G2297" s="91"/>
      <c r="J2297" s="91"/>
      <c r="M2297" s="91"/>
      <c r="P2297" s="91"/>
      <c r="S2297" s="91"/>
      <c r="T2297" s="91"/>
      <c r="U2297" s="91"/>
      <c r="V2297" s="91"/>
      <c r="W2297" s="91"/>
    </row>
    <row r="2298">
      <c r="A2298" s="91"/>
      <c r="D2298" s="91"/>
      <c r="G2298" s="91"/>
      <c r="J2298" s="91"/>
      <c r="M2298" s="91"/>
      <c r="P2298" s="91"/>
      <c r="S2298" s="91"/>
      <c r="T2298" s="91"/>
      <c r="U2298" s="91"/>
      <c r="V2298" s="91"/>
      <c r="W2298" s="91"/>
    </row>
    <row r="2299">
      <c r="A2299" s="91"/>
      <c r="D2299" s="91"/>
      <c r="G2299" s="91"/>
      <c r="J2299" s="91"/>
      <c r="M2299" s="91"/>
      <c r="P2299" s="91"/>
      <c r="S2299" s="91"/>
      <c r="T2299" s="91"/>
      <c r="U2299" s="91"/>
      <c r="V2299" s="91"/>
      <c r="W2299" s="91"/>
    </row>
    <row r="2300">
      <c r="A2300" s="91"/>
      <c r="D2300" s="91"/>
      <c r="G2300" s="91"/>
      <c r="J2300" s="91"/>
      <c r="M2300" s="91"/>
      <c r="P2300" s="91"/>
      <c r="S2300" s="91"/>
      <c r="T2300" s="91"/>
      <c r="U2300" s="91"/>
      <c r="V2300" s="91"/>
      <c r="W2300" s="91"/>
    </row>
    <row r="2301">
      <c r="A2301" s="91"/>
      <c r="D2301" s="91"/>
      <c r="G2301" s="91"/>
      <c r="J2301" s="91"/>
      <c r="M2301" s="91"/>
      <c r="P2301" s="91"/>
      <c r="S2301" s="91"/>
      <c r="T2301" s="91"/>
      <c r="U2301" s="91"/>
      <c r="V2301" s="91"/>
      <c r="W2301" s="91"/>
    </row>
    <row r="2302">
      <c r="A2302" s="91"/>
      <c r="D2302" s="91"/>
      <c r="G2302" s="91"/>
      <c r="J2302" s="91"/>
      <c r="M2302" s="91"/>
      <c r="P2302" s="91"/>
      <c r="S2302" s="91"/>
      <c r="T2302" s="91"/>
      <c r="U2302" s="91"/>
      <c r="V2302" s="91"/>
      <c r="W2302" s="91"/>
    </row>
    <row r="2303">
      <c r="A2303" s="91"/>
      <c r="D2303" s="91"/>
      <c r="G2303" s="91"/>
      <c r="J2303" s="91"/>
      <c r="M2303" s="91"/>
      <c r="P2303" s="91"/>
      <c r="S2303" s="91"/>
      <c r="T2303" s="91"/>
      <c r="U2303" s="91"/>
      <c r="V2303" s="91"/>
      <c r="W2303" s="91"/>
    </row>
    <row r="2304">
      <c r="A2304" s="91"/>
      <c r="D2304" s="91"/>
      <c r="G2304" s="91"/>
      <c r="J2304" s="91"/>
      <c r="M2304" s="91"/>
      <c r="P2304" s="91"/>
      <c r="S2304" s="91"/>
      <c r="T2304" s="91"/>
      <c r="U2304" s="91"/>
      <c r="V2304" s="91"/>
      <c r="W2304" s="91"/>
    </row>
    <row r="2305">
      <c r="A2305" s="91"/>
      <c r="D2305" s="91"/>
      <c r="G2305" s="91"/>
      <c r="J2305" s="91"/>
      <c r="M2305" s="91"/>
      <c r="P2305" s="91"/>
      <c r="S2305" s="91"/>
      <c r="T2305" s="91"/>
      <c r="U2305" s="91"/>
      <c r="V2305" s="91"/>
      <c r="W2305" s="91"/>
    </row>
    <row r="2306">
      <c r="A2306" s="91"/>
      <c r="D2306" s="91"/>
      <c r="G2306" s="91"/>
      <c r="J2306" s="91"/>
      <c r="M2306" s="91"/>
      <c r="P2306" s="91"/>
      <c r="S2306" s="91"/>
      <c r="T2306" s="91"/>
      <c r="U2306" s="91"/>
      <c r="V2306" s="91"/>
      <c r="W2306" s="91"/>
    </row>
    <row r="2307">
      <c r="A2307" s="91"/>
      <c r="D2307" s="91"/>
      <c r="G2307" s="91"/>
      <c r="J2307" s="91"/>
      <c r="M2307" s="91"/>
      <c r="P2307" s="91"/>
      <c r="S2307" s="91"/>
      <c r="T2307" s="91"/>
      <c r="U2307" s="91"/>
      <c r="V2307" s="91"/>
      <c r="W2307" s="91"/>
    </row>
    <row r="2308">
      <c r="A2308" s="91"/>
      <c r="D2308" s="91"/>
      <c r="G2308" s="91"/>
      <c r="J2308" s="91"/>
      <c r="M2308" s="91"/>
      <c r="P2308" s="91"/>
      <c r="S2308" s="91"/>
      <c r="T2308" s="91"/>
      <c r="U2308" s="91"/>
      <c r="V2308" s="91"/>
      <c r="W2308" s="91"/>
    </row>
    <row r="2309">
      <c r="A2309" s="91"/>
      <c r="D2309" s="91"/>
      <c r="G2309" s="91"/>
      <c r="J2309" s="91"/>
      <c r="M2309" s="91"/>
      <c r="P2309" s="91"/>
      <c r="S2309" s="91"/>
      <c r="T2309" s="91"/>
      <c r="U2309" s="91"/>
      <c r="V2309" s="91"/>
      <c r="W2309" s="91"/>
    </row>
    <row r="2310">
      <c r="A2310" s="91"/>
      <c r="D2310" s="91"/>
      <c r="G2310" s="91"/>
      <c r="J2310" s="91"/>
      <c r="M2310" s="91"/>
      <c r="P2310" s="91"/>
      <c r="S2310" s="91"/>
      <c r="T2310" s="91"/>
      <c r="U2310" s="91"/>
      <c r="V2310" s="91"/>
      <c r="W2310" s="91"/>
    </row>
    <row r="2311">
      <c r="A2311" s="91"/>
      <c r="D2311" s="91"/>
      <c r="G2311" s="91"/>
      <c r="J2311" s="91"/>
      <c r="M2311" s="91"/>
      <c r="P2311" s="91"/>
      <c r="S2311" s="91"/>
      <c r="T2311" s="91"/>
      <c r="U2311" s="91"/>
      <c r="V2311" s="91"/>
      <c r="W2311" s="91"/>
    </row>
    <row r="2312">
      <c r="A2312" s="91"/>
      <c r="D2312" s="91"/>
      <c r="G2312" s="91"/>
      <c r="J2312" s="91"/>
      <c r="M2312" s="91"/>
      <c r="P2312" s="91"/>
      <c r="S2312" s="91"/>
      <c r="T2312" s="91"/>
      <c r="U2312" s="91"/>
      <c r="V2312" s="91"/>
      <c r="W2312" s="91"/>
    </row>
    <row r="2313">
      <c r="A2313" s="91"/>
      <c r="D2313" s="91"/>
      <c r="G2313" s="91"/>
      <c r="J2313" s="91"/>
      <c r="M2313" s="91"/>
      <c r="P2313" s="91"/>
      <c r="S2313" s="91"/>
      <c r="T2313" s="91"/>
      <c r="U2313" s="91"/>
      <c r="V2313" s="91"/>
      <c r="W2313" s="91"/>
    </row>
    <row r="2314">
      <c r="A2314" s="91"/>
      <c r="D2314" s="91"/>
      <c r="G2314" s="91"/>
      <c r="J2314" s="91"/>
      <c r="M2314" s="91"/>
      <c r="P2314" s="91"/>
      <c r="S2314" s="91"/>
      <c r="T2314" s="91"/>
      <c r="U2314" s="91"/>
      <c r="V2314" s="91"/>
      <c r="W2314" s="91"/>
    </row>
    <row r="2315">
      <c r="A2315" s="91"/>
      <c r="D2315" s="91"/>
      <c r="G2315" s="91"/>
      <c r="J2315" s="91"/>
      <c r="M2315" s="91"/>
      <c r="P2315" s="91"/>
      <c r="S2315" s="91"/>
      <c r="T2315" s="91"/>
      <c r="U2315" s="91"/>
      <c r="V2315" s="91"/>
      <c r="W2315" s="91"/>
    </row>
    <row r="2316">
      <c r="A2316" s="91"/>
      <c r="D2316" s="91"/>
      <c r="G2316" s="91"/>
      <c r="J2316" s="91"/>
      <c r="M2316" s="91"/>
      <c r="P2316" s="91"/>
      <c r="S2316" s="91"/>
      <c r="T2316" s="91"/>
      <c r="U2316" s="91"/>
      <c r="V2316" s="91"/>
      <c r="W2316" s="91"/>
    </row>
    <row r="2317">
      <c r="A2317" s="91"/>
      <c r="D2317" s="91"/>
      <c r="G2317" s="91"/>
      <c r="J2317" s="91"/>
      <c r="M2317" s="91"/>
      <c r="P2317" s="91"/>
      <c r="S2317" s="91"/>
      <c r="T2317" s="91"/>
      <c r="U2317" s="91"/>
      <c r="V2317" s="91"/>
      <c r="W2317" s="91"/>
    </row>
    <row r="2318">
      <c r="A2318" s="91"/>
      <c r="D2318" s="91"/>
      <c r="G2318" s="91"/>
      <c r="J2318" s="91"/>
      <c r="M2318" s="91"/>
      <c r="P2318" s="91"/>
      <c r="S2318" s="91"/>
      <c r="T2318" s="91"/>
      <c r="U2318" s="91"/>
      <c r="V2318" s="91"/>
      <c r="W2318" s="91"/>
    </row>
    <row r="2319">
      <c r="A2319" s="91"/>
      <c r="D2319" s="91"/>
      <c r="G2319" s="91"/>
      <c r="J2319" s="91"/>
      <c r="M2319" s="91"/>
      <c r="P2319" s="91"/>
      <c r="S2319" s="91"/>
      <c r="T2319" s="91"/>
      <c r="U2319" s="91"/>
      <c r="V2319" s="91"/>
      <c r="W2319" s="91"/>
    </row>
    <row r="2320">
      <c r="A2320" s="91"/>
      <c r="D2320" s="91"/>
      <c r="G2320" s="91"/>
      <c r="J2320" s="91"/>
      <c r="M2320" s="91"/>
      <c r="P2320" s="91"/>
      <c r="S2320" s="91"/>
      <c r="T2320" s="91"/>
      <c r="U2320" s="91"/>
      <c r="V2320" s="91"/>
      <c r="W2320" s="91"/>
    </row>
    <row r="2321">
      <c r="A2321" s="91"/>
      <c r="D2321" s="91"/>
      <c r="G2321" s="91"/>
      <c r="J2321" s="91"/>
      <c r="M2321" s="91"/>
      <c r="P2321" s="91"/>
      <c r="S2321" s="91"/>
      <c r="T2321" s="91"/>
      <c r="U2321" s="91"/>
      <c r="V2321" s="91"/>
      <c r="W2321" s="91"/>
    </row>
    <row r="2322">
      <c r="A2322" s="91"/>
      <c r="D2322" s="91"/>
      <c r="G2322" s="91"/>
      <c r="J2322" s="91"/>
      <c r="M2322" s="91"/>
      <c r="P2322" s="91"/>
      <c r="S2322" s="91"/>
      <c r="T2322" s="91"/>
      <c r="U2322" s="91"/>
      <c r="V2322" s="91"/>
      <c r="W2322" s="91"/>
    </row>
    <row r="2323">
      <c r="A2323" s="91"/>
      <c r="D2323" s="91"/>
      <c r="G2323" s="91"/>
      <c r="J2323" s="91"/>
      <c r="M2323" s="91"/>
      <c r="P2323" s="91"/>
      <c r="S2323" s="91"/>
      <c r="T2323" s="91"/>
      <c r="U2323" s="91"/>
      <c r="V2323" s="91"/>
      <c r="W2323" s="91"/>
    </row>
    <row r="2324">
      <c r="A2324" s="91"/>
      <c r="D2324" s="91"/>
      <c r="G2324" s="91"/>
      <c r="J2324" s="91"/>
      <c r="M2324" s="91"/>
      <c r="P2324" s="91"/>
      <c r="S2324" s="91"/>
      <c r="T2324" s="91"/>
      <c r="U2324" s="91"/>
      <c r="V2324" s="91"/>
      <c r="W2324" s="91"/>
    </row>
    <row r="2325">
      <c r="A2325" s="91"/>
      <c r="D2325" s="91"/>
      <c r="G2325" s="91"/>
      <c r="J2325" s="91"/>
      <c r="M2325" s="91"/>
      <c r="P2325" s="91"/>
      <c r="S2325" s="91"/>
      <c r="T2325" s="91"/>
      <c r="U2325" s="91"/>
      <c r="V2325" s="91"/>
      <c r="W2325" s="91"/>
    </row>
    <row r="2326">
      <c r="A2326" s="91"/>
      <c r="D2326" s="91"/>
      <c r="G2326" s="91"/>
      <c r="J2326" s="91"/>
      <c r="M2326" s="91"/>
      <c r="P2326" s="91"/>
      <c r="S2326" s="91"/>
      <c r="T2326" s="91"/>
      <c r="U2326" s="91"/>
      <c r="V2326" s="91"/>
      <c r="W2326" s="91"/>
    </row>
    <row r="2327">
      <c r="A2327" s="91"/>
      <c r="D2327" s="91"/>
      <c r="G2327" s="91"/>
      <c r="J2327" s="91"/>
      <c r="M2327" s="91"/>
      <c r="P2327" s="91"/>
      <c r="S2327" s="91"/>
      <c r="T2327" s="91"/>
      <c r="U2327" s="91"/>
      <c r="V2327" s="91"/>
      <c r="W2327" s="91"/>
    </row>
    <row r="2328">
      <c r="A2328" s="91"/>
      <c r="D2328" s="91"/>
      <c r="G2328" s="91"/>
      <c r="J2328" s="91"/>
      <c r="M2328" s="91"/>
      <c r="P2328" s="91"/>
      <c r="S2328" s="91"/>
      <c r="T2328" s="91"/>
      <c r="U2328" s="91"/>
      <c r="V2328" s="91"/>
      <c r="W2328" s="91"/>
    </row>
    <row r="2329">
      <c r="A2329" s="91"/>
      <c r="D2329" s="91"/>
      <c r="G2329" s="91"/>
      <c r="J2329" s="91"/>
      <c r="M2329" s="91"/>
      <c r="P2329" s="91"/>
      <c r="S2329" s="91"/>
      <c r="T2329" s="91"/>
      <c r="U2329" s="91"/>
      <c r="V2329" s="91"/>
      <c r="W2329" s="91"/>
    </row>
    <row r="2330">
      <c r="A2330" s="91"/>
      <c r="D2330" s="91"/>
      <c r="G2330" s="91"/>
      <c r="J2330" s="91"/>
      <c r="M2330" s="91"/>
      <c r="P2330" s="91"/>
      <c r="S2330" s="91"/>
      <c r="T2330" s="91"/>
      <c r="U2330" s="91"/>
      <c r="V2330" s="91"/>
      <c r="W2330" s="91"/>
    </row>
    <row r="2331">
      <c r="A2331" s="91"/>
      <c r="D2331" s="91"/>
      <c r="G2331" s="91"/>
      <c r="J2331" s="91"/>
      <c r="M2331" s="91"/>
      <c r="P2331" s="91"/>
      <c r="S2331" s="91"/>
      <c r="T2331" s="91"/>
      <c r="U2331" s="91"/>
      <c r="V2331" s="91"/>
      <c r="W2331" s="91"/>
    </row>
    <row r="2332">
      <c r="A2332" s="91"/>
      <c r="D2332" s="91"/>
      <c r="G2332" s="91"/>
      <c r="J2332" s="91"/>
      <c r="M2332" s="91"/>
      <c r="P2332" s="91"/>
      <c r="S2332" s="91"/>
      <c r="T2332" s="91"/>
      <c r="U2332" s="91"/>
      <c r="V2332" s="91"/>
      <c r="W2332" s="91"/>
    </row>
    <row r="2333">
      <c r="A2333" s="91"/>
      <c r="D2333" s="91"/>
      <c r="G2333" s="91"/>
      <c r="J2333" s="91"/>
      <c r="M2333" s="91"/>
      <c r="P2333" s="91"/>
      <c r="S2333" s="91"/>
      <c r="T2333" s="91"/>
      <c r="U2333" s="91"/>
      <c r="V2333" s="91"/>
      <c r="W2333" s="91"/>
    </row>
    <row r="2334">
      <c r="A2334" s="91"/>
      <c r="D2334" s="91"/>
      <c r="G2334" s="91"/>
      <c r="J2334" s="91"/>
      <c r="M2334" s="91"/>
      <c r="P2334" s="91"/>
      <c r="S2334" s="91"/>
      <c r="T2334" s="91"/>
      <c r="U2334" s="91"/>
      <c r="V2334" s="91"/>
      <c r="W2334" s="91"/>
    </row>
    <row r="2335">
      <c r="A2335" s="91"/>
      <c r="D2335" s="91"/>
      <c r="G2335" s="91"/>
      <c r="J2335" s="91"/>
      <c r="M2335" s="91"/>
      <c r="P2335" s="91"/>
      <c r="S2335" s="91"/>
      <c r="T2335" s="91"/>
      <c r="U2335" s="91"/>
      <c r="V2335" s="91"/>
      <c r="W2335" s="91"/>
    </row>
    <row r="2336">
      <c r="A2336" s="91"/>
      <c r="D2336" s="91"/>
      <c r="G2336" s="91"/>
      <c r="J2336" s="91"/>
      <c r="M2336" s="91"/>
      <c r="P2336" s="91"/>
      <c r="S2336" s="91"/>
      <c r="T2336" s="91"/>
      <c r="U2336" s="91"/>
      <c r="V2336" s="91"/>
      <c r="W2336" s="91"/>
    </row>
    <row r="2337">
      <c r="A2337" s="91"/>
      <c r="D2337" s="91"/>
      <c r="G2337" s="91"/>
      <c r="J2337" s="91"/>
      <c r="M2337" s="91"/>
      <c r="P2337" s="91"/>
      <c r="S2337" s="91"/>
      <c r="T2337" s="91"/>
      <c r="U2337" s="91"/>
      <c r="V2337" s="91"/>
      <c r="W2337" s="91"/>
    </row>
    <row r="2338">
      <c r="A2338" s="91"/>
      <c r="D2338" s="91"/>
      <c r="G2338" s="91"/>
      <c r="J2338" s="91"/>
      <c r="M2338" s="91"/>
      <c r="P2338" s="91"/>
      <c r="S2338" s="91"/>
      <c r="T2338" s="91"/>
      <c r="U2338" s="91"/>
      <c r="V2338" s="91"/>
      <c r="W2338" s="91"/>
    </row>
    <row r="2339">
      <c r="A2339" s="91"/>
      <c r="D2339" s="91"/>
      <c r="G2339" s="91"/>
      <c r="J2339" s="91"/>
      <c r="M2339" s="91"/>
      <c r="P2339" s="91"/>
      <c r="S2339" s="91"/>
      <c r="T2339" s="91"/>
      <c r="U2339" s="91"/>
      <c r="V2339" s="91"/>
      <c r="W2339" s="91"/>
    </row>
    <row r="2340">
      <c r="A2340" s="91"/>
      <c r="D2340" s="91"/>
      <c r="G2340" s="91"/>
      <c r="J2340" s="91"/>
      <c r="M2340" s="91"/>
      <c r="P2340" s="91"/>
      <c r="S2340" s="91"/>
      <c r="T2340" s="91"/>
      <c r="U2340" s="91"/>
      <c r="V2340" s="91"/>
      <c r="W2340" s="91"/>
    </row>
    <row r="2341">
      <c r="A2341" s="91"/>
      <c r="D2341" s="91"/>
      <c r="G2341" s="91"/>
      <c r="J2341" s="91"/>
      <c r="M2341" s="91"/>
      <c r="P2341" s="91"/>
      <c r="S2341" s="91"/>
      <c r="T2341" s="91"/>
      <c r="U2341" s="91"/>
      <c r="V2341" s="91"/>
      <c r="W2341" s="91"/>
    </row>
    <row r="2342">
      <c r="A2342" s="91"/>
      <c r="D2342" s="91"/>
      <c r="G2342" s="91"/>
      <c r="J2342" s="91"/>
      <c r="M2342" s="91"/>
      <c r="P2342" s="91"/>
      <c r="S2342" s="91"/>
      <c r="T2342" s="91"/>
      <c r="U2342" s="91"/>
      <c r="V2342" s="91"/>
      <c r="W2342" s="91"/>
    </row>
    <row r="2343">
      <c r="A2343" s="91"/>
      <c r="D2343" s="91"/>
      <c r="G2343" s="91"/>
      <c r="J2343" s="91"/>
      <c r="M2343" s="91"/>
      <c r="P2343" s="91"/>
      <c r="S2343" s="91"/>
      <c r="T2343" s="91"/>
      <c r="U2343" s="91"/>
      <c r="V2343" s="91"/>
      <c r="W2343" s="91"/>
    </row>
    <row r="2344">
      <c r="A2344" s="91"/>
      <c r="D2344" s="91"/>
      <c r="G2344" s="91"/>
      <c r="J2344" s="91"/>
      <c r="M2344" s="91"/>
      <c r="P2344" s="91"/>
      <c r="S2344" s="91"/>
      <c r="T2344" s="91"/>
      <c r="U2344" s="91"/>
      <c r="V2344" s="91"/>
      <c r="W2344" s="91"/>
    </row>
    <row r="2345">
      <c r="A2345" s="91"/>
      <c r="D2345" s="91"/>
      <c r="G2345" s="91"/>
      <c r="J2345" s="91"/>
      <c r="M2345" s="91"/>
      <c r="P2345" s="91"/>
      <c r="S2345" s="91"/>
      <c r="T2345" s="91"/>
      <c r="U2345" s="91"/>
      <c r="V2345" s="91"/>
      <c r="W2345" s="91"/>
    </row>
    <row r="2346">
      <c r="A2346" s="91"/>
      <c r="D2346" s="91"/>
      <c r="G2346" s="91"/>
      <c r="J2346" s="91"/>
      <c r="M2346" s="91"/>
      <c r="P2346" s="91"/>
      <c r="S2346" s="91"/>
      <c r="T2346" s="91"/>
      <c r="U2346" s="91"/>
      <c r="V2346" s="91"/>
      <c r="W2346" s="91"/>
    </row>
    <row r="2347">
      <c r="A2347" s="91"/>
      <c r="D2347" s="91"/>
      <c r="G2347" s="91"/>
      <c r="J2347" s="91"/>
      <c r="M2347" s="91"/>
      <c r="P2347" s="91"/>
      <c r="S2347" s="91"/>
      <c r="T2347" s="91"/>
      <c r="U2347" s="91"/>
      <c r="V2347" s="91"/>
      <c r="W2347" s="91"/>
    </row>
    <row r="2348">
      <c r="A2348" s="91"/>
      <c r="D2348" s="91"/>
      <c r="G2348" s="91"/>
      <c r="J2348" s="91"/>
      <c r="M2348" s="91"/>
      <c r="P2348" s="91"/>
      <c r="S2348" s="91"/>
      <c r="T2348" s="91"/>
      <c r="U2348" s="91"/>
      <c r="V2348" s="91"/>
      <c r="W2348" s="91"/>
    </row>
    <row r="2349">
      <c r="A2349" s="91"/>
      <c r="D2349" s="91"/>
      <c r="G2349" s="91"/>
      <c r="J2349" s="91"/>
      <c r="M2349" s="91"/>
      <c r="P2349" s="91"/>
      <c r="S2349" s="91"/>
      <c r="T2349" s="91"/>
      <c r="U2349" s="91"/>
      <c r="V2349" s="91"/>
      <c r="W2349" s="91"/>
    </row>
    <row r="2350">
      <c r="A2350" s="91"/>
      <c r="D2350" s="91"/>
      <c r="G2350" s="91"/>
      <c r="J2350" s="91"/>
      <c r="M2350" s="91"/>
      <c r="P2350" s="91"/>
      <c r="S2350" s="91"/>
      <c r="T2350" s="91"/>
      <c r="U2350" s="91"/>
      <c r="V2350" s="91"/>
      <c r="W2350" s="91"/>
    </row>
    <row r="2351">
      <c r="A2351" s="91"/>
      <c r="D2351" s="91"/>
      <c r="G2351" s="91"/>
      <c r="J2351" s="91"/>
      <c r="M2351" s="91"/>
      <c r="P2351" s="91"/>
      <c r="S2351" s="91"/>
      <c r="T2351" s="91"/>
      <c r="U2351" s="91"/>
      <c r="V2351" s="91"/>
      <c r="W2351" s="91"/>
    </row>
    <row r="2352">
      <c r="A2352" s="91"/>
      <c r="D2352" s="91"/>
      <c r="G2352" s="91"/>
      <c r="J2352" s="91"/>
      <c r="M2352" s="91"/>
      <c r="P2352" s="91"/>
      <c r="S2352" s="91"/>
      <c r="T2352" s="91"/>
      <c r="U2352" s="91"/>
      <c r="V2352" s="91"/>
      <c r="W2352" s="91"/>
    </row>
    <row r="2353">
      <c r="A2353" s="91"/>
      <c r="D2353" s="91"/>
      <c r="G2353" s="91"/>
      <c r="J2353" s="91"/>
      <c r="M2353" s="91"/>
      <c r="P2353" s="91"/>
      <c r="S2353" s="91"/>
      <c r="T2353" s="91"/>
      <c r="U2353" s="91"/>
      <c r="V2353" s="91"/>
      <c r="W2353" s="91"/>
    </row>
    <row r="2354">
      <c r="A2354" s="91"/>
      <c r="D2354" s="91"/>
      <c r="G2354" s="91"/>
      <c r="J2354" s="91"/>
      <c r="M2354" s="91"/>
      <c r="P2354" s="91"/>
      <c r="S2354" s="91"/>
      <c r="T2354" s="91"/>
      <c r="U2354" s="91"/>
      <c r="V2354" s="91"/>
      <c r="W2354" s="91"/>
    </row>
    <row r="2355">
      <c r="A2355" s="91"/>
      <c r="D2355" s="91"/>
      <c r="G2355" s="91"/>
      <c r="J2355" s="91"/>
      <c r="M2355" s="91"/>
      <c r="P2355" s="91"/>
      <c r="S2355" s="91"/>
      <c r="T2355" s="91"/>
      <c r="U2355" s="91"/>
      <c r="V2355" s="91"/>
      <c r="W2355" s="91"/>
    </row>
    <row r="2356">
      <c r="A2356" s="91"/>
      <c r="D2356" s="91"/>
      <c r="G2356" s="91"/>
      <c r="J2356" s="91"/>
      <c r="M2356" s="91"/>
      <c r="P2356" s="91"/>
      <c r="S2356" s="91"/>
      <c r="T2356" s="91"/>
      <c r="U2356" s="91"/>
      <c r="V2356" s="91"/>
      <c r="W2356" s="91"/>
    </row>
    <row r="2357">
      <c r="A2357" s="91"/>
      <c r="D2357" s="91"/>
      <c r="G2357" s="91"/>
      <c r="J2357" s="91"/>
      <c r="M2357" s="91"/>
      <c r="P2357" s="91"/>
      <c r="S2357" s="91"/>
      <c r="T2357" s="91"/>
      <c r="U2357" s="91"/>
      <c r="V2357" s="91"/>
      <c r="W2357" s="91"/>
    </row>
    <row r="2358">
      <c r="A2358" s="91"/>
      <c r="D2358" s="91"/>
      <c r="G2358" s="91"/>
      <c r="J2358" s="91"/>
      <c r="M2358" s="91"/>
      <c r="P2358" s="91"/>
      <c r="S2358" s="91"/>
      <c r="T2358" s="91"/>
      <c r="U2358" s="91"/>
      <c r="V2358" s="91"/>
      <c r="W2358" s="91"/>
    </row>
    <row r="2359">
      <c r="A2359" s="91"/>
      <c r="D2359" s="91"/>
      <c r="G2359" s="91"/>
      <c r="J2359" s="91"/>
      <c r="M2359" s="91"/>
      <c r="P2359" s="91"/>
      <c r="S2359" s="91"/>
      <c r="T2359" s="91"/>
      <c r="U2359" s="91"/>
      <c r="V2359" s="91"/>
      <c r="W2359" s="91"/>
    </row>
    <row r="2360">
      <c r="A2360" s="91"/>
      <c r="D2360" s="91"/>
      <c r="G2360" s="91"/>
      <c r="J2360" s="91"/>
      <c r="M2360" s="91"/>
      <c r="P2360" s="91"/>
      <c r="S2360" s="91"/>
      <c r="T2360" s="91"/>
      <c r="U2360" s="91"/>
      <c r="V2360" s="91"/>
      <c r="W2360" s="91"/>
    </row>
    <row r="2361">
      <c r="A2361" s="91"/>
      <c r="D2361" s="91"/>
      <c r="G2361" s="91"/>
      <c r="J2361" s="91"/>
      <c r="M2361" s="91"/>
      <c r="P2361" s="91"/>
      <c r="S2361" s="91"/>
      <c r="T2361" s="91"/>
      <c r="U2361" s="91"/>
      <c r="V2361" s="91"/>
      <c r="W2361" s="91"/>
    </row>
    <row r="2362">
      <c r="A2362" s="91"/>
      <c r="D2362" s="91"/>
      <c r="G2362" s="91"/>
      <c r="J2362" s="91"/>
      <c r="M2362" s="91"/>
      <c r="P2362" s="91"/>
      <c r="S2362" s="91"/>
      <c r="T2362" s="91"/>
      <c r="U2362" s="91"/>
      <c r="V2362" s="91"/>
      <c r="W2362" s="91"/>
    </row>
    <row r="2363">
      <c r="A2363" s="91"/>
      <c r="D2363" s="91"/>
      <c r="G2363" s="91"/>
      <c r="J2363" s="91"/>
      <c r="M2363" s="91"/>
      <c r="P2363" s="91"/>
      <c r="S2363" s="91"/>
      <c r="T2363" s="91"/>
      <c r="U2363" s="91"/>
      <c r="V2363" s="91"/>
      <c r="W2363" s="91"/>
    </row>
    <row r="2364">
      <c r="A2364" s="91"/>
      <c r="D2364" s="91"/>
      <c r="G2364" s="91"/>
      <c r="J2364" s="91"/>
      <c r="M2364" s="91"/>
      <c r="P2364" s="91"/>
      <c r="S2364" s="91"/>
      <c r="T2364" s="91"/>
      <c r="U2364" s="91"/>
      <c r="V2364" s="91"/>
      <c r="W2364" s="91"/>
    </row>
    <row r="2365">
      <c r="A2365" s="91"/>
      <c r="D2365" s="91"/>
      <c r="G2365" s="91"/>
      <c r="J2365" s="91"/>
      <c r="M2365" s="91"/>
      <c r="P2365" s="91"/>
      <c r="S2365" s="91"/>
      <c r="T2365" s="91"/>
      <c r="U2365" s="91"/>
      <c r="V2365" s="91"/>
      <c r="W2365" s="91"/>
    </row>
    <row r="2366">
      <c r="A2366" s="91"/>
      <c r="D2366" s="91"/>
      <c r="G2366" s="91"/>
      <c r="J2366" s="91"/>
      <c r="M2366" s="91"/>
      <c r="P2366" s="91"/>
      <c r="S2366" s="91"/>
      <c r="T2366" s="91"/>
      <c r="U2366" s="91"/>
      <c r="V2366" s="91"/>
      <c r="W2366" s="91"/>
    </row>
    <row r="2367">
      <c r="A2367" s="91"/>
      <c r="D2367" s="91"/>
      <c r="G2367" s="91"/>
      <c r="J2367" s="91"/>
      <c r="M2367" s="91"/>
      <c r="P2367" s="91"/>
      <c r="S2367" s="91"/>
      <c r="T2367" s="91"/>
      <c r="U2367" s="91"/>
      <c r="V2367" s="91"/>
      <c r="W2367" s="91"/>
    </row>
    <row r="2368">
      <c r="A2368" s="91"/>
      <c r="D2368" s="91"/>
      <c r="G2368" s="91"/>
      <c r="J2368" s="91"/>
      <c r="M2368" s="91"/>
      <c r="P2368" s="91"/>
      <c r="S2368" s="91"/>
      <c r="T2368" s="91"/>
      <c r="U2368" s="91"/>
      <c r="V2368" s="91"/>
      <c r="W2368" s="91"/>
    </row>
    <row r="2369">
      <c r="A2369" s="91"/>
      <c r="D2369" s="91"/>
      <c r="G2369" s="91"/>
      <c r="J2369" s="91"/>
      <c r="M2369" s="91"/>
      <c r="P2369" s="91"/>
      <c r="S2369" s="91"/>
      <c r="T2369" s="91"/>
      <c r="U2369" s="91"/>
      <c r="V2369" s="91"/>
      <c r="W2369" s="91"/>
    </row>
    <row r="2370">
      <c r="A2370" s="91"/>
      <c r="D2370" s="91"/>
      <c r="G2370" s="91"/>
      <c r="J2370" s="91"/>
      <c r="M2370" s="91"/>
      <c r="P2370" s="91"/>
      <c r="S2370" s="91"/>
      <c r="T2370" s="91"/>
      <c r="U2370" s="91"/>
      <c r="V2370" s="91"/>
      <c r="W2370" s="91"/>
    </row>
    <row r="2371">
      <c r="A2371" s="91"/>
      <c r="D2371" s="91"/>
      <c r="G2371" s="91"/>
      <c r="J2371" s="91"/>
      <c r="M2371" s="91"/>
      <c r="P2371" s="91"/>
      <c r="S2371" s="91"/>
      <c r="T2371" s="91"/>
      <c r="U2371" s="91"/>
      <c r="V2371" s="91"/>
      <c r="W2371" s="91"/>
    </row>
    <row r="2372">
      <c r="A2372" s="91"/>
      <c r="D2372" s="91"/>
      <c r="G2372" s="91"/>
      <c r="J2372" s="91"/>
      <c r="M2372" s="91"/>
      <c r="P2372" s="91"/>
      <c r="S2372" s="91"/>
      <c r="T2372" s="91"/>
      <c r="U2372" s="91"/>
      <c r="V2372" s="91"/>
      <c r="W2372" s="91"/>
    </row>
    <row r="2373">
      <c r="A2373" s="91"/>
      <c r="D2373" s="91"/>
      <c r="G2373" s="91"/>
      <c r="J2373" s="91"/>
      <c r="M2373" s="91"/>
      <c r="P2373" s="91"/>
      <c r="S2373" s="91"/>
      <c r="T2373" s="91"/>
      <c r="U2373" s="91"/>
      <c r="V2373" s="91"/>
      <c r="W2373" s="91"/>
    </row>
    <row r="2374">
      <c r="A2374" s="91"/>
      <c r="D2374" s="91"/>
      <c r="G2374" s="91"/>
      <c r="J2374" s="91"/>
      <c r="M2374" s="91"/>
      <c r="P2374" s="91"/>
      <c r="S2374" s="91"/>
      <c r="T2374" s="91"/>
      <c r="U2374" s="91"/>
      <c r="V2374" s="91"/>
      <c r="W2374" s="91"/>
    </row>
    <row r="2375">
      <c r="A2375" s="91"/>
      <c r="D2375" s="91"/>
      <c r="G2375" s="91"/>
      <c r="J2375" s="91"/>
      <c r="M2375" s="91"/>
      <c r="P2375" s="91"/>
      <c r="S2375" s="91"/>
      <c r="T2375" s="91"/>
      <c r="U2375" s="91"/>
      <c r="V2375" s="91"/>
      <c r="W2375" s="91"/>
    </row>
    <row r="2376">
      <c r="A2376" s="91"/>
      <c r="D2376" s="91"/>
      <c r="G2376" s="91"/>
      <c r="J2376" s="91"/>
      <c r="M2376" s="91"/>
      <c r="P2376" s="91"/>
      <c r="S2376" s="91"/>
      <c r="T2376" s="91"/>
      <c r="U2376" s="91"/>
      <c r="V2376" s="91"/>
      <c r="W2376" s="91"/>
    </row>
    <row r="2377">
      <c r="A2377" s="91"/>
      <c r="D2377" s="91"/>
      <c r="G2377" s="91"/>
      <c r="J2377" s="91"/>
      <c r="M2377" s="91"/>
      <c r="P2377" s="91"/>
      <c r="S2377" s="91"/>
      <c r="T2377" s="91"/>
      <c r="U2377" s="91"/>
      <c r="V2377" s="91"/>
      <c r="W2377" s="91"/>
    </row>
    <row r="2378">
      <c r="A2378" s="91"/>
      <c r="D2378" s="91"/>
      <c r="G2378" s="91"/>
      <c r="J2378" s="91"/>
      <c r="M2378" s="91"/>
      <c r="P2378" s="91"/>
      <c r="S2378" s="91"/>
      <c r="T2378" s="91"/>
      <c r="U2378" s="91"/>
      <c r="V2378" s="91"/>
      <c r="W2378" s="91"/>
    </row>
    <row r="2379">
      <c r="A2379" s="91"/>
      <c r="D2379" s="91"/>
      <c r="G2379" s="91"/>
      <c r="J2379" s="91"/>
      <c r="M2379" s="91"/>
      <c r="P2379" s="91"/>
      <c r="S2379" s="91"/>
      <c r="T2379" s="91"/>
      <c r="U2379" s="91"/>
      <c r="V2379" s="91"/>
      <c r="W2379" s="91"/>
    </row>
    <row r="2380">
      <c r="A2380" s="91"/>
      <c r="D2380" s="91"/>
      <c r="G2380" s="91"/>
      <c r="J2380" s="91"/>
      <c r="M2380" s="91"/>
      <c r="P2380" s="91"/>
      <c r="S2380" s="91"/>
      <c r="T2380" s="91"/>
      <c r="U2380" s="91"/>
      <c r="V2380" s="91"/>
      <c r="W2380" s="91"/>
    </row>
    <row r="2381">
      <c r="A2381" s="91"/>
      <c r="D2381" s="91"/>
      <c r="G2381" s="91"/>
      <c r="J2381" s="91"/>
      <c r="M2381" s="91"/>
      <c r="P2381" s="91"/>
      <c r="S2381" s="91"/>
      <c r="T2381" s="91"/>
      <c r="U2381" s="91"/>
      <c r="V2381" s="91"/>
      <c r="W2381" s="91"/>
    </row>
    <row r="2382">
      <c r="A2382" s="91"/>
      <c r="D2382" s="91"/>
      <c r="G2382" s="91"/>
      <c r="J2382" s="91"/>
      <c r="M2382" s="91"/>
      <c r="P2382" s="91"/>
      <c r="S2382" s="91"/>
      <c r="T2382" s="91"/>
      <c r="U2382" s="91"/>
      <c r="V2382" s="91"/>
      <c r="W2382" s="91"/>
    </row>
    <row r="2383">
      <c r="A2383" s="91"/>
      <c r="D2383" s="91"/>
      <c r="G2383" s="91"/>
      <c r="J2383" s="91"/>
      <c r="M2383" s="91"/>
      <c r="P2383" s="91"/>
      <c r="S2383" s="91"/>
      <c r="T2383" s="91"/>
      <c r="U2383" s="91"/>
      <c r="V2383" s="91"/>
      <c r="W2383" s="91"/>
    </row>
    <row r="2384">
      <c r="A2384" s="91"/>
      <c r="D2384" s="91"/>
      <c r="G2384" s="91"/>
      <c r="J2384" s="91"/>
      <c r="M2384" s="91"/>
      <c r="P2384" s="91"/>
      <c r="S2384" s="91"/>
      <c r="T2384" s="91"/>
      <c r="U2384" s="91"/>
      <c r="V2384" s="91"/>
      <c r="W2384" s="91"/>
    </row>
    <row r="2385">
      <c r="A2385" s="91"/>
      <c r="D2385" s="91"/>
      <c r="G2385" s="91"/>
      <c r="J2385" s="91"/>
      <c r="M2385" s="91"/>
      <c r="P2385" s="91"/>
      <c r="S2385" s="91"/>
      <c r="T2385" s="91"/>
      <c r="U2385" s="91"/>
      <c r="V2385" s="91"/>
      <c r="W2385" s="91"/>
    </row>
    <row r="2386">
      <c r="A2386" s="91"/>
      <c r="D2386" s="91"/>
      <c r="G2386" s="91"/>
      <c r="J2386" s="91"/>
      <c r="M2386" s="91"/>
      <c r="P2386" s="91"/>
      <c r="S2386" s="91"/>
      <c r="T2386" s="91"/>
      <c r="U2386" s="91"/>
      <c r="V2386" s="91"/>
      <c r="W2386" s="91"/>
    </row>
    <row r="2387">
      <c r="A2387" s="91"/>
      <c r="D2387" s="91"/>
      <c r="G2387" s="91"/>
      <c r="J2387" s="91"/>
      <c r="M2387" s="91"/>
      <c r="P2387" s="91"/>
      <c r="S2387" s="91"/>
      <c r="T2387" s="91"/>
      <c r="U2387" s="91"/>
      <c r="V2387" s="91"/>
      <c r="W2387" s="91"/>
    </row>
    <row r="2388">
      <c r="A2388" s="91"/>
      <c r="D2388" s="91"/>
      <c r="G2388" s="91"/>
      <c r="J2388" s="91"/>
      <c r="M2388" s="91"/>
      <c r="P2388" s="91"/>
      <c r="S2388" s="91"/>
      <c r="T2388" s="91"/>
      <c r="U2388" s="91"/>
      <c r="V2388" s="91"/>
      <c r="W2388" s="91"/>
    </row>
    <row r="2389">
      <c r="A2389" s="91"/>
      <c r="D2389" s="91"/>
      <c r="G2389" s="91"/>
      <c r="J2389" s="91"/>
      <c r="M2389" s="91"/>
      <c r="P2389" s="91"/>
      <c r="S2389" s="91"/>
      <c r="T2389" s="91"/>
      <c r="U2389" s="91"/>
      <c r="V2389" s="91"/>
      <c r="W2389" s="91"/>
    </row>
    <row r="2390">
      <c r="A2390" s="91"/>
      <c r="D2390" s="91"/>
      <c r="G2390" s="91"/>
      <c r="J2390" s="91"/>
      <c r="M2390" s="91"/>
      <c r="P2390" s="91"/>
      <c r="S2390" s="91"/>
      <c r="T2390" s="91"/>
      <c r="U2390" s="91"/>
      <c r="V2390" s="91"/>
      <c r="W2390" s="91"/>
    </row>
    <row r="2391">
      <c r="A2391" s="91"/>
      <c r="D2391" s="91"/>
      <c r="G2391" s="91"/>
      <c r="J2391" s="91"/>
      <c r="M2391" s="91"/>
      <c r="P2391" s="91"/>
      <c r="S2391" s="91"/>
      <c r="T2391" s="91"/>
      <c r="U2391" s="91"/>
      <c r="V2391" s="91"/>
      <c r="W2391" s="91"/>
    </row>
    <row r="2392">
      <c r="A2392" s="91"/>
      <c r="D2392" s="91"/>
      <c r="G2392" s="91"/>
      <c r="J2392" s="91"/>
      <c r="M2392" s="91"/>
      <c r="P2392" s="91"/>
      <c r="S2392" s="91"/>
      <c r="T2392" s="91"/>
      <c r="U2392" s="91"/>
      <c r="V2392" s="91"/>
      <c r="W2392" s="91"/>
    </row>
    <row r="2393">
      <c r="A2393" s="91"/>
      <c r="D2393" s="91"/>
      <c r="G2393" s="91"/>
      <c r="J2393" s="91"/>
      <c r="M2393" s="91"/>
      <c r="P2393" s="91"/>
      <c r="S2393" s="91"/>
      <c r="T2393" s="91"/>
      <c r="U2393" s="91"/>
      <c r="V2393" s="91"/>
      <c r="W2393" s="91"/>
    </row>
    <row r="2394">
      <c r="A2394" s="91"/>
      <c r="D2394" s="91"/>
      <c r="G2394" s="91"/>
      <c r="J2394" s="91"/>
      <c r="M2394" s="91"/>
      <c r="P2394" s="91"/>
      <c r="S2394" s="91"/>
      <c r="T2394" s="91"/>
      <c r="U2394" s="91"/>
      <c r="V2394" s="91"/>
      <c r="W2394" s="91"/>
    </row>
    <row r="2395">
      <c r="A2395" s="91"/>
      <c r="D2395" s="91"/>
      <c r="G2395" s="91"/>
      <c r="J2395" s="91"/>
      <c r="M2395" s="91"/>
      <c r="P2395" s="91"/>
      <c r="S2395" s="91"/>
      <c r="T2395" s="91"/>
      <c r="U2395" s="91"/>
      <c r="V2395" s="91"/>
      <c r="W2395" s="91"/>
    </row>
    <row r="2396">
      <c r="A2396" s="91"/>
      <c r="D2396" s="91"/>
      <c r="G2396" s="91"/>
      <c r="J2396" s="91"/>
      <c r="M2396" s="91"/>
      <c r="P2396" s="91"/>
      <c r="S2396" s="91"/>
      <c r="T2396" s="91"/>
      <c r="U2396" s="91"/>
      <c r="V2396" s="91"/>
      <c r="W2396" s="91"/>
    </row>
    <row r="2397">
      <c r="A2397" s="91"/>
      <c r="D2397" s="91"/>
      <c r="G2397" s="91"/>
      <c r="J2397" s="91"/>
      <c r="M2397" s="91"/>
      <c r="P2397" s="91"/>
      <c r="S2397" s="91"/>
      <c r="T2397" s="91"/>
      <c r="U2397" s="91"/>
      <c r="V2397" s="91"/>
      <c r="W2397" s="91"/>
    </row>
    <row r="2398">
      <c r="A2398" s="91"/>
      <c r="D2398" s="91"/>
      <c r="G2398" s="91"/>
      <c r="J2398" s="91"/>
      <c r="M2398" s="91"/>
      <c r="P2398" s="91"/>
      <c r="S2398" s="91"/>
      <c r="T2398" s="91"/>
      <c r="U2398" s="91"/>
      <c r="V2398" s="91"/>
      <c r="W2398" s="91"/>
    </row>
    <row r="2399">
      <c r="A2399" s="91"/>
      <c r="D2399" s="91"/>
      <c r="G2399" s="91"/>
      <c r="J2399" s="91"/>
      <c r="M2399" s="91"/>
      <c r="P2399" s="91"/>
      <c r="S2399" s="91"/>
      <c r="T2399" s="91"/>
      <c r="U2399" s="91"/>
      <c r="V2399" s="91"/>
      <c r="W2399" s="91"/>
    </row>
    <row r="2400">
      <c r="A2400" s="91"/>
      <c r="D2400" s="91"/>
      <c r="G2400" s="91"/>
      <c r="J2400" s="91"/>
      <c r="M2400" s="91"/>
      <c r="P2400" s="91"/>
      <c r="S2400" s="91"/>
      <c r="T2400" s="91"/>
      <c r="U2400" s="91"/>
      <c r="V2400" s="91"/>
      <c r="W2400" s="91"/>
    </row>
    <row r="2401">
      <c r="A2401" s="91"/>
      <c r="D2401" s="91"/>
      <c r="G2401" s="91"/>
      <c r="J2401" s="91"/>
      <c r="M2401" s="91"/>
      <c r="P2401" s="91"/>
      <c r="S2401" s="91"/>
      <c r="T2401" s="91"/>
      <c r="U2401" s="91"/>
      <c r="V2401" s="91"/>
      <c r="W2401" s="91"/>
    </row>
    <row r="2402">
      <c r="A2402" s="91"/>
      <c r="D2402" s="91"/>
      <c r="G2402" s="91"/>
      <c r="J2402" s="91"/>
      <c r="M2402" s="91"/>
      <c r="P2402" s="91"/>
      <c r="S2402" s="91"/>
      <c r="T2402" s="91"/>
      <c r="U2402" s="91"/>
      <c r="V2402" s="91"/>
      <c r="W2402" s="91"/>
    </row>
    <row r="2403">
      <c r="A2403" s="91"/>
      <c r="D2403" s="91"/>
      <c r="G2403" s="91"/>
      <c r="J2403" s="91"/>
      <c r="M2403" s="91"/>
      <c r="P2403" s="91"/>
      <c r="S2403" s="91"/>
      <c r="T2403" s="91"/>
      <c r="U2403" s="91"/>
      <c r="V2403" s="91"/>
      <c r="W2403" s="91"/>
    </row>
    <row r="2404">
      <c r="A2404" s="91"/>
      <c r="D2404" s="91"/>
      <c r="G2404" s="91"/>
      <c r="J2404" s="91"/>
      <c r="M2404" s="91"/>
      <c r="P2404" s="91"/>
      <c r="S2404" s="91"/>
      <c r="T2404" s="91"/>
      <c r="U2404" s="91"/>
      <c r="V2404" s="91"/>
      <c r="W2404" s="91"/>
    </row>
    <row r="2405">
      <c r="A2405" s="91"/>
      <c r="D2405" s="91"/>
      <c r="G2405" s="91"/>
      <c r="J2405" s="91"/>
      <c r="M2405" s="91"/>
      <c r="P2405" s="91"/>
      <c r="S2405" s="91"/>
      <c r="T2405" s="91"/>
      <c r="U2405" s="91"/>
      <c r="V2405" s="91"/>
      <c r="W2405" s="91"/>
    </row>
    <row r="2406">
      <c r="A2406" s="91"/>
      <c r="D2406" s="91"/>
      <c r="G2406" s="91"/>
      <c r="J2406" s="91"/>
      <c r="M2406" s="91"/>
      <c r="P2406" s="91"/>
      <c r="S2406" s="91"/>
      <c r="T2406" s="91"/>
      <c r="U2406" s="91"/>
      <c r="V2406" s="91"/>
      <c r="W2406" s="91"/>
    </row>
    <row r="2407">
      <c r="A2407" s="91"/>
      <c r="D2407" s="91"/>
      <c r="G2407" s="91"/>
      <c r="J2407" s="91"/>
      <c r="M2407" s="91"/>
      <c r="P2407" s="91"/>
      <c r="S2407" s="91"/>
      <c r="T2407" s="91"/>
      <c r="U2407" s="91"/>
      <c r="V2407" s="91"/>
      <c r="W2407" s="91"/>
    </row>
    <row r="2408">
      <c r="A2408" s="91"/>
      <c r="D2408" s="91"/>
      <c r="G2408" s="91"/>
      <c r="J2408" s="91"/>
      <c r="M2408" s="91"/>
      <c r="P2408" s="91"/>
      <c r="S2408" s="91"/>
      <c r="T2408" s="91"/>
      <c r="U2408" s="91"/>
      <c r="V2408" s="91"/>
      <c r="W2408" s="91"/>
    </row>
    <row r="2409">
      <c r="A2409" s="91"/>
      <c r="D2409" s="91"/>
      <c r="G2409" s="91"/>
      <c r="J2409" s="91"/>
      <c r="M2409" s="91"/>
      <c r="P2409" s="91"/>
      <c r="S2409" s="91"/>
      <c r="T2409" s="91"/>
      <c r="U2409" s="91"/>
      <c r="V2409" s="91"/>
      <c r="W2409" s="91"/>
    </row>
    <row r="2410">
      <c r="A2410" s="91"/>
      <c r="D2410" s="91"/>
      <c r="G2410" s="91"/>
      <c r="J2410" s="91"/>
      <c r="M2410" s="91"/>
      <c r="P2410" s="91"/>
      <c r="S2410" s="91"/>
      <c r="T2410" s="91"/>
      <c r="U2410" s="91"/>
      <c r="V2410" s="91"/>
      <c r="W2410" s="91"/>
    </row>
    <row r="2411">
      <c r="A2411" s="91"/>
      <c r="D2411" s="91"/>
      <c r="G2411" s="91"/>
      <c r="J2411" s="91"/>
      <c r="M2411" s="91"/>
      <c r="P2411" s="91"/>
      <c r="S2411" s="91"/>
      <c r="T2411" s="91"/>
      <c r="U2411" s="91"/>
      <c r="V2411" s="91"/>
      <c r="W2411" s="91"/>
    </row>
    <row r="2412">
      <c r="A2412" s="91"/>
      <c r="D2412" s="91"/>
      <c r="G2412" s="91"/>
      <c r="J2412" s="91"/>
      <c r="M2412" s="91"/>
      <c r="P2412" s="91"/>
      <c r="S2412" s="91"/>
      <c r="T2412" s="91"/>
      <c r="U2412" s="91"/>
      <c r="V2412" s="91"/>
      <c r="W2412" s="91"/>
    </row>
    <row r="2413">
      <c r="A2413" s="91"/>
      <c r="D2413" s="91"/>
      <c r="G2413" s="91"/>
      <c r="J2413" s="91"/>
      <c r="M2413" s="91"/>
      <c r="P2413" s="91"/>
      <c r="S2413" s="91"/>
      <c r="T2413" s="91"/>
      <c r="U2413" s="91"/>
      <c r="V2413" s="91"/>
      <c r="W2413" s="91"/>
    </row>
    <row r="2414">
      <c r="A2414" s="91"/>
      <c r="D2414" s="91"/>
      <c r="G2414" s="91"/>
      <c r="J2414" s="91"/>
      <c r="M2414" s="91"/>
      <c r="P2414" s="91"/>
      <c r="S2414" s="91"/>
      <c r="T2414" s="91"/>
      <c r="U2414" s="91"/>
      <c r="V2414" s="91"/>
      <c r="W2414" s="91"/>
    </row>
    <row r="2415">
      <c r="A2415" s="91"/>
      <c r="D2415" s="91"/>
      <c r="G2415" s="91"/>
      <c r="J2415" s="91"/>
      <c r="M2415" s="91"/>
      <c r="P2415" s="91"/>
      <c r="S2415" s="91"/>
      <c r="T2415" s="91"/>
      <c r="U2415" s="91"/>
      <c r="V2415" s="91"/>
      <c r="W2415" s="91"/>
    </row>
    <row r="2416">
      <c r="A2416" s="91"/>
      <c r="D2416" s="91"/>
      <c r="G2416" s="91"/>
      <c r="J2416" s="91"/>
      <c r="M2416" s="91"/>
      <c r="P2416" s="91"/>
      <c r="S2416" s="91"/>
      <c r="T2416" s="91"/>
      <c r="U2416" s="91"/>
      <c r="V2416" s="91"/>
      <c r="W2416" s="91"/>
    </row>
    <row r="2417">
      <c r="A2417" s="91"/>
      <c r="D2417" s="91"/>
      <c r="G2417" s="91"/>
      <c r="J2417" s="91"/>
      <c r="M2417" s="91"/>
      <c r="P2417" s="91"/>
      <c r="S2417" s="91"/>
      <c r="T2417" s="91"/>
      <c r="U2417" s="91"/>
      <c r="V2417" s="91"/>
      <c r="W2417" s="91"/>
    </row>
    <row r="2418">
      <c r="A2418" s="91"/>
      <c r="D2418" s="91"/>
      <c r="G2418" s="91"/>
      <c r="J2418" s="91"/>
      <c r="M2418" s="91"/>
      <c r="P2418" s="91"/>
      <c r="S2418" s="91"/>
      <c r="T2418" s="91"/>
      <c r="U2418" s="91"/>
      <c r="V2418" s="91"/>
      <c r="W2418" s="91"/>
    </row>
    <row r="2419">
      <c r="A2419" s="91"/>
      <c r="D2419" s="91"/>
      <c r="G2419" s="91"/>
      <c r="J2419" s="91"/>
      <c r="M2419" s="91"/>
      <c r="P2419" s="91"/>
      <c r="S2419" s="91"/>
      <c r="T2419" s="91"/>
      <c r="U2419" s="91"/>
      <c r="V2419" s="91"/>
      <c r="W2419" s="91"/>
    </row>
    <row r="2420">
      <c r="A2420" s="91"/>
      <c r="D2420" s="91"/>
      <c r="G2420" s="91"/>
      <c r="J2420" s="91"/>
      <c r="M2420" s="91"/>
      <c r="P2420" s="91"/>
      <c r="S2420" s="91"/>
      <c r="T2420" s="91"/>
      <c r="U2420" s="91"/>
      <c r="V2420" s="91"/>
      <c r="W2420" s="91"/>
    </row>
    <row r="2421">
      <c r="A2421" s="91"/>
      <c r="D2421" s="91"/>
      <c r="G2421" s="91"/>
      <c r="J2421" s="91"/>
      <c r="M2421" s="91"/>
      <c r="P2421" s="91"/>
      <c r="S2421" s="91"/>
      <c r="T2421" s="91"/>
      <c r="U2421" s="91"/>
      <c r="V2421" s="91"/>
      <c r="W2421" s="91"/>
    </row>
    <row r="2422">
      <c r="A2422" s="91"/>
      <c r="D2422" s="91"/>
      <c r="G2422" s="91"/>
      <c r="J2422" s="91"/>
      <c r="M2422" s="91"/>
      <c r="P2422" s="91"/>
      <c r="S2422" s="91"/>
      <c r="T2422" s="91"/>
      <c r="U2422" s="91"/>
      <c r="V2422" s="91"/>
      <c r="W2422" s="91"/>
    </row>
    <row r="2423">
      <c r="A2423" s="91"/>
      <c r="D2423" s="91"/>
      <c r="G2423" s="91"/>
      <c r="J2423" s="91"/>
      <c r="M2423" s="91"/>
      <c r="P2423" s="91"/>
      <c r="S2423" s="91"/>
      <c r="T2423" s="91"/>
      <c r="U2423" s="91"/>
      <c r="V2423" s="91"/>
      <c r="W2423" s="91"/>
    </row>
    <row r="2424">
      <c r="A2424" s="91"/>
      <c r="D2424" s="91"/>
      <c r="G2424" s="91"/>
      <c r="J2424" s="91"/>
      <c r="M2424" s="91"/>
      <c r="P2424" s="91"/>
      <c r="S2424" s="91"/>
      <c r="T2424" s="91"/>
      <c r="U2424" s="91"/>
      <c r="V2424" s="91"/>
      <c r="W2424" s="91"/>
    </row>
    <row r="2425">
      <c r="A2425" s="91"/>
      <c r="D2425" s="91"/>
      <c r="G2425" s="91"/>
      <c r="J2425" s="91"/>
      <c r="M2425" s="91"/>
      <c r="P2425" s="91"/>
      <c r="S2425" s="91"/>
      <c r="T2425" s="91"/>
      <c r="U2425" s="91"/>
      <c r="V2425" s="91"/>
      <c r="W2425" s="91"/>
    </row>
    <row r="2426">
      <c r="A2426" s="91"/>
      <c r="D2426" s="91"/>
      <c r="G2426" s="91"/>
      <c r="J2426" s="91"/>
      <c r="M2426" s="91"/>
      <c r="P2426" s="91"/>
      <c r="S2426" s="91"/>
      <c r="T2426" s="91"/>
      <c r="U2426" s="91"/>
      <c r="V2426" s="91"/>
      <c r="W2426" s="91"/>
    </row>
    <row r="2427">
      <c r="A2427" s="91"/>
      <c r="D2427" s="91"/>
      <c r="G2427" s="91"/>
      <c r="J2427" s="91"/>
      <c r="M2427" s="91"/>
      <c r="P2427" s="91"/>
      <c r="S2427" s="91"/>
      <c r="T2427" s="91"/>
      <c r="U2427" s="91"/>
      <c r="V2427" s="91"/>
      <c r="W2427" s="91"/>
    </row>
    <row r="2428">
      <c r="A2428" s="91"/>
      <c r="D2428" s="91"/>
      <c r="G2428" s="91"/>
      <c r="J2428" s="91"/>
      <c r="M2428" s="91"/>
      <c r="P2428" s="91"/>
      <c r="S2428" s="91"/>
      <c r="T2428" s="91"/>
      <c r="U2428" s="91"/>
      <c r="V2428" s="91"/>
      <c r="W2428" s="91"/>
    </row>
    <row r="2429">
      <c r="A2429" s="91"/>
      <c r="D2429" s="91"/>
      <c r="G2429" s="91"/>
      <c r="J2429" s="91"/>
      <c r="M2429" s="91"/>
      <c r="P2429" s="91"/>
      <c r="S2429" s="91"/>
      <c r="T2429" s="91"/>
      <c r="U2429" s="91"/>
      <c r="V2429" s="91"/>
      <c r="W2429" s="91"/>
    </row>
    <row r="2430">
      <c r="A2430" s="91"/>
      <c r="D2430" s="91"/>
      <c r="G2430" s="91"/>
      <c r="J2430" s="91"/>
      <c r="M2430" s="91"/>
      <c r="P2430" s="91"/>
      <c r="S2430" s="91"/>
      <c r="T2430" s="91"/>
      <c r="U2430" s="91"/>
      <c r="V2430" s="91"/>
      <c r="W2430" s="91"/>
    </row>
    <row r="2431">
      <c r="A2431" s="91"/>
      <c r="D2431" s="91"/>
      <c r="G2431" s="91"/>
      <c r="J2431" s="91"/>
      <c r="M2431" s="91"/>
      <c r="P2431" s="91"/>
      <c r="S2431" s="91"/>
      <c r="T2431" s="91"/>
      <c r="U2431" s="91"/>
      <c r="V2431" s="91"/>
      <c r="W2431" s="91"/>
    </row>
    <row r="2432">
      <c r="A2432" s="91"/>
      <c r="D2432" s="91"/>
      <c r="G2432" s="91"/>
      <c r="J2432" s="91"/>
      <c r="M2432" s="91"/>
      <c r="P2432" s="91"/>
      <c r="S2432" s="91"/>
      <c r="T2432" s="91"/>
      <c r="U2432" s="91"/>
      <c r="V2432" s="91"/>
      <c r="W2432" s="91"/>
    </row>
    <row r="2433">
      <c r="A2433" s="91"/>
      <c r="D2433" s="91"/>
      <c r="G2433" s="91"/>
      <c r="J2433" s="91"/>
      <c r="M2433" s="91"/>
      <c r="P2433" s="91"/>
      <c r="S2433" s="91"/>
      <c r="T2433" s="91"/>
      <c r="U2433" s="91"/>
      <c r="V2433" s="91"/>
      <c r="W2433" s="91"/>
    </row>
    <row r="2434">
      <c r="A2434" s="91"/>
      <c r="D2434" s="91"/>
      <c r="G2434" s="91"/>
      <c r="J2434" s="91"/>
      <c r="M2434" s="91"/>
      <c r="P2434" s="91"/>
      <c r="S2434" s="91"/>
      <c r="T2434" s="91"/>
      <c r="U2434" s="91"/>
      <c r="V2434" s="91"/>
      <c r="W2434" s="91"/>
    </row>
    <row r="2435">
      <c r="A2435" s="91"/>
      <c r="D2435" s="91"/>
      <c r="G2435" s="91"/>
      <c r="J2435" s="91"/>
      <c r="M2435" s="91"/>
      <c r="P2435" s="91"/>
      <c r="S2435" s="91"/>
      <c r="T2435" s="91"/>
      <c r="U2435" s="91"/>
      <c r="V2435" s="91"/>
      <c r="W2435" s="91"/>
    </row>
    <row r="2436">
      <c r="A2436" s="91"/>
      <c r="D2436" s="91"/>
      <c r="G2436" s="91"/>
      <c r="J2436" s="91"/>
      <c r="M2436" s="91"/>
      <c r="P2436" s="91"/>
      <c r="S2436" s="91"/>
      <c r="T2436" s="91"/>
      <c r="U2436" s="91"/>
      <c r="V2436" s="91"/>
      <c r="W2436" s="91"/>
    </row>
    <row r="2437">
      <c r="A2437" s="91"/>
      <c r="D2437" s="91"/>
      <c r="G2437" s="91"/>
      <c r="J2437" s="91"/>
      <c r="M2437" s="91"/>
      <c r="P2437" s="91"/>
      <c r="S2437" s="91"/>
      <c r="T2437" s="91"/>
      <c r="U2437" s="91"/>
      <c r="V2437" s="91"/>
      <c r="W2437" s="91"/>
    </row>
    <row r="2438">
      <c r="A2438" s="91"/>
      <c r="D2438" s="91"/>
      <c r="G2438" s="91"/>
      <c r="J2438" s="91"/>
      <c r="M2438" s="91"/>
      <c r="P2438" s="91"/>
      <c r="S2438" s="91"/>
      <c r="T2438" s="91"/>
      <c r="U2438" s="91"/>
      <c r="V2438" s="91"/>
      <c r="W2438" s="91"/>
    </row>
    <row r="2439">
      <c r="A2439" s="91"/>
      <c r="D2439" s="91"/>
      <c r="G2439" s="91"/>
      <c r="J2439" s="91"/>
      <c r="M2439" s="91"/>
      <c r="P2439" s="91"/>
      <c r="S2439" s="91"/>
      <c r="T2439" s="91"/>
      <c r="U2439" s="91"/>
      <c r="V2439" s="91"/>
      <c r="W2439" s="91"/>
    </row>
    <row r="2440">
      <c r="A2440" s="91"/>
      <c r="D2440" s="91"/>
      <c r="G2440" s="91"/>
      <c r="J2440" s="91"/>
      <c r="M2440" s="91"/>
      <c r="P2440" s="91"/>
      <c r="S2440" s="91"/>
      <c r="T2440" s="91"/>
      <c r="U2440" s="91"/>
      <c r="V2440" s="91"/>
      <c r="W2440" s="91"/>
    </row>
    <row r="2441">
      <c r="A2441" s="91"/>
      <c r="D2441" s="91"/>
      <c r="G2441" s="91"/>
      <c r="J2441" s="91"/>
      <c r="M2441" s="91"/>
      <c r="P2441" s="91"/>
      <c r="S2441" s="91"/>
      <c r="T2441" s="91"/>
      <c r="U2441" s="91"/>
      <c r="V2441" s="91"/>
      <c r="W2441" s="91"/>
    </row>
    <row r="2442">
      <c r="A2442" s="91"/>
      <c r="D2442" s="91"/>
      <c r="G2442" s="91"/>
      <c r="J2442" s="91"/>
      <c r="M2442" s="91"/>
      <c r="P2442" s="91"/>
      <c r="S2442" s="91"/>
      <c r="T2442" s="91"/>
      <c r="U2442" s="91"/>
      <c r="V2442" s="91"/>
      <c r="W2442" s="91"/>
    </row>
    <row r="2443">
      <c r="A2443" s="91"/>
      <c r="D2443" s="91"/>
      <c r="G2443" s="91"/>
      <c r="J2443" s="91"/>
      <c r="M2443" s="91"/>
      <c r="P2443" s="91"/>
      <c r="S2443" s="91"/>
      <c r="T2443" s="91"/>
      <c r="U2443" s="91"/>
      <c r="V2443" s="91"/>
      <c r="W2443" s="91"/>
    </row>
    <row r="2444">
      <c r="A2444" s="91"/>
      <c r="D2444" s="91"/>
      <c r="G2444" s="91"/>
      <c r="J2444" s="91"/>
      <c r="M2444" s="91"/>
      <c r="P2444" s="91"/>
      <c r="S2444" s="91"/>
      <c r="T2444" s="91"/>
      <c r="U2444" s="91"/>
      <c r="V2444" s="91"/>
      <c r="W2444" s="91"/>
    </row>
    <row r="2445">
      <c r="A2445" s="91"/>
      <c r="D2445" s="91"/>
      <c r="G2445" s="91"/>
      <c r="J2445" s="91"/>
      <c r="M2445" s="91"/>
      <c r="P2445" s="91"/>
      <c r="S2445" s="91"/>
      <c r="T2445" s="91"/>
      <c r="U2445" s="91"/>
      <c r="V2445" s="91"/>
      <c r="W2445" s="91"/>
    </row>
    <row r="2446">
      <c r="A2446" s="91"/>
      <c r="D2446" s="91"/>
      <c r="G2446" s="91"/>
      <c r="J2446" s="91"/>
      <c r="M2446" s="91"/>
      <c r="P2446" s="91"/>
      <c r="S2446" s="91"/>
      <c r="T2446" s="91"/>
      <c r="U2446" s="91"/>
      <c r="V2446" s="91"/>
      <c r="W2446" s="91"/>
    </row>
    <row r="2447">
      <c r="A2447" s="91"/>
      <c r="D2447" s="91"/>
      <c r="G2447" s="91"/>
      <c r="J2447" s="91"/>
      <c r="M2447" s="91"/>
      <c r="P2447" s="91"/>
      <c r="S2447" s="91"/>
      <c r="T2447" s="91"/>
      <c r="U2447" s="91"/>
      <c r="V2447" s="91"/>
      <c r="W2447" s="91"/>
    </row>
    <row r="2448">
      <c r="A2448" s="91"/>
      <c r="D2448" s="91"/>
      <c r="G2448" s="91"/>
      <c r="J2448" s="91"/>
      <c r="M2448" s="91"/>
      <c r="P2448" s="91"/>
      <c r="S2448" s="91"/>
      <c r="T2448" s="91"/>
      <c r="U2448" s="91"/>
      <c r="V2448" s="91"/>
      <c r="W2448" s="91"/>
    </row>
    <row r="2449">
      <c r="A2449" s="91"/>
      <c r="D2449" s="91"/>
      <c r="G2449" s="91"/>
      <c r="J2449" s="91"/>
      <c r="M2449" s="91"/>
      <c r="P2449" s="91"/>
      <c r="S2449" s="91"/>
      <c r="T2449" s="91"/>
      <c r="U2449" s="91"/>
      <c r="V2449" s="91"/>
      <c r="W2449" s="91"/>
    </row>
    <row r="2450">
      <c r="A2450" s="91"/>
      <c r="D2450" s="91"/>
      <c r="G2450" s="91"/>
      <c r="J2450" s="91"/>
      <c r="M2450" s="91"/>
      <c r="P2450" s="91"/>
      <c r="S2450" s="91"/>
      <c r="T2450" s="91"/>
      <c r="U2450" s="91"/>
      <c r="V2450" s="91"/>
      <c r="W2450" s="91"/>
    </row>
    <row r="2451">
      <c r="A2451" s="91"/>
      <c r="D2451" s="91"/>
      <c r="G2451" s="91"/>
      <c r="J2451" s="91"/>
      <c r="M2451" s="91"/>
      <c r="P2451" s="91"/>
      <c r="S2451" s="91"/>
      <c r="T2451" s="91"/>
      <c r="U2451" s="91"/>
      <c r="V2451" s="91"/>
      <c r="W2451" s="91"/>
    </row>
    <row r="2452">
      <c r="A2452" s="91"/>
      <c r="D2452" s="91"/>
      <c r="G2452" s="91"/>
      <c r="J2452" s="91"/>
      <c r="M2452" s="91"/>
      <c r="P2452" s="91"/>
      <c r="S2452" s="91"/>
      <c r="T2452" s="91"/>
      <c r="U2452" s="91"/>
      <c r="V2452" s="91"/>
      <c r="W2452" s="91"/>
    </row>
    <row r="2453">
      <c r="A2453" s="91"/>
      <c r="D2453" s="91"/>
      <c r="G2453" s="91"/>
      <c r="J2453" s="91"/>
      <c r="M2453" s="91"/>
      <c r="P2453" s="91"/>
      <c r="S2453" s="91"/>
      <c r="T2453" s="91"/>
      <c r="U2453" s="91"/>
      <c r="V2453" s="91"/>
      <c r="W2453" s="91"/>
    </row>
    <row r="2454">
      <c r="A2454" s="91"/>
      <c r="D2454" s="91"/>
      <c r="G2454" s="91"/>
      <c r="J2454" s="91"/>
      <c r="M2454" s="91"/>
      <c r="P2454" s="91"/>
      <c r="S2454" s="91"/>
      <c r="T2454" s="91"/>
      <c r="U2454" s="91"/>
      <c r="V2454" s="91"/>
      <c r="W2454" s="91"/>
    </row>
    <row r="2455">
      <c r="A2455" s="91"/>
      <c r="D2455" s="91"/>
      <c r="G2455" s="91"/>
      <c r="J2455" s="91"/>
      <c r="M2455" s="91"/>
      <c r="P2455" s="91"/>
      <c r="S2455" s="91"/>
      <c r="T2455" s="91"/>
      <c r="U2455" s="91"/>
      <c r="V2455" s="91"/>
      <c r="W2455" s="91"/>
    </row>
    <row r="2456">
      <c r="A2456" s="91"/>
      <c r="D2456" s="91"/>
      <c r="G2456" s="91"/>
      <c r="J2456" s="91"/>
      <c r="M2456" s="91"/>
      <c r="P2456" s="91"/>
      <c r="S2456" s="91"/>
      <c r="T2456" s="91"/>
      <c r="U2456" s="91"/>
      <c r="V2456" s="91"/>
      <c r="W2456" s="91"/>
    </row>
    <row r="2457">
      <c r="A2457" s="91"/>
      <c r="D2457" s="91"/>
      <c r="G2457" s="91"/>
      <c r="J2457" s="91"/>
      <c r="M2457" s="91"/>
      <c r="P2457" s="91"/>
      <c r="S2457" s="91"/>
      <c r="T2457" s="91"/>
      <c r="U2457" s="91"/>
      <c r="V2457" s="91"/>
      <c r="W2457" s="91"/>
    </row>
    <row r="2458">
      <c r="A2458" s="91"/>
      <c r="D2458" s="91"/>
      <c r="G2458" s="91"/>
      <c r="J2458" s="91"/>
      <c r="M2458" s="91"/>
      <c r="P2458" s="91"/>
      <c r="S2458" s="91"/>
      <c r="T2458" s="91"/>
      <c r="U2458" s="91"/>
      <c r="V2458" s="91"/>
      <c r="W2458" s="91"/>
    </row>
    <row r="2459">
      <c r="A2459" s="91"/>
      <c r="D2459" s="91"/>
      <c r="G2459" s="91"/>
      <c r="J2459" s="91"/>
      <c r="M2459" s="91"/>
      <c r="P2459" s="91"/>
      <c r="S2459" s="91"/>
      <c r="T2459" s="91"/>
      <c r="U2459" s="91"/>
      <c r="V2459" s="91"/>
      <c r="W2459" s="91"/>
    </row>
    <row r="2460">
      <c r="A2460" s="91"/>
      <c r="D2460" s="91"/>
      <c r="G2460" s="91"/>
      <c r="J2460" s="91"/>
      <c r="M2460" s="91"/>
      <c r="P2460" s="91"/>
      <c r="S2460" s="91"/>
      <c r="T2460" s="91"/>
      <c r="U2460" s="91"/>
      <c r="V2460" s="91"/>
      <c r="W2460" s="91"/>
    </row>
    <row r="2461">
      <c r="A2461" s="91"/>
      <c r="D2461" s="91"/>
      <c r="G2461" s="91"/>
      <c r="J2461" s="91"/>
      <c r="M2461" s="91"/>
      <c r="P2461" s="91"/>
      <c r="S2461" s="91"/>
      <c r="T2461" s="91"/>
      <c r="U2461" s="91"/>
      <c r="V2461" s="91"/>
      <c r="W2461" s="91"/>
    </row>
    <row r="2462">
      <c r="A2462" s="91"/>
      <c r="D2462" s="91"/>
      <c r="G2462" s="91"/>
      <c r="J2462" s="91"/>
      <c r="M2462" s="91"/>
      <c r="P2462" s="91"/>
      <c r="S2462" s="91"/>
      <c r="T2462" s="91"/>
      <c r="U2462" s="91"/>
      <c r="V2462" s="91"/>
      <c r="W2462" s="91"/>
    </row>
    <row r="2463">
      <c r="A2463" s="91"/>
      <c r="D2463" s="91"/>
      <c r="G2463" s="91"/>
      <c r="J2463" s="91"/>
      <c r="M2463" s="91"/>
      <c r="P2463" s="91"/>
      <c r="S2463" s="91"/>
      <c r="T2463" s="91"/>
      <c r="U2463" s="91"/>
      <c r="V2463" s="91"/>
      <c r="W2463" s="91"/>
    </row>
    <row r="2464">
      <c r="A2464" s="91"/>
      <c r="D2464" s="91"/>
      <c r="G2464" s="91"/>
      <c r="J2464" s="91"/>
      <c r="M2464" s="91"/>
      <c r="P2464" s="91"/>
      <c r="S2464" s="91"/>
      <c r="T2464" s="91"/>
      <c r="U2464" s="91"/>
      <c r="V2464" s="91"/>
      <c r="W2464" s="91"/>
    </row>
    <row r="2465">
      <c r="A2465" s="91"/>
      <c r="D2465" s="91"/>
      <c r="G2465" s="91"/>
      <c r="J2465" s="91"/>
      <c r="M2465" s="91"/>
      <c r="P2465" s="91"/>
      <c r="S2465" s="91"/>
      <c r="T2465" s="91"/>
      <c r="U2465" s="91"/>
      <c r="V2465" s="91"/>
      <c r="W2465" s="91"/>
    </row>
    <row r="2466">
      <c r="A2466" s="91"/>
      <c r="D2466" s="91"/>
      <c r="G2466" s="91"/>
      <c r="J2466" s="91"/>
      <c r="M2466" s="91"/>
      <c r="P2466" s="91"/>
      <c r="S2466" s="91"/>
      <c r="T2466" s="91"/>
      <c r="U2466" s="91"/>
      <c r="V2466" s="91"/>
      <c r="W2466" s="91"/>
    </row>
    <row r="2467">
      <c r="A2467" s="91"/>
      <c r="D2467" s="91"/>
      <c r="G2467" s="91"/>
      <c r="J2467" s="91"/>
      <c r="M2467" s="91"/>
      <c r="P2467" s="91"/>
      <c r="S2467" s="91"/>
      <c r="T2467" s="91"/>
      <c r="U2467" s="91"/>
      <c r="V2467" s="91"/>
      <c r="W2467" s="91"/>
    </row>
    <row r="2468">
      <c r="A2468" s="91"/>
      <c r="D2468" s="91"/>
      <c r="G2468" s="91"/>
      <c r="J2468" s="91"/>
      <c r="M2468" s="91"/>
      <c r="P2468" s="91"/>
      <c r="S2468" s="91"/>
      <c r="T2468" s="91"/>
      <c r="U2468" s="91"/>
      <c r="V2468" s="91"/>
      <c r="W2468" s="91"/>
    </row>
    <row r="2469">
      <c r="A2469" s="91"/>
      <c r="D2469" s="91"/>
      <c r="G2469" s="91"/>
      <c r="J2469" s="91"/>
      <c r="M2469" s="91"/>
      <c r="P2469" s="91"/>
      <c r="S2469" s="91"/>
      <c r="T2469" s="91"/>
      <c r="U2469" s="91"/>
      <c r="V2469" s="91"/>
      <c r="W2469" s="91"/>
    </row>
    <row r="2470">
      <c r="A2470" s="91"/>
      <c r="D2470" s="91"/>
      <c r="G2470" s="91"/>
      <c r="J2470" s="91"/>
      <c r="M2470" s="91"/>
      <c r="P2470" s="91"/>
      <c r="S2470" s="91"/>
      <c r="T2470" s="91"/>
      <c r="U2470" s="91"/>
      <c r="V2470" s="91"/>
      <c r="W2470" s="91"/>
    </row>
    <row r="2471">
      <c r="A2471" s="91"/>
      <c r="D2471" s="91"/>
      <c r="G2471" s="91"/>
      <c r="J2471" s="91"/>
      <c r="M2471" s="91"/>
      <c r="P2471" s="91"/>
      <c r="S2471" s="91"/>
      <c r="T2471" s="91"/>
      <c r="U2471" s="91"/>
      <c r="V2471" s="91"/>
      <c r="W2471" s="91"/>
    </row>
    <row r="2472">
      <c r="A2472" s="91"/>
      <c r="D2472" s="91"/>
      <c r="G2472" s="91"/>
      <c r="J2472" s="91"/>
      <c r="M2472" s="91"/>
      <c r="P2472" s="91"/>
      <c r="S2472" s="91"/>
      <c r="T2472" s="91"/>
      <c r="U2472" s="91"/>
      <c r="V2472" s="91"/>
      <c r="W2472" s="91"/>
    </row>
    <row r="2473">
      <c r="A2473" s="91"/>
      <c r="D2473" s="91"/>
      <c r="G2473" s="91"/>
      <c r="J2473" s="91"/>
      <c r="M2473" s="91"/>
      <c r="P2473" s="91"/>
      <c r="S2473" s="91"/>
      <c r="T2473" s="91"/>
      <c r="U2473" s="91"/>
      <c r="V2473" s="91"/>
      <c r="W2473" s="91"/>
    </row>
    <row r="2474">
      <c r="A2474" s="91"/>
      <c r="D2474" s="91"/>
      <c r="G2474" s="91"/>
      <c r="J2474" s="91"/>
      <c r="M2474" s="91"/>
      <c r="P2474" s="91"/>
      <c r="S2474" s="91"/>
      <c r="T2474" s="91"/>
      <c r="U2474" s="91"/>
      <c r="V2474" s="91"/>
      <c r="W2474" s="91"/>
    </row>
    <row r="2475">
      <c r="A2475" s="91"/>
      <c r="D2475" s="91"/>
      <c r="G2475" s="91"/>
      <c r="J2475" s="91"/>
      <c r="M2475" s="91"/>
      <c r="P2475" s="91"/>
      <c r="S2475" s="91"/>
      <c r="T2475" s="91"/>
      <c r="U2475" s="91"/>
      <c r="V2475" s="91"/>
      <c r="W2475" s="91"/>
    </row>
    <row r="2476">
      <c r="A2476" s="91"/>
      <c r="D2476" s="91"/>
      <c r="G2476" s="91"/>
      <c r="J2476" s="91"/>
      <c r="M2476" s="91"/>
      <c r="P2476" s="91"/>
      <c r="S2476" s="91"/>
      <c r="T2476" s="91"/>
      <c r="U2476" s="91"/>
      <c r="V2476" s="91"/>
      <c r="W2476" s="91"/>
    </row>
    <row r="2477">
      <c r="A2477" s="91"/>
      <c r="D2477" s="91"/>
      <c r="G2477" s="91"/>
      <c r="J2477" s="91"/>
      <c r="M2477" s="91"/>
      <c r="P2477" s="91"/>
      <c r="S2477" s="91"/>
      <c r="T2477" s="91"/>
      <c r="U2477" s="91"/>
      <c r="V2477" s="91"/>
      <c r="W2477" s="91"/>
    </row>
    <row r="2478">
      <c r="A2478" s="91"/>
      <c r="D2478" s="91"/>
      <c r="G2478" s="91"/>
      <c r="J2478" s="91"/>
      <c r="M2478" s="91"/>
      <c r="P2478" s="91"/>
      <c r="S2478" s="91"/>
      <c r="T2478" s="91"/>
      <c r="U2478" s="91"/>
      <c r="V2478" s="91"/>
      <c r="W2478" s="91"/>
    </row>
    <row r="2479">
      <c r="A2479" s="91"/>
      <c r="D2479" s="91"/>
      <c r="G2479" s="91"/>
      <c r="J2479" s="91"/>
      <c r="M2479" s="91"/>
      <c r="P2479" s="91"/>
      <c r="S2479" s="91"/>
      <c r="T2479" s="91"/>
      <c r="U2479" s="91"/>
      <c r="V2479" s="91"/>
      <c r="W2479" s="91"/>
    </row>
    <row r="2480">
      <c r="A2480" s="91"/>
      <c r="D2480" s="91"/>
      <c r="G2480" s="91"/>
      <c r="J2480" s="91"/>
      <c r="M2480" s="91"/>
      <c r="P2480" s="91"/>
      <c r="S2480" s="91"/>
      <c r="T2480" s="91"/>
      <c r="U2480" s="91"/>
      <c r="V2480" s="91"/>
      <c r="W2480" s="91"/>
    </row>
    <row r="2481">
      <c r="A2481" s="91"/>
      <c r="D2481" s="91"/>
      <c r="G2481" s="91"/>
      <c r="J2481" s="91"/>
      <c r="M2481" s="91"/>
      <c r="P2481" s="91"/>
      <c r="S2481" s="91"/>
      <c r="T2481" s="91"/>
      <c r="U2481" s="91"/>
      <c r="V2481" s="91"/>
      <c r="W2481" s="91"/>
    </row>
    <row r="2482">
      <c r="A2482" s="91"/>
      <c r="D2482" s="91"/>
      <c r="G2482" s="91"/>
      <c r="J2482" s="91"/>
      <c r="M2482" s="91"/>
      <c r="P2482" s="91"/>
      <c r="S2482" s="91"/>
      <c r="T2482" s="91"/>
      <c r="U2482" s="91"/>
      <c r="V2482" s="91"/>
      <c r="W2482" s="91"/>
    </row>
    <row r="2483">
      <c r="A2483" s="91"/>
      <c r="D2483" s="91"/>
      <c r="G2483" s="91"/>
      <c r="J2483" s="91"/>
      <c r="M2483" s="91"/>
      <c r="P2483" s="91"/>
      <c r="S2483" s="91"/>
      <c r="T2483" s="91"/>
      <c r="U2483" s="91"/>
      <c r="V2483" s="91"/>
      <c r="W2483" s="91"/>
    </row>
    <row r="2484">
      <c r="A2484" s="91"/>
      <c r="D2484" s="91"/>
      <c r="G2484" s="91"/>
      <c r="J2484" s="91"/>
      <c r="M2484" s="91"/>
      <c r="P2484" s="91"/>
      <c r="S2484" s="91"/>
      <c r="T2484" s="91"/>
      <c r="U2484" s="91"/>
      <c r="V2484" s="91"/>
      <c r="W2484" s="91"/>
    </row>
    <row r="2485">
      <c r="A2485" s="91"/>
      <c r="D2485" s="91"/>
      <c r="G2485" s="91"/>
      <c r="J2485" s="91"/>
      <c r="M2485" s="91"/>
      <c r="P2485" s="91"/>
      <c r="S2485" s="91"/>
      <c r="T2485" s="91"/>
      <c r="U2485" s="91"/>
      <c r="V2485" s="91"/>
      <c r="W2485" s="91"/>
    </row>
    <row r="2486">
      <c r="A2486" s="91"/>
      <c r="D2486" s="91"/>
      <c r="G2486" s="91"/>
      <c r="J2486" s="91"/>
      <c r="M2486" s="91"/>
      <c r="P2486" s="91"/>
      <c r="S2486" s="91"/>
      <c r="T2486" s="91"/>
      <c r="U2486" s="91"/>
      <c r="V2486" s="91"/>
      <c r="W2486" s="91"/>
    </row>
    <row r="2487">
      <c r="A2487" s="91"/>
      <c r="D2487" s="91"/>
      <c r="G2487" s="91"/>
      <c r="J2487" s="91"/>
      <c r="M2487" s="91"/>
      <c r="P2487" s="91"/>
      <c r="S2487" s="91"/>
      <c r="T2487" s="91"/>
      <c r="U2487" s="91"/>
      <c r="V2487" s="91"/>
      <c r="W2487" s="91"/>
    </row>
    <row r="2488">
      <c r="A2488" s="91"/>
      <c r="D2488" s="91"/>
      <c r="G2488" s="91"/>
      <c r="J2488" s="91"/>
      <c r="M2488" s="91"/>
      <c r="P2488" s="91"/>
      <c r="S2488" s="91"/>
      <c r="T2488" s="91"/>
      <c r="U2488" s="91"/>
      <c r="V2488" s="91"/>
      <c r="W2488" s="91"/>
    </row>
    <row r="2489">
      <c r="A2489" s="91"/>
      <c r="D2489" s="91"/>
      <c r="G2489" s="91"/>
      <c r="J2489" s="91"/>
      <c r="M2489" s="91"/>
      <c r="P2489" s="91"/>
      <c r="S2489" s="91"/>
      <c r="T2489" s="91"/>
      <c r="U2489" s="91"/>
      <c r="V2489" s="91"/>
      <c r="W2489" s="91"/>
    </row>
    <row r="2490">
      <c r="A2490" s="91"/>
      <c r="D2490" s="91"/>
      <c r="G2490" s="91"/>
      <c r="J2490" s="91"/>
      <c r="M2490" s="91"/>
      <c r="P2490" s="91"/>
      <c r="S2490" s="91"/>
      <c r="T2490" s="91"/>
      <c r="U2490" s="91"/>
      <c r="V2490" s="91"/>
      <c r="W2490" s="91"/>
    </row>
    <row r="2491">
      <c r="A2491" s="91"/>
      <c r="D2491" s="91"/>
      <c r="G2491" s="91"/>
      <c r="J2491" s="91"/>
      <c r="M2491" s="91"/>
      <c r="P2491" s="91"/>
      <c r="S2491" s="91"/>
      <c r="T2491" s="91"/>
      <c r="U2491" s="91"/>
      <c r="V2491" s="91"/>
      <c r="W2491" s="91"/>
    </row>
    <row r="2492">
      <c r="A2492" s="91"/>
      <c r="D2492" s="91"/>
      <c r="G2492" s="91"/>
      <c r="J2492" s="91"/>
      <c r="M2492" s="91"/>
      <c r="P2492" s="91"/>
      <c r="S2492" s="91"/>
      <c r="T2492" s="91"/>
      <c r="U2492" s="91"/>
      <c r="V2492" s="91"/>
      <c r="W2492" s="91"/>
    </row>
    <row r="2493">
      <c r="A2493" s="91"/>
      <c r="D2493" s="91"/>
      <c r="G2493" s="91"/>
      <c r="J2493" s="91"/>
      <c r="M2493" s="91"/>
      <c r="P2493" s="91"/>
      <c r="S2493" s="91"/>
      <c r="T2493" s="91"/>
      <c r="U2493" s="91"/>
      <c r="V2493" s="91"/>
      <c r="W2493" s="91"/>
    </row>
    <row r="2494">
      <c r="A2494" s="91"/>
      <c r="D2494" s="91"/>
      <c r="G2494" s="91"/>
      <c r="J2494" s="91"/>
      <c r="M2494" s="91"/>
      <c r="P2494" s="91"/>
      <c r="S2494" s="91"/>
      <c r="T2494" s="91"/>
      <c r="U2494" s="91"/>
      <c r="V2494" s="91"/>
      <c r="W2494" s="91"/>
    </row>
    <row r="2495">
      <c r="A2495" s="91"/>
      <c r="D2495" s="91"/>
      <c r="G2495" s="91"/>
      <c r="J2495" s="91"/>
      <c r="M2495" s="91"/>
      <c r="P2495" s="91"/>
      <c r="S2495" s="91"/>
      <c r="T2495" s="91"/>
      <c r="U2495" s="91"/>
      <c r="V2495" s="91"/>
      <c r="W2495" s="91"/>
    </row>
    <row r="2496">
      <c r="A2496" s="91"/>
      <c r="D2496" s="91"/>
      <c r="G2496" s="91"/>
      <c r="J2496" s="91"/>
      <c r="M2496" s="91"/>
      <c r="P2496" s="91"/>
      <c r="S2496" s="91"/>
      <c r="T2496" s="91"/>
      <c r="U2496" s="91"/>
      <c r="V2496" s="91"/>
      <c r="W2496" s="91"/>
    </row>
    <row r="2497">
      <c r="A2497" s="91"/>
      <c r="D2497" s="91"/>
      <c r="G2497" s="91"/>
      <c r="J2497" s="91"/>
      <c r="M2497" s="91"/>
      <c r="P2497" s="91"/>
      <c r="S2497" s="91"/>
      <c r="T2497" s="91"/>
      <c r="U2497" s="91"/>
      <c r="V2497" s="91"/>
      <c r="W2497" s="91"/>
    </row>
    <row r="2498">
      <c r="A2498" s="91"/>
      <c r="D2498" s="91"/>
      <c r="G2498" s="91"/>
      <c r="J2498" s="91"/>
      <c r="M2498" s="91"/>
      <c r="P2498" s="91"/>
      <c r="S2498" s="91"/>
      <c r="T2498" s="91"/>
      <c r="U2498" s="91"/>
      <c r="V2498" s="91"/>
      <c r="W2498" s="91"/>
    </row>
    <row r="2499">
      <c r="A2499" s="91"/>
      <c r="D2499" s="91"/>
      <c r="G2499" s="91"/>
      <c r="J2499" s="91"/>
      <c r="M2499" s="91"/>
      <c r="P2499" s="91"/>
      <c r="S2499" s="91"/>
      <c r="T2499" s="91"/>
      <c r="U2499" s="91"/>
      <c r="V2499" s="91"/>
      <c r="W2499" s="91"/>
    </row>
    <row r="2500">
      <c r="A2500" s="91"/>
      <c r="D2500" s="91"/>
      <c r="G2500" s="91"/>
      <c r="J2500" s="91"/>
      <c r="M2500" s="91"/>
      <c r="P2500" s="91"/>
      <c r="S2500" s="91"/>
      <c r="T2500" s="91"/>
      <c r="U2500" s="91"/>
      <c r="V2500" s="91"/>
      <c r="W2500" s="91"/>
    </row>
    <row r="2501">
      <c r="A2501" s="91"/>
      <c r="D2501" s="91"/>
      <c r="G2501" s="91"/>
      <c r="J2501" s="91"/>
      <c r="M2501" s="91"/>
      <c r="P2501" s="91"/>
      <c r="S2501" s="91"/>
      <c r="T2501" s="91"/>
      <c r="U2501" s="91"/>
      <c r="V2501" s="91"/>
      <c r="W2501" s="91"/>
    </row>
    <row r="2502">
      <c r="A2502" s="91"/>
      <c r="D2502" s="91"/>
      <c r="G2502" s="91"/>
      <c r="J2502" s="91"/>
      <c r="M2502" s="91"/>
      <c r="P2502" s="91"/>
      <c r="S2502" s="91"/>
      <c r="T2502" s="91"/>
      <c r="U2502" s="91"/>
      <c r="V2502" s="91"/>
      <c r="W2502" s="91"/>
    </row>
    <row r="2503">
      <c r="A2503" s="91"/>
      <c r="D2503" s="91"/>
      <c r="G2503" s="91"/>
      <c r="J2503" s="91"/>
      <c r="M2503" s="91"/>
      <c r="P2503" s="91"/>
      <c r="S2503" s="91"/>
      <c r="T2503" s="91"/>
      <c r="U2503" s="91"/>
      <c r="V2503" s="91"/>
      <c r="W2503" s="91"/>
    </row>
    <row r="2504">
      <c r="A2504" s="91"/>
      <c r="D2504" s="91"/>
      <c r="G2504" s="91"/>
      <c r="J2504" s="91"/>
      <c r="M2504" s="91"/>
      <c r="P2504" s="91"/>
      <c r="S2504" s="91"/>
      <c r="T2504" s="91"/>
      <c r="U2504" s="91"/>
      <c r="V2504" s="91"/>
      <c r="W2504" s="91"/>
    </row>
    <row r="2505">
      <c r="A2505" s="91"/>
      <c r="D2505" s="91"/>
      <c r="G2505" s="91"/>
      <c r="J2505" s="91"/>
      <c r="M2505" s="91"/>
      <c r="P2505" s="91"/>
      <c r="S2505" s="91"/>
      <c r="T2505" s="91"/>
      <c r="U2505" s="91"/>
      <c r="V2505" s="91"/>
      <c r="W2505" s="91"/>
    </row>
    <row r="2506">
      <c r="A2506" s="91"/>
      <c r="D2506" s="91"/>
      <c r="G2506" s="91"/>
      <c r="J2506" s="91"/>
      <c r="M2506" s="91"/>
      <c r="P2506" s="91"/>
      <c r="S2506" s="91"/>
      <c r="T2506" s="91"/>
      <c r="U2506" s="91"/>
      <c r="V2506" s="91"/>
      <c r="W2506" s="91"/>
    </row>
    <row r="2507">
      <c r="A2507" s="91"/>
      <c r="D2507" s="91"/>
      <c r="G2507" s="91"/>
      <c r="J2507" s="91"/>
      <c r="M2507" s="91"/>
      <c r="P2507" s="91"/>
      <c r="S2507" s="91"/>
      <c r="T2507" s="91"/>
      <c r="U2507" s="91"/>
      <c r="V2507" s="91"/>
      <c r="W2507" s="91"/>
    </row>
    <row r="2508">
      <c r="A2508" s="91"/>
      <c r="D2508" s="91"/>
      <c r="G2508" s="91"/>
      <c r="J2508" s="91"/>
      <c r="M2508" s="91"/>
      <c r="P2508" s="91"/>
      <c r="S2508" s="91"/>
      <c r="T2508" s="91"/>
      <c r="U2508" s="91"/>
      <c r="V2508" s="91"/>
      <c r="W2508" s="91"/>
    </row>
    <row r="2509">
      <c r="A2509" s="91"/>
      <c r="D2509" s="91"/>
      <c r="G2509" s="91"/>
      <c r="J2509" s="91"/>
      <c r="M2509" s="91"/>
      <c r="P2509" s="91"/>
      <c r="S2509" s="91"/>
      <c r="T2509" s="91"/>
      <c r="U2509" s="91"/>
      <c r="V2509" s="91"/>
      <c r="W2509" s="91"/>
    </row>
    <row r="2510">
      <c r="A2510" s="91"/>
      <c r="D2510" s="91"/>
      <c r="G2510" s="91"/>
      <c r="J2510" s="91"/>
      <c r="M2510" s="91"/>
      <c r="P2510" s="91"/>
      <c r="S2510" s="91"/>
      <c r="T2510" s="91"/>
      <c r="U2510" s="91"/>
      <c r="V2510" s="91"/>
      <c r="W2510" s="91"/>
    </row>
    <row r="2511">
      <c r="A2511" s="91"/>
      <c r="D2511" s="91"/>
      <c r="G2511" s="91"/>
      <c r="J2511" s="91"/>
      <c r="M2511" s="91"/>
      <c r="P2511" s="91"/>
      <c r="S2511" s="91"/>
      <c r="T2511" s="91"/>
      <c r="U2511" s="91"/>
      <c r="V2511" s="91"/>
      <c r="W2511" s="91"/>
    </row>
    <row r="2512">
      <c r="A2512" s="91"/>
      <c r="D2512" s="91"/>
      <c r="G2512" s="91"/>
      <c r="J2512" s="91"/>
      <c r="M2512" s="91"/>
      <c r="P2512" s="91"/>
      <c r="S2512" s="91"/>
      <c r="T2512" s="91"/>
      <c r="U2512" s="91"/>
      <c r="V2512" s="91"/>
      <c r="W2512" s="91"/>
    </row>
    <row r="2513">
      <c r="A2513" s="91"/>
      <c r="D2513" s="91"/>
      <c r="G2513" s="91"/>
      <c r="J2513" s="91"/>
      <c r="M2513" s="91"/>
      <c r="P2513" s="91"/>
      <c r="S2513" s="91"/>
      <c r="T2513" s="91"/>
      <c r="U2513" s="91"/>
      <c r="V2513" s="91"/>
      <c r="W2513" s="91"/>
    </row>
    <row r="2514">
      <c r="A2514" s="91"/>
      <c r="D2514" s="91"/>
      <c r="G2514" s="91"/>
      <c r="J2514" s="91"/>
      <c r="M2514" s="91"/>
      <c r="P2514" s="91"/>
      <c r="S2514" s="91"/>
      <c r="T2514" s="91"/>
      <c r="U2514" s="91"/>
      <c r="V2514" s="91"/>
      <c r="W2514" s="91"/>
    </row>
    <row r="2515">
      <c r="A2515" s="91"/>
      <c r="D2515" s="91"/>
      <c r="G2515" s="91"/>
      <c r="J2515" s="91"/>
      <c r="M2515" s="91"/>
      <c r="P2515" s="91"/>
      <c r="S2515" s="91"/>
      <c r="T2515" s="91"/>
      <c r="U2515" s="91"/>
      <c r="V2515" s="91"/>
      <c r="W2515" s="91"/>
    </row>
    <row r="2516">
      <c r="A2516" s="91"/>
      <c r="D2516" s="91"/>
      <c r="G2516" s="91"/>
      <c r="J2516" s="91"/>
      <c r="M2516" s="91"/>
      <c r="P2516" s="91"/>
      <c r="S2516" s="91"/>
      <c r="T2516" s="91"/>
      <c r="U2516" s="91"/>
      <c r="V2516" s="91"/>
      <c r="W2516" s="91"/>
    </row>
    <row r="2517">
      <c r="A2517" s="91"/>
      <c r="D2517" s="91"/>
      <c r="G2517" s="91"/>
      <c r="J2517" s="91"/>
      <c r="M2517" s="91"/>
      <c r="P2517" s="91"/>
      <c r="S2517" s="91"/>
      <c r="T2517" s="91"/>
      <c r="U2517" s="91"/>
      <c r="V2517" s="91"/>
      <c r="W2517" s="91"/>
    </row>
    <row r="2518">
      <c r="A2518" s="91"/>
      <c r="D2518" s="91"/>
      <c r="G2518" s="91"/>
      <c r="J2518" s="91"/>
      <c r="M2518" s="91"/>
      <c r="P2518" s="91"/>
      <c r="S2518" s="91"/>
      <c r="T2518" s="91"/>
      <c r="U2518" s="91"/>
      <c r="V2518" s="91"/>
      <c r="W2518" s="91"/>
    </row>
    <row r="2519">
      <c r="A2519" s="91"/>
      <c r="D2519" s="91"/>
      <c r="G2519" s="91"/>
      <c r="J2519" s="91"/>
      <c r="M2519" s="91"/>
      <c r="P2519" s="91"/>
      <c r="S2519" s="91"/>
      <c r="T2519" s="91"/>
      <c r="U2519" s="91"/>
      <c r="V2519" s="91"/>
      <c r="W2519" s="91"/>
    </row>
    <row r="2520">
      <c r="A2520" s="91"/>
      <c r="D2520" s="91"/>
      <c r="G2520" s="91"/>
      <c r="J2520" s="91"/>
      <c r="M2520" s="91"/>
      <c r="P2520" s="91"/>
      <c r="S2520" s="91"/>
      <c r="T2520" s="91"/>
      <c r="U2520" s="91"/>
      <c r="V2520" s="91"/>
      <c r="W2520" s="91"/>
    </row>
    <row r="2521">
      <c r="A2521" s="91"/>
      <c r="D2521" s="91"/>
      <c r="G2521" s="91"/>
      <c r="J2521" s="91"/>
      <c r="M2521" s="91"/>
      <c r="P2521" s="91"/>
      <c r="S2521" s="91"/>
      <c r="T2521" s="91"/>
      <c r="U2521" s="91"/>
      <c r="V2521" s="91"/>
      <c r="W2521" s="91"/>
    </row>
    <row r="2522">
      <c r="A2522" s="91"/>
      <c r="D2522" s="91"/>
      <c r="G2522" s="91"/>
      <c r="J2522" s="91"/>
      <c r="M2522" s="91"/>
      <c r="P2522" s="91"/>
      <c r="S2522" s="91"/>
      <c r="T2522" s="91"/>
      <c r="U2522" s="91"/>
      <c r="V2522" s="91"/>
      <c r="W2522" s="91"/>
    </row>
    <row r="2523">
      <c r="A2523" s="91"/>
      <c r="D2523" s="91"/>
      <c r="G2523" s="91"/>
      <c r="J2523" s="91"/>
      <c r="M2523" s="91"/>
      <c r="P2523" s="91"/>
      <c r="S2523" s="91"/>
      <c r="T2523" s="91"/>
      <c r="U2523" s="91"/>
      <c r="V2523" s="91"/>
      <c r="W2523" s="91"/>
    </row>
    <row r="2524">
      <c r="A2524" s="91"/>
      <c r="D2524" s="91"/>
      <c r="G2524" s="91"/>
      <c r="J2524" s="91"/>
      <c r="M2524" s="91"/>
      <c r="P2524" s="91"/>
      <c r="S2524" s="91"/>
      <c r="T2524" s="91"/>
      <c r="U2524" s="91"/>
      <c r="V2524" s="91"/>
      <c r="W2524" s="91"/>
    </row>
    <row r="2525">
      <c r="A2525" s="91"/>
      <c r="D2525" s="91"/>
      <c r="G2525" s="91"/>
      <c r="J2525" s="91"/>
      <c r="M2525" s="91"/>
      <c r="P2525" s="91"/>
      <c r="S2525" s="91"/>
      <c r="T2525" s="91"/>
      <c r="U2525" s="91"/>
      <c r="V2525" s="91"/>
      <c r="W2525" s="91"/>
    </row>
    <row r="2526">
      <c r="A2526" s="91"/>
      <c r="D2526" s="91"/>
      <c r="G2526" s="91"/>
      <c r="J2526" s="91"/>
      <c r="M2526" s="91"/>
      <c r="P2526" s="91"/>
      <c r="S2526" s="91"/>
      <c r="T2526" s="91"/>
      <c r="U2526" s="91"/>
      <c r="V2526" s="91"/>
      <c r="W2526" s="91"/>
    </row>
    <row r="2527">
      <c r="A2527" s="91"/>
      <c r="D2527" s="91"/>
      <c r="G2527" s="91"/>
      <c r="J2527" s="91"/>
      <c r="M2527" s="91"/>
      <c r="P2527" s="91"/>
      <c r="S2527" s="91"/>
      <c r="T2527" s="91"/>
      <c r="U2527" s="91"/>
      <c r="V2527" s="91"/>
      <c r="W2527" s="91"/>
    </row>
    <row r="2528">
      <c r="A2528" s="91"/>
      <c r="D2528" s="91"/>
      <c r="G2528" s="91"/>
      <c r="J2528" s="91"/>
      <c r="M2528" s="91"/>
      <c r="P2528" s="91"/>
      <c r="S2528" s="91"/>
      <c r="T2528" s="91"/>
      <c r="U2528" s="91"/>
      <c r="V2528" s="91"/>
      <c r="W2528" s="91"/>
    </row>
    <row r="2529">
      <c r="A2529" s="91"/>
      <c r="D2529" s="91"/>
      <c r="G2529" s="91"/>
      <c r="J2529" s="91"/>
      <c r="M2529" s="91"/>
      <c r="P2529" s="91"/>
      <c r="S2529" s="91"/>
      <c r="T2529" s="91"/>
      <c r="U2529" s="91"/>
      <c r="V2529" s="91"/>
      <c r="W2529" s="91"/>
    </row>
    <row r="2530">
      <c r="A2530" s="91"/>
      <c r="D2530" s="91"/>
      <c r="G2530" s="91"/>
      <c r="J2530" s="91"/>
      <c r="M2530" s="91"/>
      <c r="P2530" s="91"/>
      <c r="S2530" s="91"/>
      <c r="T2530" s="91"/>
      <c r="U2530" s="91"/>
      <c r="V2530" s="91"/>
      <c r="W2530" s="91"/>
    </row>
    <row r="2531">
      <c r="A2531" s="91"/>
      <c r="D2531" s="91"/>
      <c r="G2531" s="91"/>
      <c r="J2531" s="91"/>
      <c r="M2531" s="91"/>
      <c r="P2531" s="91"/>
      <c r="S2531" s="91"/>
      <c r="T2531" s="91"/>
      <c r="U2531" s="91"/>
      <c r="V2531" s="91"/>
      <c r="W2531" s="91"/>
    </row>
    <row r="2532">
      <c r="A2532" s="91"/>
      <c r="D2532" s="91"/>
      <c r="G2532" s="91"/>
      <c r="J2532" s="91"/>
      <c r="M2532" s="91"/>
      <c r="P2532" s="91"/>
      <c r="S2532" s="91"/>
      <c r="T2532" s="91"/>
      <c r="U2532" s="91"/>
      <c r="V2532" s="91"/>
      <c r="W2532" s="91"/>
    </row>
    <row r="2533">
      <c r="A2533" s="91"/>
      <c r="D2533" s="91"/>
      <c r="G2533" s="91"/>
      <c r="J2533" s="91"/>
      <c r="M2533" s="91"/>
      <c r="P2533" s="91"/>
      <c r="S2533" s="91"/>
      <c r="T2533" s="91"/>
      <c r="U2533" s="91"/>
      <c r="V2533" s="91"/>
      <c r="W2533" s="91"/>
    </row>
    <row r="2534">
      <c r="A2534" s="91"/>
      <c r="D2534" s="91"/>
      <c r="G2534" s="91"/>
      <c r="J2534" s="91"/>
      <c r="M2534" s="91"/>
      <c r="P2534" s="91"/>
      <c r="S2534" s="91"/>
      <c r="T2534" s="91"/>
      <c r="U2534" s="91"/>
      <c r="V2534" s="91"/>
      <c r="W2534" s="91"/>
    </row>
    <row r="2535">
      <c r="A2535" s="91"/>
      <c r="D2535" s="91"/>
      <c r="G2535" s="91"/>
      <c r="J2535" s="91"/>
      <c r="M2535" s="91"/>
      <c r="P2535" s="91"/>
      <c r="S2535" s="91"/>
      <c r="T2535" s="91"/>
      <c r="U2535" s="91"/>
      <c r="V2535" s="91"/>
      <c r="W2535" s="91"/>
    </row>
    <row r="2536">
      <c r="A2536" s="91"/>
      <c r="D2536" s="91"/>
      <c r="G2536" s="91"/>
      <c r="J2536" s="91"/>
      <c r="M2536" s="91"/>
      <c r="P2536" s="91"/>
      <c r="S2536" s="91"/>
      <c r="T2536" s="91"/>
      <c r="U2536" s="91"/>
      <c r="V2536" s="91"/>
      <c r="W2536" s="91"/>
    </row>
    <row r="2537">
      <c r="A2537" s="91"/>
      <c r="D2537" s="91"/>
      <c r="G2537" s="91"/>
      <c r="J2537" s="91"/>
      <c r="M2537" s="91"/>
      <c r="P2537" s="91"/>
      <c r="S2537" s="91"/>
      <c r="T2537" s="91"/>
      <c r="U2537" s="91"/>
      <c r="V2537" s="91"/>
      <c r="W2537" s="91"/>
    </row>
    <row r="2538">
      <c r="A2538" s="91"/>
      <c r="D2538" s="91"/>
      <c r="G2538" s="91"/>
      <c r="J2538" s="91"/>
      <c r="M2538" s="91"/>
      <c r="P2538" s="91"/>
      <c r="S2538" s="91"/>
      <c r="T2538" s="91"/>
      <c r="U2538" s="91"/>
      <c r="V2538" s="91"/>
      <c r="W2538" s="91"/>
    </row>
    <row r="2539">
      <c r="A2539" s="91"/>
      <c r="D2539" s="91"/>
      <c r="G2539" s="91"/>
      <c r="J2539" s="91"/>
      <c r="M2539" s="91"/>
      <c r="P2539" s="91"/>
      <c r="S2539" s="91"/>
      <c r="T2539" s="91"/>
      <c r="U2539" s="91"/>
      <c r="V2539" s="91"/>
      <c r="W2539" s="91"/>
    </row>
    <row r="2540">
      <c r="A2540" s="91"/>
      <c r="D2540" s="91"/>
      <c r="G2540" s="91"/>
      <c r="J2540" s="91"/>
      <c r="M2540" s="91"/>
      <c r="P2540" s="91"/>
      <c r="S2540" s="91"/>
      <c r="T2540" s="91"/>
      <c r="U2540" s="91"/>
      <c r="V2540" s="91"/>
      <c r="W2540" s="91"/>
    </row>
    <row r="2541">
      <c r="A2541" s="91"/>
      <c r="D2541" s="91"/>
      <c r="G2541" s="91"/>
      <c r="J2541" s="91"/>
      <c r="M2541" s="91"/>
      <c r="P2541" s="91"/>
      <c r="S2541" s="91"/>
      <c r="T2541" s="91"/>
      <c r="U2541" s="91"/>
      <c r="V2541" s="91"/>
      <c r="W2541" s="91"/>
    </row>
    <row r="2542">
      <c r="A2542" s="91"/>
      <c r="D2542" s="91"/>
      <c r="G2542" s="91"/>
      <c r="J2542" s="91"/>
      <c r="M2542" s="91"/>
      <c r="P2542" s="91"/>
      <c r="S2542" s="91"/>
      <c r="T2542" s="91"/>
      <c r="U2542" s="91"/>
      <c r="V2542" s="91"/>
      <c r="W2542" s="91"/>
    </row>
    <row r="2543">
      <c r="A2543" s="91"/>
      <c r="D2543" s="91"/>
      <c r="G2543" s="91"/>
      <c r="J2543" s="91"/>
      <c r="M2543" s="91"/>
      <c r="P2543" s="91"/>
      <c r="S2543" s="91"/>
      <c r="T2543" s="91"/>
      <c r="U2543" s="91"/>
      <c r="V2543" s="91"/>
      <c r="W2543" s="91"/>
    </row>
    <row r="2544">
      <c r="A2544" s="91"/>
      <c r="D2544" s="91"/>
      <c r="G2544" s="91"/>
      <c r="J2544" s="91"/>
      <c r="M2544" s="91"/>
      <c r="P2544" s="91"/>
      <c r="S2544" s="91"/>
      <c r="T2544" s="91"/>
      <c r="U2544" s="91"/>
      <c r="V2544" s="91"/>
      <c r="W2544" s="91"/>
    </row>
    <row r="2545">
      <c r="A2545" s="91"/>
      <c r="D2545" s="91"/>
      <c r="G2545" s="91"/>
      <c r="J2545" s="91"/>
      <c r="M2545" s="91"/>
      <c r="P2545" s="91"/>
      <c r="S2545" s="91"/>
      <c r="T2545" s="91"/>
      <c r="U2545" s="91"/>
      <c r="V2545" s="91"/>
      <c r="W2545" s="91"/>
    </row>
    <row r="2546">
      <c r="A2546" s="91"/>
      <c r="D2546" s="91"/>
      <c r="G2546" s="91"/>
      <c r="J2546" s="91"/>
      <c r="M2546" s="91"/>
      <c r="P2546" s="91"/>
      <c r="S2546" s="91"/>
      <c r="T2546" s="91"/>
      <c r="U2546" s="91"/>
      <c r="V2546" s="91"/>
      <c r="W2546" s="91"/>
    </row>
    <row r="2547">
      <c r="A2547" s="91"/>
      <c r="D2547" s="91"/>
      <c r="G2547" s="91"/>
      <c r="J2547" s="91"/>
      <c r="M2547" s="91"/>
      <c r="P2547" s="91"/>
      <c r="S2547" s="91"/>
      <c r="T2547" s="91"/>
      <c r="U2547" s="91"/>
      <c r="V2547" s="91"/>
      <c r="W2547" s="91"/>
    </row>
    <row r="2548">
      <c r="A2548" s="91"/>
      <c r="D2548" s="91"/>
      <c r="G2548" s="91"/>
      <c r="J2548" s="91"/>
      <c r="M2548" s="91"/>
      <c r="P2548" s="91"/>
      <c r="S2548" s="91"/>
      <c r="T2548" s="91"/>
      <c r="U2548" s="91"/>
      <c r="V2548" s="91"/>
      <c r="W2548" s="91"/>
    </row>
    <row r="2549">
      <c r="A2549" s="91"/>
      <c r="D2549" s="91"/>
      <c r="G2549" s="91"/>
      <c r="J2549" s="91"/>
      <c r="M2549" s="91"/>
      <c r="P2549" s="91"/>
      <c r="S2549" s="91"/>
      <c r="T2549" s="91"/>
      <c r="U2549" s="91"/>
      <c r="V2549" s="91"/>
      <c r="W2549" s="91"/>
    </row>
    <row r="2550">
      <c r="A2550" s="91"/>
      <c r="D2550" s="91"/>
      <c r="G2550" s="91"/>
      <c r="J2550" s="91"/>
      <c r="M2550" s="91"/>
      <c r="P2550" s="91"/>
      <c r="S2550" s="91"/>
      <c r="T2550" s="91"/>
      <c r="U2550" s="91"/>
      <c r="V2550" s="91"/>
      <c r="W2550" s="91"/>
    </row>
    <row r="2551">
      <c r="A2551" s="91"/>
      <c r="D2551" s="91"/>
      <c r="G2551" s="91"/>
      <c r="J2551" s="91"/>
      <c r="M2551" s="91"/>
      <c r="P2551" s="91"/>
      <c r="S2551" s="91"/>
      <c r="T2551" s="91"/>
      <c r="U2551" s="91"/>
      <c r="V2551" s="91"/>
      <c r="W2551" s="91"/>
    </row>
    <row r="2552">
      <c r="A2552" s="91"/>
      <c r="D2552" s="91"/>
      <c r="G2552" s="91"/>
      <c r="J2552" s="91"/>
      <c r="M2552" s="91"/>
      <c r="P2552" s="91"/>
      <c r="S2552" s="91"/>
      <c r="T2552" s="91"/>
      <c r="U2552" s="91"/>
      <c r="V2552" s="91"/>
      <c r="W2552" s="91"/>
    </row>
    <row r="2553">
      <c r="A2553" s="91"/>
      <c r="D2553" s="91"/>
      <c r="G2553" s="91"/>
      <c r="J2553" s="91"/>
      <c r="M2553" s="91"/>
      <c r="P2553" s="91"/>
      <c r="S2553" s="91"/>
      <c r="T2553" s="91"/>
      <c r="U2553" s="91"/>
      <c r="V2553" s="91"/>
      <c r="W2553" s="91"/>
    </row>
    <row r="2554">
      <c r="A2554" s="91"/>
      <c r="D2554" s="91"/>
      <c r="G2554" s="91"/>
      <c r="J2554" s="91"/>
      <c r="M2554" s="91"/>
      <c r="P2554" s="91"/>
      <c r="S2554" s="91"/>
      <c r="T2554" s="91"/>
      <c r="U2554" s="91"/>
      <c r="V2554" s="91"/>
      <c r="W2554" s="91"/>
    </row>
    <row r="2555">
      <c r="A2555" s="91"/>
      <c r="D2555" s="91"/>
      <c r="G2555" s="91"/>
      <c r="J2555" s="91"/>
      <c r="M2555" s="91"/>
      <c r="P2555" s="91"/>
      <c r="S2555" s="91"/>
      <c r="T2555" s="91"/>
      <c r="U2555" s="91"/>
      <c r="V2555" s="91"/>
      <c r="W2555" s="91"/>
    </row>
    <row r="2556">
      <c r="A2556" s="91"/>
      <c r="D2556" s="91"/>
      <c r="G2556" s="91"/>
      <c r="J2556" s="91"/>
      <c r="M2556" s="91"/>
      <c r="P2556" s="91"/>
      <c r="S2556" s="91"/>
      <c r="T2556" s="91"/>
      <c r="U2556" s="91"/>
      <c r="V2556" s="91"/>
      <c r="W2556" s="91"/>
    </row>
    <row r="2557">
      <c r="A2557" s="91"/>
      <c r="D2557" s="91"/>
      <c r="G2557" s="91"/>
      <c r="J2557" s="91"/>
      <c r="M2557" s="91"/>
      <c r="P2557" s="91"/>
      <c r="S2557" s="91"/>
      <c r="T2557" s="91"/>
      <c r="U2557" s="91"/>
      <c r="V2557" s="91"/>
      <c r="W2557" s="91"/>
    </row>
    <row r="2558">
      <c r="A2558" s="91"/>
      <c r="D2558" s="91"/>
      <c r="G2558" s="91"/>
      <c r="J2558" s="91"/>
      <c r="M2558" s="91"/>
      <c r="P2558" s="91"/>
      <c r="S2558" s="91"/>
      <c r="T2558" s="91"/>
      <c r="U2558" s="91"/>
      <c r="V2558" s="91"/>
      <c r="W2558" s="91"/>
    </row>
    <row r="2559">
      <c r="A2559" s="91"/>
      <c r="D2559" s="91"/>
      <c r="G2559" s="91"/>
      <c r="J2559" s="91"/>
      <c r="M2559" s="91"/>
      <c r="P2559" s="91"/>
      <c r="S2559" s="91"/>
      <c r="T2559" s="91"/>
      <c r="U2559" s="91"/>
      <c r="V2559" s="91"/>
      <c r="W2559" s="91"/>
    </row>
    <row r="2560">
      <c r="A2560" s="91"/>
      <c r="D2560" s="91"/>
      <c r="G2560" s="91"/>
      <c r="J2560" s="91"/>
      <c r="M2560" s="91"/>
      <c r="P2560" s="91"/>
      <c r="S2560" s="91"/>
      <c r="T2560" s="91"/>
      <c r="U2560" s="91"/>
      <c r="V2560" s="91"/>
      <c r="W2560" s="91"/>
    </row>
    <row r="2561">
      <c r="A2561" s="91"/>
      <c r="D2561" s="91"/>
      <c r="G2561" s="91"/>
      <c r="J2561" s="91"/>
      <c r="M2561" s="91"/>
      <c r="P2561" s="91"/>
      <c r="S2561" s="91"/>
      <c r="T2561" s="91"/>
      <c r="U2561" s="91"/>
      <c r="V2561" s="91"/>
      <c r="W2561" s="91"/>
    </row>
    <row r="2562">
      <c r="A2562" s="91"/>
      <c r="D2562" s="91"/>
      <c r="G2562" s="91"/>
      <c r="J2562" s="91"/>
      <c r="M2562" s="91"/>
      <c r="P2562" s="91"/>
      <c r="S2562" s="91"/>
      <c r="T2562" s="91"/>
      <c r="U2562" s="91"/>
      <c r="V2562" s="91"/>
      <c r="W2562" s="91"/>
    </row>
    <row r="2563">
      <c r="A2563" s="91"/>
      <c r="D2563" s="91"/>
      <c r="G2563" s="91"/>
      <c r="J2563" s="91"/>
      <c r="M2563" s="91"/>
      <c r="P2563" s="91"/>
      <c r="S2563" s="91"/>
      <c r="T2563" s="91"/>
      <c r="U2563" s="91"/>
      <c r="V2563" s="91"/>
      <c r="W2563" s="91"/>
    </row>
    <row r="2564">
      <c r="A2564" s="91"/>
      <c r="D2564" s="91"/>
      <c r="G2564" s="91"/>
      <c r="J2564" s="91"/>
      <c r="M2564" s="91"/>
      <c r="P2564" s="91"/>
      <c r="S2564" s="91"/>
      <c r="T2564" s="91"/>
      <c r="U2564" s="91"/>
      <c r="V2564" s="91"/>
      <c r="W2564" s="91"/>
    </row>
    <row r="2565">
      <c r="A2565" s="91"/>
      <c r="D2565" s="91"/>
      <c r="G2565" s="91"/>
      <c r="J2565" s="91"/>
      <c r="M2565" s="91"/>
      <c r="P2565" s="91"/>
      <c r="S2565" s="91"/>
      <c r="T2565" s="91"/>
      <c r="U2565" s="91"/>
      <c r="V2565" s="91"/>
      <c r="W2565" s="91"/>
    </row>
    <row r="2566">
      <c r="A2566" s="91"/>
      <c r="D2566" s="91"/>
      <c r="G2566" s="91"/>
      <c r="J2566" s="91"/>
      <c r="M2566" s="91"/>
      <c r="P2566" s="91"/>
      <c r="S2566" s="91"/>
      <c r="T2566" s="91"/>
      <c r="U2566" s="91"/>
      <c r="V2566" s="91"/>
      <c r="W2566" s="91"/>
    </row>
    <row r="2567">
      <c r="A2567" s="91"/>
      <c r="D2567" s="91"/>
      <c r="G2567" s="91"/>
      <c r="J2567" s="91"/>
      <c r="M2567" s="91"/>
      <c r="P2567" s="91"/>
      <c r="S2567" s="91"/>
      <c r="T2567" s="91"/>
      <c r="U2567" s="91"/>
      <c r="V2567" s="91"/>
      <c r="W2567" s="91"/>
    </row>
    <row r="2568">
      <c r="A2568" s="91"/>
      <c r="D2568" s="91"/>
      <c r="G2568" s="91"/>
      <c r="J2568" s="91"/>
      <c r="M2568" s="91"/>
      <c r="P2568" s="91"/>
      <c r="S2568" s="91"/>
      <c r="T2568" s="91"/>
      <c r="U2568" s="91"/>
      <c r="V2568" s="91"/>
      <c r="W2568" s="91"/>
    </row>
    <row r="2569">
      <c r="A2569" s="91"/>
      <c r="D2569" s="91"/>
      <c r="G2569" s="91"/>
      <c r="J2569" s="91"/>
      <c r="M2569" s="91"/>
      <c r="P2569" s="91"/>
      <c r="S2569" s="91"/>
      <c r="T2569" s="91"/>
      <c r="U2569" s="91"/>
      <c r="V2569" s="91"/>
      <c r="W2569" s="91"/>
    </row>
    <row r="2570">
      <c r="A2570" s="91"/>
      <c r="D2570" s="91"/>
      <c r="G2570" s="91"/>
      <c r="J2570" s="91"/>
      <c r="M2570" s="91"/>
      <c r="P2570" s="91"/>
      <c r="S2570" s="91"/>
      <c r="T2570" s="91"/>
      <c r="U2570" s="91"/>
      <c r="V2570" s="91"/>
      <c r="W2570" s="91"/>
    </row>
    <row r="2571">
      <c r="A2571" s="91"/>
      <c r="D2571" s="91"/>
      <c r="G2571" s="91"/>
      <c r="J2571" s="91"/>
      <c r="M2571" s="91"/>
      <c r="P2571" s="91"/>
      <c r="S2571" s="91"/>
      <c r="T2571" s="91"/>
      <c r="U2571" s="91"/>
      <c r="V2571" s="91"/>
      <c r="W2571" s="91"/>
    </row>
    <row r="2572">
      <c r="A2572" s="91"/>
      <c r="D2572" s="91"/>
      <c r="G2572" s="91"/>
      <c r="J2572" s="91"/>
      <c r="M2572" s="91"/>
      <c r="P2572" s="91"/>
      <c r="S2572" s="91"/>
      <c r="T2572" s="91"/>
      <c r="U2572" s="91"/>
      <c r="V2572" s="91"/>
      <c r="W2572" s="91"/>
    </row>
    <row r="2573">
      <c r="A2573" s="91"/>
      <c r="D2573" s="91"/>
      <c r="G2573" s="91"/>
      <c r="J2573" s="91"/>
      <c r="M2573" s="91"/>
      <c r="P2573" s="91"/>
      <c r="S2573" s="91"/>
      <c r="T2573" s="91"/>
      <c r="U2573" s="91"/>
      <c r="V2573" s="91"/>
      <c r="W2573" s="91"/>
    </row>
    <row r="2574">
      <c r="A2574" s="91"/>
      <c r="D2574" s="91"/>
      <c r="G2574" s="91"/>
      <c r="J2574" s="91"/>
      <c r="M2574" s="91"/>
      <c r="P2574" s="91"/>
      <c r="S2574" s="91"/>
      <c r="T2574" s="91"/>
      <c r="U2574" s="91"/>
      <c r="V2574" s="91"/>
      <c r="W2574" s="91"/>
    </row>
    <row r="2575">
      <c r="A2575" s="91"/>
      <c r="D2575" s="91"/>
      <c r="G2575" s="91"/>
      <c r="J2575" s="91"/>
      <c r="M2575" s="91"/>
      <c r="P2575" s="91"/>
      <c r="S2575" s="91"/>
      <c r="T2575" s="91"/>
      <c r="U2575" s="91"/>
      <c r="V2575" s="91"/>
      <c r="W2575" s="91"/>
    </row>
    <row r="2576">
      <c r="A2576" s="91"/>
      <c r="D2576" s="91"/>
      <c r="G2576" s="91"/>
      <c r="J2576" s="91"/>
      <c r="M2576" s="91"/>
      <c r="P2576" s="91"/>
      <c r="S2576" s="91"/>
      <c r="T2576" s="91"/>
      <c r="U2576" s="91"/>
      <c r="V2576" s="91"/>
      <c r="W2576" s="91"/>
    </row>
    <row r="2577">
      <c r="A2577" s="91"/>
      <c r="D2577" s="91"/>
      <c r="G2577" s="91"/>
      <c r="J2577" s="91"/>
      <c r="M2577" s="91"/>
      <c r="P2577" s="91"/>
      <c r="S2577" s="91"/>
      <c r="T2577" s="91"/>
      <c r="U2577" s="91"/>
      <c r="V2577" s="91"/>
      <c r="W2577" s="91"/>
    </row>
    <row r="2578">
      <c r="A2578" s="91"/>
      <c r="D2578" s="91"/>
      <c r="G2578" s="91"/>
      <c r="J2578" s="91"/>
      <c r="M2578" s="91"/>
      <c r="P2578" s="91"/>
      <c r="S2578" s="91"/>
      <c r="T2578" s="91"/>
      <c r="U2578" s="91"/>
      <c r="V2578" s="91"/>
      <c r="W2578" s="91"/>
    </row>
    <row r="2579">
      <c r="A2579" s="91"/>
      <c r="D2579" s="91"/>
      <c r="G2579" s="91"/>
      <c r="J2579" s="91"/>
      <c r="M2579" s="91"/>
      <c r="P2579" s="91"/>
      <c r="S2579" s="91"/>
      <c r="T2579" s="91"/>
      <c r="U2579" s="91"/>
      <c r="V2579" s="91"/>
      <c r="W2579" s="91"/>
    </row>
    <row r="2580">
      <c r="A2580" s="91"/>
      <c r="D2580" s="91"/>
      <c r="G2580" s="91"/>
      <c r="J2580" s="91"/>
      <c r="M2580" s="91"/>
      <c r="P2580" s="91"/>
      <c r="S2580" s="91"/>
      <c r="T2580" s="91"/>
      <c r="U2580" s="91"/>
      <c r="V2580" s="91"/>
      <c r="W2580" s="91"/>
    </row>
    <row r="2581">
      <c r="A2581" s="91"/>
      <c r="D2581" s="91"/>
      <c r="G2581" s="91"/>
      <c r="J2581" s="91"/>
      <c r="M2581" s="91"/>
      <c r="P2581" s="91"/>
      <c r="S2581" s="91"/>
      <c r="T2581" s="91"/>
      <c r="U2581" s="91"/>
      <c r="V2581" s="91"/>
      <c r="W2581" s="91"/>
    </row>
    <row r="2582">
      <c r="A2582" s="91"/>
      <c r="D2582" s="91"/>
      <c r="G2582" s="91"/>
      <c r="J2582" s="91"/>
      <c r="M2582" s="91"/>
      <c r="P2582" s="91"/>
      <c r="S2582" s="91"/>
      <c r="T2582" s="91"/>
      <c r="U2582" s="91"/>
      <c r="V2582" s="91"/>
      <c r="W2582" s="91"/>
    </row>
    <row r="2583">
      <c r="A2583" s="91"/>
      <c r="D2583" s="91"/>
      <c r="G2583" s="91"/>
      <c r="J2583" s="91"/>
      <c r="M2583" s="91"/>
      <c r="P2583" s="91"/>
      <c r="S2583" s="91"/>
      <c r="T2583" s="91"/>
      <c r="U2583" s="91"/>
      <c r="V2583" s="91"/>
      <c r="W2583" s="91"/>
    </row>
    <row r="2584">
      <c r="A2584" s="91"/>
      <c r="D2584" s="91"/>
      <c r="G2584" s="91"/>
      <c r="J2584" s="91"/>
      <c r="M2584" s="91"/>
      <c r="P2584" s="91"/>
      <c r="S2584" s="91"/>
      <c r="T2584" s="91"/>
      <c r="U2584" s="91"/>
      <c r="V2584" s="91"/>
      <c r="W2584" s="91"/>
    </row>
    <row r="2585">
      <c r="A2585" s="91"/>
      <c r="D2585" s="91"/>
      <c r="G2585" s="91"/>
      <c r="J2585" s="91"/>
      <c r="M2585" s="91"/>
      <c r="P2585" s="91"/>
      <c r="S2585" s="91"/>
      <c r="T2585" s="91"/>
      <c r="U2585" s="91"/>
      <c r="V2585" s="91"/>
      <c r="W2585" s="91"/>
    </row>
    <row r="2586">
      <c r="A2586" s="91"/>
      <c r="D2586" s="91"/>
      <c r="G2586" s="91"/>
      <c r="J2586" s="91"/>
      <c r="M2586" s="91"/>
      <c r="P2586" s="91"/>
      <c r="S2586" s="91"/>
      <c r="T2586" s="91"/>
      <c r="U2586" s="91"/>
      <c r="V2586" s="91"/>
      <c r="W2586" s="91"/>
    </row>
    <row r="2587">
      <c r="A2587" s="91"/>
      <c r="D2587" s="91"/>
      <c r="G2587" s="91"/>
      <c r="J2587" s="91"/>
      <c r="M2587" s="91"/>
      <c r="P2587" s="91"/>
      <c r="S2587" s="91"/>
      <c r="T2587" s="91"/>
      <c r="U2587" s="91"/>
      <c r="V2587" s="91"/>
      <c r="W2587" s="91"/>
    </row>
    <row r="2588">
      <c r="A2588" s="91"/>
      <c r="D2588" s="91"/>
      <c r="G2588" s="91"/>
      <c r="J2588" s="91"/>
      <c r="M2588" s="91"/>
      <c r="P2588" s="91"/>
      <c r="S2588" s="91"/>
      <c r="T2588" s="91"/>
      <c r="U2588" s="91"/>
      <c r="V2588" s="91"/>
      <c r="W2588" s="91"/>
    </row>
    <row r="2589">
      <c r="A2589" s="91"/>
      <c r="D2589" s="91"/>
      <c r="G2589" s="91"/>
      <c r="J2589" s="91"/>
      <c r="M2589" s="91"/>
      <c r="P2589" s="91"/>
      <c r="S2589" s="91"/>
      <c r="T2589" s="91"/>
      <c r="U2589" s="91"/>
      <c r="V2589" s="91"/>
      <c r="W2589" s="91"/>
    </row>
    <row r="2590">
      <c r="A2590" s="91"/>
      <c r="D2590" s="91"/>
      <c r="G2590" s="91"/>
      <c r="J2590" s="91"/>
      <c r="M2590" s="91"/>
      <c r="P2590" s="91"/>
      <c r="S2590" s="91"/>
      <c r="T2590" s="91"/>
      <c r="U2590" s="91"/>
      <c r="V2590" s="91"/>
      <c r="W2590" s="91"/>
    </row>
    <row r="2591">
      <c r="A2591" s="91"/>
      <c r="D2591" s="91"/>
      <c r="G2591" s="91"/>
      <c r="J2591" s="91"/>
      <c r="M2591" s="91"/>
      <c r="P2591" s="91"/>
      <c r="S2591" s="91"/>
      <c r="T2591" s="91"/>
      <c r="U2591" s="91"/>
      <c r="V2591" s="91"/>
      <c r="W2591" s="91"/>
    </row>
    <row r="2592">
      <c r="A2592" s="91"/>
      <c r="D2592" s="91"/>
      <c r="G2592" s="91"/>
      <c r="J2592" s="91"/>
      <c r="M2592" s="91"/>
      <c r="P2592" s="91"/>
      <c r="S2592" s="91"/>
      <c r="T2592" s="91"/>
      <c r="U2592" s="91"/>
      <c r="V2592" s="91"/>
      <c r="W2592" s="91"/>
    </row>
    <row r="2593">
      <c r="A2593" s="91"/>
      <c r="D2593" s="91"/>
      <c r="G2593" s="91"/>
      <c r="J2593" s="91"/>
      <c r="M2593" s="91"/>
      <c r="P2593" s="91"/>
      <c r="S2593" s="91"/>
      <c r="T2593" s="91"/>
      <c r="U2593" s="91"/>
      <c r="V2593" s="91"/>
      <c r="W2593" s="91"/>
    </row>
    <row r="2594">
      <c r="A2594" s="91"/>
      <c r="D2594" s="91"/>
      <c r="G2594" s="91"/>
      <c r="J2594" s="91"/>
      <c r="M2594" s="91"/>
      <c r="P2594" s="91"/>
      <c r="S2594" s="91"/>
      <c r="T2594" s="91"/>
      <c r="U2594" s="91"/>
      <c r="V2594" s="91"/>
      <c r="W2594" s="91"/>
    </row>
    <row r="2595">
      <c r="A2595" s="91"/>
      <c r="D2595" s="91"/>
      <c r="G2595" s="91"/>
      <c r="J2595" s="91"/>
      <c r="M2595" s="91"/>
      <c r="P2595" s="91"/>
      <c r="S2595" s="91"/>
      <c r="T2595" s="91"/>
      <c r="U2595" s="91"/>
      <c r="V2595" s="91"/>
      <c r="W2595" s="91"/>
    </row>
    <row r="2596">
      <c r="A2596" s="91"/>
      <c r="D2596" s="91"/>
      <c r="G2596" s="91"/>
      <c r="J2596" s="91"/>
      <c r="M2596" s="91"/>
      <c r="P2596" s="91"/>
      <c r="S2596" s="91"/>
      <c r="T2596" s="91"/>
      <c r="U2596" s="91"/>
      <c r="V2596" s="91"/>
      <c r="W2596" s="91"/>
    </row>
    <row r="2597">
      <c r="A2597" s="91"/>
      <c r="D2597" s="91"/>
      <c r="G2597" s="91"/>
      <c r="J2597" s="91"/>
      <c r="M2597" s="91"/>
      <c r="P2597" s="91"/>
      <c r="S2597" s="91"/>
      <c r="T2597" s="91"/>
      <c r="U2597" s="91"/>
      <c r="V2597" s="91"/>
      <c r="W2597" s="91"/>
    </row>
    <row r="2598">
      <c r="A2598" s="91"/>
      <c r="D2598" s="91"/>
      <c r="G2598" s="91"/>
      <c r="J2598" s="91"/>
      <c r="M2598" s="91"/>
      <c r="P2598" s="91"/>
      <c r="S2598" s="91"/>
      <c r="T2598" s="91"/>
      <c r="U2598" s="91"/>
      <c r="V2598" s="91"/>
      <c r="W2598" s="91"/>
    </row>
    <row r="2599">
      <c r="A2599" s="91"/>
      <c r="D2599" s="91"/>
      <c r="G2599" s="91"/>
      <c r="J2599" s="91"/>
      <c r="M2599" s="91"/>
      <c r="P2599" s="91"/>
      <c r="S2599" s="91"/>
      <c r="T2599" s="91"/>
      <c r="U2599" s="91"/>
      <c r="V2599" s="91"/>
      <c r="W2599" s="91"/>
    </row>
    <row r="2600">
      <c r="A2600" s="91"/>
      <c r="D2600" s="91"/>
      <c r="G2600" s="91"/>
      <c r="J2600" s="91"/>
      <c r="M2600" s="91"/>
      <c r="P2600" s="91"/>
      <c r="S2600" s="91"/>
      <c r="T2600" s="91"/>
      <c r="U2600" s="91"/>
      <c r="V2600" s="91"/>
      <c r="W2600" s="9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2276</v>
      </c>
      <c r="B1" s="5" t="s">
        <v>32</v>
      </c>
      <c r="D1" s="5" t="s">
        <v>2277</v>
      </c>
      <c r="E1" s="92" t="s">
        <v>2278</v>
      </c>
    </row>
    <row r="2">
      <c r="A2" s="93">
        <v>45339.0</v>
      </c>
      <c r="B2" s="5" t="s">
        <v>2279</v>
      </c>
      <c r="C2" s="5" t="str">
        <f t="shared" ref="C2:C44" si="1">substitute(substitute(A2&amp;B2,"s",""),"Vet","Vets")</f>
        <v>453391</v>
      </c>
      <c r="D2" s="5" t="s">
        <v>397</v>
      </c>
      <c r="E2" s="94" t="s">
        <v>2279</v>
      </c>
    </row>
    <row r="3">
      <c r="A3" s="93">
        <v>45339.0</v>
      </c>
      <c r="B3" s="5" t="s">
        <v>2280</v>
      </c>
      <c r="C3" s="5" t="str">
        <f t="shared" si="1"/>
        <v>453392</v>
      </c>
      <c r="D3" s="5" t="s">
        <v>859</v>
      </c>
      <c r="E3" s="94" t="s">
        <v>2279</v>
      </c>
    </row>
    <row r="4">
      <c r="A4" s="93">
        <v>45339.0</v>
      </c>
      <c r="B4" s="5" t="s">
        <v>2281</v>
      </c>
      <c r="C4" s="5" t="str">
        <f t="shared" si="1"/>
        <v>453393</v>
      </c>
      <c r="D4" s="5" t="s">
        <v>495</v>
      </c>
      <c r="E4" s="94" t="s">
        <v>2281</v>
      </c>
    </row>
    <row r="5">
      <c r="A5" s="93">
        <v>45339.0</v>
      </c>
      <c r="B5" s="5" t="s">
        <v>2282</v>
      </c>
      <c r="C5" s="5" t="str">
        <f t="shared" si="1"/>
        <v>453394</v>
      </c>
      <c r="D5" s="5" t="s">
        <v>1437</v>
      </c>
      <c r="E5" s="94" t="s">
        <v>2280</v>
      </c>
    </row>
    <row r="6">
      <c r="A6" s="93">
        <v>45339.0</v>
      </c>
      <c r="B6" s="5" t="s">
        <v>2283</v>
      </c>
      <c r="C6" s="5" t="str">
        <f t="shared" si="1"/>
        <v>453395</v>
      </c>
      <c r="D6" s="5" t="s">
        <v>397</v>
      </c>
      <c r="E6" s="94" t="s">
        <v>2283</v>
      </c>
    </row>
    <row r="7">
      <c r="A7" s="93">
        <v>45339.0</v>
      </c>
      <c r="B7" s="5" t="s">
        <v>2284</v>
      </c>
      <c r="C7" s="5" t="str">
        <f t="shared" si="1"/>
        <v>453396</v>
      </c>
      <c r="D7" s="5" t="s">
        <v>2285</v>
      </c>
      <c r="E7" s="94" t="s">
        <v>2280</v>
      </c>
    </row>
    <row r="8">
      <c r="C8" s="5" t="str">
        <f t="shared" si="1"/>
        <v/>
      </c>
      <c r="E8" s="95"/>
    </row>
    <row r="9">
      <c r="A9" s="93">
        <v>45346.0</v>
      </c>
      <c r="B9" s="5" t="s">
        <v>2279</v>
      </c>
      <c r="C9" s="5" t="str">
        <f t="shared" si="1"/>
        <v>453461</v>
      </c>
      <c r="D9" s="5" t="s">
        <v>596</v>
      </c>
      <c r="E9" s="94" t="s">
        <v>2279</v>
      </c>
    </row>
    <row r="10">
      <c r="A10" s="93">
        <v>45346.0</v>
      </c>
      <c r="B10" s="5" t="s">
        <v>2280</v>
      </c>
      <c r="C10" s="5" t="str">
        <f t="shared" si="1"/>
        <v>453462</v>
      </c>
      <c r="D10" s="5" t="s">
        <v>1976</v>
      </c>
      <c r="E10" s="94" t="s">
        <v>2279</v>
      </c>
    </row>
    <row r="11">
      <c r="A11" s="93">
        <v>45346.0</v>
      </c>
      <c r="B11" s="5" t="s">
        <v>2281</v>
      </c>
      <c r="C11" s="5" t="str">
        <f t="shared" si="1"/>
        <v>453463</v>
      </c>
      <c r="D11" s="5" t="s">
        <v>1927</v>
      </c>
      <c r="E11" s="94" t="s">
        <v>2280</v>
      </c>
    </row>
    <row r="12">
      <c r="A12" s="93">
        <v>45346.0</v>
      </c>
      <c r="B12" s="5" t="s">
        <v>2282</v>
      </c>
      <c r="C12" s="5" t="str">
        <f t="shared" si="1"/>
        <v>453464</v>
      </c>
      <c r="D12" s="5" t="s">
        <v>2286</v>
      </c>
      <c r="E12" s="94" t="s">
        <v>2280</v>
      </c>
    </row>
    <row r="13">
      <c r="A13" s="93">
        <v>45346.0</v>
      </c>
      <c r="B13" s="5" t="s">
        <v>2283</v>
      </c>
      <c r="C13" s="5" t="str">
        <f t="shared" si="1"/>
        <v>453465</v>
      </c>
      <c r="D13" s="5" t="s">
        <v>2287</v>
      </c>
      <c r="E13" s="94" t="s">
        <v>2281</v>
      </c>
    </row>
    <row r="14">
      <c r="A14" s="93">
        <v>45346.0</v>
      </c>
      <c r="B14" s="5" t="s">
        <v>2284</v>
      </c>
      <c r="C14" s="5" t="str">
        <f t="shared" si="1"/>
        <v>453466</v>
      </c>
      <c r="D14" s="5" t="s">
        <v>2287</v>
      </c>
      <c r="E14" s="94" t="s">
        <v>2282</v>
      </c>
    </row>
    <row r="15">
      <c r="C15" s="5" t="str">
        <f t="shared" si="1"/>
        <v/>
      </c>
      <c r="E15" s="96"/>
    </row>
    <row r="16">
      <c r="A16" s="93">
        <v>45353.0</v>
      </c>
      <c r="B16" s="5" t="s">
        <v>2279</v>
      </c>
      <c r="C16" s="5" t="str">
        <f t="shared" si="1"/>
        <v>453531</v>
      </c>
      <c r="D16" s="5" t="s">
        <v>2288</v>
      </c>
      <c r="E16" s="94" t="s">
        <v>2279</v>
      </c>
    </row>
    <row r="17">
      <c r="A17" s="93">
        <v>45353.0</v>
      </c>
      <c r="B17" s="5" t="s">
        <v>2281</v>
      </c>
      <c r="C17" s="5" t="str">
        <f t="shared" si="1"/>
        <v>453533</v>
      </c>
      <c r="D17" s="5" t="s">
        <v>1484</v>
      </c>
      <c r="E17" s="94" t="s">
        <v>2280</v>
      </c>
    </row>
    <row r="18">
      <c r="A18" s="93">
        <v>45353.0</v>
      </c>
      <c r="B18" s="5" t="s">
        <v>2282</v>
      </c>
      <c r="C18" s="5" t="str">
        <f t="shared" si="1"/>
        <v>453534</v>
      </c>
      <c r="D18" s="5" t="s">
        <v>429</v>
      </c>
      <c r="E18" s="94" t="s">
        <v>2280</v>
      </c>
    </row>
    <row r="19">
      <c r="C19" s="5" t="str">
        <f t="shared" si="1"/>
        <v/>
      </c>
      <c r="E19" s="96"/>
    </row>
    <row r="20">
      <c r="A20" s="93">
        <v>45360.0</v>
      </c>
      <c r="B20" s="5" t="s">
        <v>2279</v>
      </c>
      <c r="C20" s="5" t="str">
        <f t="shared" si="1"/>
        <v>453601</v>
      </c>
      <c r="D20" s="5" t="s">
        <v>2287</v>
      </c>
      <c r="E20" s="97" t="s">
        <v>2279</v>
      </c>
    </row>
    <row r="21">
      <c r="A21" s="93">
        <v>45360.0</v>
      </c>
      <c r="B21" s="5" t="s">
        <v>2279</v>
      </c>
      <c r="C21" s="5" t="str">
        <f t="shared" si="1"/>
        <v>453601</v>
      </c>
      <c r="D21" s="5" t="s">
        <v>1911</v>
      </c>
      <c r="E21" s="94" t="s">
        <v>2279</v>
      </c>
    </row>
    <row r="22">
      <c r="A22" s="93">
        <v>45360.0</v>
      </c>
      <c r="B22" s="5" t="s">
        <v>2281</v>
      </c>
      <c r="C22" s="5" t="str">
        <f t="shared" si="1"/>
        <v>453603</v>
      </c>
      <c r="D22" s="5" t="s">
        <v>528</v>
      </c>
      <c r="E22" s="94" t="s">
        <v>2279</v>
      </c>
    </row>
    <row r="23">
      <c r="A23" s="93">
        <v>45360.0</v>
      </c>
      <c r="B23" s="5" t="s">
        <v>2282</v>
      </c>
      <c r="C23" s="5" t="str">
        <f t="shared" si="1"/>
        <v>453604</v>
      </c>
      <c r="D23" s="5" t="s">
        <v>1944</v>
      </c>
      <c r="E23" s="94" t="s">
        <v>2279</v>
      </c>
    </row>
    <row r="24">
      <c r="A24" s="93">
        <v>45360.0</v>
      </c>
      <c r="B24" s="5" t="s">
        <v>2284</v>
      </c>
      <c r="C24" s="5" t="str">
        <f t="shared" si="1"/>
        <v>453606</v>
      </c>
      <c r="D24" s="5" t="s">
        <v>1960</v>
      </c>
      <c r="E24" s="94" t="s">
        <v>2280</v>
      </c>
    </row>
    <row r="25">
      <c r="A25" s="93">
        <v>45360.0</v>
      </c>
      <c r="B25" s="5" t="s">
        <v>157</v>
      </c>
      <c r="C25" s="5" t="str">
        <f t="shared" si="1"/>
        <v>45360Vets</v>
      </c>
      <c r="D25" s="5" t="s">
        <v>2289</v>
      </c>
      <c r="E25" s="94" t="s">
        <v>157</v>
      </c>
    </row>
    <row r="26">
      <c r="C26" s="5" t="str">
        <f t="shared" si="1"/>
        <v/>
      </c>
      <c r="E26" s="96"/>
    </row>
    <row r="27">
      <c r="A27" s="93">
        <v>45367.0</v>
      </c>
      <c r="B27" s="5" t="s">
        <v>2279</v>
      </c>
      <c r="C27" s="5" t="str">
        <f t="shared" si="1"/>
        <v>453671</v>
      </c>
      <c r="D27" s="5" t="s">
        <v>2290</v>
      </c>
      <c r="E27" s="94" t="s">
        <v>2279</v>
      </c>
    </row>
    <row r="28">
      <c r="A28" s="93">
        <v>45367.0</v>
      </c>
      <c r="B28" s="5" t="s">
        <v>2284</v>
      </c>
      <c r="C28" s="5" t="str">
        <f t="shared" si="1"/>
        <v>453676</v>
      </c>
      <c r="D28" s="5" t="s">
        <v>1960</v>
      </c>
      <c r="E28" s="94" t="s">
        <v>2280</v>
      </c>
    </row>
    <row r="29">
      <c r="C29" s="5" t="str">
        <f t="shared" si="1"/>
        <v/>
      </c>
      <c r="E29" s="96"/>
    </row>
    <row r="30">
      <c r="A30" s="93">
        <v>45374.0</v>
      </c>
      <c r="B30" s="5" t="s">
        <v>2279</v>
      </c>
      <c r="C30" s="5" t="str">
        <f t="shared" si="1"/>
        <v>453741</v>
      </c>
      <c r="D30" s="5" t="s">
        <v>1215</v>
      </c>
      <c r="E30" s="94" t="s">
        <v>2279</v>
      </c>
    </row>
    <row r="31">
      <c r="A31" s="93">
        <v>45374.0</v>
      </c>
      <c r="B31" s="5" t="s">
        <v>2281</v>
      </c>
      <c r="C31" s="5" t="str">
        <f t="shared" si="1"/>
        <v>453743</v>
      </c>
      <c r="D31" s="5" t="s">
        <v>429</v>
      </c>
      <c r="E31" s="94" t="s">
        <v>2279</v>
      </c>
    </row>
    <row r="32">
      <c r="A32" s="93">
        <v>45374.0</v>
      </c>
      <c r="B32" s="5" t="s">
        <v>2282</v>
      </c>
      <c r="C32" s="5" t="str">
        <f t="shared" si="1"/>
        <v>453744</v>
      </c>
      <c r="D32" s="5" t="s">
        <v>300</v>
      </c>
      <c r="E32" s="94" t="s">
        <v>2281</v>
      </c>
    </row>
    <row r="33">
      <c r="A33" s="93">
        <v>45374.0</v>
      </c>
      <c r="B33" s="5" t="s">
        <v>2284</v>
      </c>
      <c r="C33" s="5" t="str">
        <f t="shared" si="1"/>
        <v>453746</v>
      </c>
      <c r="D33" s="5" t="s">
        <v>2291</v>
      </c>
      <c r="E33" s="94" t="s">
        <v>2280</v>
      </c>
    </row>
    <row r="34">
      <c r="C34" s="5" t="str">
        <f t="shared" si="1"/>
        <v/>
      </c>
      <c r="E34" s="96"/>
    </row>
    <row r="35">
      <c r="A35" s="93">
        <v>45388.0</v>
      </c>
      <c r="B35" s="5" t="s">
        <v>2279</v>
      </c>
      <c r="C35" s="5" t="str">
        <f t="shared" si="1"/>
        <v>453881</v>
      </c>
      <c r="D35" s="5" t="s">
        <v>300</v>
      </c>
      <c r="E35" s="94" t="s">
        <v>2279</v>
      </c>
    </row>
    <row r="36">
      <c r="A36" s="93">
        <v>45388.0</v>
      </c>
      <c r="B36" s="5" t="s">
        <v>2281</v>
      </c>
      <c r="C36" s="5" t="str">
        <f t="shared" si="1"/>
        <v>453883</v>
      </c>
      <c r="D36" s="5" t="s">
        <v>1049</v>
      </c>
      <c r="E36" s="94" t="s">
        <v>2279</v>
      </c>
    </row>
    <row r="37">
      <c r="A37" s="93">
        <v>45388.0</v>
      </c>
      <c r="B37" s="5" t="s">
        <v>2284</v>
      </c>
      <c r="C37" s="5" t="str">
        <f t="shared" si="1"/>
        <v>453886</v>
      </c>
      <c r="D37" s="5" t="s">
        <v>2291</v>
      </c>
      <c r="E37" s="94" t="s">
        <v>2280</v>
      </c>
    </row>
    <row r="38">
      <c r="C38" s="5" t="str">
        <f t="shared" si="1"/>
        <v/>
      </c>
      <c r="E38" s="96"/>
    </row>
    <row r="39">
      <c r="A39" s="93">
        <v>45395.0</v>
      </c>
      <c r="B39" s="5" t="s">
        <v>2283</v>
      </c>
      <c r="C39" s="5" t="str">
        <f t="shared" si="1"/>
        <v>453955</v>
      </c>
      <c r="D39" s="5" t="s">
        <v>397</v>
      </c>
      <c r="E39" s="97" t="s">
        <v>2283</v>
      </c>
    </row>
    <row r="40">
      <c r="A40" s="93">
        <v>45395.0</v>
      </c>
      <c r="B40" s="5" t="s">
        <v>2284</v>
      </c>
      <c r="C40" s="5" t="str">
        <f t="shared" si="1"/>
        <v>453956</v>
      </c>
      <c r="D40" s="5" t="s">
        <v>1484</v>
      </c>
      <c r="E40" s="94" t="s">
        <v>2284</v>
      </c>
    </row>
    <row r="41">
      <c r="C41" s="5" t="str">
        <f t="shared" si="1"/>
        <v/>
      </c>
      <c r="E41" s="96"/>
    </row>
    <row r="42">
      <c r="A42" s="93">
        <v>45402.0</v>
      </c>
      <c r="B42" s="5" t="s">
        <v>2281</v>
      </c>
      <c r="C42" s="5" t="str">
        <f t="shared" si="1"/>
        <v>454023</v>
      </c>
      <c r="D42" s="5" t="s">
        <v>1927</v>
      </c>
      <c r="E42" s="94" t="s">
        <v>2280</v>
      </c>
    </row>
    <row r="43">
      <c r="A43" s="93">
        <v>45402.0</v>
      </c>
      <c r="B43" s="5" t="s">
        <v>2283</v>
      </c>
      <c r="C43" s="5" t="str">
        <f t="shared" si="1"/>
        <v>454025</v>
      </c>
      <c r="D43" s="5" t="s">
        <v>1927</v>
      </c>
      <c r="E43" s="94" t="s">
        <v>2282</v>
      </c>
    </row>
    <row r="44">
      <c r="A44" s="93">
        <v>45402.0</v>
      </c>
      <c r="B44" s="5" t="s">
        <v>2284</v>
      </c>
      <c r="C44" s="5" t="str">
        <f t="shared" si="1"/>
        <v>454026</v>
      </c>
      <c r="D44" s="5" t="s">
        <v>2292</v>
      </c>
      <c r="E44" s="94" t="s">
        <v>2281</v>
      </c>
    </row>
    <row r="45">
      <c r="C45" s="5" t="str">
        <f t="shared" ref="C45:C62" si="2">substitute(A45&amp;B45,"s","")</f>
        <v/>
      </c>
      <c r="E45" s="96"/>
    </row>
    <row r="46">
      <c r="C46" s="5" t="str">
        <f t="shared" si="2"/>
        <v/>
      </c>
      <c r="E46" s="96"/>
    </row>
    <row r="47">
      <c r="C47" s="5" t="str">
        <f t="shared" si="2"/>
        <v/>
      </c>
      <c r="E47" s="96"/>
    </row>
    <row r="48">
      <c r="C48" s="5" t="str">
        <f t="shared" si="2"/>
        <v/>
      </c>
      <c r="E48" s="96"/>
    </row>
    <row r="49">
      <c r="C49" s="5" t="str">
        <f t="shared" si="2"/>
        <v/>
      </c>
      <c r="E49" s="96"/>
    </row>
    <row r="50">
      <c r="C50" s="5" t="str">
        <f t="shared" si="2"/>
        <v/>
      </c>
      <c r="E50" s="96"/>
    </row>
    <row r="51">
      <c r="C51" s="5" t="str">
        <f t="shared" si="2"/>
        <v/>
      </c>
      <c r="E51" s="96"/>
    </row>
    <row r="52">
      <c r="C52" s="5" t="str">
        <f t="shared" si="2"/>
        <v/>
      </c>
      <c r="E52" s="96"/>
    </row>
    <row r="53">
      <c r="C53" s="5" t="str">
        <f t="shared" si="2"/>
        <v/>
      </c>
      <c r="E53" s="96"/>
    </row>
    <row r="54">
      <c r="C54" s="5" t="str">
        <f t="shared" si="2"/>
        <v/>
      </c>
      <c r="E54" s="96"/>
    </row>
    <row r="55">
      <c r="C55" s="5" t="str">
        <f t="shared" si="2"/>
        <v/>
      </c>
      <c r="E55" s="96"/>
    </row>
    <row r="56">
      <c r="C56" s="5" t="str">
        <f t="shared" si="2"/>
        <v/>
      </c>
      <c r="E56" s="96"/>
    </row>
    <row r="57">
      <c r="C57" s="5" t="str">
        <f t="shared" si="2"/>
        <v/>
      </c>
      <c r="E57" s="96"/>
    </row>
    <row r="58">
      <c r="C58" s="5" t="str">
        <f t="shared" si="2"/>
        <v/>
      </c>
      <c r="E58" s="96"/>
    </row>
    <row r="59">
      <c r="C59" s="5" t="str">
        <f t="shared" si="2"/>
        <v/>
      </c>
      <c r="E59" s="96"/>
    </row>
    <row r="60">
      <c r="C60" s="5" t="str">
        <f t="shared" si="2"/>
        <v/>
      </c>
      <c r="E60" s="96"/>
    </row>
    <row r="61">
      <c r="C61" s="5" t="str">
        <f t="shared" si="2"/>
        <v/>
      </c>
      <c r="E61" s="96"/>
    </row>
    <row r="62">
      <c r="C62" s="5" t="str">
        <f t="shared" si="2"/>
        <v/>
      </c>
      <c r="E62" s="96"/>
    </row>
    <row r="63">
      <c r="C63" s="5" t="str">
        <f t="shared" ref="C63:C72" si="3">A63&amp;B63</f>
        <v/>
      </c>
      <c r="E63" s="96"/>
    </row>
    <row r="64">
      <c r="C64" s="5" t="str">
        <f t="shared" si="3"/>
        <v/>
      </c>
      <c r="E64" s="96"/>
    </row>
    <row r="65">
      <c r="C65" s="5" t="str">
        <f t="shared" si="3"/>
        <v/>
      </c>
      <c r="E65" s="96"/>
    </row>
    <row r="66">
      <c r="C66" s="5" t="str">
        <f t="shared" si="3"/>
        <v/>
      </c>
      <c r="E66" s="96"/>
    </row>
    <row r="67">
      <c r="C67" s="5" t="str">
        <f t="shared" si="3"/>
        <v/>
      </c>
      <c r="E67" s="96"/>
    </row>
    <row r="68">
      <c r="C68" s="5" t="str">
        <f t="shared" si="3"/>
        <v/>
      </c>
      <c r="E68" s="96"/>
    </row>
    <row r="69">
      <c r="C69" s="5" t="str">
        <f t="shared" si="3"/>
        <v/>
      </c>
      <c r="E69" s="96"/>
    </row>
    <row r="70">
      <c r="C70" s="5" t="str">
        <f t="shared" si="3"/>
        <v/>
      </c>
      <c r="E70" s="96"/>
    </row>
    <row r="71">
      <c r="C71" s="5" t="str">
        <f t="shared" si="3"/>
        <v/>
      </c>
      <c r="E71" s="96"/>
    </row>
    <row r="72">
      <c r="C72" s="5" t="str">
        <f t="shared" si="3"/>
        <v/>
      </c>
      <c r="E72" s="96"/>
    </row>
    <row r="73">
      <c r="C73" s="5" t="str">
        <f>A74&amp;B74</f>
        <v/>
      </c>
      <c r="E73" s="96"/>
    </row>
    <row r="74">
      <c r="E74" s="96"/>
    </row>
    <row r="75">
      <c r="E75" s="96"/>
    </row>
    <row r="76">
      <c r="E76" s="96"/>
    </row>
    <row r="77">
      <c r="E77" s="96"/>
    </row>
    <row r="78">
      <c r="E78" s="96"/>
    </row>
    <row r="79">
      <c r="E79" s="96"/>
    </row>
    <row r="80">
      <c r="E80" s="96"/>
    </row>
    <row r="81">
      <c r="E81" s="96"/>
    </row>
    <row r="82">
      <c r="E82" s="96"/>
    </row>
    <row r="83">
      <c r="E83" s="96"/>
    </row>
    <row r="84">
      <c r="E84" s="96"/>
    </row>
    <row r="85">
      <c r="E85" s="96"/>
    </row>
    <row r="86">
      <c r="E86" s="96"/>
    </row>
    <row r="87">
      <c r="E87" s="96"/>
    </row>
    <row r="88">
      <c r="E88" s="96"/>
    </row>
    <row r="89">
      <c r="E89" s="96"/>
    </row>
    <row r="90">
      <c r="E90" s="96"/>
    </row>
    <row r="91">
      <c r="E91" s="96"/>
    </row>
    <row r="92">
      <c r="E92" s="96"/>
    </row>
    <row r="93">
      <c r="E93" s="96"/>
    </row>
    <row r="94">
      <c r="E94" s="96"/>
    </row>
    <row r="95">
      <c r="E95" s="96"/>
    </row>
    <row r="96">
      <c r="E96" s="96"/>
    </row>
    <row r="97">
      <c r="E97" s="96"/>
    </row>
    <row r="98">
      <c r="E98" s="96"/>
    </row>
    <row r="99">
      <c r="E99" s="96"/>
    </row>
    <row r="100">
      <c r="E100" s="96"/>
    </row>
    <row r="101">
      <c r="E101" s="96"/>
    </row>
    <row r="102">
      <c r="E102" s="96"/>
    </row>
    <row r="103">
      <c r="E103" s="96"/>
    </row>
    <row r="104">
      <c r="E104" s="96"/>
    </row>
    <row r="105">
      <c r="E105" s="96"/>
    </row>
    <row r="106">
      <c r="E106" s="96"/>
    </row>
    <row r="107">
      <c r="E107" s="96"/>
    </row>
    <row r="108">
      <c r="E108" s="96"/>
    </row>
    <row r="109">
      <c r="E109" s="96"/>
    </row>
    <row r="110">
      <c r="E110" s="96"/>
    </row>
    <row r="111">
      <c r="E111" s="96"/>
    </row>
    <row r="112">
      <c r="E112" s="96"/>
    </row>
    <row r="113">
      <c r="E113" s="96"/>
    </row>
    <row r="114">
      <c r="E114" s="96"/>
    </row>
    <row r="115">
      <c r="E115" s="96"/>
    </row>
    <row r="116">
      <c r="E116" s="96"/>
    </row>
    <row r="117">
      <c r="E117" s="96"/>
    </row>
    <row r="118">
      <c r="E118" s="96"/>
    </row>
    <row r="119">
      <c r="E119" s="96"/>
    </row>
    <row r="120">
      <c r="E120" s="96"/>
    </row>
    <row r="121">
      <c r="E121" s="96"/>
    </row>
    <row r="122">
      <c r="E122" s="96"/>
    </row>
    <row r="123">
      <c r="E123" s="96"/>
    </row>
    <row r="124">
      <c r="E124" s="96"/>
    </row>
    <row r="125">
      <c r="E125" s="96"/>
    </row>
    <row r="126">
      <c r="E126" s="96"/>
    </row>
    <row r="127">
      <c r="E127" s="96"/>
    </row>
    <row r="128">
      <c r="E128" s="96"/>
    </row>
    <row r="129">
      <c r="E129" s="96"/>
    </row>
    <row r="130">
      <c r="E130" s="96"/>
    </row>
    <row r="131">
      <c r="E131" s="96"/>
    </row>
    <row r="132">
      <c r="E132" s="96"/>
    </row>
    <row r="133">
      <c r="E133" s="96"/>
    </row>
    <row r="134">
      <c r="E134" s="96"/>
    </row>
    <row r="135">
      <c r="E135" s="96"/>
    </row>
    <row r="136">
      <c r="E136" s="96"/>
    </row>
    <row r="137">
      <c r="E137" s="96"/>
    </row>
    <row r="138">
      <c r="E138" s="96"/>
    </row>
    <row r="139">
      <c r="E139" s="96"/>
    </row>
    <row r="140">
      <c r="E140" s="96"/>
    </row>
    <row r="141">
      <c r="E141" s="96"/>
    </row>
    <row r="142">
      <c r="E142" s="96"/>
    </row>
    <row r="143">
      <c r="E143" s="96"/>
    </row>
    <row r="144">
      <c r="E144" s="96"/>
    </row>
    <row r="145">
      <c r="E145" s="96"/>
    </row>
    <row r="146">
      <c r="E146" s="96"/>
    </row>
    <row r="147">
      <c r="E147" s="96"/>
    </row>
    <row r="148">
      <c r="E148" s="96"/>
    </row>
    <row r="149">
      <c r="E149" s="96"/>
    </row>
    <row r="150">
      <c r="E150" s="96"/>
    </row>
    <row r="151">
      <c r="E151" s="96"/>
    </row>
    <row r="152">
      <c r="E152" s="96"/>
    </row>
    <row r="153">
      <c r="E153" s="96"/>
    </row>
    <row r="154">
      <c r="E154" s="96"/>
    </row>
    <row r="155">
      <c r="E155" s="96"/>
    </row>
    <row r="156">
      <c r="E156" s="96"/>
    </row>
    <row r="157">
      <c r="E157" s="96"/>
    </row>
    <row r="158">
      <c r="E158" s="96"/>
    </row>
    <row r="159">
      <c r="E159" s="96"/>
    </row>
    <row r="160">
      <c r="E160" s="96"/>
    </row>
    <row r="161">
      <c r="E161" s="96"/>
    </row>
    <row r="162">
      <c r="E162" s="96"/>
    </row>
    <row r="163">
      <c r="E163" s="96"/>
    </row>
    <row r="164">
      <c r="E164" s="96"/>
    </row>
    <row r="165">
      <c r="E165" s="96"/>
    </row>
    <row r="166">
      <c r="E166" s="96"/>
    </row>
    <row r="167">
      <c r="E167" s="96"/>
    </row>
    <row r="168">
      <c r="E168" s="96"/>
    </row>
    <row r="169">
      <c r="E169" s="96"/>
    </row>
    <row r="170">
      <c r="E170" s="96"/>
    </row>
    <row r="171">
      <c r="E171" s="96"/>
    </row>
    <row r="172">
      <c r="E172" s="96"/>
    </row>
    <row r="173">
      <c r="E173" s="96"/>
    </row>
    <row r="174">
      <c r="E174" s="96"/>
    </row>
    <row r="175">
      <c r="E175" s="96"/>
    </row>
    <row r="176">
      <c r="E176" s="96"/>
    </row>
    <row r="177">
      <c r="E177" s="96"/>
    </row>
    <row r="178">
      <c r="E178" s="96"/>
    </row>
    <row r="179">
      <c r="E179" s="96"/>
    </row>
    <row r="180">
      <c r="E180" s="96"/>
    </row>
    <row r="181">
      <c r="E181" s="96"/>
    </row>
    <row r="182">
      <c r="E182" s="96"/>
    </row>
    <row r="183">
      <c r="E183" s="96"/>
    </row>
    <row r="184">
      <c r="E184" s="96"/>
    </row>
    <row r="185">
      <c r="E185" s="96"/>
    </row>
    <row r="186">
      <c r="E186" s="96"/>
    </row>
    <row r="187">
      <c r="E187" s="96"/>
    </row>
    <row r="188">
      <c r="E188" s="96"/>
    </row>
    <row r="189">
      <c r="E189" s="96"/>
    </row>
    <row r="190">
      <c r="E190" s="96"/>
    </row>
    <row r="191">
      <c r="E191" s="96"/>
    </row>
    <row r="192">
      <c r="E192" s="96"/>
    </row>
    <row r="193">
      <c r="E193" s="96"/>
    </row>
    <row r="194">
      <c r="E194" s="96"/>
    </row>
    <row r="195">
      <c r="E195" s="96"/>
    </row>
    <row r="196">
      <c r="E196" s="96"/>
    </row>
    <row r="197">
      <c r="E197" s="96"/>
    </row>
    <row r="198">
      <c r="E198" s="96"/>
    </row>
    <row r="199">
      <c r="E199" s="96"/>
    </row>
    <row r="200">
      <c r="E200" s="96"/>
    </row>
    <row r="201">
      <c r="E201" s="96"/>
    </row>
    <row r="202">
      <c r="E202" s="96"/>
    </row>
    <row r="203">
      <c r="E203" s="96"/>
    </row>
    <row r="204">
      <c r="E204" s="96"/>
    </row>
    <row r="205">
      <c r="E205" s="96"/>
    </row>
    <row r="206">
      <c r="E206" s="96"/>
    </row>
    <row r="207">
      <c r="E207" s="96"/>
    </row>
    <row r="208">
      <c r="E208" s="96"/>
    </row>
    <row r="209">
      <c r="E209" s="96"/>
    </row>
    <row r="210">
      <c r="E210" s="96"/>
    </row>
    <row r="211">
      <c r="E211" s="96"/>
    </row>
    <row r="212">
      <c r="E212" s="96"/>
    </row>
    <row r="213">
      <c r="E213" s="96"/>
    </row>
    <row r="214">
      <c r="E214" s="96"/>
    </row>
    <row r="215">
      <c r="E215" s="96"/>
    </row>
    <row r="216">
      <c r="E216" s="96"/>
    </row>
    <row r="217">
      <c r="E217" s="96"/>
    </row>
    <row r="218">
      <c r="E218" s="96"/>
    </row>
    <row r="219">
      <c r="E219" s="96"/>
    </row>
    <row r="220">
      <c r="E220" s="96"/>
    </row>
    <row r="221">
      <c r="E221" s="96"/>
    </row>
    <row r="222">
      <c r="E222" s="96"/>
    </row>
    <row r="223">
      <c r="E223" s="96"/>
    </row>
    <row r="224">
      <c r="E224" s="96"/>
    </row>
    <row r="225">
      <c r="E225" s="96"/>
    </row>
    <row r="226">
      <c r="E226" s="96"/>
    </row>
    <row r="227">
      <c r="E227" s="96"/>
    </row>
    <row r="228">
      <c r="E228" s="96"/>
    </row>
    <row r="229">
      <c r="E229" s="96"/>
    </row>
    <row r="230">
      <c r="E230" s="96"/>
    </row>
    <row r="231">
      <c r="E231" s="96"/>
    </row>
    <row r="232">
      <c r="E232" s="96"/>
    </row>
    <row r="233">
      <c r="E233" s="96"/>
    </row>
    <row r="234">
      <c r="E234" s="96"/>
    </row>
    <row r="235">
      <c r="E235" s="96"/>
    </row>
    <row r="236">
      <c r="E236" s="96"/>
    </row>
    <row r="237">
      <c r="E237" s="96"/>
    </row>
    <row r="238">
      <c r="E238" s="96"/>
    </row>
    <row r="239">
      <c r="E239" s="96"/>
    </row>
    <row r="240">
      <c r="E240" s="96"/>
    </row>
    <row r="241">
      <c r="E241" s="96"/>
    </row>
    <row r="242">
      <c r="E242" s="96"/>
    </row>
    <row r="243">
      <c r="E243" s="96"/>
    </row>
    <row r="244">
      <c r="E244" s="96"/>
    </row>
    <row r="245">
      <c r="E245" s="96"/>
    </row>
    <row r="246">
      <c r="E246" s="96"/>
    </row>
    <row r="247">
      <c r="E247" s="96"/>
    </row>
    <row r="248">
      <c r="E248" s="96"/>
    </row>
    <row r="249">
      <c r="E249" s="96"/>
    </row>
    <row r="250">
      <c r="E250" s="96"/>
    </row>
    <row r="251">
      <c r="E251" s="96"/>
    </row>
    <row r="252">
      <c r="E252" s="96"/>
    </row>
    <row r="253">
      <c r="E253" s="96"/>
    </row>
    <row r="254">
      <c r="E254" s="96"/>
    </row>
    <row r="255">
      <c r="E255" s="96"/>
    </row>
    <row r="256">
      <c r="E256" s="96"/>
    </row>
    <row r="257">
      <c r="E257" s="96"/>
    </row>
    <row r="258">
      <c r="E258" s="96"/>
    </row>
    <row r="259">
      <c r="E259" s="96"/>
    </row>
    <row r="260">
      <c r="E260" s="96"/>
    </row>
    <row r="261">
      <c r="E261" s="96"/>
    </row>
    <row r="262">
      <c r="E262" s="96"/>
    </row>
    <row r="263">
      <c r="E263" s="96"/>
    </row>
    <row r="264">
      <c r="E264" s="96"/>
    </row>
    <row r="265">
      <c r="E265" s="96"/>
    </row>
    <row r="266">
      <c r="E266" s="96"/>
    </row>
    <row r="267">
      <c r="E267" s="96"/>
    </row>
    <row r="268">
      <c r="E268" s="96"/>
    </row>
    <row r="269">
      <c r="E269" s="96"/>
    </row>
    <row r="270">
      <c r="E270" s="96"/>
    </row>
    <row r="271">
      <c r="E271" s="96"/>
    </row>
    <row r="272">
      <c r="E272" s="96"/>
    </row>
    <row r="273">
      <c r="E273" s="96"/>
    </row>
    <row r="274">
      <c r="E274" s="96"/>
    </row>
    <row r="275">
      <c r="E275" s="96"/>
    </row>
    <row r="276">
      <c r="E276" s="96"/>
    </row>
    <row r="277">
      <c r="E277" s="96"/>
    </row>
    <row r="278">
      <c r="E278" s="96"/>
    </row>
    <row r="279">
      <c r="E279" s="96"/>
    </row>
    <row r="280">
      <c r="E280" s="96"/>
    </row>
    <row r="281">
      <c r="E281" s="96"/>
    </row>
    <row r="282">
      <c r="E282" s="96"/>
    </row>
    <row r="283">
      <c r="E283" s="96"/>
    </row>
    <row r="284">
      <c r="E284" s="96"/>
    </row>
    <row r="285">
      <c r="E285" s="96"/>
    </row>
    <row r="286">
      <c r="E286" s="96"/>
    </row>
    <row r="287">
      <c r="E287" s="96"/>
    </row>
    <row r="288">
      <c r="E288" s="96"/>
    </row>
    <row r="289">
      <c r="E289" s="96"/>
    </row>
    <row r="290">
      <c r="E290" s="96"/>
    </row>
    <row r="291">
      <c r="E291" s="96"/>
    </row>
    <row r="292">
      <c r="E292" s="96"/>
    </row>
    <row r="293">
      <c r="E293" s="96"/>
    </row>
    <row r="294">
      <c r="E294" s="96"/>
    </row>
    <row r="295">
      <c r="E295" s="96"/>
    </row>
    <row r="296">
      <c r="E296" s="96"/>
    </row>
    <row r="297">
      <c r="E297" s="96"/>
    </row>
    <row r="298">
      <c r="E298" s="96"/>
    </row>
    <row r="299">
      <c r="E299" s="96"/>
    </row>
    <row r="300">
      <c r="E300" s="96"/>
    </row>
    <row r="301">
      <c r="E301" s="96"/>
    </row>
    <row r="302">
      <c r="E302" s="96"/>
    </row>
    <row r="303">
      <c r="E303" s="96"/>
    </row>
    <row r="304">
      <c r="E304" s="96"/>
    </row>
    <row r="305">
      <c r="E305" s="96"/>
    </row>
    <row r="306">
      <c r="E306" s="96"/>
    </row>
    <row r="307">
      <c r="E307" s="96"/>
    </row>
    <row r="308">
      <c r="E308" s="96"/>
    </row>
    <row r="309">
      <c r="E309" s="96"/>
    </row>
    <row r="310">
      <c r="E310" s="96"/>
    </row>
    <row r="311">
      <c r="E311" s="96"/>
    </row>
    <row r="312">
      <c r="E312" s="96"/>
    </row>
    <row r="313">
      <c r="E313" s="96"/>
    </row>
    <row r="314">
      <c r="E314" s="96"/>
    </row>
    <row r="315">
      <c r="E315" s="96"/>
    </row>
    <row r="316">
      <c r="E316" s="96"/>
    </row>
    <row r="317">
      <c r="E317" s="96"/>
    </row>
    <row r="318">
      <c r="E318" s="96"/>
    </row>
    <row r="319">
      <c r="E319" s="96"/>
    </row>
    <row r="320">
      <c r="E320" s="96"/>
    </row>
    <row r="321">
      <c r="E321" s="96"/>
    </row>
    <row r="322">
      <c r="E322" s="96"/>
    </row>
    <row r="323">
      <c r="E323" s="96"/>
    </row>
    <row r="324">
      <c r="E324" s="96"/>
    </row>
    <row r="325">
      <c r="E325" s="96"/>
    </row>
    <row r="326">
      <c r="E326" s="96"/>
    </row>
    <row r="327">
      <c r="E327" s="96"/>
    </row>
    <row r="328">
      <c r="E328" s="96"/>
    </row>
    <row r="329">
      <c r="E329" s="96"/>
    </row>
    <row r="330">
      <c r="E330" s="96"/>
    </row>
    <row r="331">
      <c r="E331" s="96"/>
    </row>
    <row r="332">
      <c r="E332" s="96"/>
    </row>
    <row r="333">
      <c r="E333" s="96"/>
    </row>
    <row r="334">
      <c r="E334" s="96"/>
    </row>
    <row r="335">
      <c r="E335" s="96"/>
    </row>
    <row r="336">
      <c r="E336" s="96"/>
    </row>
    <row r="337">
      <c r="E337" s="96"/>
    </row>
    <row r="338">
      <c r="E338" s="96"/>
    </row>
    <row r="339">
      <c r="E339" s="96"/>
    </row>
    <row r="340">
      <c r="E340" s="96"/>
    </row>
    <row r="341">
      <c r="E341" s="96"/>
    </row>
    <row r="342">
      <c r="E342" s="96"/>
    </row>
    <row r="343">
      <c r="E343" s="96"/>
    </row>
    <row r="344">
      <c r="E344" s="96"/>
    </row>
    <row r="345">
      <c r="E345" s="96"/>
    </row>
    <row r="346">
      <c r="E346" s="96"/>
    </row>
    <row r="347">
      <c r="E347" s="96"/>
    </row>
    <row r="348">
      <c r="E348" s="96"/>
    </row>
    <row r="349">
      <c r="E349" s="96"/>
    </row>
    <row r="350">
      <c r="E350" s="96"/>
    </row>
    <row r="351">
      <c r="E351" s="96"/>
    </row>
    <row r="352">
      <c r="E352" s="96"/>
    </row>
    <row r="353">
      <c r="E353" s="96"/>
    </row>
    <row r="354">
      <c r="E354" s="96"/>
    </row>
    <row r="355">
      <c r="E355" s="96"/>
    </row>
    <row r="356">
      <c r="E356" s="96"/>
    </row>
    <row r="357">
      <c r="E357" s="96"/>
    </row>
    <row r="358">
      <c r="E358" s="96"/>
    </row>
    <row r="359">
      <c r="E359" s="96"/>
    </row>
    <row r="360">
      <c r="E360" s="96"/>
    </row>
    <row r="361">
      <c r="E361" s="96"/>
    </row>
    <row r="362">
      <c r="E362" s="96"/>
    </row>
    <row r="363">
      <c r="E363" s="96"/>
    </row>
    <row r="364">
      <c r="E364" s="96"/>
    </row>
    <row r="365">
      <c r="E365" s="96"/>
    </row>
    <row r="366">
      <c r="E366" s="96"/>
    </row>
    <row r="367">
      <c r="E367" s="96"/>
    </row>
    <row r="368">
      <c r="E368" s="96"/>
    </row>
    <row r="369">
      <c r="E369" s="96"/>
    </row>
    <row r="370">
      <c r="E370" s="96"/>
    </row>
    <row r="371">
      <c r="E371" s="96"/>
    </row>
    <row r="372">
      <c r="E372" s="96"/>
    </row>
    <row r="373">
      <c r="E373" s="96"/>
    </row>
    <row r="374">
      <c r="E374" s="96"/>
    </row>
    <row r="375">
      <c r="E375" s="96"/>
    </row>
    <row r="376">
      <c r="E376" s="96"/>
    </row>
    <row r="377">
      <c r="E377" s="96"/>
    </row>
    <row r="378">
      <c r="E378" s="96"/>
    </row>
    <row r="379">
      <c r="E379" s="96"/>
    </row>
    <row r="380">
      <c r="E380" s="96"/>
    </row>
    <row r="381">
      <c r="E381" s="96"/>
    </row>
    <row r="382">
      <c r="E382" s="96"/>
    </row>
    <row r="383">
      <c r="E383" s="96"/>
    </row>
    <row r="384">
      <c r="E384" s="96"/>
    </row>
    <row r="385">
      <c r="E385" s="96"/>
    </row>
    <row r="386">
      <c r="E386" s="96"/>
    </row>
    <row r="387">
      <c r="E387" s="96"/>
    </row>
    <row r="388">
      <c r="E388" s="96"/>
    </row>
    <row r="389">
      <c r="E389" s="96"/>
    </row>
    <row r="390">
      <c r="E390" s="96"/>
    </row>
    <row r="391">
      <c r="E391" s="96"/>
    </row>
    <row r="392">
      <c r="E392" s="96"/>
    </row>
    <row r="393">
      <c r="E393" s="96"/>
    </row>
    <row r="394">
      <c r="E394" s="96"/>
    </row>
    <row r="395">
      <c r="E395" s="96"/>
    </row>
    <row r="396">
      <c r="E396" s="96"/>
    </row>
    <row r="397">
      <c r="E397" s="96"/>
    </row>
    <row r="398">
      <c r="E398" s="96"/>
    </row>
    <row r="399">
      <c r="E399" s="96"/>
    </row>
    <row r="400">
      <c r="E400" s="96"/>
    </row>
    <row r="401">
      <c r="E401" s="96"/>
    </row>
    <row r="402">
      <c r="E402" s="96"/>
    </row>
    <row r="403">
      <c r="E403" s="96"/>
    </row>
    <row r="404">
      <c r="E404" s="96"/>
    </row>
    <row r="405">
      <c r="E405" s="96"/>
    </row>
    <row r="406">
      <c r="E406" s="96"/>
    </row>
    <row r="407">
      <c r="E407" s="96"/>
    </row>
    <row r="408">
      <c r="E408" s="96"/>
    </row>
    <row r="409">
      <c r="E409" s="96"/>
    </row>
    <row r="410">
      <c r="E410" s="96"/>
    </row>
    <row r="411">
      <c r="E411" s="96"/>
    </row>
    <row r="412">
      <c r="E412" s="96"/>
    </row>
    <row r="413">
      <c r="E413" s="96"/>
    </row>
    <row r="414">
      <c r="E414" s="96"/>
    </row>
    <row r="415">
      <c r="E415" s="96"/>
    </row>
    <row r="416">
      <c r="E416" s="96"/>
    </row>
    <row r="417">
      <c r="E417" s="96"/>
    </row>
    <row r="418">
      <c r="E418" s="96"/>
    </row>
    <row r="419">
      <c r="E419" s="96"/>
    </row>
    <row r="420">
      <c r="E420" s="96"/>
    </row>
    <row r="421">
      <c r="E421" s="96"/>
    </row>
    <row r="422">
      <c r="E422" s="96"/>
    </row>
    <row r="423">
      <c r="E423" s="96"/>
    </row>
    <row r="424">
      <c r="E424" s="96"/>
    </row>
    <row r="425">
      <c r="E425" s="96"/>
    </row>
    <row r="426">
      <c r="E426" s="96"/>
    </row>
    <row r="427">
      <c r="E427" s="96"/>
    </row>
    <row r="428">
      <c r="E428" s="96"/>
    </row>
    <row r="429">
      <c r="E429" s="96"/>
    </row>
    <row r="430">
      <c r="E430" s="96"/>
    </row>
    <row r="431">
      <c r="E431" s="96"/>
    </row>
    <row r="432">
      <c r="E432" s="96"/>
    </row>
    <row r="433">
      <c r="E433" s="96"/>
    </row>
    <row r="434">
      <c r="E434" s="96"/>
    </row>
    <row r="435">
      <c r="E435" s="96"/>
    </row>
    <row r="436">
      <c r="E436" s="96"/>
    </row>
    <row r="437">
      <c r="E437" s="96"/>
    </row>
    <row r="438">
      <c r="E438" s="96"/>
    </row>
    <row r="439">
      <c r="E439" s="96"/>
    </row>
    <row r="440">
      <c r="E440" s="96"/>
    </row>
    <row r="441">
      <c r="E441" s="96"/>
    </row>
    <row r="442">
      <c r="E442" s="96"/>
    </row>
    <row r="443">
      <c r="E443" s="96"/>
    </row>
    <row r="444">
      <c r="E444" s="96"/>
    </row>
    <row r="445">
      <c r="E445" s="96"/>
    </row>
    <row r="446">
      <c r="E446" s="96"/>
    </row>
    <row r="447">
      <c r="E447" s="96"/>
    </row>
    <row r="448">
      <c r="E448" s="96"/>
    </row>
    <row r="449">
      <c r="E449" s="96"/>
    </row>
    <row r="450">
      <c r="E450" s="96"/>
    </row>
    <row r="451">
      <c r="E451" s="96"/>
    </row>
    <row r="452">
      <c r="E452" s="96"/>
    </row>
    <row r="453">
      <c r="E453" s="96"/>
    </row>
    <row r="454">
      <c r="E454" s="96"/>
    </row>
    <row r="455">
      <c r="E455" s="96"/>
    </row>
    <row r="456">
      <c r="E456" s="96"/>
    </row>
    <row r="457">
      <c r="E457" s="96"/>
    </row>
    <row r="458">
      <c r="E458" s="96"/>
    </row>
    <row r="459">
      <c r="E459" s="96"/>
    </row>
    <row r="460">
      <c r="E460" s="96"/>
    </row>
    <row r="461">
      <c r="E461" s="96"/>
    </row>
    <row r="462">
      <c r="E462" s="96"/>
    </row>
    <row r="463">
      <c r="E463" s="96"/>
    </row>
    <row r="464">
      <c r="E464" s="96"/>
    </row>
    <row r="465">
      <c r="E465" s="96"/>
    </row>
    <row r="466">
      <c r="E466" s="96"/>
    </row>
    <row r="467">
      <c r="E467" s="96"/>
    </row>
    <row r="468">
      <c r="E468" s="96"/>
    </row>
    <row r="469">
      <c r="E469" s="96"/>
    </row>
    <row r="470">
      <c r="E470" s="96"/>
    </row>
    <row r="471">
      <c r="E471" s="96"/>
    </row>
    <row r="472">
      <c r="E472" s="96"/>
    </row>
    <row r="473">
      <c r="E473" s="96"/>
    </row>
    <row r="474">
      <c r="E474" s="96"/>
    </row>
    <row r="475">
      <c r="E475" s="96"/>
    </row>
    <row r="476">
      <c r="E476" s="96"/>
    </row>
    <row r="477">
      <c r="E477" s="96"/>
    </row>
    <row r="478">
      <c r="E478" s="96"/>
    </row>
    <row r="479">
      <c r="E479" s="96"/>
    </row>
    <row r="480">
      <c r="E480" s="96"/>
    </row>
    <row r="481">
      <c r="E481" s="96"/>
    </row>
    <row r="482">
      <c r="E482" s="96"/>
    </row>
    <row r="483">
      <c r="E483" s="96"/>
    </row>
    <row r="484">
      <c r="E484" s="96"/>
    </row>
    <row r="485">
      <c r="E485" s="96"/>
    </row>
    <row r="486">
      <c r="E486" s="96"/>
    </row>
    <row r="487">
      <c r="E487" s="96"/>
    </row>
    <row r="488">
      <c r="E488" s="96"/>
    </row>
    <row r="489">
      <c r="E489" s="96"/>
    </row>
    <row r="490">
      <c r="E490" s="96"/>
    </row>
    <row r="491">
      <c r="E491" s="96"/>
    </row>
    <row r="492">
      <c r="E492" s="96"/>
    </row>
    <row r="493">
      <c r="E493" s="96"/>
    </row>
    <row r="494">
      <c r="E494" s="96"/>
    </row>
    <row r="495">
      <c r="E495" s="96"/>
    </row>
    <row r="496">
      <c r="E496" s="96"/>
    </row>
    <row r="497">
      <c r="E497" s="96"/>
    </row>
    <row r="498">
      <c r="E498" s="96"/>
    </row>
    <row r="499">
      <c r="E499" s="96"/>
    </row>
    <row r="500">
      <c r="E500" s="96"/>
    </row>
    <row r="501">
      <c r="E501" s="96"/>
    </row>
    <row r="502">
      <c r="E502" s="96"/>
    </row>
    <row r="503">
      <c r="E503" s="96"/>
    </row>
    <row r="504">
      <c r="E504" s="96"/>
    </row>
    <row r="505">
      <c r="E505" s="96"/>
    </row>
    <row r="506">
      <c r="E506" s="96"/>
    </row>
    <row r="507">
      <c r="E507" s="96"/>
    </row>
    <row r="508">
      <c r="E508" s="96"/>
    </row>
    <row r="509">
      <c r="E509" s="96"/>
    </row>
    <row r="510">
      <c r="E510" s="96"/>
    </row>
    <row r="511">
      <c r="E511" s="96"/>
    </row>
    <row r="512">
      <c r="E512" s="96"/>
    </row>
    <row r="513">
      <c r="E513" s="96"/>
    </row>
    <row r="514">
      <c r="E514" s="96"/>
    </row>
    <row r="515">
      <c r="E515" s="96"/>
    </row>
    <row r="516">
      <c r="E516" s="96"/>
    </row>
    <row r="517">
      <c r="E517" s="96"/>
    </row>
    <row r="518">
      <c r="E518" s="96"/>
    </row>
    <row r="519">
      <c r="E519" s="96"/>
    </row>
    <row r="520">
      <c r="E520" s="96"/>
    </row>
    <row r="521">
      <c r="E521" s="96"/>
    </row>
    <row r="522">
      <c r="E522" s="96"/>
    </row>
    <row r="523">
      <c r="E523" s="96"/>
    </row>
    <row r="524">
      <c r="E524" s="96"/>
    </row>
    <row r="525">
      <c r="E525" s="96"/>
    </row>
    <row r="526">
      <c r="E526" s="96"/>
    </row>
    <row r="527">
      <c r="E527" s="96"/>
    </row>
    <row r="528">
      <c r="E528" s="96"/>
    </row>
    <row r="529">
      <c r="E529" s="96"/>
    </row>
    <row r="530">
      <c r="E530" s="96"/>
    </row>
    <row r="531">
      <c r="E531" s="96"/>
    </row>
    <row r="532">
      <c r="E532" s="96"/>
    </row>
    <row r="533">
      <c r="E533" s="96"/>
    </row>
    <row r="534">
      <c r="E534" s="96"/>
    </row>
    <row r="535">
      <c r="E535" s="96"/>
    </row>
    <row r="536">
      <c r="E536" s="96"/>
    </row>
    <row r="537">
      <c r="E537" s="96"/>
    </row>
    <row r="538">
      <c r="E538" s="96"/>
    </row>
    <row r="539">
      <c r="E539" s="96"/>
    </row>
    <row r="540">
      <c r="E540" s="96"/>
    </row>
    <row r="541">
      <c r="E541" s="96"/>
    </row>
    <row r="542">
      <c r="E542" s="96"/>
    </row>
    <row r="543">
      <c r="E543" s="96"/>
    </row>
    <row r="544">
      <c r="E544" s="96"/>
    </row>
    <row r="545">
      <c r="E545" s="96"/>
    </row>
    <row r="546">
      <c r="E546" s="96"/>
    </row>
    <row r="547">
      <c r="E547" s="96"/>
    </row>
    <row r="548">
      <c r="E548" s="96"/>
    </row>
    <row r="549">
      <c r="E549" s="96"/>
    </row>
    <row r="550">
      <c r="E550" s="96"/>
    </row>
    <row r="551">
      <c r="E551" s="96"/>
    </row>
    <row r="552">
      <c r="E552" s="96"/>
    </row>
    <row r="553">
      <c r="E553" s="96"/>
    </row>
    <row r="554">
      <c r="E554" s="96"/>
    </row>
    <row r="555">
      <c r="E555" s="96"/>
    </row>
    <row r="556">
      <c r="E556" s="96"/>
    </row>
    <row r="557">
      <c r="E557" s="96"/>
    </row>
    <row r="558">
      <c r="E558" s="96"/>
    </row>
    <row r="559">
      <c r="E559" s="96"/>
    </row>
    <row r="560">
      <c r="E560" s="96"/>
    </row>
    <row r="561">
      <c r="E561" s="96"/>
    </row>
    <row r="562">
      <c r="E562" s="96"/>
    </row>
    <row r="563">
      <c r="E563" s="96"/>
    </row>
    <row r="564">
      <c r="E564" s="96"/>
    </row>
    <row r="565">
      <c r="E565" s="96"/>
    </row>
    <row r="566">
      <c r="E566" s="96"/>
    </row>
    <row r="567">
      <c r="E567" s="96"/>
    </row>
    <row r="568">
      <c r="E568" s="96"/>
    </row>
    <row r="569">
      <c r="E569" s="96"/>
    </row>
    <row r="570">
      <c r="E570" s="96"/>
    </row>
    <row r="571">
      <c r="E571" s="96"/>
    </row>
    <row r="572">
      <c r="E572" s="96"/>
    </row>
    <row r="573">
      <c r="E573" s="96"/>
    </row>
    <row r="574">
      <c r="E574" s="96"/>
    </row>
    <row r="575">
      <c r="E575" s="96"/>
    </row>
    <row r="576">
      <c r="E576" s="96"/>
    </row>
    <row r="577">
      <c r="E577" s="96"/>
    </row>
    <row r="578">
      <c r="E578" s="96"/>
    </row>
    <row r="579">
      <c r="E579" s="96"/>
    </row>
    <row r="580">
      <c r="E580" s="96"/>
    </row>
    <row r="581">
      <c r="E581" s="96"/>
    </row>
    <row r="582">
      <c r="E582" s="96"/>
    </row>
    <row r="583">
      <c r="E583" s="96"/>
    </row>
    <row r="584">
      <c r="E584" s="96"/>
    </row>
    <row r="585">
      <c r="E585" s="96"/>
    </row>
    <row r="586">
      <c r="E586" s="96"/>
    </row>
    <row r="587">
      <c r="E587" s="96"/>
    </row>
    <row r="588">
      <c r="E588" s="96"/>
    </row>
    <row r="589">
      <c r="E589" s="96"/>
    </row>
    <row r="590">
      <c r="E590" s="96"/>
    </row>
    <row r="591">
      <c r="E591" s="96"/>
    </row>
    <row r="592">
      <c r="E592" s="96"/>
    </row>
    <row r="593">
      <c r="E593" s="96"/>
    </row>
    <row r="594">
      <c r="E594" s="96"/>
    </row>
    <row r="595">
      <c r="E595" s="96"/>
    </row>
    <row r="596">
      <c r="E596" s="96"/>
    </row>
    <row r="597">
      <c r="E597" s="96"/>
    </row>
    <row r="598">
      <c r="E598" s="96"/>
    </row>
    <row r="599">
      <c r="E599" s="96"/>
    </row>
    <row r="600">
      <c r="E600" s="96"/>
    </row>
    <row r="601">
      <c r="E601" s="96"/>
    </row>
    <row r="602">
      <c r="E602" s="96"/>
    </row>
    <row r="603">
      <c r="E603" s="96"/>
    </row>
    <row r="604">
      <c r="E604" s="96"/>
    </row>
    <row r="605">
      <c r="E605" s="96"/>
    </row>
    <row r="606">
      <c r="E606" s="96"/>
    </row>
    <row r="607">
      <c r="E607" s="96"/>
    </row>
    <row r="608">
      <c r="E608" s="96"/>
    </row>
    <row r="609">
      <c r="E609" s="96"/>
    </row>
    <row r="610">
      <c r="E610" s="96"/>
    </row>
    <row r="611">
      <c r="E611" s="96"/>
    </row>
    <row r="612">
      <c r="E612" s="96"/>
    </row>
    <row r="613">
      <c r="E613" s="96"/>
    </row>
    <row r="614">
      <c r="E614" s="96"/>
    </row>
    <row r="615">
      <c r="E615" s="96"/>
    </row>
    <row r="616">
      <c r="E616" s="96"/>
    </row>
    <row r="617">
      <c r="E617" s="96"/>
    </row>
    <row r="618">
      <c r="E618" s="96"/>
    </row>
    <row r="619">
      <c r="E619" s="96"/>
    </row>
    <row r="620">
      <c r="E620" s="96"/>
    </row>
    <row r="621">
      <c r="E621" s="96"/>
    </row>
    <row r="622">
      <c r="E622" s="96"/>
    </row>
    <row r="623">
      <c r="E623" s="96"/>
    </row>
    <row r="624">
      <c r="E624" s="96"/>
    </row>
    <row r="625">
      <c r="E625" s="96"/>
    </row>
    <row r="626">
      <c r="E626" s="96"/>
    </row>
    <row r="627">
      <c r="E627" s="96"/>
    </row>
    <row r="628">
      <c r="E628" s="96"/>
    </row>
    <row r="629">
      <c r="E629" s="96"/>
    </row>
    <row r="630">
      <c r="E630" s="96"/>
    </row>
    <row r="631">
      <c r="E631" s="96"/>
    </row>
    <row r="632">
      <c r="E632" s="96"/>
    </row>
    <row r="633">
      <c r="E633" s="96"/>
    </row>
    <row r="634">
      <c r="E634" s="96"/>
    </row>
    <row r="635">
      <c r="E635" s="96"/>
    </row>
    <row r="636">
      <c r="E636" s="96"/>
    </row>
    <row r="637">
      <c r="E637" s="96"/>
    </row>
    <row r="638">
      <c r="E638" s="96"/>
    </row>
    <row r="639">
      <c r="E639" s="96"/>
    </row>
    <row r="640">
      <c r="E640" s="96"/>
    </row>
    <row r="641">
      <c r="E641" s="96"/>
    </row>
    <row r="642">
      <c r="E642" s="96"/>
    </row>
    <row r="643">
      <c r="E643" s="96"/>
    </row>
    <row r="644">
      <c r="E644" s="96"/>
    </row>
    <row r="645">
      <c r="E645" s="96"/>
    </row>
    <row r="646">
      <c r="E646" s="96"/>
    </row>
    <row r="647">
      <c r="E647" s="96"/>
    </row>
    <row r="648">
      <c r="E648" s="96"/>
    </row>
    <row r="649">
      <c r="E649" s="96"/>
    </row>
    <row r="650">
      <c r="E650" s="96"/>
    </row>
    <row r="651">
      <c r="E651" s="96"/>
    </row>
    <row r="652">
      <c r="E652" s="96"/>
    </row>
    <row r="653">
      <c r="E653" s="96"/>
    </row>
    <row r="654">
      <c r="E654" s="96"/>
    </row>
    <row r="655">
      <c r="E655" s="96"/>
    </row>
    <row r="656">
      <c r="E656" s="96"/>
    </row>
    <row r="657">
      <c r="E657" s="96"/>
    </row>
    <row r="658">
      <c r="E658" s="96"/>
    </row>
    <row r="659">
      <c r="E659" s="96"/>
    </row>
    <row r="660">
      <c r="E660" s="96"/>
    </row>
    <row r="661">
      <c r="E661" s="96"/>
    </row>
    <row r="662">
      <c r="E662" s="96"/>
    </row>
    <row r="663">
      <c r="E663" s="96"/>
    </row>
    <row r="664">
      <c r="E664" s="96"/>
    </row>
    <row r="665">
      <c r="E665" s="96"/>
    </row>
    <row r="666">
      <c r="E666" s="96"/>
    </row>
    <row r="667">
      <c r="E667" s="96"/>
    </row>
    <row r="668">
      <c r="E668" s="96"/>
    </row>
    <row r="669">
      <c r="E669" s="96"/>
    </row>
    <row r="670">
      <c r="E670" s="96"/>
    </row>
    <row r="671">
      <c r="E671" s="96"/>
    </row>
    <row r="672">
      <c r="E672" s="96"/>
    </row>
    <row r="673">
      <c r="E673" s="96"/>
    </row>
    <row r="674">
      <c r="E674" s="96"/>
    </row>
    <row r="675">
      <c r="E675" s="96"/>
    </row>
    <row r="676">
      <c r="E676" s="96"/>
    </row>
    <row r="677">
      <c r="E677" s="96"/>
    </row>
    <row r="678">
      <c r="E678" s="96"/>
    </row>
    <row r="679">
      <c r="E679" s="96"/>
    </row>
    <row r="680">
      <c r="E680" s="96"/>
    </row>
    <row r="681">
      <c r="E681" s="96"/>
    </row>
    <row r="682">
      <c r="E682" s="96"/>
    </row>
    <row r="683">
      <c r="E683" s="96"/>
    </row>
    <row r="684">
      <c r="E684" s="96"/>
    </row>
    <row r="685">
      <c r="E685" s="96"/>
    </row>
    <row r="686">
      <c r="E686" s="96"/>
    </row>
    <row r="687">
      <c r="E687" s="96"/>
    </row>
    <row r="688">
      <c r="E688" s="96"/>
    </row>
    <row r="689">
      <c r="E689" s="96"/>
    </row>
    <row r="690">
      <c r="E690" s="96"/>
    </row>
    <row r="691">
      <c r="E691" s="96"/>
    </row>
    <row r="692">
      <c r="E692" s="96"/>
    </row>
    <row r="693">
      <c r="E693" s="96"/>
    </row>
    <row r="694">
      <c r="E694" s="96"/>
    </row>
    <row r="695">
      <c r="E695" s="96"/>
    </row>
    <row r="696">
      <c r="E696" s="96"/>
    </row>
    <row r="697">
      <c r="E697" s="96"/>
    </row>
    <row r="698">
      <c r="E698" s="96"/>
    </row>
    <row r="699">
      <c r="E699" s="96"/>
    </row>
    <row r="700">
      <c r="E700" s="96"/>
    </row>
    <row r="701">
      <c r="E701" s="96"/>
    </row>
    <row r="702">
      <c r="E702" s="96"/>
    </row>
    <row r="703">
      <c r="E703" s="96"/>
    </row>
    <row r="704">
      <c r="E704" s="96"/>
    </row>
    <row r="705">
      <c r="E705" s="96"/>
    </row>
    <row r="706">
      <c r="E706" s="96"/>
    </row>
    <row r="707">
      <c r="E707" s="96"/>
    </row>
    <row r="708">
      <c r="E708" s="96"/>
    </row>
    <row r="709">
      <c r="E709" s="96"/>
    </row>
    <row r="710">
      <c r="E710" s="96"/>
    </row>
    <row r="711">
      <c r="E711" s="96"/>
    </row>
    <row r="712">
      <c r="E712" s="96"/>
    </row>
    <row r="713">
      <c r="E713" s="96"/>
    </row>
    <row r="714">
      <c r="E714" s="96"/>
    </row>
    <row r="715">
      <c r="E715" s="96"/>
    </row>
    <row r="716">
      <c r="E716" s="96"/>
    </row>
    <row r="717">
      <c r="E717" s="96"/>
    </row>
    <row r="718">
      <c r="E718" s="96"/>
    </row>
    <row r="719">
      <c r="E719" s="96"/>
    </row>
    <row r="720">
      <c r="E720" s="96"/>
    </row>
    <row r="721">
      <c r="E721" s="96"/>
    </row>
    <row r="722">
      <c r="E722" s="96"/>
    </row>
    <row r="723">
      <c r="E723" s="96"/>
    </row>
    <row r="724">
      <c r="E724" s="96"/>
    </row>
    <row r="725">
      <c r="E725" s="96"/>
    </row>
    <row r="726">
      <c r="E726" s="96"/>
    </row>
    <row r="727">
      <c r="E727" s="96"/>
    </row>
    <row r="728">
      <c r="E728" s="96"/>
    </row>
    <row r="729">
      <c r="E729" s="96"/>
    </row>
    <row r="730">
      <c r="E730" s="96"/>
    </row>
    <row r="731">
      <c r="E731" s="96"/>
    </row>
    <row r="732">
      <c r="E732" s="96"/>
    </row>
    <row r="733">
      <c r="E733" s="96"/>
    </row>
    <row r="734">
      <c r="E734" s="96"/>
    </row>
    <row r="735">
      <c r="E735" s="96"/>
    </row>
    <row r="736">
      <c r="E736" s="96"/>
    </row>
    <row r="737">
      <c r="E737" s="96"/>
    </row>
    <row r="738">
      <c r="E738" s="96"/>
    </row>
    <row r="739">
      <c r="E739" s="96"/>
    </row>
    <row r="740">
      <c r="E740" s="96"/>
    </row>
    <row r="741">
      <c r="E741" s="96"/>
    </row>
    <row r="742">
      <c r="E742" s="96"/>
    </row>
    <row r="743">
      <c r="E743" s="96"/>
    </row>
    <row r="744">
      <c r="E744" s="96"/>
    </row>
    <row r="745">
      <c r="E745" s="96"/>
    </row>
    <row r="746">
      <c r="E746" s="96"/>
    </row>
    <row r="747">
      <c r="E747" s="96"/>
    </row>
    <row r="748">
      <c r="E748" s="96"/>
    </row>
    <row r="749">
      <c r="E749" s="96"/>
    </row>
    <row r="750">
      <c r="E750" s="96"/>
    </row>
    <row r="751">
      <c r="E751" s="96"/>
    </row>
    <row r="752">
      <c r="E752" s="96"/>
    </row>
    <row r="753">
      <c r="E753" s="96"/>
    </row>
    <row r="754">
      <c r="E754" s="96"/>
    </row>
    <row r="755">
      <c r="E755" s="96"/>
    </row>
    <row r="756">
      <c r="E756" s="96"/>
    </row>
    <row r="757">
      <c r="E757" s="96"/>
    </row>
    <row r="758">
      <c r="E758" s="96"/>
    </row>
    <row r="759">
      <c r="E759" s="96"/>
    </row>
    <row r="760">
      <c r="E760" s="96"/>
    </row>
    <row r="761">
      <c r="E761" s="96"/>
    </row>
    <row r="762">
      <c r="E762" s="96"/>
    </row>
    <row r="763">
      <c r="E763" s="96"/>
    </row>
    <row r="764">
      <c r="E764" s="96"/>
    </row>
    <row r="765">
      <c r="E765" s="96"/>
    </row>
    <row r="766">
      <c r="E766" s="96"/>
    </row>
    <row r="767">
      <c r="E767" s="96"/>
    </row>
    <row r="768">
      <c r="E768" s="96"/>
    </row>
    <row r="769">
      <c r="E769" s="96"/>
    </row>
    <row r="770">
      <c r="E770" s="96"/>
    </row>
    <row r="771">
      <c r="E771" s="96"/>
    </row>
    <row r="772">
      <c r="E772" s="96"/>
    </row>
    <row r="773">
      <c r="E773" s="96"/>
    </row>
    <row r="774">
      <c r="E774" s="96"/>
    </row>
    <row r="775">
      <c r="E775" s="96"/>
    </row>
    <row r="776">
      <c r="E776" s="96"/>
    </row>
    <row r="777">
      <c r="E777" s="96"/>
    </row>
    <row r="778">
      <c r="E778" s="96"/>
    </row>
    <row r="779">
      <c r="E779" s="96"/>
    </row>
    <row r="780">
      <c r="E780" s="96"/>
    </row>
    <row r="781">
      <c r="E781" s="96"/>
    </row>
    <row r="782">
      <c r="E782" s="96"/>
    </row>
    <row r="783">
      <c r="E783" s="96"/>
    </row>
    <row r="784">
      <c r="E784" s="96"/>
    </row>
    <row r="785">
      <c r="E785" s="96"/>
    </row>
    <row r="786">
      <c r="E786" s="96"/>
    </row>
    <row r="787">
      <c r="E787" s="96"/>
    </row>
    <row r="788">
      <c r="E788" s="96"/>
    </row>
    <row r="789">
      <c r="E789" s="96"/>
    </row>
    <row r="790">
      <c r="E790" s="96"/>
    </row>
    <row r="791">
      <c r="E791" s="96"/>
    </row>
    <row r="792">
      <c r="E792" s="96"/>
    </row>
    <row r="793">
      <c r="E793" s="96"/>
    </row>
    <row r="794">
      <c r="E794" s="96"/>
    </row>
    <row r="795">
      <c r="E795" s="96"/>
    </row>
    <row r="796">
      <c r="E796" s="96"/>
    </row>
    <row r="797">
      <c r="E797" s="96"/>
    </row>
    <row r="798">
      <c r="E798" s="96"/>
    </row>
    <row r="799">
      <c r="E799" s="96"/>
    </row>
    <row r="800">
      <c r="E800" s="96"/>
    </row>
    <row r="801">
      <c r="E801" s="96"/>
    </row>
    <row r="802">
      <c r="E802" s="96"/>
    </row>
    <row r="803">
      <c r="E803" s="96"/>
    </row>
    <row r="804">
      <c r="E804" s="96"/>
    </row>
    <row r="805">
      <c r="E805" s="96"/>
    </row>
    <row r="806">
      <c r="E806" s="96"/>
    </row>
    <row r="807">
      <c r="E807" s="96"/>
    </row>
    <row r="808">
      <c r="E808" s="96"/>
    </row>
    <row r="809">
      <c r="E809" s="96"/>
    </row>
    <row r="810">
      <c r="E810" s="96"/>
    </row>
    <row r="811">
      <c r="E811" s="96"/>
    </row>
    <row r="812">
      <c r="E812" s="96"/>
    </row>
    <row r="813">
      <c r="E813" s="96"/>
    </row>
    <row r="814">
      <c r="E814" s="96"/>
    </row>
    <row r="815">
      <c r="E815" s="96"/>
    </row>
    <row r="816">
      <c r="E816" s="96"/>
    </row>
    <row r="817">
      <c r="E817" s="96"/>
    </row>
    <row r="818">
      <c r="E818" s="96"/>
    </row>
    <row r="819">
      <c r="E819" s="96"/>
    </row>
    <row r="820">
      <c r="E820" s="96"/>
    </row>
    <row r="821">
      <c r="E821" s="96"/>
    </row>
    <row r="822">
      <c r="E822" s="96"/>
    </row>
    <row r="823">
      <c r="E823" s="96"/>
    </row>
    <row r="824">
      <c r="E824" s="96"/>
    </row>
    <row r="825">
      <c r="E825" s="96"/>
    </row>
    <row r="826">
      <c r="E826" s="96"/>
    </row>
    <row r="827">
      <c r="E827" s="96"/>
    </row>
    <row r="828">
      <c r="E828" s="96"/>
    </row>
    <row r="829">
      <c r="E829" s="96"/>
    </row>
    <row r="830">
      <c r="E830" s="96"/>
    </row>
    <row r="831">
      <c r="E831" s="96"/>
    </row>
    <row r="832">
      <c r="E832" s="96"/>
    </row>
    <row r="833">
      <c r="E833" s="96"/>
    </row>
    <row r="834">
      <c r="E834" s="96"/>
    </row>
    <row r="835">
      <c r="E835" s="96"/>
    </row>
    <row r="836">
      <c r="E836" s="96"/>
    </row>
    <row r="837">
      <c r="E837" s="96"/>
    </row>
    <row r="838">
      <c r="E838" s="96"/>
    </row>
    <row r="839">
      <c r="E839" s="96"/>
    </row>
    <row r="840">
      <c r="E840" s="96"/>
    </row>
    <row r="841">
      <c r="E841" s="96"/>
    </row>
    <row r="842">
      <c r="E842" s="96"/>
    </row>
    <row r="843">
      <c r="E843" s="96"/>
    </row>
    <row r="844">
      <c r="E844" s="96"/>
    </row>
    <row r="845">
      <c r="E845" s="96"/>
    </row>
    <row r="846">
      <c r="E846" s="96"/>
    </row>
    <row r="847">
      <c r="E847" s="96"/>
    </row>
    <row r="848">
      <c r="E848" s="96"/>
    </row>
    <row r="849">
      <c r="E849" s="96"/>
    </row>
    <row r="850">
      <c r="E850" s="96"/>
    </row>
    <row r="851">
      <c r="E851" s="96"/>
    </row>
    <row r="852">
      <c r="E852" s="96"/>
    </row>
    <row r="853">
      <c r="E853" s="96"/>
    </row>
    <row r="854">
      <c r="E854" s="96"/>
    </row>
    <row r="855">
      <c r="E855" s="96"/>
    </row>
    <row r="856">
      <c r="E856" s="96"/>
    </row>
    <row r="857">
      <c r="E857" s="96"/>
    </row>
    <row r="858">
      <c r="E858" s="96"/>
    </row>
    <row r="859">
      <c r="E859" s="96"/>
    </row>
    <row r="860">
      <c r="E860" s="96"/>
    </row>
    <row r="861">
      <c r="E861" s="96"/>
    </row>
    <row r="862">
      <c r="E862" s="96"/>
    </row>
    <row r="863">
      <c r="E863" s="96"/>
    </row>
    <row r="864">
      <c r="E864" s="96"/>
    </row>
    <row r="865">
      <c r="E865" s="96"/>
    </row>
    <row r="866">
      <c r="E866" s="96"/>
    </row>
    <row r="867">
      <c r="E867" s="96"/>
    </row>
    <row r="868">
      <c r="E868" s="96"/>
    </row>
    <row r="869">
      <c r="E869" s="96"/>
    </row>
    <row r="870">
      <c r="E870" s="96"/>
    </row>
    <row r="871">
      <c r="E871" s="96"/>
    </row>
    <row r="872">
      <c r="E872" s="96"/>
    </row>
    <row r="873">
      <c r="E873" s="96"/>
    </row>
    <row r="874">
      <c r="E874" s="96"/>
    </row>
    <row r="875">
      <c r="E875" s="96"/>
    </row>
    <row r="876">
      <c r="E876" s="96"/>
    </row>
    <row r="877">
      <c r="E877" s="96"/>
    </row>
    <row r="878">
      <c r="E878" s="96"/>
    </row>
    <row r="879">
      <c r="E879" s="96"/>
    </row>
    <row r="880">
      <c r="E880" s="96"/>
    </row>
    <row r="881">
      <c r="E881" s="96"/>
    </row>
    <row r="882">
      <c r="E882" s="96"/>
    </row>
    <row r="883">
      <c r="E883" s="96"/>
    </row>
    <row r="884">
      <c r="E884" s="96"/>
    </row>
    <row r="885">
      <c r="E885" s="96"/>
    </row>
    <row r="886">
      <c r="E886" s="96"/>
    </row>
    <row r="887">
      <c r="E887" s="96"/>
    </row>
    <row r="888">
      <c r="E888" s="96"/>
    </row>
    <row r="889">
      <c r="E889" s="96"/>
    </row>
    <row r="890">
      <c r="E890" s="96"/>
    </row>
    <row r="891">
      <c r="E891" s="96"/>
    </row>
    <row r="892">
      <c r="E892" s="96"/>
    </row>
    <row r="893">
      <c r="E893" s="96"/>
    </row>
    <row r="894">
      <c r="E894" s="96"/>
    </row>
    <row r="895">
      <c r="E895" s="96"/>
    </row>
    <row r="896">
      <c r="E896" s="96"/>
    </row>
    <row r="897">
      <c r="E897" s="96"/>
    </row>
    <row r="898">
      <c r="E898" s="96"/>
    </row>
    <row r="899">
      <c r="E899" s="96"/>
    </row>
    <row r="900">
      <c r="E900" s="96"/>
    </row>
    <row r="901">
      <c r="E901" s="96"/>
    </row>
    <row r="902">
      <c r="E902" s="96"/>
    </row>
    <row r="903">
      <c r="E903" s="96"/>
    </row>
    <row r="904">
      <c r="E904" s="96"/>
    </row>
    <row r="905">
      <c r="E905" s="96"/>
    </row>
    <row r="906">
      <c r="E906" s="96"/>
    </row>
    <row r="907">
      <c r="E907" s="96"/>
    </row>
    <row r="908">
      <c r="E908" s="96"/>
    </row>
    <row r="909">
      <c r="E909" s="96"/>
    </row>
    <row r="910">
      <c r="E910" s="96"/>
    </row>
    <row r="911">
      <c r="E911" s="96"/>
    </row>
    <row r="912">
      <c r="E912" s="96"/>
    </row>
    <row r="913">
      <c r="E913" s="96"/>
    </row>
    <row r="914">
      <c r="E914" s="96"/>
    </row>
    <row r="915">
      <c r="E915" s="96"/>
    </row>
    <row r="916">
      <c r="E916" s="96"/>
    </row>
    <row r="917">
      <c r="E917" s="96"/>
    </row>
    <row r="918">
      <c r="E918" s="96"/>
    </row>
    <row r="919">
      <c r="E919" s="96"/>
    </row>
    <row r="920">
      <c r="E920" s="96"/>
    </row>
    <row r="921">
      <c r="E921" s="96"/>
    </row>
    <row r="922">
      <c r="E922" s="96"/>
    </row>
    <row r="923">
      <c r="E923" s="96"/>
    </row>
    <row r="924">
      <c r="E924" s="96"/>
    </row>
    <row r="925">
      <c r="E925" s="96"/>
    </row>
    <row r="926">
      <c r="E926" s="96"/>
    </row>
    <row r="927">
      <c r="E927" s="96"/>
    </row>
    <row r="928">
      <c r="E928" s="96"/>
    </row>
    <row r="929">
      <c r="E929" s="96"/>
    </row>
    <row r="930">
      <c r="E930" s="96"/>
    </row>
    <row r="931">
      <c r="E931" s="96"/>
    </row>
    <row r="932">
      <c r="E932" s="96"/>
    </row>
    <row r="933">
      <c r="E933" s="96"/>
    </row>
    <row r="934">
      <c r="E934" s="96"/>
    </row>
    <row r="935">
      <c r="E935" s="96"/>
    </row>
    <row r="936">
      <c r="E936" s="96"/>
    </row>
    <row r="937">
      <c r="E937" s="96"/>
    </row>
    <row r="938">
      <c r="E938" s="96"/>
    </row>
    <row r="939">
      <c r="E939" s="96"/>
    </row>
    <row r="940">
      <c r="E940" s="96"/>
    </row>
    <row r="941">
      <c r="E941" s="96"/>
    </row>
    <row r="942">
      <c r="E942" s="96"/>
    </row>
    <row r="943">
      <c r="E943" s="96"/>
    </row>
    <row r="944">
      <c r="E944" s="96"/>
    </row>
    <row r="945">
      <c r="E945" s="96"/>
    </row>
    <row r="946">
      <c r="E946" s="96"/>
    </row>
    <row r="947">
      <c r="E947" s="96"/>
    </row>
    <row r="948">
      <c r="E948" s="96"/>
    </row>
    <row r="949">
      <c r="E949" s="96"/>
    </row>
    <row r="950">
      <c r="E950" s="96"/>
    </row>
    <row r="951">
      <c r="E951" s="96"/>
    </row>
    <row r="952">
      <c r="E952" s="96"/>
    </row>
    <row r="953">
      <c r="E953" s="96"/>
    </row>
    <row r="954">
      <c r="E954" s="96"/>
    </row>
    <row r="955">
      <c r="E955" s="96"/>
    </row>
    <row r="956">
      <c r="E956" s="96"/>
    </row>
    <row r="957">
      <c r="E957" s="96"/>
    </row>
    <row r="958">
      <c r="E958" s="96"/>
    </row>
    <row r="959">
      <c r="E959" s="96"/>
    </row>
    <row r="960">
      <c r="E960" s="96"/>
    </row>
    <row r="961">
      <c r="E961" s="96"/>
    </row>
    <row r="962">
      <c r="E962" s="96"/>
    </row>
    <row r="963">
      <c r="E963" s="96"/>
    </row>
    <row r="964">
      <c r="E964" s="96"/>
    </row>
    <row r="965">
      <c r="E965" s="96"/>
    </row>
    <row r="966">
      <c r="E966" s="96"/>
    </row>
    <row r="967">
      <c r="E967" s="96"/>
    </row>
    <row r="968">
      <c r="E968" s="96"/>
    </row>
    <row r="969">
      <c r="E969" s="96"/>
    </row>
    <row r="970">
      <c r="E970" s="96"/>
    </row>
    <row r="971">
      <c r="E971" s="96"/>
    </row>
    <row r="972">
      <c r="E972" s="96"/>
    </row>
    <row r="973">
      <c r="E973" s="96"/>
    </row>
    <row r="974">
      <c r="E974" s="96"/>
    </row>
    <row r="975">
      <c r="E975" s="96"/>
    </row>
    <row r="976">
      <c r="E976" s="96"/>
    </row>
    <row r="977">
      <c r="E977" s="96"/>
    </row>
    <row r="978">
      <c r="E978" s="96"/>
    </row>
    <row r="979">
      <c r="E979" s="96"/>
    </row>
    <row r="980">
      <c r="E980" s="96"/>
    </row>
    <row r="981">
      <c r="E981" s="96"/>
    </row>
    <row r="982">
      <c r="E982" s="96"/>
    </row>
    <row r="983">
      <c r="E983" s="96"/>
    </row>
    <row r="984">
      <c r="E984" s="96"/>
    </row>
    <row r="985">
      <c r="E985" s="96"/>
    </row>
    <row r="986">
      <c r="E986" s="96"/>
    </row>
    <row r="987">
      <c r="E987" s="96"/>
    </row>
    <row r="988">
      <c r="E988" s="96"/>
    </row>
    <row r="989">
      <c r="E989" s="96"/>
    </row>
    <row r="990">
      <c r="E990" s="96"/>
    </row>
    <row r="991">
      <c r="E991" s="96"/>
    </row>
    <row r="992">
      <c r="E992" s="96"/>
    </row>
    <row r="993">
      <c r="E993" s="96"/>
    </row>
    <row r="994">
      <c r="E994" s="96"/>
    </row>
    <row r="995">
      <c r="E995" s="96"/>
    </row>
    <row r="996">
      <c r="E996" s="96"/>
    </row>
    <row r="997">
      <c r="E997" s="96"/>
    </row>
    <row r="998">
      <c r="E998" s="96"/>
    </row>
    <row r="999">
      <c r="E999" s="96"/>
    </row>
    <row r="1000">
      <c r="E1000" s="96"/>
    </row>
    <row r="1001">
      <c r="E1001" s="96"/>
    </row>
    <row r="1002">
      <c r="E1002" s="96"/>
    </row>
    <row r="1003">
      <c r="E1003" s="96"/>
    </row>
    <row r="1004">
      <c r="E1004" s="96"/>
    </row>
    <row r="1005">
      <c r="E1005" s="96"/>
    </row>
    <row r="1006">
      <c r="E1006" s="96"/>
    </row>
    <row r="1007">
      <c r="E1007" s="96"/>
    </row>
    <row r="1008">
      <c r="E1008" s="96"/>
    </row>
    <row r="1009">
      <c r="E1009" s="96"/>
    </row>
    <row r="1010">
      <c r="E1010" s="96"/>
    </row>
    <row r="1011">
      <c r="E1011" s="96"/>
    </row>
    <row r="1012">
      <c r="E1012" s="96"/>
    </row>
    <row r="1013">
      <c r="E1013" s="96"/>
    </row>
    <row r="1014">
      <c r="E1014" s="96"/>
    </row>
    <row r="1015">
      <c r="E1015" s="96"/>
    </row>
    <row r="1016">
      <c r="E1016" s="96"/>
    </row>
    <row r="1017">
      <c r="E1017" s="96"/>
    </row>
    <row r="1018">
      <c r="E1018" s="96"/>
    </row>
    <row r="1019">
      <c r="E1019" s="96"/>
    </row>
    <row r="1020">
      <c r="E1020" s="96"/>
    </row>
    <row r="1021">
      <c r="E1021" s="9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3" max="19" width="12.63"/>
  </cols>
  <sheetData>
    <row r="1">
      <c r="A1" s="96" t="s">
        <v>2293</v>
      </c>
      <c r="B1" s="98" t="s">
        <v>58</v>
      </c>
    </row>
    <row r="5">
      <c r="A5" s="3" t="str">
        <f>IFERROR(__xludf.DUMMYFUNCTION("QUERY('OTPI Scores'!A:AC,""select * where C='""&amp;B1&amp;""'"")"),"Game Date")</f>
        <v>Game Date</v>
      </c>
      <c r="B5" s="3" t="str">
        <f>IFERROR(__xludf.DUMMYFUNCTION("""COMPUTED_VALUE"""),"Competition")</f>
        <v>Competition</v>
      </c>
      <c r="C5" s="3" t="str">
        <f>IFERROR(__xludf.DUMMYFUNCTION("""COMPUTED_VALUE"""),"Player Name")</f>
        <v>Player Name</v>
      </c>
      <c r="D5" s="3" t="str">
        <f>IFERROR(__xludf.DUMMYFUNCTION("""COMPUTED_VALUE"""),"Position")</f>
        <v>Position</v>
      </c>
      <c r="E5" s="3" t="str">
        <f>IFERROR(__xludf.DUMMYFUNCTION("""COMPUTED_VALUE"""),"OT Team")</f>
        <v>OT Team</v>
      </c>
      <c r="F5" s="3" t="str">
        <f>IFERROR(__xludf.DUMMYFUNCTION("""COMPUTED_VALUE"""),"Opposition Name")</f>
        <v>Opposition Name</v>
      </c>
      <c r="G5" s="3" t="str">
        <f>IFERROR(__xludf.DUMMYFUNCTION("""COMPUTED_VALUE"""),"Result")</f>
        <v>Result</v>
      </c>
      <c r="H5" s="3" t="str">
        <f>IFERROR(__xludf.DUMMYFUNCTION("""COMPUTED_VALUE"""),"Goals")</f>
        <v>Goals</v>
      </c>
      <c r="I5" s="3" t="str">
        <f>IFERROR(__xludf.DUMMYFUNCTION("""COMPUTED_VALUE"""),"Assists")</f>
        <v>Assists</v>
      </c>
      <c r="J5" s="3" t="str">
        <f>IFERROR(__xludf.DUMMYFUNCTION("""COMPUTED_VALUE"""),"Goals Conceded")</f>
        <v>Goals Conceded</v>
      </c>
      <c r="K5" s="3" t="str">
        <f>IFERROR(__xludf.DUMMYFUNCTION("""COMPUTED_VALUE"""),"Yellow Cards")</f>
        <v>Yellow Cards</v>
      </c>
      <c r="L5" s="3" t="str">
        <f>IFERROR(__xludf.DUMMYFUNCTION("""COMPUTED_VALUE"""),"Sin Bin")</f>
        <v>Sin Bin</v>
      </c>
      <c r="M5" s="3" t="str">
        <f>IFERROR(__xludf.DUMMYFUNCTION("""COMPUTED_VALUE"""),"Red Cards")</f>
        <v>Red Cards</v>
      </c>
      <c r="N5" s="3" t="str">
        <f>IFERROR(__xludf.DUMMYFUNCTION("""COMPUTED_VALUE"""),"Clean Sheet?")</f>
        <v>Clean Sheet?</v>
      </c>
      <c r="O5" s="3" t="str">
        <f>IFERROR(__xludf.DUMMYFUNCTION("""COMPUTED_VALUE"""),"Penalties Missed")</f>
        <v>Penalties Missed</v>
      </c>
      <c r="P5" s="3" t="str">
        <f>IFERROR(__xludf.DUMMYFUNCTION("""COMPUTED_VALUE"""),"Penalties Saved")</f>
        <v>Penalties Saved</v>
      </c>
      <c r="Q5" s="3" t="str">
        <f>IFERROR(__xludf.DUMMYFUNCTION("""COMPUTED_VALUE"""),"Own Goals")</f>
        <v>Own Goals</v>
      </c>
      <c r="R5" s="3" t="str">
        <f>IFERROR(__xludf.DUMMYFUNCTION("""COMPUTED_VALUE"""),"MOTM?")</f>
        <v>MOTM?</v>
      </c>
      <c r="S5" s="3" t="str">
        <f>IFERROR(__xludf.DUMMYFUNCTION("""COMPUTED_VALUE"""),"Kit")</f>
        <v>Kit</v>
      </c>
      <c r="T5" s="3" t="str">
        <f>IFERROR(__xludf.DUMMYFUNCTION("""COMPUTED_VALUE"""),"Amount Owed")</f>
        <v>Amount Owed</v>
      </c>
      <c r="U5" s="3" t="str">
        <f>IFERROR(__xludf.DUMMYFUNCTION("""COMPUTED_VALUE"""),"Match day rating")</f>
        <v>Match day rating</v>
      </c>
      <c r="V5" s="3" t="str">
        <f>IFERROR(__xludf.DUMMYFUNCTION("""COMPUTED_VALUE"""),"Comments")</f>
        <v>Comments</v>
      </c>
      <c r="W5" s="3" t="str">
        <f>IFERROR(__xludf.DUMMYFUNCTION("""COMPUTED_VALUE"""),"Formation")</f>
        <v>Formation</v>
      </c>
      <c r="X5" s="3" t="str">
        <f>IFERROR(__xludf.DUMMYFUNCTION("""COMPUTED_VALUE"""),"Team Report")</f>
        <v>Team Report</v>
      </c>
      <c r="Y5" s="3" t="str">
        <f>IFERROR(__xludf.DUMMYFUNCTION("""COMPUTED_VALUE"""),"Score For")</f>
        <v>Score For</v>
      </c>
      <c r="Z5" s="3" t="str">
        <f>IFERROR(__xludf.DUMMYFUNCTION("""COMPUTED_VALUE"""),"Score Against")</f>
        <v>Score Against</v>
      </c>
      <c r="AA5" s="3" t="str">
        <f>IFERROR(__xludf.DUMMYFUNCTION("""COMPUTED_VALUE"""),"OPTI Score")</f>
        <v>OPTI Score</v>
      </c>
      <c r="AB5" s="3" t="str">
        <f>IFERROR(__xludf.DUMMYFUNCTION("""COMPUTED_VALUE"""),"Missing")</f>
        <v>Missing</v>
      </c>
      <c r="AC5" s="3" t="str">
        <f>IFERROR(__xludf.DUMMYFUNCTION("""COMPUTED_VALUE"""),"This Week")</f>
        <v>This Week</v>
      </c>
    </row>
    <row r="6">
      <c r="A6" s="10">
        <f>IFERROR(__xludf.DUMMYFUNCTION("""COMPUTED_VALUE"""),45150.0)</f>
        <v>45150</v>
      </c>
      <c r="B6" s="3" t="str">
        <f>IFERROR(__xludf.DUMMYFUNCTION("""COMPUTED_VALUE"""),"Friendly")</f>
        <v>Friendly</v>
      </c>
      <c r="C6" s="3" t="str">
        <f>IFERROR(__xludf.DUMMYFUNCTION("""COMPUTED_VALUE"""),"Harry Fripp")</f>
        <v>Harry Fripp</v>
      </c>
      <c r="D6" s="3" t="str">
        <f>IFERROR(__xludf.DUMMYFUNCTION("""COMPUTED_VALUE"""),"MID")</f>
        <v>MID</v>
      </c>
      <c r="E6" s="3">
        <f>IFERROR(__xludf.DUMMYFUNCTION("""COMPUTED_VALUE"""),5.0)</f>
        <v>5</v>
      </c>
      <c r="F6" s="3" t="str">
        <f>IFERROR(__xludf.DUMMYFUNCTION("""COMPUTED_VALUE"""),"Thorns Yellow")</f>
        <v>Thorns Yellow</v>
      </c>
      <c r="G6" s="3" t="str">
        <f>IFERROR(__xludf.DUMMYFUNCTION("""COMPUTED_VALUE"""),"Draw")</f>
        <v>Draw</v>
      </c>
      <c r="H6" s="3"/>
      <c r="I6" s="3"/>
      <c r="J6" s="3"/>
      <c r="K6" s="3"/>
      <c r="L6" s="3"/>
      <c r="M6" s="3"/>
      <c r="N6" s="3" t="b">
        <f>IFERROR(__xludf.DUMMYFUNCTION("""COMPUTED_VALUE"""),TRUE)</f>
        <v>1</v>
      </c>
      <c r="O6" s="3"/>
      <c r="P6" s="3"/>
      <c r="Q6" s="3"/>
      <c r="R6" s="3">
        <f>IFERROR(__xludf.DUMMYFUNCTION("""COMPUTED_VALUE"""),0.0)</f>
        <v>0</v>
      </c>
      <c r="S6" s="3"/>
      <c r="T6" s="3">
        <f>IFERROR(__xludf.DUMMYFUNCTION("""COMPUTED_VALUE"""),10.0)</f>
        <v>10</v>
      </c>
      <c r="U6" s="3"/>
      <c r="V6" s="3"/>
      <c r="W6" s="3"/>
      <c r="X6" s="3"/>
      <c r="Y6" s="3"/>
      <c r="Z6" s="3"/>
      <c r="AA6" s="3">
        <f>IFERROR(__xludf.DUMMYFUNCTION("""COMPUTED_VALUE"""),4.0)</f>
        <v>4</v>
      </c>
      <c r="AB6" s="3" t="b">
        <f>IFERROR(__xludf.DUMMYFUNCTION("""COMPUTED_VALUE"""),FALSE)</f>
        <v>0</v>
      </c>
      <c r="AC6" s="73">
        <f>IFERROR(__xludf.DUMMYFUNCTION("""COMPUTED_VALUE"""),0.0)</f>
        <v>0</v>
      </c>
    </row>
    <row r="7">
      <c r="A7" s="10">
        <f>IFERROR(__xludf.DUMMYFUNCTION("""COMPUTED_VALUE"""),45157.0)</f>
        <v>45157</v>
      </c>
      <c r="B7" s="3" t="str">
        <f>IFERROR(__xludf.DUMMYFUNCTION("""COMPUTED_VALUE"""),"Friendly")</f>
        <v>Friendly</v>
      </c>
      <c r="C7" s="3" t="str">
        <f>IFERROR(__xludf.DUMMYFUNCTION("""COMPUTED_VALUE"""),"Harry Fripp")</f>
        <v>Harry Fripp</v>
      </c>
      <c r="D7" s="3" t="str">
        <f>IFERROR(__xludf.DUMMYFUNCTION("""COMPUTED_VALUE"""),"ATT")</f>
        <v>ATT</v>
      </c>
      <c r="E7" s="3">
        <f>IFERROR(__xludf.DUMMYFUNCTION("""COMPUTED_VALUE"""),6.0)</f>
        <v>6</v>
      </c>
      <c r="F7" s="3" t="str">
        <f>IFERROR(__xludf.DUMMYFUNCTION("""COMPUTED_VALUE"""),"Meads 3/4s")</f>
        <v>Meads 3/4s</v>
      </c>
      <c r="G7" s="3" t="str">
        <f>IFERROR(__xludf.DUMMYFUNCTION("""COMPUTED_VALUE"""),"Loss")</f>
        <v>Loss</v>
      </c>
      <c r="H7" s="3"/>
      <c r="I7" s="3"/>
      <c r="J7" s="3">
        <f>IFERROR(__xludf.DUMMYFUNCTION("""COMPUTED_VALUE"""),3.0)</f>
        <v>3</v>
      </c>
      <c r="K7" s="3"/>
      <c r="L7" s="3"/>
      <c r="M7" s="3"/>
      <c r="N7" s="3" t="b">
        <f>IFERROR(__xludf.DUMMYFUNCTION("""COMPUTED_VALUE"""),FALSE)</f>
        <v>0</v>
      </c>
      <c r="O7" s="3"/>
      <c r="P7" s="3"/>
      <c r="Q7" s="3"/>
      <c r="R7" s="3">
        <f>IFERROR(__xludf.DUMMYFUNCTION("""COMPUTED_VALUE"""),0.0)</f>
        <v>0</v>
      </c>
      <c r="S7" s="3"/>
      <c r="T7" s="3">
        <f>IFERROR(__xludf.DUMMYFUNCTION("""COMPUTED_VALUE"""),10.0)</f>
        <v>10</v>
      </c>
      <c r="U7" s="3"/>
      <c r="V7" s="3"/>
      <c r="W7" s="3"/>
      <c r="X7" s="3"/>
      <c r="Y7" s="3"/>
      <c r="Z7" s="3"/>
      <c r="AA7" s="3">
        <f>IFERROR(__xludf.DUMMYFUNCTION("""COMPUTED_VALUE"""),2.0)</f>
        <v>2</v>
      </c>
      <c r="AB7" s="3" t="b">
        <f>IFERROR(__xludf.DUMMYFUNCTION("""COMPUTED_VALUE"""),FALSE)</f>
        <v>0</v>
      </c>
      <c r="AC7" s="73">
        <f>IFERROR(__xludf.DUMMYFUNCTION("""COMPUTED_VALUE"""),0.0)</f>
        <v>0</v>
      </c>
    </row>
    <row r="8">
      <c r="A8" s="10">
        <f>IFERROR(__xludf.DUMMYFUNCTION("""COMPUTED_VALUE"""),45185.0)</f>
        <v>45185</v>
      </c>
      <c r="B8" s="3" t="str">
        <f>IFERROR(__xludf.DUMMYFUNCTION("""COMPUTED_VALUE"""),"League")</f>
        <v>League</v>
      </c>
      <c r="C8" s="3" t="str">
        <f>IFERROR(__xludf.DUMMYFUNCTION("""COMPUTED_VALUE"""),"Harry Fripp")</f>
        <v>Harry Fripp</v>
      </c>
      <c r="D8" s="3" t="str">
        <f>IFERROR(__xludf.DUMMYFUNCTION("""COMPUTED_VALUE"""),"MID")</f>
        <v>MID</v>
      </c>
      <c r="E8" s="3">
        <f>IFERROR(__xludf.DUMMYFUNCTION("""COMPUTED_VALUE"""),6.0)</f>
        <v>6</v>
      </c>
      <c r="F8" s="3" t="str">
        <f>IFERROR(__xludf.DUMMYFUNCTION("""COMPUTED_VALUE"""),"Old Sedcopians 2s")</f>
        <v>Old Sedcopians 2s</v>
      </c>
      <c r="G8" s="3" t="str">
        <f>IFERROR(__xludf.DUMMYFUNCTION("""COMPUTED_VALUE"""),"Loss")</f>
        <v>Loss</v>
      </c>
      <c r="H8" s="3"/>
      <c r="I8" s="3"/>
      <c r="J8" s="3">
        <f>IFERROR(__xludf.DUMMYFUNCTION("""COMPUTED_VALUE"""),4.0)</f>
        <v>4</v>
      </c>
      <c r="K8" s="3"/>
      <c r="L8" s="3"/>
      <c r="M8" s="3"/>
      <c r="N8" s="3" t="b">
        <f>IFERROR(__xludf.DUMMYFUNCTION("""COMPUTED_VALUE"""),FALSE)</f>
        <v>0</v>
      </c>
      <c r="O8" s="3"/>
      <c r="P8" s="3"/>
      <c r="Q8" s="3"/>
      <c r="R8" s="3">
        <f>IFERROR(__xludf.DUMMYFUNCTION("""COMPUTED_VALUE"""),0.0)</f>
        <v>0</v>
      </c>
      <c r="S8" s="3"/>
      <c r="T8" s="3">
        <f>IFERROR(__xludf.DUMMYFUNCTION("""COMPUTED_VALUE"""),10.0)</f>
        <v>10</v>
      </c>
      <c r="U8" s="3">
        <f>IFERROR(__xludf.DUMMYFUNCTION("""COMPUTED_VALUE"""),7.0)</f>
        <v>7</v>
      </c>
      <c r="V8" s="3" t="str">
        <f>IFERROR(__xludf.DUMMYFUNCTION("""COMPUTED_VALUE"""),"decent 1st half, very quiet 2nd half where i needed more from him. did well in cam in trying to create -
did little in right forward of a 3 - can see hes a decent player but not much to write home about today.")</f>
        <v>decent 1st half, very quiet 2nd half where i needed more from him. did well in cam in trying to create -
did little in right forward of a 3 - can see hes a decent player but not much to write home about today.</v>
      </c>
      <c r="W8" s="3" t="str">
        <f>IFERROR(__xludf.DUMMYFUNCTION("""COMPUTED_VALUE"""),"4-3-3")</f>
        <v>4-3-3</v>
      </c>
      <c r="X8" s="3" t="str">
        <f>IFERROR(__xludf.DUMMYFUNCTION("""COMPUTED_VALUE"""),"Not the start we wanted but had some good spells in this game and unlucky not
to get on the scoresheet. Went with 433 with 2 holding mids which worked well
with them struggling to break us down and create anything meaninful in open 
play. Unfortunately we"&amp;" got done on 4 setpieces. 1 from a freekick, 2 corners, and a 
direct free kick from 35 yards which flew in over Martin. Stuff to work on but 
for the most part it was a positive day, and not overly stressful for my 1st proper 
game in charge, just dissap"&amp;"ointing not to get on the scoresheet. They won the
division below last year and will go close in this league. They had a red late on for
dissent.")</f>
        <v>Not the start we wanted but had some good spells in this game and unlucky not
to get on the scoresheet. Went with 433 with 2 holding mids which worked well
with them struggling to break us down and create anything meaninful in open 
play. Unfortunately we got done on 4 setpieces. 1 from a freekick, 2 corners, and a 
direct free kick from 35 yards which flew in over Martin. Stuff to work on but 
for the most part it was a positive day, and not overly stressful for my 1st proper 
game in charge, just dissapointing not to get on the scoresheet. They won the
division below last year and will go close in this league. They had a red late on for
dissent.</v>
      </c>
      <c r="Y8" s="3">
        <f>IFERROR(__xludf.DUMMYFUNCTION("""COMPUTED_VALUE"""),0.0)</f>
        <v>0</v>
      </c>
      <c r="Z8" s="3">
        <f>IFERROR(__xludf.DUMMYFUNCTION("""COMPUTED_VALUE"""),4.0)</f>
        <v>4</v>
      </c>
      <c r="AA8" s="3">
        <f>IFERROR(__xludf.DUMMYFUNCTION("""COMPUTED_VALUE"""),2.0)</f>
        <v>2</v>
      </c>
      <c r="AB8" s="3" t="b">
        <f>IFERROR(__xludf.DUMMYFUNCTION("""COMPUTED_VALUE"""),FALSE)</f>
        <v>0</v>
      </c>
      <c r="AC8" s="73">
        <f>IFERROR(__xludf.DUMMYFUNCTION("""COMPUTED_VALUE"""),0.0)</f>
        <v>0</v>
      </c>
    </row>
    <row r="9">
      <c r="A9" s="10">
        <f>IFERROR(__xludf.DUMMYFUNCTION("""COMPUTED_VALUE"""),45192.0)</f>
        <v>45192</v>
      </c>
      <c r="B9" s="3" t="str">
        <f>IFERROR(__xludf.DUMMYFUNCTION("""COMPUTED_VALUE"""),"League")</f>
        <v>League</v>
      </c>
      <c r="C9" s="3" t="str">
        <f>IFERROR(__xludf.DUMMYFUNCTION("""COMPUTED_VALUE"""),"Harry Fripp")</f>
        <v>Harry Fripp</v>
      </c>
      <c r="D9" s="3" t="str">
        <f>IFERROR(__xludf.DUMMYFUNCTION("""COMPUTED_VALUE"""),"ATT")</f>
        <v>ATT</v>
      </c>
      <c r="E9" s="3">
        <f>IFERROR(__xludf.DUMMYFUNCTION("""COMPUTED_VALUE"""),6.0)</f>
        <v>6</v>
      </c>
      <c r="F9" s="3" t="str">
        <f>IFERROR(__xludf.DUMMYFUNCTION("""COMPUTED_VALUE"""),"Old Suttonians 5s")</f>
        <v>Old Suttonians 5s</v>
      </c>
      <c r="G9" s="3" t="str">
        <f>IFERROR(__xludf.DUMMYFUNCTION("""COMPUTED_VALUE"""),"Loss")</f>
        <v>Loss</v>
      </c>
      <c r="H9" s="3"/>
      <c r="I9" s="3"/>
      <c r="J9" s="3">
        <f>IFERROR(__xludf.DUMMYFUNCTION("""COMPUTED_VALUE"""),3.0)</f>
        <v>3</v>
      </c>
      <c r="K9" s="3"/>
      <c r="L9" s="3"/>
      <c r="M9" s="3"/>
      <c r="N9" s="3" t="b">
        <f>IFERROR(__xludf.DUMMYFUNCTION("""COMPUTED_VALUE"""),FALSE)</f>
        <v>0</v>
      </c>
      <c r="O9" s="3"/>
      <c r="P9" s="3"/>
      <c r="Q9" s="3"/>
      <c r="R9" s="3">
        <f>IFERROR(__xludf.DUMMYFUNCTION("""COMPUTED_VALUE"""),0.0)</f>
        <v>0</v>
      </c>
      <c r="S9" s="3"/>
      <c r="T9" s="3">
        <f>IFERROR(__xludf.DUMMYFUNCTION("""COMPUTED_VALUE"""),10.0)</f>
        <v>10</v>
      </c>
      <c r="U9" s="3">
        <f>IFERROR(__xludf.DUMMYFUNCTION("""COMPUTED_VALUE"""),6.5)</f>
        <v>6.5</v>
      </c>
      <c r="V9" s="3" t="str">
        <f>IFERROR(__xludf.DUMMYFUNCTION("""COMPUTED_VALUE"""),"moments of decent play but still looks like he can go up a gear, blazed a sitter over the 
bar in first half which would of done him great to score. Seems a little unfit but always 
willing to put himself about.")</f>
        <v>moments of decent play but still looks like he can go up a gear, blazed a sitter over the 
bar in first half which would of done him great to score. Seems a little unfit but always 
willing to put himself about.</v>
      </c>
      <c r="W9" s="3" t="str">
        <f>IFERROR(__xludf.DUMMYFUNCTION("""COMPUTED_VALUE"""),"4-3-3")</f>
        <v>4-3-3</v>
      </c>
      <c r="X9" s="3" t="str">
        <f>IFERROR(__xludf.DUMMYFUNCTION("""COMPUTED_VALUE"""),"Naive defending was our biggest problem here. Clearly Sutts knew the ball over the back
line was working - this is how they scored the 2nd and 3rd and could of had more from it.
on the flip side we need to do better with our chances up top. HFripp had a g"&amp;"reat chance 
to level before the break. We hade a good team talk and then concede 20 seconds into
2nd half from a looped ball putting them 1 v 1. This is where I need Jabari and Peter to step
up and call/dictate the line as like today we'll have various f"&amp;"ull backs through the season.
Despite team talk still way too many pointless 6 yard passes inviting pressure - will have to go back 
over this next week. Some positives in dominating for parts of the game against a well organised 
sutts. Next week a great"&amp;" chance to get out first W of the season up in sunny guildford. Boys are still
upbeat but we really need to be finding the net this Saturday.")</f>
        <v>Naive defending was our biggest problem here. Clearly Sutts knew the ball over the back
line was working - this is how they scored the 2nd and 3rd and could of had more from it.
on the flip side we need to do better with our chances up top. HFripp had a great chance 
to level before the break. We hade a good team talk and then concede 20 seconds into
2nd half from a looped ball putting them 1 v 1. This is where I need Jabari and Peter to step
up and call/dictate the line as like today we'll have various full backs through the season.
Despite team talk still way too many pointless 6 yard passes inviting pressure - will have to go back 
over this next week. Some positives in dominating for parts of the game against a well organised 
sutts. Next week a great chance to get out first W of the season up in sunny guildford. Boys are still
upbeat but we really need to be finding the net this Saturday.</v>
      </c>
      <c r="Y9" s="3">
        <f>IFERROR(__xludf.DUMMYFUNCTION("""COMPUTED_VALUE"""),0.0)</f>
        <v>0</v>
      </c>
      <c r="Z9" s="3">
        <f>IFERROR(__xludf.DUMMYFUNCTION("""COMPUTED_VALUE"""),3.0)</f>
        <v>3</v>
      </c>
      <c r="AA9" s="3">
        <f>IFERROR(__xludf.DUMMYFUNCTION("""COMPUTED_VALUE"""),2.0)</f>
        <v>2</v>
      </c>
      <c r="AB9" s="3" t="b">
        <f>IFERROR(__xludf.DUMMYFUNCTION("""COMPUTED_VALUE"""),FALSE)</f>
        <v>0</v>
      </c>
      <c r="AC9" s="73">
        <f>IFERROR(__xludf.DUMMYFUNCTION("""COMPUTED_VALUE"""),0.0)</f>
        <v>0</v>
      </c>
    </row>
    <row r="10">
      <c r="A10" s="10">
        <f>IFERROR(__xludf.DUMMYFUNCTION("""COMPUTED_VALUE"""),45206.0)</f>
        <v>45206</v>
      </c>
      <c r="B10" s="3" t="str">
        <f>IFERROR(__xludf.DUMMYFUNCTION("""COMPUTED_VALUE"""),"Cup")</f>
        <v>Cup</v>
      </c>
      <c r="C10" s="3" t="str">
        <f>IFERROR(__xludf.DUMMYFUNCTION("""COMPUTED_VALUE"""),"Harry Fripp")</f>
        <v>Harry Fripp</v>
      </c>
      <c r="D10" s="3" t="str">
        <f>IFERROR(__xludf.DUMMYFUNCTION("""COMPUTED_VALUE"""),"ATT")</f>
        <v>ATT</v>
      </c>
      <c r="E10" s="3">
        <f>IFERROR(__xludf.DUMMYFUNCTION("""COMPUTED_VALUE"""),3.0)</f>
        <v>3</v>
      </c>
      <c r="F10" s="3" t="str">
        <f>IFERROR(__xludf.DUMMYFUNCTION("""COMPUTED_VALUE"""),"Dorkinians 3s")</f>
        <v>Dorkinians 3s</v>
      </c>
      <c r="G10" s="3" t="str">
        <f>IFERROR(__xludf.DUMMYFUNCTION("""COMPUTED_VALUE"""),"WIN")</f>
        <v>WIN</v>
      </c>
      <c r="H10" s="3"/>
      <c r="I10" s="3"/>
      <c r="J10" s="3">
        <f>IFERROR(__xludf.DUMMYFUNCTION("""COMPUTED_VALUE"""),1.0)</f>
        <v>1</v>
      </c>
      <c r="K10" s="3"/>
      <c r="L10" s="3"/>
      <c r="M10" s="3"/>
      <c r="N10" s="3" t="b">
        <f>IFERROR(__xludf.DUMMYFUNCTION("""COMPUTED_VALUE"""),FALSE)</f>
        <v>0</v>
      </c>
      <c r="O10" s="3"/>
      <c r="P10" s="3"/>
      <c r="Q10" s="3"/>
      <c r="R10" s="3">
        <f>IFERROR(__xludf.DUMMYFUNCTION("""COMPUTED_VALUE"""),0.0)</f>
        <v>0</v>
      </c>
      <c r="S10" s="3"/>
      <c r="T10" s="3">
        <f>IFERROR(__xludf.DUMMYFUNCTION("""COMPUTED_VALUE"""),5.0)</f>
        <v>5</v>
      </c>
      <c r="U10" s="3">
        <f>IFERROR(__xludf.DUMMYFUNCTION("""COMPUTED_VALUE"""),5.5)</f>
        <v>5.5</v>
      </c>
      <c r="V10" s="3" t="str">
        <f>IFERROR(__xludf.DUMMYFUNCTION("""COMPUTED_VALUE"""),"Harry's first words to me on the sideline were 'why am I in this team?', and that lack of confidence showed on the pitch too. Never really settled, gave the ball away too much. Think he's happier being a bigger fish in a smaller pond.")</f>
        <v>Harry's first words to me on the sideline were 'why am I in this team?', and that lack of confidence showed on the pitch too. Never really settled, gave the ball away too much. Think he's happier being a bigger fish in a smaller pond.</v>
      </c>
      <c r="W10" s="3" t="str">
        <f>IFERROR(__xludf.DUMMYFUNCTION("""COMPUTED_VALUE"""),"4-3-3")</f>
        <v>4-3-3</v>
      </c>
      <c r="X10" s="3" t="str">
        <f>IFERROR(__xludf.DUMMYFUNCTION("""COMPUTED_VALUE"""),"Not our best performance, even harder when playing against a very one-sided ref, but the team showed great determination, kept their heads up and grinded out the win. ")</f>
        <v>Not our best performance, even harder when playing against a very one-sided ref, but the team showed great determination, kept their heads up and grinded out the win. </v>
      </c>
      <c r="Y10" s="3">
        <f>IFERROR(__xludf.DUMMYFUNCTION("""COMPUTED_VALUE"""),2.0)</f>
        <v>2</v>
      </c>
      <c r="Z10" s="3">
        <f>IFERROR(__xludf.DUMMYFUNCTION("""COMPUTED_VALUE"""),1.0)</f>
        <v>1</v>
      </c>
      <c r="AA10" s="3">
        <f>IFERROR(__xludf.DUMMYFUNCTION("""COMPUTED_VALUE"""),2.0)</f>
        <v>2</v>
      </c>
      <c r="AB10" s="3" t="b">
        <f>IFERROR(__xludf.DUMMYFUNCTION("""COMPUTED_VALUE"""),FALSE)</f>
        <v>0</v>
      </c>
      <c r="AC10" s="73">
        <f>IFERROR(__xludf.DUMMYFUNCTION("""COMPUTED_VALUE"""),0.0)</f>
        <v>0</v>
      </c>
    </row>
    <row r="11">
      <c r="A11" s="10">
        <f>IFERROR(__xludf.DUMMYFUNCTION("""COMPUTED_VALUE"""),45213.0)</f>
        <v>45213</v>
      </c>
      <c r="B11" s="3" t="str">
        <f>IFERROR(__xludf.DUMMYFUNCTION("""COMPUTED_VALUE"""),"League")</f>
        <v>League</v>
      </c>
      <c r="C11" s="3" t="str">
        <f>IFERROR(__xludf.DUMMYFUNCTION("""COMPUTED_VALUE"""),"Harry Fripp")</f>
        <v>Harry Fripp</v>
      </c>
      <c r="D11" s="3" t="str">
        <f>IFERROR(__xludf.DUMMYFUNCTION("""COMPUTED_VALUE"""),"ATT")</f>
        <v>ATT</v>
      </c>
      <c r="E11" s="3">
        <f>IFERROR(__xludf.DUMMYFUNCTION("""COMPUTED_VALUE"""),5.0)</f>
        <v>5</v>
      </c>
      <c r="F11" s="3" t="str">
        <f>IFERROR(__xludf.DUMMYFUNCTION("""COMPUTED_VALUE"""),"Reigate 3s")</f>
        <v>Reigate 3s</v>
      </c>
      <c r="G11" s="3" t="str">
        <f>IFERROR(__xludf.DUMMYFUNCTION("""COMPUTED_VALUE"""),"WIN")</f>
        <v>WIN</v>
      </c>
      <c r="H11" s="3"/>
      <c r="I11" s="3">
        <f>IFERROR(__xludf.DUMMYFUNCTION("""COMPUTED_VALUE"""),2.0)</f>
        <v>2</v>
      </c>
      <c r="J11" s="3">
        <f>IFERROR(__xludf.DUMMYFUNCTION("""COMPUTED_VALUE"""),3.0)</f>
        <v>3</v>
      </c>
      <c r="K11" s="3"/>
      <c r="L11" s="3"/>
      <c r="M11" s="3"/>
      <c r="N11" s="3" t="b">
        <f>IFERROR(__xludf.DUMMYFUNCTION("""COMPUTED_VALUE"""),FALSE)</f>
        <v>0</v>
      </c>
      <c r="O11" s="3"/>
      <c r="P11" s="3"/>
      <c r="Q11" s="3"/>
      <c r="R11" s="3">
        <f>IFERROR(__xludf.DUMMYFUNCTION("""COMPUTED_VALUE"""),0.0)</f>
        <v>0</v>
      </c>
      <c r="S11" s="3"/>
      <c r="T11" s="3">
        <f>IFERROR(__xludf.DUMMYFUNCTION("""COMPUTED_VALUE"""),7.0)</f>
        <v>7</v>
      </c>
      <c r="U11" s="3">
        <f>IFERROR(__xludf.DUMMYFUNCTION("""COMPUTED_VALUE"""),7.5)</f>
        <v>7.5</v>
      </c>
      <c r="V11" s="3" t="str">
        <f>IFERROR(__xludf.DUMMYFUNCTION("""COMPUTED_VALUE"""),"Another one who was late due to his bus not turning up, so started on the bench. When he came on he took a little while to get going but once he did, he showed his quality. Got 2 assists and is now going to give me a selection headache for sure")</f>
        <v>Another one who was late due to his bus not turning up, so started on the bench. When he came on he took a little while to get going but once he did, he showed his quality. Got 2 assists and is now going to give me a selection headache for sure</v>
      </c>
      <c r="W11" s="3" t="str">
        <f>IFERROR(__xludf.DUMMYFUNCTION("""COMPUTED_VALUE"""),"4-3-3")</f>
        <v>4-3-3</v>
      </c>
      <c r="X11" s="3" t="str">
        <f>IFERROR(__xludf.DUMMYFUNCTION("""COMPUTED_VALUE"""),"We started the game really well, we were on the front foot and made some good chances, Josh scoring but being given offside a few minutes in. Not long later however, we then did score, Andreas putting George in to score past the keeper. We kept putting th"&amp;"em under pressure and they weren't a good side. We were dominating the game and came close to scoring again, whilst also cutting out those stupid errors we have been committing in defence. We were playing some really good football and it paid off when Emi"&amp;" was fouled near the edge of the box and Josh scored directly from the free kick. We kept going and nearly got a 3rd. A huge kick from ASR then bounced over the CB and put George in, only for him to hit the bar. We did well and managed the game for the re"&amp;"st of the half and went in 2-0 up at half time. Second half we didn't start as well as Reigate however we still created chances. A keeper error however gave them a foothold back in the game, only for Josh to score again 5 minutes later and put us 3-1 up. "&amp;"We were holding our own until one of those basic mistakes happened. Instead of clearing it for a throw, Anthony hesitated and did nothing…allowing their striker to grab the ball and slot home to make it 3-2. Again though, we showed great spirit and charac"&amp;"ter, going again. This time some great play with Harry and Jack out Harry in behind their full back and picked out George in the middle to make it 4-2. Not long later, we win a penalty to make it 5-2 however Emi then missed the target. We hold on through "&amp;"until the last few minutes. Firstly their striker gets a shot away which deflects off Anthony and I manage to get an arm on it to deflect it wide. Then in the last minute, a corner comes in which Sam heads away…alas he heads it towards our top corner. Lee"&amp;" does a Suarez and claws it out, conceding a pen in the process. Up steps their player who gave Emi some after he missed his pen…for ASR to save it. Alas the rebound fell to him and he smashed it top corner, I got a hand to it but couldn't keep it out. Th"&amp;"at was that though, our first 3 points of the season and the first of many more to come ")</f>
        <v>We started the game really well, we were on the front foot and made some good chances, Josh scoring but being given offside a few minutes in. Not long later however, we then did score, Andreas putting George in to score past the keeper. We kept putting them under pressure and they weren't a good side. We were dominating the game and came close to scoring again, whilst also cutting out those stupid errors we have been committing in defence. We were playing some really good football and it paid off when Emi was fouled near the edge of the box and Josh scored directly from the free kick. We kept going and nearly got a 3rd. A huge kick from ASR then bounced over the CB and put George in, only for him to hit the bar. We did well and managed the game for the rest of the half and went in 2-0 up at half time. Second half we didn't start as well as Reigate however we still created chances. A keeper error however gave them a foothold back in the game, only for Josh to score again 5 minutes later and put us 3-1 up. We were holding our own until one of those basic mistakes happened. Instead of clearing it for a throw, Anthony hesitated and did nothing…allowing their striker to grab the ball and slot home to make it 3-2. Again though, we showed great spirit and character, going again. This time some great play with Harry and Jack out Harry in behind their full back and picked out George in the middle to make it 4-2. Not long later, we win a penalty to make it 5-2 however Emi then missed the target. We hold on through until the last few minutes. Firstly their striker gets a shot away which deflects off Anthony and I manage to get an arm on it to deflect it wide. Then in the last minute, a corner comes in which Sam heads away…alas he heads it towards our top corner. Lee does a Suarez and claws it out, conceding a pen in the process. Up steps their player who gave Emi some after he missed his pen…for ASR to save it. Alas the rebound fell to him and he smashed it top corner, I got a hand to it but couldn't keep it out. That was that though, our first 3 points of the season and the first of many more to come </v>
      </c>
      <c r="Y11" s="3">
        <f>IFERROR(__xludf.DUMMYFUNCTION("""COMPUTED_VALUE"""),4.0)</f>
        <v>4</v>
      </c>
      <c r="Z11" s="3">
        <f>IFERROR(__xludf.DUMMYFUNCTION("""COMPUTED_VALUE"""),3.0)</f>
        <v>3</v>
      </c>
      <c r="AA11" s="3">
        <f>IFERROR(__xludf.DUMMYFUNCTION("""COMPUTED_VALUE"""),8.0)</f>
        <v>8</v>
      </c>
      <c r="AB11" s="3" t="b">
        <f>IFERROR(__xludf.DUMMYFUNCTION("""COMPUTED_VALUE"""),FALSE)</f>
        <v>0</v>
      </c>
      <c r="AC11" s="73">
        <f>IFERROR(__xludf.DUMMYFUNCTION("""COMPUTED_VALUE"""),0.0)</f>
        <v>0</v>
      </c>
    </row>
    <row r="12">
      <c r="A12" s="10">
        <f>IFERROR(__xludf.DUMMYFUNCTION("""COMPUTED_VALUE"""),45220.0)</f>
        <v>45220</v>
      </c>
      <c r="B12" s="3" t="str">
        <f>IFERROR(__xludf.DUMMYFUNCTION("""COMPUTED_VALUE"""),"League")</f>
        <v>League</v>
      </c>
      <c r="C12" s="3" t="str">
        <f>IFERROR(__xludf.DUMMYFUNCTION("""COMPUTED_VALUE"""),"Harry Fripp")</f>
        <v>Harry Fripp</v>
      </c>
      <c r="D12" s="3" t="str">
        <f>IFERROR(__xludf.DUMMYFUNCTION("""COMPUTED_VALUE"""),"MID")</f>
        <v>MID</v>
      </c>
      <c r="E12" s="3">
        <f>IFERROR(__xludf.DUMMYFUNCTION("""COMPUTED_VALUE"""),5.0)</f>
        <v>5</v>
      </c>
      <c r="F12" s="3" t="str">
        <f>IFERROR(__xludf.DUMMYFUNCTION("""COMPUTED_VALUE"""),"Old Tiffonians")</f>
        <v>Old Tiffonians</v>
      </c>
      <c r="G12" s="3" t="str">
        <f>IFERROR(__xludf.DUMMYFUNCTION("""COMPUTED_VALUE"""),"Loss")</f>
        <v>Loss</v>
      </c>
      <c r="H12" s="3"/>
      <c r="I12" s="3">
        <f>IFERROR(__xludf.DUMMYFUNCTION("""COMPUTED_VALUE"""),1.0)</f>
        <v>1</v>
      </c>
      <c r="J12" s="3">
        <f>IFERROR(__xludf.DUMMYFUNCTION("""COMPUTED_VALUE"""),3.0)</f>
        <v>3</v>
      </c>
      <c r="K12" s="3"/>
      <c r="L12" s="3"/>
      <c r="M12" s="3"/>
      <c r="N12" s="3" t="b">
        <f>IFERROR(__xludf.DUMMYFUNCTION("""COMPUTED_VALUE"""),FALSE)</f>
        <v>0</v>
      </c>
      <c r="O12" s="3"/>
      <c r="P12" s="3"/>
      <c r="Q12" s="3"/>
      <c r="R12" s="3">
        <f>IFERROR(__xludf.DUMMYFUNCTION("""COMPUTED_VALUE"""),1.0)</f>
        <v>1</v>
      </c>
      <c r="S12" s="3"/>
      <c r="T12" s="3">
        <f>IFERROR(__xludf.DUMMYFUNCTION("""COMPUTED_VALUE"""),10.0)</f>
        <v>10</v>
      </c>
      <c r="U12" s="3">
        <f>IFERROR(__xludf.DUMMYFUNCTION("""COMPUTED_VALUE"""),8.0)</f>
        <v>8</v>
      </c>
      <c r="V12" s="3" t="str">
        <f>IFERROR(__xludf.DUMMYFUNCTION("""COMPUTED_VALUE"""),"Class from Harry. Dominated the midfield and it showed when he came off for a breather as we lost that battle. Deserved MOTM")</f>
        <v>Class from Harry. Dominated the midfield and it showed when he came off for a breather as we lost that battle. Deserved MOTM</v>
      </c>
      <c r="W12" s="3" t="str">
        <f>IFERROR(__xludf.DUMMYFUNCTION("""COMPUTED_VALUE"""),"4-3-3")</f>
        <v>4-3-3</v>
      </c>
      <c r="X12" s="3" t="str">
        <f>IFERROR(__xludf.DUMMYFUNCTION("""COMPUTED_VALUE"""),"We started the game brightly, although having an early save to make, we dominated the play. Then about 10 mins in, a great ball from Harry to Ciaran and he lobs their keeper to make it 1-0. We keep on playing some good football and we look very comfortabl"&amp;"e in possession. We win a corner and a good ball in from Ciaran and Ste Calder shows his class and scores from the header. We're working really hard to stop Tiffs from playing and it's working, that is until they get lucky, a headed clearance lands straig"&amp;"ht and their strikers feet, he shifts it to the right and then buries it into the far side netting. We closed the half out strongly though and went in at half time 2-1 up. We don't start the 2nd half well though. Tiffs come at us and we lost both our disc"&amp;"ipline and our shape. We got lucky a few times but then we give away a free kick about 30 yards out, despite having the wall their player belts it into the top corner off the bar. I got close enough to feel it pass over my hand, but not close enough to st"&amp;"op it. Then, with 5 mins to go, we don't deal with a ball over the top. One touch control and then 2nd touch to lob me and make it 3-2. Galling is the word. We go again and have 4 corners in a row, but none of them even led to a shot on goal.")</f>
        <v>We started the game brightly, although having an early save to make, we dominated the play. Then about 10 mins in, a great ball from Harry to Ciaran and he lobs their keeper to make it 1-0. We keep on playing some good football and we look very comfortable in possession. We win a corner and a good ball in from Ciaran and Ste Calder shows his class and scores from the header. We're working really hard to stop Tiffs from playing and it's working, that is until they get lucky, a headed clearance lands straight and their strikers feet, he shifts it to the right and then buries it into the far side netting. We closed the half out strongly though and went in at half time 2-1 up. We don't start the 2nd half well though. Tiffs come at us and we lost both our discipline and our shape. We got lucky a few times but then we give away a free kick about 30 yards out, despite having the wall their player belts it into the top corner off the bar. I got close enough to feel it pass over my hand, but not close enough to stop it. Then, with 5 mins to go, we don't deal with a ball over the top. One touch control and then 2nd touch to lob me and make it 3-2. Galling is the word. We go again and have 4 corners in a row, but none of them even led to a shot on goal.</v>
      </c>
      <c r="Y12" s="3">
        <f>IFERROR(__xludf.DUMMYFUNCTION("""COMPUTED_VALUE"""),2.0)</f>
        <v>2</v>
      </c>
      <c r="Z12" s="3">
        <f>IFERROR(__xludf.DUMMYFUNCTION("""COMPUTED_VALUE"""),3.0)</f>
        <v>3</v>
      </c>
      <c r="AA12" s="3">
        <f>IFERROR(__xludf.DUMMYFUNCTION("""COMPUTED_VALUE"""),10.0)</f>
        <v>10</v>
      </c>
      <c r="AB12" s="3" t="b">
        <f>IFERROR(__xludf.DUMMYFUNCTION("""COMPUTED_VALUE"""),FALSE)</f>
        <v>0</v>
      </c>
      <c r="AC12" s="73">
        <f>IFERROR(__xludf.DUMMYFUNCTION("""COMPUTED_VALUE"""),0.0)</f>
        <v>0</v>
      </c>
    </row>
    <row r="13">
      <c r="A13" s="10">
        <f>IFERROR(__xludf.DUMMYFUNCTION("""COMPUTED_VALUE"""),45227.0)</f>
        <v>45227</v>
      </c>
      <c r="B13" s="3" t="str">
        <f>IFERROR(__xludf.DUMMYFUNCTION("""COMPUTED_VALUE"""),"League")</f>
        <v>League</v>
      </c>
      <c r="C13" s="3" t="str">
        <f>IFERROR(__xludf.DUMMYFUNCTION("""COMPUTED_VALUE"""),"Harry Fripp")</f>
        <v>Harry Fripp</v>
      </c>
      <c r="D13" s="3" t="str">
        <f>IFERROR(__xludf.DUMMYFUNCTION("""COMPUTED_VALUE"""),"MID")</f>
        <v>MID</v>
      </c>
      <c r="E13" s="3">
        <f>IFERROR(__xludf.DUMMYFUNCTION("""COMPUTED_VALUE"""),5.0)</f>
        <v>5</v>
      </c>
      <c r="F13" s="3" t="str">
        <f>IFERROR(__xludf.DUMMYFUNCTION("""COMPUTED_VALUE"""),"Grey College Old Boys")</f>
        <v>Grey College Old Boys</v>
      </c>
      <c r="G13" s="3" t="str">
        <f>IFERROR(__xludf.DUMMYFUNCTION("""COMPUTED_VALUE"""),"Draw")</f>
        <v>Draw</v>
      </c>
      <c r="H13" s="3"/>
      <c r="I13" s="3"/>
      <c r="J13" s="3">
        <f>IFERROR(__xludf.DUMMYFUNCTION("""COMPUTED_VALUE"""),0.0)</f>
        <v>0</v>
      </c>
      <c r="K13" s="3">
        <f>IFERROR(__xludf.DUMMYFUNCTION("""COMPUTED_VALUE"""),1.0)</f>
        <v>1</v>
      </c>
      <c r="L13" s="3"/>
      <c r="M13" s="3"/>
      <c r="N13" s="3" t="b">
        <f>IFERROR(__xludf.DUMMYFUNCTION("""COMPUTED_VALUE"""),TRUE)</f>
        <v>1</v>
      </c>
      <c r="O13" s="3"/>
      <c r="P13" s="3"/>
      <c r="Q13" s="3"/>
      <c r="R13" s="3">
        <f>IFERROR(__xludf.DUMMYFUNCTION("""COMPUTED_VALUE"""),1.0)</f>
        <v>1</v>
      </c>
      <c r="S13" s="3"/>
      <c r="T13" s="3">
        <f>IFERROR(__xludf.DUMMYFUNCTION("""COMPUTED_VALUE"""),10.0)</f>
        <v>10</v>
      </c>
      <c r="U13" s="3">
        <f>IFERROR(__xludf.DUMMYFUNCTION("""COMPUTED_VALUE"""),8.0)</f>
        <v>8</v>
      </c>
      <c r="V13" s="3" t="str">
        <f>IFERROR(__xludf.DUMMYFUNCTION("""COMPUTED_VALUE"""),"Immense again from Harry. He's a little terrier in midfield and I'm really enjoying seeing him flourish ")</f>
        <v>Immense again from Harry. He's a little terrier in midfield and I'm really enjoying seeing him flourish </v>
      </c>
      <c r="W13" s="3" t="str">
        <f>IFERROR(__xludf.DUMMYFUNCTION("""COMPUTED_VALUE"""),"4-3-3")</f>
        <v>4-3-3</v>
      </c>
      <c r="X13" s="3" t="str">
        <f>IFERROR(__xludf.DUMMYFUNCTION("""COMPUTED_VALUE"""),"Having seen the oppo's stats before kick off, 4 games, 4 wins, 21 goals scored and 3 conceded, it felt like we could be in trouble here. As it turned out, if we could shoot, we'd have won the game 3 or 4 nil. We bossed them for the vast majority of the ga"&amp;"me, creating some good chances only either miss the target completely, or hit it close enough for their keeper to pull off some good saves. At the other end, some sweeping up aside I only had 3 saves to make. Which meant come full time, I was disappointed"&amp;" with the draw. On the plus side though, we had our usual 10-15 minute spell where we go a bit crazy, this time though we dug deep and didn't concede which was pleasing to see")</f>
        <v>Having seen the oppo's stats before kick off, 4 games, 4 wins, 21 goals scored and 3 conceded, it felt like we could be in trouble here. As it turned out, if we could shoot, we'd have won the game 3 or 4 nil. We bossed them for the vast majority of the game, creating some good chances only either miss the target completely, or hit it close enough for their keeper to pull off some good saves. At the other end, some sweeping up aside I only had 3 saves to make. Which meant come full time, I was disappointed with the draw. On the plus side though, we had our usual 10-15 minute spell where we go a bit crazy, this time though we dug deep and didn't concede which was pleasing to see</v>
      </c>
      <c r="Y13" s="3">
        <f>IFERROR(__xludf.DUMMYFUNCTION("""COMPUTED_VALUE"""),0.0)</f>
        <v>0</v>
      </c>
      <c r="Z13" s="3">
        <f>IFERROR(__xludf.DUMMYFUNCTION("""COMPUTED_VALUE"""),0.0)</f>
        <v>0</v>
      </c>
      <c r="AA13" s="3">
        <f>IFERROR(__xludf.DUMMYFUNCTION("""COMPUTED_VALUE"""),8.0)</f>
        <v>8</v>
      </c>
      <c r="AB13" s="3" t="b">
        <f>IFERROR(__xludf.DUMMYFUNCTION("""COMPUTED_VALUE"""),FALSE)</f>
        <v>0</v>
      </c>
      <c r="AC13" s="73">
        <f>IFERROR(__xludf.DUMMYFUNCTION("""COMPUTED_VALUE"""),0.0)</f>
        <v>0</v>
      </c>
    </row>
    <row r="14">
      <c r="A14" s="10">
        <f>IFERROR(__xludf.DUMMYFUNCTION("""COMPUTED_VALUE"""),45241.0)</f>
        <v>45241</v>
      </c>
      <c r="B14" s="3" t="str">
        <f>IFERROR(__xludf.DUMMYFUNCTION("""COMPUTED_VALUE"""),"Cup")</f>
        <v>Cup</v>
      </c>
      <c r="C14" s="3" t="str">
        <f>IFERROR(__xludf.DUMMYFUNCTION("""COMPUTED_VALUE"""),"Harry Fripp")</f>
        <v>Harry Fripp</v>
      </c>
      <c r="D14" s="3" t="str">
        <f>IFERROR(__xludf.DUMMYFUNCTION("""COMPUTED_VALUE"""),"MID")</f>
        <v>MID</v>
      </c>
      <c r="E14" s="3">
        <f>IFERROR(__xludf.DUMMYFUNCTION("""COMPUTED_VALUE"""),5.0)</f>
        <v>5</v>
      </c>
      <c r="F14" s="3" t="str">
        <f>IFERROR(__xludf.DUMMYFUNCTION("""COMPUTED_VALUE"""),"Manorians 4s")</f>
        <v>Manorians 4s</v>
      </c>
      <c r="G14" s="3" t="str">
        <f>IFERROR(__xludf.DUMMYFUNCTION("""COMPUTED_VALUE"""),"Loss")</f>
        <v>Loss</v>
      </c>
      <c r="H14" s="3"/>
      <c r="I14" s="3"/>
      <c r="J14" s="3">
        <f>IFERROR(__xludf.DUMMYFUNCTION("""COMPUTED_VALUE"""),4.0)</f>
        <v>4</v>
      </c>
      <c r="K14" s="3"/>
      <c r="L14" s="3"/>
      <c r="M14" s="3"/>
      <c r="N14" s="3" t="b">
        <f>IFERROR(__xludf.DUMMYFUNCTION("""COMPUTED_VALUE"""),FALSE)</f>
        <v>0</v>
      </c>
      <c r="O14" s="3"/>
      <c r="P14" s="3"/>
      <c r="Q14" s="3"/>
      <c r="R14" s="3">
        <f>IFERROR(__xludf.DUMMYFUNCTION("""COMPUTED_VALUE"""),0.0)</f>
        <v>0</v>
      </c>
      <c r="S14" s="3"/>
      <c r="T14" s="3">
        <f>IFERROR(__xludf.DUMMYFUNCTION("""COMPUTED_VALUE"""),10.0)</f>
        <v>10</v>
      </c>
      <c r="U14" s="3">
        <f>IFERROR(__xludf.DUMMYFUNCTION("""COMPUTED_VALUE"""),7.0)</f>
        <v>7</v>
      </c>
      <c r="V14" s="3" t="str">
        <f>IFERROR(__xludf.DUMMYFUNCTION("""COMPUTED_VALUE"""),"Solid rather than spectacular. Did some things well but shooting wasn't one of them…skied a couple of good chances and then rolled his best chance straight to the keeper ")</f>
        <v>Solid rather than spectacular. Did some things well but shooting wasn't one of them…skied a couple of good chances and then rolled his best chance straight to the keeper </v>
      </c>
      <c r="W14" s="3" t="str">
        <f>IFERROR(__xludf.DUMMYFUNCTION("""COMPUTED_VALUE"""),"4-3-3")</f>
        <v>4-3-3</v>
      </c>
      <c r="X14" s="3" t="str">
        <f>IFERROR(__xludf.DUMMYFUNCTION("""COMPUTED_VALUE"""),"A game of 2 halves for sure. First half we were poor. Too sloppy on the ball, out of position at the back and didn't do the basics right. We started ok but when they scored their first goal (decent finish on the half volley) we fell away a bit. We then go"&amp;"t done down the flanks too much for my liking whilst going forward, we either didn't get shots away, or enough numbers in the box. Second half however we were so much better and you could tell they were panicked! Again it was our shooting which let us dow"&amp;"n. Shots were wide or skied over from good positions and the car park behind the goal was more at risk than the goal itself. Good to see the reaction from the lads though at half time, but frustrating we couldn't start like that too")</f>
        <v>A game of 2 halves for sure. First half we were poor. Too sloppy on the ball, out of position at the back and didn't do the basics right. We started ok but when they scored their first goal (decent finish on the half volley) we fell away a bit. We then got done down the flanks too much for my liking whilst going forward, we either didn't get shots away, or enough numbers in the box. Second half however we were so much better and you could tell they were panicked! Again it was our shooting which let us down. Shots were wide or skied over from good positions and the car park behind the goal was more at risk than the goal itself. Good to see the reaction from the lads though at half time, but frustrating we couldn't start like that too</v>
      </c>
      <c r="Y14" s="3">
        <f>IFERROR(__xludf.DUMMYFUNCTION("""COMPUTED_VALUE"""),1.0)</f>
        <v>1</v>
      </c>
      <c r="Z14" s="3">
        <f>IFERROR(__xludf.DUMMYFUNCTION("""COMPUTED_VALUE"""),4.0)</f>
        <v>4</v>
      </c>
      <c r="AA14" s="3">
        <f>IFERROR(__xludf.DUMMYFUNCTION("""COMPUTED_VALUE"""),2.0)</f>
        <v>2</v>
      </c>
      <c r="AB14" s="3" t="b">
        <f>IFERROR(__xludf.DUMMYFUNCTION("""COMPUTED_VALUE"""),FALSE)</f>
        <v>0</v>
      </c>
      <c r="AC14" s="73">
        <f>IFERROR(__xludf.DUMMYFUNCTION("""COMPUTED_VALUE"""),0.0)</f>
        <v>0</v>
      </c>
    </row>
    <row r="15">
      <c r="A15" s="10">
        <f>IFERROR(__xludf.DUMMYFUNCTION("""COMPUTED_VALUE"""),45248.0)</f>
        <v>45248</v>
      </c>
      <c r="B15" s="3" t="str">
        <f>IFERROR(__xludf.DUMMYFUNCTION("""COMPUTED_VALUE"""),"League")</f>
        <v>League</v>
      </c>
      <c r="C15" s="3" t="str">
        <f>IFERROR(__xludf.DUMMYFUNCTION("""COMPUTED_VALUE"""),"Harry Fripp")</f>
        <v>Harry Fripp</v>
      </c>
      <c r="D15" s="3" t="str">
        <f>IFERROR(__xludf.DUMMYFUNCTION("""COMPUTED_VALUE"""),"ATT")</f>
        <v>ATT</v>
      </c>
      <c r="E15" s="3">
        <f>IFERROR(__xludf.DUMMYFUNCTION("""COMPUTED_VALUE"""),5.0)</f>
        <v>5</v>
      </c>
      <c r="F15" s="3" t="str">
        <f>IFERROR(__xludf.DUMMYFUNCTION("""COMPUTED_VALUE"""),"Sinjuns 5's")</f>
        <v>Sinjuns 5's</v>
      </c>
      <c r="G15" s="3" t="str">
        <f>IFERROR(__xludf.DUMMYFUNCTION("""COMPUTED_VALUE"""),"Draw")</f>
        <v>Draw</v>
      </c>
      <c r="H15" s="3"/>
      <c r="I15" s="3"/>
      <c r="J15" s="3">
        <f>IFERROR(__xludf.DUMMYFUNCTION("""COMPUTED_VALUE"""),2.0)</f>
        <v>2</v>
      </c>
      <c r="K15" s="3"/>
      <c r="L15" s="3"/>
      <c r="M15" s="3"/>
      <c r="N15" s="3" t="b">
        <f>IFERROR(__xludf.DUMMYFUNCTION("""COMPUTED_VALUE"""),FALSE)</f>
        <v>0</v>
      </c>
      <c r="O15" s="3"/>
      <c r="P15" s="3"/>
      <c r="Q15" s="3"/>
      <c r="R15" s="3">
        <f>IFERROR(__xludf.DUMMYFUNCTION("""COMPUTED_VALUE"""),0.0)</f>
        <v>0</v>
      </c>
      <c r="S15" s="3"/>
      <c r="T15" s="3">
        <f>IFERROR(__xludf.DUMMYFUNCTION("""COMPUTED_VALUE"""),10.0)</f>
        <v>10</v>
      </c>
      <c r="U15" s="3">
        <f>IFERROR(__xludf.DUMMYFUNCTION("""COMPUTED_VALUE"""),7.0)</f>
        <v>7</v>
      </c>
      <c r="V15" s="3" t="str">
        <f>IFERROR(__xludf.DUMMYFUNCTION("""COMPUTED_VALUE"""),"Started Harry as the right sided forward and he did well but we missed his CM prowess. Moved him back into CM where he's most affective as he's always on the ball ")</f>
        <v>Started Harry as the right sided forward and he did well but we missed his CM prowess. Moved him back into CM where he's most affective as he's always on the ball </v>
      </c>
      <c r="W15" s="3" t="str">
        <f>IFERROR(__xludf.DUMMYFUNCTION("""COMPUTED_VALUE"""),"4-3-3")</f>
        <v>4-3-3</v>
      </c>
      <c r="X15" s="3" t="str">
        <f>IFERROR(__xludf.DUMMYFUNCTION("""COMPUTED_VALUE"""),"We actually started off the better side and dominated a lot of the play. When out of possession we then worked hard to get it back. This worked well for the first 20 mins or so, however we did struggle to create too much. Then we got a bit sloppy, concedi"&amp;"ng free kicks on the edge of our box etc which on another day, one hits the target. Then about 35 mins in we switched off from a throw deep in our half, their forward spins the defender and scores near post (GK should do better). We then rally until half "&amp;"time but without any chances being created. 2nd half is a bit more of the same, wasteful in possession at times and when creating some good chances we can't score. Then we get caught on the break, their striker cuts inside and curls one top corner. We kee"&amp;"p on going though and 15 minutes later we win a penalty, which was lucky as we had then spurned a much better chance in the build up and the pen was possibly soft. Up steps Tali to score and this is exactly what he needs. 5 minutes later Jack is on the ri"&amp;"ght wing and whips in a great cross and Tali equalises. We push on for the win but nothing comes of it and we settle with a 2-2.")</f>
        <v>We actually started off the better side and dominated a lot of the play. When out of possession we then worked hard to get it back. This worked well for the first 20 mins or so, however we did struggle to create too much. Then we got a bit sloppy, conceding free kicks on the edge of our box etc which on another day, one hits the target. Then about 35 mins in we switched off from a throw deep in our half, their forward spins the defender and scores near post (GK should do better). We then rally until half time but without any chances being created. 2nd half is a bit more of the same, wasteful in possession at times and when creating some good chances we can't score. Then we get caught on the break, their striker cuts inside and curls one top corner. We keep on going though and 15 minutes later we win a penalty, which was lucky as we had then spurned a much better chance in the build up and the pen was possibly soft. Up steps Tali to score and this is exactly what he needs. 5 minutes later Jack is on the right wing and whips in a great cross and Tali equalises. We push on for the win but nothing comes of it and we settle with a 2-2.</v>
      </c>
      <c r="Y15" s="3">
        <f>IFERROR(__xludf.DUMMYFUNCTION("""COMPUTED_VALUE"""),2.0)</f>
        <v>2</v>
      </c>
      <c r="Z15" s="3">
        <f>IFERROR(__xludf.DUMMYFUNCTION("""COMPUTED_VALUE"""),2.0)</f>
        <v>2</v>
      </c>
      <c r="AA15" s="3">
        <f>IFERROR(__xludf.DUMMYFUNCTION("""COMPUTED_VALUE"""),2.0)</f>
        <v>2</v>
      </c>
      <c r="AB15" s="3" t="b">
        <f>IFERROR(__xludf.DUMMYFUNCTION("""COMPUTED_VALUE"""),FALSE)</f>
        <v>0</v>
      </c>
      <c r="AC15" s="73">
        <f>IFERROR(__xludf.DUMMYFUNCTION("""COMPUTED_VALUE"""),0.0)</f>
        <v>0</v>
      </c>
    </row>
    <row r="16">
      <c r="A16" s="10">
        <f>IFERROR(__xludf.DUMMYFUNCTION("""COMPUTED_VALUE"""),45255.0)</f>
        <v>45255</v>
      </c>
      <c r="B16" s="3" t="str">
        <f>IFERROR(__xludf.DUMMYFUNCTION("""COMPUTED_VALUE"""),"League")</f>
        <v>League</v>
      </c>
      <c r="C16" s="3" t="str">
        <f>IFERROR(__xludf.DUMMYFUNCTION("""COMPUTED_VALUE"""),"Harry Fripp")</f>
        <v>Harry Fripp</v>
      </c>
      <c r="D16" s="3" t="str">
        <f>IFERROR(__xludf.DUMMYFUNCTION("""COMPUTED_VALUE"""),"MID")</f>
        <v>MID</v>
      </c>
      <c r="E16" s="3">
        <f>IFERROR(__xludf.DUMMYFUNCTION("""COMPUTED_VALUE"""),5.0)</f>
        <v>5</v>
      </c>
      <c r="F16" s="3" t="str">
        <f>IFERROR(__xludf.DUMMYFUNCTION("""COMPUTED_VALUE"""),"Shene 4s")</f>
        <v>Shene 4s</v>
      </c>
      <c r="G16" s="3" t="str">
        <f>IFERROR(__xludf.DUMMYFUNCTION("""COMPUTED_VALUE"""),"Loss")</f>
        <v>Loss</v>
      </c>
      <c r="H16" s="3"/>
      <c r="I16" s="3"/>
      <c r="J16" s="3">
        <f>IFERROR(__xludf.DUMMYFUNCTION("""COMPUTED_VALUE"""),2.0)</f>
        <v>2</v>
      </c>
      <c r="K16" s="3"/>
      <c r="L16" s="3"/>
      <c r="M16" s="3"/>
      <c r="N16" s="3" t="b">
        <f>IFERROR(__xludf.DUMMYFUNCTION("""COMPUTED_VALUE"""),FALSE)</f>
        <v>0</v>
      </c>
      <c r="O16" s="3"/>
      <c r="P16" s="3"/>
      <c r="Q16" s="3"/>
      <c r="R16" s="3">
        <f>IFERROR(__xludf.DUMMYFUNCTION("""COMPUTED_VALUE"""),0.0)</f>
        <v>0</v>
      </c>
      <c r="S16" s="3"/>
      <c r="T16" s="3">
        <f>IFERROR(__xludf.DUMMYFUNCTION("""COMPUTED_VALUE"""),10.0)</f>
        <v>10</v>
      </c>
      <c r="U16" s="3">
        <f>IFERROR(__xludf.DUMMYFUNCTION("""COMPUTED_VALUE"""),7.5)</f>
        <v>7.5</v>
      </c>
      <c r="V16" s="3" t="str">
        <f>IFERROR(__xludf.DUMMYFUNCTION("""COMPUTED_VALUE"""),"Another excellent performance from Harry. He's the heartbeat of my midfield now and you can always tell when he's off the field. ")</f>
        <v>Another excellent performance from Harry. He's the heartbeat of my midfield now and you can always tell when he's off the field. </v>
      </c>
      <c r="W16" s="3" t="str">
        <f>IFERROR(__xludf.DUMMYFUNCTION("""COMPUTED_VALUE"""),"4-3-3")</f>
        <v>4-3-3</v>
      </c>
      <c r="X16" s="3" t="str">
        <f>IFERROR(__xludf.DUMMYFUNCTION("""COMPUTED_VALUE"""),"This turned out to be a very frustrating game against a team who were 3rd in the league before the kick off and top after. Yet again we played well for most of the game. The first half an hour was a similar story of the last few weeks. We boss the game bu"&amp;"t we cannot get shots away. Our final ball into the front 3 is not good enough. Then when it is, they're not making the runs they need to. About 30 mins in we then switch off for a second and get caught. A diagonal ball across the back line and it looks l"&amp;"ike Stu is going to get a touch on it so I wait for a moment before realising he wasn't getting there. By which point their striker is all alone 12 yards out, who then slots the ball home. We then struggle for the next 10 mins and then we fall back into b"&amp;"ad habits and concede a 2nd. Thankfully half time came as we were on the ropes. A rocket up the arse half time team talk and we come out fighting! We batter them for almost the entire 2nd half but we just cannot get a break through. We need to be more cli"&amp;"nical but we just cannot buy a goal. We do eventually score through a rebound but it wasn't enough. Another game where we should have taken some points and we've not done so ")</f>
        <v>This turned out to be a very frustrating game against a team who were 3rd in the league before the kick off and top after. Yet again we played well for most of the game. The first half an hour was a similar story of the last few weeks. We boss the game but we cannot get shots away. Our final ball into the front 3 is not good enough. Then when it is, they're not making the runs they need to. About 30 mins in we then switch off for a second and get caught. A diagonal ball across the back line and it looks like Stu is going to get a touch on it so I wait for a moment before realising he wasn't getting there. By which point their striker is all alone 12 yards out, who then slots the ball home. We then struggle for the next 10 mins and then we fall back into bad habits and concede a 2nd. Thankfully half time came as we were on the ropes. A rocket up the arse half time team talk and we come out fighting! We batter them for almost the entire 2nd half but we just cannot get a break through. We need to be more clinical but we just cannot buy a goal. We do eventually score through a rebound but it wasn't enough. Another game where we should have taken some points and we've not done so </v>
      </c>
      <c r="Y16" s="3">
        <f>IFERROR(__xludf.DUMMYFUNCTION("""COMPUTED_VALUE"""),1.0)</f>
        <v>1</v>
      </c>
      <c r="Z16" s="3">
        <f>IFERROR(__xludf.DUMMYFUNCTION("""COMPUTED_VALUE"""),2.0)</f>
        <v>2</v>
      </c>
      <c r="AA16" s="3">
        <f>IFERROR(__xludf.DUMMYFUNCTION("""COMPUTED_VALUE"""),2.0)</f>
        <v>2</v>
      </c>
      <c r="AB16" s="3" t="b">
        <f>IFERROR(__xludf.DUMMYFUNCTION("""COMPUTED_VALUE"""),FALSE)</f>
        <v>0</v>
      </c>
      <c r="AC16" s="73">
        <f>IFERROR(__xludf.DUMMYFUNCTION("""COMPUTED_VALUE"""),0.0)</f>
        <v>0</v>
      </c>
    </row>
    <row r="17">
      <c r="A17" s="10">
        <f>IFERROR(__xludf.DUMMYFUNCTION("""COMPUTED_VALUE"""),45262.0)</f>
        <v>45262</v>
      </c>
      <c r="B17" s="3" t="str">
        <f>IFERROR(__xludf.DUMMYFUNCTION("""COMPUTED_VALUE"""),"League")</f>
        <v>League</v>
      </c>
      <c r="C17" s="3" t="str">
        <f>IFERROR(__xludf.DUMMYFUNCTION("""COMPUTED_VALUE"""),"Harry Fripp")</f>
        <v>Harry Fripp</v>
      </c>
      <c r="D17" s="3" t="str">
        <f>IFERROR(__xludf.DUMMYFUNCTION("""COMPUTED_VALUE"""),"MID")</f>
        <v>MID</v>
      </c>
      <c r="E17" s="3">
        <f>IFERROR(__xludf.DUMMYFUNCTION("""COMPUTED_VALUE"""),5.0)</f>
        <v>5</v>
      </c>
      <c r="F17" s="3" t="str">
        <f>IFERROR(__xludf.DUMMYFUNCTION("""COMPUTED_VALUE"""),"Sinjuns 5s")</f>
        <v>Sinjuns 5s</v>
      </c>
      <c r="G17" s="3" t="str">
        <f>IFERROR(__xludf.DUMMYFUNCTION("""COMPUTED_VALUE"""),"WIN")</f>
        <v>WIN</v>
      </c>
      <c r="H17" s="3"/>
      <c r="I17" s="3"/>
      <c r="J17" s="3">
        <f>IFERROR(__xludf.DUMMYFUNCTION("""COMPUTED_VALUE"""),0.0)</f>
        <v>0</v>
      </c>
      <c r="K17" s="3"/>
      <c r="L17" s="3"/>
      <c r="M17" s="3"/>
      <c r="N17" s="3" t="b">
        <f>IFERROR(__xludf.DUMMYFUNCTION("""COMPUTED_VALUE"""),TRUE)</f>
        <v>1</v>
      </c>
      <c r="O17" s="3"/>
      <c r="P17" s="3"/>
      <c r="Q17" s="3"/>
      <c r="R17" s="3">
        <f>IFERROR(__xludf.DUMMYFUNCTION("""COMPUTED_VALUE"""),0.0)</f>
        <v>0</v>
      </c>
      <c r="S17" s="3"/>
      <c r="T17" s="3">
        <f>IFERROR(__xludf.DUMMYFUNCTION("""COMPUTED_VALUE"""),10.0)</f>
        <v>10</v>
      </c>
      <c r="U17" s="3"/>
      <c r="V17" s="3"/>
      <c r="W17" s="3" t="str">
        <f>IFERROR(__xludf.DUMMYFUNCTION("""COMPUTED_VALUE"""),"3-5-2")</f>
        <v>3-5-2</v>
      </c>
      <c r="X17" s="3"/>
      <c r="Y17" s="3">
        <f>IFERROR(__xludf.DUMMYFUNCTION("""COMPUTED_VALUE"""),2.0)</f>
        <v>2</v>
      </c>
      <c r="Z17" s="3">
        <f>IFERROR(__xludf.DUMMYFUNCTION("""COMPUTED_VALUE"""),0.0)</f>
        <v>0</v>
      </c>
      <c r="AA17" s="3">
        <f>IFERROR(__xludf.DUMMYFUNCTION("""COMPUTED_VALUE"""),4.0)</f>
        <v>4</v>
      </c>
      <c r="AB17" s="3" t="b">
        <f>IFERROR(__xludf.DUMMYFUNCTION("""COMPUTED_VALUE"""),FALSE)</f>
        <v>0</v>
      </c>
      <c r="AC17" s="73">
        <f>IFERROR(__xludf.DUMMYFUNCTION("""COMPUTED_VALUE"""),0.0)</f>
        <v>0</v>
      </c>
    </row>
    <row r="18">
      <c r="A18" s="10">
        <f>IFERROR(__xludf.DUMMYFUNCTION("""COMPUTED_VALUE"""),45276.0)</f>
        <v>45276</v>
      </c>
      <c r="B18" s="3" t="str">
        <f>IFERROR(__xludf.DUMMYFUNCTION("""COMPUTED_VALUE"""),"League")</f>
        <v>League</v>
      </c>
      <c r="C18" s="3" t="str">
        <f>IFERROR(__xludf.DUMMYFUNCTION("""COMPUTED_VALUE"""),"Harry Fripp")</f>
        <v>Harry Fripp</v>
      </c>
      <c r="D18" s="3" t="str">
        <f>IFERROR(__xludf.DUMMYFUNCTION("""COMPUTED_VALUE"""),"MID")</f>
        <v>MID</v>
      </c>
      <c r="E18" s="3">
        <f>IFERROR(__xludf.DUMMYFUNCTION("""COMPUTED_VALUE"""),5.0)</f>
        <v>5</v>
      </c>
      <c r="F18" s="3" t="str">
        <f>IFERROR(__xludf.DUMMYFUNCTION("""COMPUTED_VALUE"""),"Old Suttonians")</f>
        <v>Old Suttonians</v>
      </c>
      <c r="G18" s="3" t="str">
        <f>IFERROR(__xludf.DUMMYFUNCTION("""COMPUTED_VALUE"""),"WIN")</f>
        <v>WIN</v>
      </c>
      <c r="H18" s="3"/>
      <c r="I18" s="3">
        <f>IFERROR(__xludf.DUMMYFUNCTION("""COMPUTED_VALUE"""),1.0)</f>
        <v>1</v>
      </c>
      <c r="J18" s="3">
        <f>IFERROR(__xludf.DUMMYFUNCTION("""COMPUTED_VALUE"""),0.0)</f>
        <v>0</v>
      </c>
      <c r="K18" s="3"/>
      <c r="L18" s="3"/>
      <c r="M18" s="3"/>
      <c r="N18" s="3" t="b">
        <f>IFERROR(__xludf.DUMMYFUNCTION("""COMPUTED_VALUE"""),TRUE)</f>
        <v>1</v>
      </c>
      <c r="O18" s="3"/>
      <c r="P18" s="3"/>
      <c r="Q18" s="3"/>
      <c r="R18" s="3">
        <f>IFERROR(__xludf.DUMMYFUNCTION("""COMPUTED_VALUE"""),0.0)</f>
        <v>0</v>
      </c>
      <c r="S18" s="3"/>
      <c r="T18" s="3">
        <f>IFERROR(__xludf.DUMMYFUNCTION("""COMPUTED_VALUE"""),10.0)</f>
        <v>10</v>
      </c>
      <c r="U18" s="3">
        <f>IFERROR(__xludf.DUMMYFUNCTION("""COMPUTED_VALUE"""),7.0)</f>
        <v>7</v>
      </c>
      <c r="V18" s="3" t="str">
        <f>IFERROR(__xludf.DUMMYFUNCTION("""COMPUTED_VALUE"""),"Struggled a bit with his knee and needed a break. Also thought he was going to throw up at one stage. Did his usual things though and he's a key player for me in the middle of the park now. ")</f>
        <v>Struggled a bit with his knee and needed a break. Also thought he was going to throw up at one stage. Did his usual things though and he's a key player for me in the middle of the park now. </v>
      </c>
      <c r="W18" s="3" t="str">
        <f>IFERROR(__xludf.DUMMYFUNCTION("""COMPUTED_VALUE"""),"3-5-2")</f>
        <v>3-5-2</v>
      </c>
      <c r="X18" s="3" t="str">
        <f>IFERROR(__xludf.DUMMYFUNCTION("""COMPUTED_VALUE"""),"We started the game well. We were ok the front foot and looked the far better side. We then got a good goal which was fully deserved. We then however dropped off the hoop for a little while. We used to concede during these spells, it would be 2 or 3 but w"&amp;"e've finally learned from this and we now don't concede as many or at all. We looked far better organised and yes we couldn't get hold of the ball but we were around the half way line, not our own final 1/3. We then started to get our foot on the ball aga"&amp;"in and got a second goal which to be fair was a bit against the run of play. Nonetheless, we went in 2-0 up at half time. Second half we started a little slowly, but we got our footing again and then dominated without scoring, although we should have done"&amp;" as Emi missed an open goal from 3 yards out. Really pleased with the result though, back to back 2-0 wins takes us to 4th in the league ")</f>
        <v>We started the game well. We were ok the front foot and looked the far better side. We then got a good goal which was fully deserved. We then however dropped off the hoop for a little while. We used to concede during these spells, it would be 2 or 3 but we've finally learned from this and we now don't concede as many or at all. We looked far better organised and yes we couldn't get hold of the ball but we were around the half way line, not our own final 1/3. We then started to get our foot on the ball again and got a second goal which to be fair was a bit against the run of play. Nonetheless, we went in 2-0 up at half time. Second half we started a little slowly, but we got our footing again and then dominated without scoring, although we should have done as Emi missed an open goal from 3 yards out. Really pleased with the result though, back to back 2-0 wins takes us to 4th in the league </v>
      </c>
      <c r="Y18" s="3">
        <f>IFERROR(__xludf.DUMMYFUNCTION("""COMPUTED_VALUE"""),2.0)</f>
        <v>2</v>
      </c>
      <c r="Z18" s="3">
        <f>IFERROR(__xludf.DUMMYFUNCTION("""COMPUTED_VALUE"""),0.0)</f>
        <v>0</v>
      </c>
      <c r="AA18" s="3">
        <f>IFERROR(__xludf.DUMMYFUNCTION("""COMPUTED_VALUE"""),7.0)</f>
        <v>7</v>
      </c>
      <c r="AB18" s="3" t="b">
        <f>IFERROR(__xludf.DUMMYFUNCTION("""COMPUTED_VALUE"""),FALSE)</f>
        <v>0</v>
      </c>
      <c r="AC18" s="73">
        <f>IFERROR(__xludf.DUMMYFUNCTION("""COMPUTED_VALUE"""),0.0)</f>
        <v>0</v>
      </c>
    </row>
    <row r="19">
      <c r="A19" s="10">
        <f>IFERROR(__xludf.DUMMYFUNCTION("""COMPUTED_VALUE"""),45304.0)</f>
        <v>45304</v>
      </c>
      <c r="B19" s="3" t="str">
        <f>IFERROR(__xludf.DUMMYFUNCTION("""COMPUTED_VALUE"""),"League")</f>
        <v>League</v>
      </c>
      <c r="C19" s="3" t="str">
        <f>IFERROR(__xludf.DUMMYFUNCTION("""COMPUTED_VALUE"""),"Harry Fripp")</f>
        <v>Harry Fripp</v>
      </c>
      <c r="D19" s="3" t="str">
        <f>IFERROR(__xludf.DUMMYFUNCTION("""COMPUTED_VALUE"""),"CM")</f>
        <v>CM</v>
      </c>
      <c r="E19" s="3">
        <f>IFERROR(__xludf.DUMMYFUNCTION("""COMPUTED_VALUE"""),5.0)</f>
        <v>5</v>
      </c>
      <c r="F19" s="3" t="str">
        <f>IFERROR(__xludf.DUMMYFUNCTION("""COMPUTED_VALUE"""),"Woking ")</f>
        <v>Woking </v>
      </c>
      <c r="G19" s="3" t="str">
        <f>IFERROR(__xludf.DUMMYFUNCTION("""COMPUTED_VALUE"""),"Loss")</f>
        <v>Loss</v>
      </c>
      <c r="H19" s="3"/>
      <c r="I19" s="3"/>
      <c r="J19" s="3">
        <f>IFERROR(__xludf.DUMMYFUNCTION("""COMPUTED_VALUE"""),9.0)</f>
        <v>9</v>
      </c>
      <c r="K19" s="3"/>
      <c r="L19" s="3"/>
      <c r="M19" s="3"/>
      <c r="N19" s="3" t="b">
        <f>IFERROR(__xludf.DUMMYFUNCTION("""COMPUTED_VALUE"""),FALSE)</f>
        <v>0</v>
      </c>
      <c r="O19" s="3"/>
      <c r="P19" s="3"/>
      <c r="Q19" s="3"/>
      <c r="R19" s="3">
        <f>IFERROR(__xludf.DUMMYFUNCTION("""COMPUTED_VALUE"""),0.0)</f>
        <v>0</v>
      </c>
      <c r="S19" s="3"/>
      <c r="T19" s="3">
        <f>IFERROR(__xludf.DUMMYFUNCTION("""COMPUTED_VALUE"""),10.0)</f>
        <v>10</v>
      </c>
      <c r="U19" s="3">
        <f>IFERROR(__xludf.DUMMYFUNCTION("""COMPUTED_VALUE"""),6.0)</f>
        <v>6</v>
      </c>
      <c r="V19" s="3" t="str">
        <f>IFERROR(__xludf.DUMMYFUNCTION("""COMPUTED_VALUE"""),"Did OK, batted well but physically outmatched in centre")</f>
        <v>Did OK, batted well but physically outmatched in centre</v>
      </c>
      <c r="W19" s="3" t="str">
        <f>IFERROR(__xludf.DUMMYFUNCTION("""COMPUTED_VALUE"""),"3-5-2")</f>
        <v>3-5-2</v>
      </c>
      <c r="X19" s="3" t="str">
        <f>IFERROR(__xludf.DUMMYFUNCTION("""COMPUTED_VALUE"""),"A lovely game for veo to record. Woking clearly doing their usual trick of having a whole squad play below where they should be. Decent bunch of players. Not great at the back and easy to get at may have been an interesting game if there was a back line i"&amp;"n place capable of doing any basic level defending. 3 out of the 4 CBs were late, going out of the dressing room the team still didn't know who was starting at the back as Kai and Ade were yet to show, Ant was there but had to be lent socks, glorious. The"&amp;" game was effectively over as a contest in the first 7/8 mins. 3-0 down, defenders just hadn't head into the game. Oppo only needed to vaguely get something on target and it was a goal. I missed the first goal initially as was picking up the cones from th"&amp;"e warm up, seen on veo since. Comical defending, Martin dived over a pee roller. Think it was the third goal goal Martin palmed a routine shot into a danger areas,
talking after he thought it was a good save, that's the standard we are dealing with. There"&amp;" was a mini rally of sorts at 3-0 down. Made the early changes and went to a back 4. Was simply a move have less terrible players on the pitch. Stopped haemorrhaging goals and passed the ball well. Finally got Sheehan and Chris Claeys into the game. They "&amp;"linked up beautifully for 3-1. They got another before the end of the half, took the wind out of our sails. Truth be told all we had done was keep the ball away from our back line more, it was only a matter of time before more carnage ensued. 
Kai had co"&amp;"me on and made some sort of stance at CB. He played a great pass from CB putting Chris in who provided a lovely dink finish. When Kai had to go off with cramp and ant ball came back on, the previous episode of loonie tunes continued playing. Believe a cou"&amp;"ple of 5ft players got free headers inside the 6 yard box with defenders all round them, there is absolute no desire to head the ball in the back line. Think it was 3 headed goals inside the 6 yard box, Martin nowhere. Ant decided to try to dribble round "&amp;"2 strikers with no pass on, that one was funny. 
Think if you take away the chuckle brothers defending we still really didn’t do enough to compete in the game. Not enough yards put in, of course motivation levels drop when such disappointing defending is"&amp;" on show. 
A lot for ASR to consider here. Over strength Woking team yes but performance like that have to think every other team in the legue would have beaten them anyway. ")</f>
        <v>A lovely game for veo to record. Woking clearly doing their usual trick of having a whole squad play below where they should be. Decent bunch of players. Not great at the back and easy to get at may have been an interesting game if there was a back line in place capable of doing any basic level defending. 3 out of the 4 CBs were late, going out of the dressing room the team still didn't know who was starting at the back as Kai and Ade were yet to show, Ant was there but had to be lent socks, glorious. The game was effectively over as a contest in the first 7/8 mins. 3-0 down, defenders just hadn't head into the game. Oppo only needed to vaguely get something on target and it was a goal. I missed the first goal initially as was picking up the cones from the warm up, seen on veo since. Comical defending, Martin dived over a pee roller. Think it was the third goal goal Martin palmed a routine shot into a danger areas,
talking after he thought it was a good save, that's the standard we are dealing with. There was a mini rally of sorts at 3-0 down. Made the early changes and went to a back 4. Was simply a move have less terrible players on the pitch. Stopped haemorrhaging goals and passed the ball well. Finally got Sheehan and Chris Claeys into the game. They linked up beautifully for 3-1. They got another before the end of the half, took the wind out of our sails. Truth be told all we had done was keep the ball away from our back line more, it was only a matter of time before more carnage ensued. 
Kai had come on and made some sort of stance at CB. He played a great pass from CB putting Chris in who provided a lovely dink finish. When Kai had to go off with cramp and ant ball came back on, the previous episode of loonie tunes continued playing. Believe a couple of 5ft players got free headers inside the 6 yard box with defenders all round them, there is absolute no desire to head the ball in the back line. Think it was 3 headed goals inside the 6 yard box, Martin nowhere. Ant decided to try to dribble round 2 strikers with no pass on, that one was funny. 
Think if you take away the chuckle brothers defending we still really didn’t do enough to compete in the game. Not enough yards put in, of course motivation levels drop when such disappointing defending is on show. 
A lot for ASR to consider here. Over strength Woking team yes but performance like that have to think every other team in the legue would have beaten them anyway. </v>
      </c>
      <c r="Y19" s="3">
        <f>IFERROR(__xludf.DUMMYFUNCTION("""COMPUTED_VALUE"""),2.0)</f>
        <v>2</v>
      </c>
      <c r="Z19" s="3">
        <f>IFERROR(__xludf.DUMMYFUNCTION("""COMPUTED_VALUE"""),9.0)</f>
        <v>9</v>
      </c>
      <c r="AA19" s="3">
        <f>IFERROR(__xludf.DUMMYFUNCTION("""COMPUTED_VALUE"""),2.0)</f>
        <v>2</v>
      </c>
      <c r="AB19" s="3" t="b">
        <f>IFERROR(__xludf.DUMMYFUNCTION("""COMPUTED_VALUE"""),FALSE)</f>
        <v>0</v>
      </c>
      <c r="AC19" s="73">
        <f>IFERROR(__xludf.DUMMYFUNCTION("""COMPUTED_VALUE"""),0.0)</f>
        <v>0</v>
      </c>
    </row>
    <row r="20">
      <c r="A20" s="10">
        <f>IFERROR(__xludf.DUMMYFUNCTION("""COMPUTED_VALUE"""),45318.0)</f>
        <v>45318</v>
      </c>
      <c r="B20" s="3" t="str">
        <f>IFERROR(__xludf.DUMMYFUNCTION("""COMPUTED_VALUE"""),"League")</f>
        <v>League</v>
      </c>
      <c r="C20" s="3" t="str">
        <f>IFERROR(__xludf.DUMMYFUNCTION("""COMPUTED_VALUE"""),"Harry Fripp")</f>
        <v>Harry Fripp</v>
      </c>
      <c r="D20" s="3" t="str">
        <f>IFERROR(__xludf.DUMMYFUNCTION("""COMPUTED_VALUE"""),"CM")</f>
        <v>CM</v>
      </c>
      <c r="E20" s="3">
        <f>IFERROR(__xludf.DUMMYFUNCTION("""COMPUTED_VALUE"""),5.0)</f>
        <v>5</v>
      </c>
      <c r="F20" s="3" t="str">
        <f>IFERROR(__xludf.DUMMYFUNCTION("""COMPUTED_VALUE"""),"Tiffs")</f>
        <v>Tiffs</v>
      </c>
      <c r="G20" s="3" t="str">
        <f>IFERROR(__xludf.DUMMYFUNCTION("""COMPUTED_VALUE"""),"WIN")</f>
        <v>WIN</v>
      </c>
      <c r="H20" s="3"/>
      <c r="I20" s="3"/>
      <c r="J20" s="3"/>
      <c r="K20" s="3"/>
      <c r="L20" s="3"/>
      <c r="M20" s="3"/>
      <c r="N20" s="3" t="b">
        <f>IFERROR(__xludf.DUMMYFUNCTION("""COMPUTED_VALUE"""),TRUE)</f>
        <v>1</v>
      </c>
      <c r="O20" s="3"/>
      <c r="P20" s="3"/>
      <c r="Q20" s="3"/>
      <c r="R20" s="3">
        <f>IFERROR(__xludf.DUMMYFUNCTION("""COMPUTED_VALUE"""),0.0)</f>
        <v>0</v>
      </c>
      <c r="S20" s="3"/>
      <c r="T20" s="3">
        <f>IFERROR(__xludf.DUMMYFUNCTION("""COMPUTED_VALUE"""),10.0)</f>
        <v>10</v>
      </c>
      <c r="U20" s="3">
        <f>IFERROR(__xludf.DUMMYFUNCTION("""COMPUTED_VALUE"""),7.0)</f>
        <v>7</v>
      </c>
      <c r="V20" s="3" t="str">
        <f>IFERROR(__xludf.DUMMYFUNCTION("""COMPUTED_VALUE"""),"Not Harry's best display. He was his usual tenacious self but something just didn't quite click for him this week. He'll be back better next time around ")</f>
        <v>Not Harry's best display. He was his usual tenacious self but something just didn't quite click for him this week. He'll be back better next time around </v>
      </c>
      <c r="W20" s="3" t="str">
        <f>IFERROR(__xludf.DUMMYFUNCTION("""COMPUTED_VALUE"""),"4-3-3")</f>
        <v>4-3-3</v>
      </c>
      <c r="X20" s="3" t="str">
        <f>IFERROR(__xludf.DUMMYFUNCTION("""COMPUTED_VALUE"""),"This was a solid, rather than spectacular performance. But after the previous 2 weeks it was exactly what we needed. The first half we played ok at best. We nearly took the lead in the first minute with Sam's shot going just wide, but that aside, for most"&amp;" of the first half we didn't create enough. We did have the ball over the line right at the end of the half but it was cleared very quickly and the ref was never going to be able to make that call. 2nd half we were better. We turned them a lot more and we"&amp;" got in behind, we just failed to take our chances. Harry hit the post. We then scored a pen which I thought would be the catalyst to then go and get another goal. We then won another pen only for Daniel to hit the worst pen I've ever seen! We kept on goi"&amp;"ng though and despite a late rally from TIFFs we held out well.")</f>
        <v>This was a solid, rather than spectacular performance. But after the previous 2 weeks it was exactly what we needed. The first half we played ok at best. We nearly took the lead in the first minute with Sam's shot going just wide, but that aside, for most of the first half we didn't create enough. We did have the ball over the line right at the end of the half but it was cleared very quickly and the ref was never going to be able to make that call. 2nd half we were better. We turned them a lot more and we got in behind, we just failed to take our chances. Harry hit the post. We then scored a pen which I thought would be the catalyst to then go and get another goal. We then won another pen only for Daniel to hit the worst pen I've ever seen! We kept on going though and despite a late rally from TIFFs we held out well.</v>
      </c>
      <c r="Y20" s="3">
        <f>IFERROR(__xludf.DUMMYFUNCTION("""COMPUTED_VALUE"""),1.0)</f>
        <v>1</v>
      </c>
      <c r="Z20" s="3"/>
      <c r="AA20" s="3">
        <f>IFERROR(__xludf.DUMMYFUNCTION("""COMPUTED_VALUE"""),4.0)</f>
        <v>4</v>
      </c>
      <c r="AB20" s="3" t="b">
        <f>IFERROR(__xludf.DUMMYFUNCTION("""COMPUTED_VALUE"""),FALSE)</f>
        <v>0</v>
      </c>
      <c r="AC20" s="73">
        <f>IFERROR(__xludf.DUMMYFUNCTION("""COMPUTED_VALUE"""),0.0)</f>
        <v>0</v>
      </c>
    </row>
    <row r="21">
      <c r="A21" s="10">
        <f>IFERROR(__xludf.DUMMYFUNCTION("""COMPUTED_VALUE"""),45339.0)</f>
        <v>45339</v>
      </c>
      <c r="B21" s="3" t="str">
        <f>IFERROR(__xludf.DUMMYFUNCTION("""COMPUTED_VALUE"""),"League")</f>
        <v>League</v>
      </c>
      <c r="C21" s="3" t="str">
        <f>IFERROR(__xludf.DUMMYFUNCTION("""COMPUTED_VALUE"""),"Harry Fripp")</f>
        <v>Harry Fripp</v>
      </c>
      <c r="D21" s="3" t="str">
        <f>IFERROR(__xludf.DUMMYFUNCTION("""COMPUTED_VALUE"""),"CM")</f>
        <v>CM</v>
      </c>
      <c r="E21" s="3">
        <f>IFERROR(__xludf.DUMMYFUNCTION("""COMPUTED_VALUE"""),5.0)</f>
        <v>5</v>
      </c>
      <c r="F21" s="3" t="str">
        <f>IFERROR(__xludf.DUMMYFUNCTION("""COMPUTED_VALUE"""),"Wandsworth Borough 5s")</f>
        <v>Wandsworth Borough 5s</v>
      </c>
      <c r="G21" s="3" t="str">
        <f>IFERROR(__xludf.DUMMYFUNCTION("""COMPUTED_VALUE"""),"WIN")</f>
        <v>WIN</v>
      </c>
      <c r="H21" s="3"/>
      <c r="I21" s="3"/>
      <c r="J21" s="3">
        <f>IFERROR(__xludf.DUMMYFUNCTION("""COMPUTED_VALUE"""),0.0)</f>
        <v>0</v>
      </c>
      <c r="K21" s="3"/>
      <c r="L21" s="3"/>
      <c r="M21" s="3"/>
      <c r="N21" s="3" t="b">
        <f>IFERROR(__xludf.DUMMYFUNCTION("""COMPUTED_VALUE"""),TRUE)</f>
        <v>1</v>
      </c>
      <c r="O21" s="3"/>
      <c r="P21" s="3"/>
      <c r="Q21" s="3"/>
      <c r="R21" s="3">
        <f>IFERROR(__xludf.DUMMYFUNCTION("""COMPUTED_VALUE"""),0.0)</f>
        <v>0</v>
      </c>
      <c r="S21" s="3"/>
      <c r="T21" s="3">
        <f>IFERROR(__xludf.DUMMYFUNCTION("""COMPUTED_VALUE"""),10.0)</f>
        <v>10</v>
      </c>
      <c r="U21" s="3">
        <f>IFERROR(__xludf.DUMMYFUNCTION("""COMPUTED_VALUE"""),7.0)</f>
        <v>7</v>
      </c>
      <c r="V21" s="3"/>
      <c r="W21" s="3" t="str">
        <f>IFERROR(__xludf.DUMMYFUNCTION("""COMPUTED_VALUE"""),"3-5-2")</f>
        <v>3-5-2</v>
      </c>
      <c r="X21" s="3"/>
      <c r="Y21" s="3">
        <f>IFERROR(__xludf.DUMMYFUNCTION("""COMPUTED_VALUE"""),1.0)</f>
        <v>1</v>
      </c>
      <c r="Z21" s="3">
        <f>IFERROR(__xludf.DUMMYFUNCTION("""COMPUTED_VALUE"""),0.0)</f>
        <v>0</v>
      </c>
      <c r="AA21" s="3">
        <f>IFERROR(__xludf.DUMMYFUNCTION("""COMPUTED_VALUE"""),4.0)</f>
        <v>4</v>
      </c>
      <c r="AB21" s="3" t="b">
        <f>IFERROR(__xludf.DUMMYFUNCTION("""COMPUTED_VALUE"""),FALSE)</f>
        <v>0</v>
      </c>
      <c r="AC21" s="73">
        <f>IFERROR(__xludf.DUMMYFUNCTION("""COMPUTED_VALUE"""),0.0)</f>
        <v>0</v>
      </c>
    </row>
    <row r="22">
      <c r="A22" s="10">
        <f>IFERROR(__xludf.DUMMYFUNCTION("""COMPUTED_VALUE"""),45360.0)</f>
        <v>45360</v>
      </c>
      <c r="B22" s="3" t="str">
        <f>IFERROR(__xludf.DUMMYFUNCTION("""COMPUTED_VALUE"""),"League")</f>
        <v>League</v>
      </c>
      <c r="C22" s="3" t="str">
        <f>IFERROR(__xludf.DUMMYFUNCTION("""COMPUTED_VALUE"""),"Harry Fripp")</f>
        <v>Harry Fripp</v>
      </c>
      <c r="D22" s="3" t="str">
        <f>IFERROR(__xludf.DUMMYFUNCTION("""COMPUTED_VALUE"""),"CM")</f>
        <v>CM</v>
      </c>
      <c r="E22" s="3">
        <f>IFERROR(__xludf.DUMMYFUNCTION("""COMPUTED_VALUE"""),6.0)</f>
        <v>6</v>
      </c>
      <c r="F22" s="3" t="str">
        <f>IFERROR(__xludf.DUMMYFUNCTION("""COMPUTED_VALUE"""),"Old Guildfordians")</f>
        <v>Old Guildfordians</v>
      </c>
      <c r="G22" s="3" t="str">
        <f>IFERROR(__xludf.DUMMYFUNCTION("""COMPUTED_VALUE"""),"Loss")</f>
        <v>Loss</v>
      </c>
      <c r="H22" s="3"/>
      <c r="I22" s="3"/>
      <c r="J22" s="3">
        <f>IFERROR(__xludf.DUMMYFUNCTION("""COMPUTED_VALUE"""),2.0)</f>
        <v>2</v>
      </c>
      <c r="K22" s="3"/>
      <c r="L22" s="3"/>
      <c r="M22" s="3"/>
      <c r="N22" s="3" t="b">
        <f>IFERROR(__xludf.DUMMYFUNCTION("""COMPUTED_VALUE"""),FALSE)</f>
        <v>0</v>
      </c>
      <c r="O22" s="3"/>
      <c r="P22" s="3"/>
      <c r="Q22" s="3"/>
      <c r="R22" s="3">
        <f>IFERROR(__xludf.DUMMYFUNCTION("""COMPUTED_VALUE"""),1.0)</f>
        <v>1</v>
      </c>
      <c r="S22" s="3"/>
      <c r="T22" s="3">
        <f>IFERROR(__xludf.DUMMYFUNCTION("""COMPUTED_VALUE"""),5.0)</f>
        <v>5</v>
      </c>
      <c r="U22" s="3">
        <f>IFERROR(__xludf.DUMMYFUNCTION("""COMPUTED_VALUE"""),8.5)</f>
        <v>8.5</v>
      </c>
      <c r="V22" s="3" t="str">
        <f>IFERROR(__xludf.DUMMYFUNCTION("""COMPUTED_VALUE"""),"stood out by a long way - should of started in hindsight but wanted to reward timmins
motm from last game. fitness seemed to be on a higher level than the rest, and his direct
running opened up chances for us in 2nd hlf")</f>
        <v>stood out by a long way - should of started in hindsight but wanted to reward timmins
motm from last game. fitness seemed to be on a higher level than the rest, and his direct
running opened up chances for us in 2nd hlf</v>
      </c>
      <c r="W22" s="3" t="str">
        <f>IFERROR(__xludf.DUMMYFUNCTION("""COMPUTED_VALUE"""),"4-1-2-3")</f>
        <v>4-1-2-3</v>
      </c>
      <c r="X22" s="3" t="str">
        <f>IFERROR(__xludf.DUMMYFUNCTION("""COMPUTED_VALUE"""),"Very similar to last game, 0 - 2 after 25 minutes and then a fairly even goaless contest after that.
would have liked to have seen how things went had we got in on level terms at halftime as to me this didnt
look lik a team that are 2nd in the league, the"&amp;"y were fairly decent in midfield but created little overall. Issues for us is we now
havent scored in 3 games, concerning but had plenty of chances to net on Saturday; just need more composure in front of goal.
If we cut out the silly indivdiaul erros aga"&amp;"inst the same team next week i'd be confident we can win the game - however will likely
shuffle the deck a little bit to give others a look in pending availability.")</f>
        <v>Very similar to last game, 0 - 2 after 25 minutes and then a fairly even goaless contest after that.
would have liked to have seen how things went had we got in on level terms at halftime as to me this didnt
look lik a team that are 2nd in the league, they were fairly decent in midfield but created little overall. Issues for us is we now
havent scored in 3 games, concerning but had plenty of chances to net on Saturday; just need more composure in front of goal.
If we cut out the silly indivdiaul erros against the same team next week i'd be confident we can win the game - however will likely
shuffle the deck a little bit to give others a look in pending availability.</v>
      </c>
      <c r="Y22" s="3">
        <f>IFERROR(__xludf.DUMMYFUNCTION("""COMPUTED_VALUE"""),0.0)</f>
        <v>0</v>
      </c>
      <c r="Z22" s="3">
        <f>IFERROR(__xludf.DUMMYFUNCTION("""COMPUTED_VALUE"""),2.0)</f>
        <v>2</v>
      </c>
      <c r="AA22" s="3">
        <f>IFERROR(__xludf.DUMMYFUNCTION("""COMPUTED_VALUE"""),7.0)</f>
        <v>7</v>
      </c>
      <c r="AB22" s="3" t="b">
        <f>IFERROR(__xludf.DUMMYFUNCTION("""COMPUTED_VALUE"""),FALSE)</f>
        <v>0</v>
      </c>
      <c r="AC22" s="73">
        <f>IFERROR(__xludf.DUMMYFUNCTION("""COMPUTED_VALUE"""),0.0)</f>
        <v>0</v>
      </c>
    </row>
    <row r="23">
      <c r="A23" s="10">
        <f>IFERROR(__xludf.DUMMYFUNCTION("""COMPUTED_VALUE"""),45367.0)</f>
        <v>45367</v>
      </c>
      <c r="B23" s="3" t="str">
        <f>IFERROR(__xludf.DUMMYFUNCTION("""COMPUTED_VALUE"""),"League")</f>
        <v>League</v>
      </c>
      <c r="C23" s="3" t="str">
        <f>IFERROR(__xludf.DUMMYFUNCTION("""COMPUTED_VALUE"""),"Harry Fripp")</f>
        <v>Harry Fripp</v>
      </c>
      <c r="D23" s="3" t="str">
        <f>IFERROR(__xludf.DUMMYFUNCTION("""COMPUTED_VALUE"""),"CM")</f>
        <v>CM</v>
      </c>
      <c r="E23" s="3">
        <f>IFERROR(__xludf.DUMMYFUNCTION("""COMPUTED_VALUE"""),6.0)</f>
        <v>6</v>
      </c>
      <c r="F23" s="3" t="str">
        <f>IFERROR(__xludf.DUMMYFUNCTION("""COMPUTED_VALUE"""),"Old Guildfordians 2s")</f>
        <v>Old Guildfordians 2s</v>
      </c>
      <c r="G23" s="3" t="str">
        <f>IFERROR(__xludf.DUMMYFUNCTION("""COMPUTED_VALUE"""),"Draw")</f>
        <v>Draw</v>
      </c>
      <c r="H23" s="3"/>
      <c r="I23" s="3"/>
      <c r="J23" s="3">
        <f>IFERROR(__xludf.DUMMYFUNCTION("""COMPUTED_VALUE"""),1.0)</f>
        <v>1</v>
      </c>
      <c r="K23" s="3"/>
      <c r="L23" s="3"/>
      <c r="M23" s="3"/>
      <c r="N23" s="3" t="b">
        <f>IFERROR(__xludf.DUMMYFUNCTION("""COMPUTED_VALUE"""),FALSE)</f>
        <v>0</v>
      </c>
      <c r="O23" s="3"/>
      <c r="P23" s="3"/>
      <c r="Q23" s="3"/>
      <c r="R23" s="3">
        <f>IFERROR(__xludf.DUMMYFUNCTION("""COMPUTED_VALUE"""),0.0)</f>
        <v>0</v>
      </c>
      <c r="S23" s="3"/>
      <c r="T23" s="3">
        <f>IFERROR(__xludf.DUMMYFUNCTION("""COMPUTED_VALUE"""),10.0)</f>
        <v>10</v>
      </c>
      <c r="U23" s="3">
        <f>IFERROR(__xludf.DUMMYFUNCTION("""COMPUTED_VALUE"""),7.5)</f>
        <v>7.5</v>
      </c>
      <c r="V23" s="3" t="str">
        <f>IFERROR(__xludf.DUMMYFUNCTION("""COMPUTED_VALUE"""),"another one who doesent stop but less effective this week as the big pitch took it's toll on him, 
was massively annoyed with himself for blazing 2 over the bar but great desire to win 2nd balls.")</f>
        <v>another one who doesent stop but less effective this week as the big pitch took it's toll on him, 
was massively annoyed with himself for blazing 2 over the bar but great desire to win 2nd balls.</v>
      </c>
      <c r="W23" s="3" t="str">
        <f>IFERROR(__xludf.DUMMYFUNCTION("""COMPUTED_VALUE"""),"4-1-2-3")</f>
        <v>4-1-2-3</v>
      </c>
      <c r="X23" s="3" t="str">
        <f>IFERROR(__xludf.DUMMYFUNCTION("""COMPUTED_VALUE"""),"a point away to oppo we lost against last week should be a point gained but defo feels more 
like 2 dropped here. Fully expected us to win with the team we had out this time but
never got the breaks- ref gave an early soft penalty their way after the ball"&amp;" hit a defenders arm in the box, natural arm position but
he said something about flow of play, was quite bizzare - then denied an obvious one at the other end when you could hear the contact acres away.
0 - 1 down at half time and the message was to cont"&amp;"inue knocking on the door and keep the ball on the ground; despite creating more chances from this it was a poorly looped 30 yard shot/clearance (not sure) from Janam that should of been an easy catch for a solid keeper but he dropped it and the ball boun"&amp;"ced up into the chest of pearl and then rolled over the line. Jack H had a decent chance to win it with the last kick of the game but blazed his  close range volley over the bar. Gutted and some of the oppo conceded we should of won the game but we were w"&amp;"asteful in front of goal - pleasing dominant performance none the less.")</f>
        <v>a point away to oppo we lost against last week should be a point gained but defo feels more 
like 2 dropped here. Fully expected us to win with the team we had out this time but
never got the breaks- ref gave an early soft penalty their way after the ball hit a defenders arm in the box, natural arm position but
he said something about flow of play, was quite bizzare - then denied an obvious one at the other end when you could hear the contact acres away.
0 - 1 down at half time and the message was to continue knocking on the door and keep the ball on the ground; despite creating more chances from this it was a poorly looped 30 yard shot/clearance (not sure) from Janam that should of been an easy catch for a solid keeper but he dropped it and the ball bounced up into the chest of pearl and then rolled over the line. Jack H had a decent chance to win it with the last kick of the game but blazed his  close range volley over the bar. Gutted and some of the oppo conceded we should of won the game but we were wasteful in front of goal - pleasing dominant performance none the less.</v>
      </c>
      <c r="Y23" s="3">
        <f>IFERROR(__xludf.DUMMYFUNCTION("""COMPUTED_VALUE"""),1.0)</f>
        <v>1</v>
      </c>
      <c r="Z23" s="3">
        <f>IFERROR(__xludf.DUMMYFUNCTION("""COMPUTED_VALUE"""),1.0)</f>
        <v>1</v>
      </c>
      <c r="AA23" s="3">
        <f>IFERROR(__xludf.DUMMYFUNCTION("""COMPUTED_VALUE"""),2.0)</f>
        <v>2</v>
      </c>
      <c r="AB23" s="3" t="b">
        <f>IFERROR(__xludf.DUMMYFUNCTION("""COMPUTED_VALUE"""),FALSE)</f>
        <v>0</v>
      </c>
      <c r="AC23" s="73">
        <f>IFERROR(__xludf.DUMMYFUNCTION("""COMPUTED_VALUE"""),0.0)</f>
        <v>0</v>
      </c>
    </row>
    <row r="24">
      <c r="A24" s="10">
        <f>IFERROR(__xludf.DUMMYFUNCTION("""COMPUTED_VALUE"""),45374.0)</f>
        <v>45374</v>
      </c>
      <c r="B24" s="3" t="str">
        <f>IFERROR(__xludf.DUMMYFUNCTION("""COMPUTED_VALUE"""),"League")</f>
        <v>League</v>
      </c>
      <c r="C24" s="3" t="str">
        <f>IFERROR(__xludf.DUMMYFUNCTION("""COMPUTED_VALUE"""),"Harry Fripp")</f>
        <v>Harry Fripp</v>
      </c>
      <c r="D24" s="3" t="str">
        <f>IFERROR(__xludf.DUMMYFUNCTION("""COMPUTED_VALUE"""),"CM")</f>
        <v>CM</v>
      </c>
      <c r="E24" s="3">
        <f>IFERROR(__xludf.DUMMYFUNCTION("""COMPUTED_VALUE"""),6.0)</f>
        <v>6</v>
      </c>
      <c r="F24" s="3" t="str">
        <f>IFERROR(__xludf.DUMMYFUNCTION("""COMPUTED_VALUE"""),"Clissold Park Rangers 2s")</f>
        <v>Clissold Park Rangers 2s</v>
      </c>
      <c r="G24" s="3" t="str">
        <f>IFERROR(__xludf.DUMMYFUNCTION("""COMPUTED_VALUE"""),"Loss")</f>
        <v>Loss</v>
      </c>
      <c r="H24" s="3">
        <f>IFERROR(__xludf.DUMMYFUNCTION("""COMPUTED_VALUE"""),1.0)</f>
        <v>1</v>
      </c>
      <c r="I24" s="3"/>
      <c r="J24" s="3">
        <f>IFERROR(__xludf.DUMMYFUNCTION("""COMPUTED_VALUE"""),2.0)</f>
        <v>2</v>
      </c>
      <c r="K24" s="3"/>
      <c r="L24" s="3"/>
      <c r="M24" s="3"/>
      <c r="N24" s="3" t="b">
        <f>IFERROR(__xludf.DUMMYFUNCTION("""COMPUTED_VALUE"""),FALSE)</f>
        <v>0</v>
      </c>
      <c r="O24" s="3"/>
      <c r="P24" s="3"/>
      <c r="Q24" s="3"/>
      <c r="R24" s="3">
        <f>IFERROR(__xludf.DUMMYFUNCTION("""COMPUTED_VALUE"""),0.0)</f>
        <v>0</v>
      </c>
      <c r="S24" s="3"/>
      <c r="T24" s="3">
        <f>IFERROR(__xludf.DUMMYFUNCTION("""COMPUTED_VALUE"""),10.0)</f>
        <v>10</v>
      </c>
      <c r="U24" s="3">
        <f>IFERROR(__xludf.DUMMYFUNCTION("""COMPUTED_VALUE"""),7.0)</f>
        <v>7</v>
      </c>
      <c r="V24" s="3" t="str">
        <f>IFERROR(__xludf.DUMMYFUNCTION("""COMPUTED_VALUE"""),"scored header from 6 yards after goalkpeer tipped my effort his way, some good running
and then injured at about 70' - good box to box player.")</f>
        <v>scored header from 6 yards after goalkpeer tipped my effort his way, some good running
and then injured at about 70' - good box to box player.</v>
      </c>
      <c r="W24" s="3" t="str">
        <f>IFERROR(__xludf.DUMMYFUNCTION("""COMPUTED_VALUE"""),"3-5-2")</f>
        <v>3-5-2</v>
      </c>
      <c r="X24" s="3" t="str">
        <f>IFERROR(__xludf.DUMMYFUNCTION("""COMPUTED_VALUE"""),"good performance for the most part; went ahead early in the game and then 2 individual
errors in the first half were punished. Joel tackled in the box and a free kick through Martins
hands. Didnt think too much of the oppo but chasing the game in strong w"&amp;"inds and a terrible
sandy pitch was tough work, and they held on with few chances created by either team
in the 2nd half. The less said about the ref the better, from another planet.")</f>
        <v>good performance for the most part; went ahead early in the game and then 2 individual
errors in the first half were punished. Joel tackled in the box and a free kick through Martins
hands. Didnt think too much of the oppo but chasing the game in strong winds and a terrible
sandy pitch was tough work, and they held on with few chances created by either team
in the 2nd half. The less said about the ref the better, from another planet.</v>
      </c>
      <c r="Y24" s="3">
        <f>IFERROR(__xludf.DUMMYFUNCTION("""COMPUTED_VALUE"""),1.0)</f>
        <v>1</v>
      </c>
      <c r="Z24" s="3">
        <f>IFERROR(__xludf.DUMMYFUNCTION("""COMPUTED_VALUE"""),2.0)</f>
        <v>2</v>
      </c>
      <c r="AA24" s="3">
        <f>IFERROR(__xludf.DUMMYFUNCTION("""COMPUTED_VALUE"""),7.0)</f>
        <v>7</v>
      </c>
      <c r="AB24" s="3" t="b">
        <f>IFERROR(__xludf.DUMMYFUNCTION("""COMPUTED_VALUE"""),FALSE)</f>
        <v>0</v>
      </c>
      <c r="AC24" s="73">
        <f>IFERROR(__xludf.DUMMYFUNCTION("""COMPUTED_VALUE"""),0.0)</f>
        <v>0</v>
      </c>
    </row>
    <row r="25">
      <c r="A25" s="10">
        <f>IFERROR(__xludf.DUMMYFUNCTION("""COMPUTED_VALUE"""),45388.0)</f>
        <v>45388</v>
      </c>
      <c r="B25" s="3" t="str">
        <f>IFERROR(__xludf.DUMMYFUNCTION("""COMPUTED_VALUE"""),"League")</f>
        <v>League</v>
      </c>
      <c r="C25" s="3" t="str">
        <f>IFERROR(__xludf.DUMMYFUNCTION("""COMPUTED_VALUE"""),"Harry Fripp")</f>
        <v>Harry Fripp</v>
      </c>
      <c r="D25" s="3" t="str">
        <f>IFERROR(__xludf.DUMMYFUNCTION("""COMPUTED_VALUE"""),"CM")</f>
        <v>CM</v>
      </c>
      <c r="E25" s="3">
        <f>IFERROR(__xludf.DUMMYFUNCTION("""COMPUTED_VALUE"""),5.0)</f>
        <v>5</v>
      </c>
      <c r="F25" s="3" t="str">
        <f>IFERROR(__xludf.DUMMYFUNCTION("""COMPUTED_VALUE"""),"Wandsworth Borough 5s")</f>
        <v>Wandsworth Borough 5s</v>
      </c>
      <c r="G25" s="3" t="str">
        <f>IFERROR(__xludf.DUMMYFUNCTION("""COMPUTED_VALUE"""),"WIN")</f>
        <v>WIN</v>
      </c>
      <c r="H25" s="3">
        <f>IFERROR(__xludf.DUMMYFUNCTION("""COMPUTED_VALUE"""),1.0)</f>
        <v>1</v>
      </c>
      <c r="I25" s="3"/>
      <c r="J25" s="3">
        <f>IFERROR(__xludf.DUMMYFUNCTION("""COMPUTED_VALUE"""),2.0)</f>
        <v>2</v>
      </c>
      <c r="K25" s="3">
        <f>IFERROR(__xludf.DUMMYFUNCTION("""COMPUTED_VALUE"""),1.0)</f>
        <v>1</v>
      </c>
      <c r="L25" s="3"/>
      <c r="M25" s="3"/>
      <c r="N25" s="3" t="b">
        <f>IFERROR(__xludf.DUMMYFUNCTION("""COMPUTED_VALUE"""),FALSE)</f>
        <v>0</v>
      </c>
      <c r="O25" s="3"/>
      <c r="P25" s="3"/>
      <c r="Q25" s="3"/>
      <c r="R25" s="3">
        <f>IFERROR(__xludf.DUMMYFUNCTION("""COMPUTED_VALUE"""),0.0)</f>
        <v>0</v>
      </c>
      <c r="S25" s="3"/>
      <c r="T25" s="3">
        <f>IFERROR(__xludf.DUMMYFUNCTION("""COMPUTED_VALUE"""),10.0)</f>
        <v>10</v>
      </c>
      <c r="U25" s="3">
        <f>IFERROR(__xludf.DUMMYFUNCTION("""COMPUTED_VALUE"""),7.5)</f>
        <v>7.5</v>
      </c>
      <c r="V25" s="3" t="str">
        <f>IFERROR(__xludf.DUMMYFUNCTION("""COMPUTED_VALUE"""),"Another battling performance from Harry especially with his ankle blowing up like a balloon. He played on though and scored the winner ")</f>
        <v>Another battling performance from Harry especially with his ankle blowing up like a balloon. He played on though and scored the winner </v>
      </c>
      <c r="W25" s="3"/>
      <c r="X25" s="3"/>
      <c r="Y25" s="3">
        <f>IFERROR(__xludf.DUMMYFUNCTION("""COMPUTED_VALUE"""),3.0)</f>
        <v>3</v>
      </c>
      <c r="Z25" s="3">
        <f>IFERROR(__xludf.DUMMYFUNCTION("""COMPUTED_VALUE"""),2.0)</f>
        <v>2</v>
      </c>
      <c r="AA25" s="3">
        <f>IFERROR(__xludf.DUMMYFUNCTION("""COMPUTED_VALUE"""),6.0)</f>
        <v>6</v>
      </c>
      <c r="AB25" s="3" t="b">
        <f>IFERROR(__xludf.DUMMYFUNCTION("""COMPUTED_VALUE"""),FALSE)</f>
        <v>0</v>
      </c>
      <c r="AC25" s="73">
        <f>IFERROR(__xludf.DUMMYFUNCTION("""COMPUTED_VALUE"""),1.0)</f>
        <v>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3.38"/>
  </cols>
  <sheetData>
    <row r="1">
      <c r="A1" s="3" t="str">
        <f>IFERROR(__xludf.DUMMYFUNCTION("query('OTPI Scores'!A:AA,""Select A,C,sum(AA) where C!='' and B!='Friendly' group by A,C ORDER BY A"")"),"Game Date")</f>
        <v>Game Date</v>
      </c>
      <c r="B1" s="3" t="str">
        <f>IFERROR(__xludf.DUMMYFUNCTION("""COMPUTED_VALUE"""),"Player Name")</f>
        <v>Player Name</v>
      </c>
      <c r="C1" s="3" t="str">
        <f>IFERROR(__xludf.DUMMYFUNCTION("""COMPUTED_VALUE"""),"sum OPTI Score")</f>
        <v>sum OPTI Score</v>
      </c>
      <c r="D1" s="5" t="s">
        <v>2294</v>
      </c>
      <c r="F1" s="5" t="s">
        <v>63</v>
      </c>
      <c r="G1" s="5" t="s">
        <v>65</v>
      </c>
      <c r="H1" s="5" t="s">
        <v>173</v>
      </c>
    </row>
    <row r="2">
      <c r="A2" s="10"/>
      <c r="B2" s="3" t="str">
        <f>IFERROR(__xludf.DUMMYFUNCTION("""COMPUTED_VALUE"""),"Aaron Snelling")</f>
        <v>Aaron Snelling</v>
      </c>
      <c r="C2" s="3"/>
      <c r="D2" s="3">
        <f t="shared" ref="D2:D1709" si="1">if(MAXIFS(C:C,A:A,A2)=C2,1,0)</f>
        <v>1</v>
      </c>
      <c r="F2" s="10" t="str">
        <f>IFERROR(__xludf.DUMMYFUNCTION("query(A:D,""SELECT A,B,C where D=1"",0)"),"")</f>
        <v/>
      </c>
      <c r="G2" s="3" t="str">
        <f>IFERROR(__xludf.DUMMYFUNCTION("""COMPUTED_VALUE"""),"Aaron Snelling")</f>
        <v>Aaron Snelling</v>
      </c>
      <c r="H2" s="3"/>
    </row>
    <row r="3">
      <c r="A3" s="10"/>
      <c r="B3" s="3" t="str">
        <f>IFERROR(__xludf.DUMMYFUNCTION("""COMPUTED_VALUE"""),"Ade Lawal")</f>
        <v>Ade Lawal</v>
      </c>
      <c r="C3" s="3"/>
      <c r="D3" s="3">
        <f t="shared" si="1"/>
        <v>1</v>
      </c>
      <c r="F3" s="10"/>
      <c r="G3" s="3" t="str">
        <f>IFERROR(__xludf.DUMMYFUNCTION("""COMPUTED_VALUE"""),"Ade Lawal")</f>
        <v>Ade Lawal</v>
      </c>
      <c r="H3" s="3"/>
    </row>
    <row r="4">
      <c r="A4" s="10"/>
      <c r="B4" s="3" t="str">
        <f>IFERROR(__xludf.DUMMYFUNCTION("""COMPUTED_VALUE"""),"Alex Mansfield")</f>
        <v>Alex Mansfield</v>
      </c>
      <c r="C4" s="3"/>
      <c r="D4" s="3">
        <f t="shared" si="1"/>
        <v>1</v>
      </c>
      <c r="F4" s="10"/>
      <c r="G4" s="3" t="str">
        <f>IFERROR(__xludf.DUMMYFUNCTION("""COMPUTED_VALUE"""),"Alex Mansfield")</f>
        <v>Alex Mansfield</v>
      </c>
      <c r="H4" s="3"/>
    </row>
    <row r="5">
      <c r="A5" s="10"/>
      <c r="B5" s="3" t="str">
        <f>IFERROR(__xludf.DUMMYFUNCTION("""COMPUTED_VALUE"""),"Alex Stevens")</f>
        <v>Alex Stevens</v>
      </c>
      <c r="C5" s="3"/>
      <c r="D5" s="3">
        <f t="shared" si="1"/>
        <v>1</v>
      </c>
      <c r="F5" s="10"/>
      <c r="G5" s="3" t="str">
        <f>IFERROR(__xludf.DUMMYFUNCTION("""COMPUTED_VALUE"""),"Alex Stevens")</f>
        <v>Alex Stevens</v>
      </c>
      <c r="H5" s="3"/>
    </row>
    <row r="6">
      <c r="A6" s="10"/>
      <c r="B6" s="3" t="str">
        <f>IFERROR(__xludf.DUMMYFUNCTION("""COMPUTED_VALUE"""),"Ben Dockerill")</f>
        <v>Ben Dockerill</v>
      </c>
      <c r="C6" s="3"/>
      <c r="D6" s="3">
        <f t="shared" si="1"/>
        <v>1</v>
      </c>
      <c r="F6" s="10"/>
      <c r="G6" s="3" t="str">
        <f>IFERROR(__xludf.DUMMYFUNCTION("""COMPUTED_VALUE"""),"Ben Dockerill")</f>
        <v>Ben Dockerill</v>
      </c>
      <c r="H6" s="3"/>
    </row>
    <row r="7">
      <c r="A7" s="10"/>
      <c r="B7" s="3" t="str">
        <f>IFERROR(__xludf.DUMMYFUNCTION("""COMPUTED_VALUE"""),"Cameron Pashley")</f>
        <v>Cameron Pashley</v>
      </c>
      <c r="C7" s="3"/>
      <c r="D7" s="3">
        <f t="shared" si="1"/>
        <v>1</v>
      </c>
      <c r="F7" s="10"/>
      <c r="G7" s="3" t="str">
        <f>IFERROR(__xludf.DUMMYFUNCTION("""COMPUTED_VALUE"""),"Cameron Pashley")</f>
        <v>Cameron Pashley</v>
      </c>
      <c r="H7" s="3"/>
    </row>
    <row r="8">
      <c r="A8" s="10"/>
      <c r="B8" s="3" t="str">
        <f>IFERROR(__xludf.DUMMYFUNCTION("""COMPUTED_VALUE"""),"Chris Douthwaite")</f>
        <v>Chris Douthwaite</v>
      </c>
      <c r="C8" s="3"/>
      <c r="D8" s="3">
        <f t="shared" si="1"/>
        <v>1</v>
      </c>
      <c r="F8" s="10"/>
      <c r="G8" s="3" t="str">
        <f>IFERROR(__xludf.DUMMYFUNCTION("""COMPUTED_VALUE"""),"Chris Douthwaite")</f>
        <v>Chris Douthwaite</v>
      </c>
      <c r="H8" s="3"/>
    </row>
    <row r="9">
      <c r="A9" s="10"/>
      <c r="B9" s="3" t="str">
        <f>IFERROR(__xludf.DUMMYFUNCTION("""COMPUTED_VALUE"""),"Dan Klin")</f>
        <v>Dan Klin</v>
      </c>
      <c r="C9" s="3"/>
      <c r="D9" s="3">
        <f t="shared" si="1"/>
        <v>1</v>
      </c>
      <c r="F9" s="10"/>
      <c r="G9" s="3" t="str">
        <f>IFERROR(__xludf.DUMMYFUNCTION("""COMPUTED_VALUE"""),"Dan Klin")</f>
        <v>Dan Klin</v>
      </c>
      <c r="H9" s="3"/>
    </row>
    <row r="10">
      <c r="A10" s="10"/>
      <c r="B10" s="3" t="str">
        <f>IFERROR(__xludf.DUMMYFUNCTION("""COMPUTED_VALUE"""),"Dan Russell")</f>
        <v>Dan Russell</v>
      </c>
      <c r="C10" s="3"/>
      <c r="D10" s="3">
        <f t="shared" si="1"/>
        <v>1</v>
      </c>
      <c r="F10" s="10"/>
      <c r="G10" s="3" t="str">
        <f>IFERROR(__xludf.DUMMYFUNCTION("""COMPUTED_VALUE"""),"Dan Russell")</f>
        <v>Dan Russell</v>
      </c>
      <c r="H10" s="3"/>
    </row>
    <row r="11">
      <c r="A11" s="10"/>
      <c r="B11" s="3" t="str">
        <f>IFERROR(__xludf.DUMMYFUNCTION("""COMPUTED_VALUE"""),"Daniel Sheehan")</f>
        <v>Daniel Sheehan</v>
      </c>
      <c r="C11" s="3"/>
      <c r="D11" s="3">
        <f t="shared" si="1"/>
        <v>1</v>
      </c>
      <c r="F11" s="10"/>
      <c r="G11" s="3" t="str">
        <f>IFERROR(__xludf.DUMMYFUNCTION("""COMPUTED_VALUE"""),"Daniel Sheehan")</f>
        <v>Daniel Sheehan</v>
      </c>
      <c r="H11" s="3"/>
    </row>
    <row r="12">
      <c r="A12" s="10"/>
      <c r="B12" s="3" t="str">
        <f>IFERROR(__xludf.DUMMYFUNCTION("""COMPUTED_VALUE"""),"Denver Lalonde")</f>
        <v>Denver Lalonde</v>
      </c>
      <c r="C12" s="3"/>
      <c r="D12" s="3">
        <f t="shared" si="1"/>
        <v>1</v>
      </c>
      <c r="F12" s="10"/>
      <c r="G12" s="3" t="str">
        <f>IFERROR(__xludf.DUMMYFUNCTION("""COMPUTED_VALUE"""),"Denver Lalonde")</f>
        <v>Denver Lalonde</v>
      </c>
      <c r="H12" s="3"/>
    </row>
    <row r="13">
      <c r="A13" s="10"/>
      <c r="B13" s="3" t="str">
        <f>IFERROR(__xludf.DUMMYFUNCTION("""COMPUTED_VALUE"""),"Emi Muhadri")</f>
        <v>Emi Muhadri</v>
      </c>
      <c r="C13" s="3"/>
      <c r="D13" s="3">
        <f t="shared" si="1"/>
        <v>1</v>
      </c>
      <c r="F13" s="10"/>
      <c r="G13" s="3" t="str">
        <f>IFERROR(__xludf.DUMMYFUNCTION("""COMPUTED_VALUE"""),"Emi Muhadri")</f>
        <v>Emi Muhadri</v>
      </c>
      <c r="H13" s="3"/>
    </row>
    <row r="14">
      <c r="A14" s="10"/>
      <c r="B14" s="3" t="str">
        <f>IFERROR(__xludf.DUMMYFUNCTION("""COMPUTED_VALUE"""),"George Havord")</f>
        <v>George Havord</v>
      </c>
      <c r="C14" s="3"/>
      <c r="D14" s="3">
        <f t="shared" si="1"/>
        <v>1</v>
      </c>
      <c r="F14" s="10"/>
      <c r="G14" s="3" t="str">
        <f>IFERROR(__xludf.DUMMYFUNCTION("""COMPUTED_VALUE"""),"George Havord")</f>
        <v>George Havord</v>
      </c>
      <c r="H14" s="3"/>
    </row>
    <row r="15">
      <c r="A15" s="10"/>
      <c r="B15" s="3" t="str">
        <f>IFERROR(__xludf.DUMMYFUNCTION("""COMPUTED_VALUE"""),"Ismail Wall")</f>
        <v>Ismail Wall</v>
      </c>
      <c r="C15" s="3"/>
      <c r="D15" s="3">
        <f t="shared" si="1"/>
        <v>1</v>
      </c>
      <c r="F15" s="10"/>
      <c r="G15" s="3" t="str">
        <f>IFERROR(__xludf.DUMMYFUNCTION("""COMPUTED_VALUE"""),"Ismail Wall")</f>
        <v>Ismail Wall</v>
      </c>
      <c r="H15" s="3"/>
    </row>
    <row r="16">
      <c r="A16" s="10"/>
      <c r="B16" s="3" t="str">
        <f>IFERROR(__xludf.DUMMYFUNCTION("""COMPUTED_VALUE"""),"James Rodriguez")</f>
        <v>James Rodriguez</v>
      </c>
      <c r="C16" s="3"/>
      <c r="D16" s="3">
        <f t="shared" si="1"/>
        <v>1</v>
      </c>
      <c r="F16" s="10"/>
      <c r="G16" s="3" t="str">
        <f>IFERROR(__xludf.DUMMYFUNCTION("""COMPUTED_VALUE"""),"James Rodriguez")</f>
        <v>James Rodriguez</v>
      </c>
      <c r="H16" s="3"/>
    </row>
    <row r="17">
      <c r="A17" s="10"/>
      <c r="B17" s="3" t="str">
        <f>IFERROR(__xludf.DUMMYFUNCTION("""COMPUTED_VALUE"""),"James Timmins")</f>
        <v>James Timmins</v>
      </c>
      <c r="C17" s="3"/>
      <c r="D17" s="3">
        <f t="shared" si="1"/>
        <v>1</v>
      </c>
      <c r="F17" s="10"/>
      <c r="G17" s="3" t="str">
        <f>IFERROR(__xludf.DUMMYFUNCTION("""COMPUTED_VALUE"""),"James Timmins")</f>
        <v>James Timmins</v>
      </c>
      <c r="H17" s="3"/>
    </row>
    <row r="18">
      <c r="A18" s="10"/>
      <c r="B18" s="3" t="str">
        <f>IFERROR(__xludf.DUMMYFUNCTION("""COMPUTED_VALUE"""),"Jamie Wood")</f>
        <v>Jamie Wood</v>
      </c>
      <c r="C18" s="3"/>
      <c r="D18" s="3">
        <f t="shared" si="1"/>
        <v>1</v>
      </c>
      <c r="F18" s="10"/>
      <c r="G18" s="3" t="str">
        <f>IFERROR(__xludf.DUMMYFUNCTION("""COMPUTED_VALUE"""),"Jamie Wood")</f>
        <v>Jamie Wood</v>
      </c>
      <c r="H18" s="3"/>
    </row>
    <row r="19">
      <c r="A19" s="10"/>
      <c r="B19" s="3" t="str">
        <f>IFERROR(__xludf.DUMMYFUNCTION("""COMPUTED_VALUE"""),"Janam Satra")</f>
        <v>Janam Satra</v>
      </c>
      <c r="C19" s="3"/>
      <c r="D19" s="3">
        <f t="shared" si="1"/>
        <v>1</v>
      </c>
      <c r="F19" s="10"/>
      <c r="G19" s="3" t="str">
        <f>IFERROR(__xludf.DUMMYFUNCTION("""COMPUTED_VALUE"""),"Janam Satra")</f>
        <v>Janam Satra</v>
      </c>
      <c r="H19" s="3"/>
    </row>
    <row r="20">
      <c r="A20" s="10"/>
      <c r="B20" s="3" t="str">
        <f>IFERROR(__xludf.DUMMYFUNCTION("""COMPUTED_VALUE"""),"Jarvis Cheek")</f>
        <v>Jarvis Cheek</v>
      </c>
      <c r="C20" s="3"/>
      <c r="D20" s="3">
        <f t="shared" si="1"/>
        <v>1</v>
      </c>
      <c r="F20" s="10"/>
      <c r="G20" s="3" t="str">
        <f>IFERROR(__xludf.DUMMYFUNCTION("""COMPUTED_VALUE"""),"Jarvis Cheek")</f>
        <v>Jarvis Cheek</v>
      </c>
      <c r="H20" s="3"/>
    </row>
    <row r="21">
      <c r="A21" s="10"/>
      <c r="B21" s="3" t="str">
        <f>IFERROR(__xludf.DUMMYFUNCTION("""COMPUTED_VALUE"""),"Jason Heath")</f>
        <v>Jason Heath</v>
      </c>
      <c r="C21" s="3"/>
      <c r="D21" s="3">
        <f t="shared" si="1"/>
        <v>1</v>
      </c>
      <c r="F21" s="10"/>
      <c r="G21" s="3" t="str">
        <f>IFERROR(__xludf.DUMMYFUNCTION("""COMPUTED_VALUE"""),"Jason Heath")</f>
        <v>Jason Heath</v>
      </c>
      <c r="H21" s="3"/>
    </row>
    <row r="22">
      <c r="A22" s="10"/>
      <c r="B22" s="3" t="str">
        <f>IFERROR(__xludf.DUMMYFUNCTION("""COMPUTED_VALUE"""),"Joe Vincent")</f>
        <v>Joe Vincent</v>
      </c>
      <c r="C22" s="3"/>
      <c r="D22" s="3">
        <f t="shared" si="1"/>
        <v>1</v>
      </c>
      <c r="F22" s="10"/>
      <c r="G22" s="3" t="str">
        <f>IFERROR(__xludf.DUMMYFUNCTION("""COMPUTED_VALUE"""),"Joe Vincent")</f>
        <v>Joe Vincent</v>
      </c>
      <c r="H22" s="3"/>
    </row>
    <row r="23">
      <c r="A23" s="10"/>
      <c r="B23" s="3" t="str">
        <f>IFERROR(__xludf.DUMMYFUNCTION("""COMPUTED_VALUE"""),"Josh Sherriff-Jolly")</f>
        <v>Josh Sherriff-Jolly</v>
      </c>
      <c r="C23" s="3"/>
      <c r="D23" s="3">
        <f t="shared" si="1"/>
        <v>1</v>
      </c>
      <c r="F23" s="10"/>
      <c r="G23" s="3" t="str">
        <f>IFERROR(__xludf.DUMMYFUNCTION("""COMPUTED_VALUE"""),"Josh Sherriff-Jolly")</f>
        <v>Josh Sherriff-Jolly</v>
      </c>
      <c r="H23" s="3"/>
    </row>
    <row r="24">
      <c r="A24" s="10"/>
      <c r="B24" s="3" t="str">
        <f>IFERROR(__xludf.DUMMYFUNCTION("""COMPUTED_VALUE"""),"Kai Clack")</f>
        <v>Kai Clack</v>
      </c>
      <c r="C24" s="3"/>
      <c r="D24" s="3">
        <f t="shared" si="1"/>
        <v>1</v>
      </c>
      <c r="F24" s="10"/>
      <c r="G24" s="3" t="str">
        <f>IFERROR(__xludf.DUMMYFUNCTION("""COMPUTED_VALUE"""),"Kai Clack")</f>
        <v>Kai Clack</v>
      </c>
      <c r="H24" s="3"/>
    </row>
    <row r="25">
      <c r="A25" s="10"/>
      <c r="B25" s="3" t="str">
        <f>IFERROR(__xludf.DUMMYFUNCTION("""COMPUTED_VALUE"""),"Keaton Cohen")</f>
        <v>Keaton Cohen</v>
      </c>
      <c r="C25" s="3"/>
      <c r="D25" s="3">
        <f t="shared" si="1"/>
        <v>1</v>
      </c>
      <c r="F25" s="10"/>
      <c r="G25" s="3" t="str">
        <f>IFERROR(__xludf.DUMMYFUNCTION("""COMPUTED_VALUE"""),"Keaton Cohen")</f>
        <v>Keaton Cohen</v>
      </c>
      <c r="H25" s="3"/>
    </row>
    <row r="26">
      <c r="A26" s="10"/>
      <c r="B26" s="3" t="str">
        <f>IFERROR(__xludf.DUMMYFUNCTION("""COMPUTED_VALUE"""),"Luke Dyges")</f>
        <v>Luke Dyges</v>
      </c>
      <c r="C26" s="3"/>
      <c r="D26" s="3">
        <f t="shared" si="1"/>
        <v>1</v>
      </c>
      <c r="F26" s="10"/>
      <c r="G26" s="3" t="str">
        <f>IFERROR(__xludf.DUMMYFUNCTION("""COMPUTED_VALUE"""),"Luke Dyges")</f>
        <v>Luke Dyges</v>
      </c>
      <c r="H26" s="3"/>
    </row>
    <row r="27">
      <c r="A27" s="10"/>
      <c r="B27" s="3" t="str">
        <f>IFERROR(__xludf.DUMMYFUNCTION("""COMPUTED_VALUE"""),"Mark Roberts")</f>
        <v>Mark Roberts</v>
      </c>
      <c r="C27" s="3"/>
      <c r="D27" s="3">
        <f t="shared" si="1"/>
        <v>1</v>
      </c>
      <c r="F27" s="10"/>
      <c r="G27" s="3" t="str">
        <f>IFERROR(__xludf.DUMMYFUNCTION("""COMPUTED_VALUE"""),"Mark Roberts")</f>
        <v>Mark Roberts</v>
      </c>
      <c r="H27" s="3"/>
    </row>
    <row r="28">
      <c r="A28" s="10"/>
      <c r="B28" s="3" t="str">
        <f>IFERROR(__xludf.DUMMYFUNCTION("""COMPUTED_VALUE"""),"Martin Goodson")</f>
        <v>Martin Goodson</v>
      </c>
      <c r="C28" s="3"/>
      <c r="D28" s="3">
        <f t="shared" si="1"/>
        <v>1</v>
      </c>
      <c r="F28" s="10"/>
      <c r="G28" s="3" t="str">
        <f>IFERROR(__xludf.DUMMYFUNCTION("""COMPUTED_VALUE"""),"Martin Goodson")</f>
        <v>Martin Goodson</v>
      </c>
      <c r="H28" s="3"/>
    </row>
    <row r="29">
      <c r="A29" s="10"/>
      <c r="B29" s="3" t="str">
        <f>IFERROR(__xludf.DUMMYFUNCTION("""COMPUTED_VALUE"""),"Matt Crowe")</f>
        <v>Matt Crowe</v>
      </c>
      <c r="C29" s="3"/>
      <c r="D29" s="3">
        <f t="shared" si="1"/>
        <v>1</v>
      </c>
      <c r="F29" s="10"/>
      <c r="G29" s="3" t="str">
        <f>IFERROR(__xludf.DUMMYFUNCTION("""COMPUTED_VALUE"""),"Matt Crowe")</f>
        <v>Matt Crowe</v>
      </c>
      <c r="H29" s="3"/>
    </row>
    <row r="30">
      <c r="A30" s="10"/>
      <c r="B30" s="3" t="str">
        <f>IFERROR(__xludf.DUMMYFUNCTION("""COMPUTED_VALUE"""),"Matt Hope")</f>
        <v>Matt Hope</v>
      </c>
      <c r="C30" s="3"/>
      <c r="D30" s="3">
        <f t="shared" si="1"/>
        <v>1</v>
      </c>
      <c r="F30" s="10"/>
      <c r="G30" s="3" t="str">
        <f>IFERROR(__xludf.DUMMYFUNCTION("""COMPUTED_VALUE"""),"Matt Hope")</f>
        <v>Matt Hope</v>
      </c>
      <c r="H30" s="3"/>
    </row>
    <row r="31">
      <c r="A31" s="10"/>
      <c r="B31" s="3" t="str">
        <f>IFERROR(__xludf.DUMMYFUNCTION("""COMPUTED_VALUE"""),"Matthew Thomas")</f>
        <v>Matthew Thomas</v>
      </c>
      <c r="C31" s="3"/>
      <c r="D31" s="3">
        <f t="shared" si="1"/>
        <v>1</v>
      </c>
      <c r="F31" s="10"/>
      <c r="G31" s="3" t="str">
        <f>IFERROR(__xludf.DUMMYFUNCTION("""COMPUTED_VALUE"""),"Matthew Thomas")</f>
        <v>Matthew Thomas</v>
      </c>
      <c r="H31" s="3"/>
    </row>
    <row r="32">
      <c r="A32" s="10"/>
      <c r="B32" s="3" t="str">
        <f>IFERROR(__xludf.DUMMYFUNCTION("""COMPUTED_VALUE"""),"Nathan Baverstock")</f>
        <v>Nathan Baverstock</v>
      </c>
      <c r="C32" s="3"/>
      <c r="D32" s="3">
        <f t="shared" si="1"/>
        <v>1</v>
      </c>
      <c r="F32" s="10"/>
      <c r="G32" s="3" t="str">
        <f>IFERROR(__xludf.DUMMYFUNCTION("""COMPUTED_VALUE"""),"Nathan Baverstock")</f>
        <v>Nathan Baverstock</v>
      </c>
      <c r="H32" s="3"/>
    </row>
    <row r="33">
      <c r="A33" s="10"/>
      <c r="B33" s="3" t="str">
        <f>IFERROR(__xludf.DUMMYFUNCTION("""COMPUTED_VALUE"""),"Niall Wootten")</f>
        <v>Niall Wootten</v>
      </c>
      <c r="C33" s="3"/>
      <c r="D33" s="3">
        <f t="shared" si="1"/>
        <v>1</v>
      </c>
      <c r="F33" s="10"/>
      <c r="G33" s="3" t="str">
        <f>IFERROR(__xludf.DUMMYFUNCTION("""COMPUTED_VALUE"""),"Niall Wootten")</f>
        <v>Niall Wootten</v>
      </c>
      <c r="H33" s="3"/>
    </row>
    <row r="34">
      <c r="A34" s="10"/>
      <c r="B34" s="3" t="str">
        <f>IFERROR(__xludf.DUMMYFUNCTION("""COMPUTED_VALUE"""),"Nick Chimonides")</f>
        <v>Nick Chimonides</v>
      </c>
      <c r="C34" s="3"/>
      <c r="D34" s="3">
        <f t="shared" si="1"/>
        <v>1</v>
      </c>
      <c r="F34" s="10"/>
      <c r="G34" s="3" t="str">
        <f>IFERROR(__xludf.DUMMYFUNCTION("""COMPUTED_VALUE"""),"Nick Chimonides")</f>
        <v>Nick Chimonides</v>
      </c>
      <c r="H34" s="3"/>
    </row>
    <row r="35">
      <c r="A35" s="10"/>
      <c r="B35" s="3" t="str">
        <f>IFERROR(__xludf.DUMMYFUNCTION("""COMPUTED_VALUE"""),"Ollie Sewell")</f>
        <v>Ollie Sewell</v>
      </c>
      <c r="C35" s="3"/>
      <c r="D35" s="3">
        <f t="shared" si="1"/>
        <v>1</v>
      </c>
      <c r="F35" s="10"/>
      <c r="G35" s="3" t="str">
        <f>IFERROR(__xludf.DUMMYFUNCTION("""COMPUTED_VALUE"""),"Ollie Sewell")</f>
        <v>Ollie Sewell</v>
      </c>
      <c r="H35" s="3"/>
    </row>
    <row r="36">
      <c r="A36" s="10"/>
      <c r="B36" s="3" t="str">
        <f>IFERROR(__xludf.DUMMYFUNCTION("""COMPUTED_VALUE"""),"Parimal Patel")</f>
        <v>Parimal Patel</v>
      </c>
      <c r="C36" s="3"/>
      <c r="D36" s="3">
        <f t="shared" si="1"/>
        <v>1</v>
      </c>
      <c r="F36" s="10"/>
      <c r="G36" s="3" t="str">
        <f>IFERROR(__xludf.DUMMYFUNCTION("""COMPUTED_VALUE"""),"Parimal Patel")</f>
        <v>Parimal Patel</v>
      </c>
      <c r="H36" s="3"/>
    </row>
    <row r="37">
      <c r="A37" s="10"/>
      <c r="B37" s="3" t="str">
        <f>IFERROR(__xludf.DUMMYFUNCTION("""COMPUTED_VALUE"""),"Pierce Bennett")</f>
        <v>Pierce Bennett</v>
      </c>
      <c r="C37" s="3"/>
      <c r="D37" s="3">
        <f t="shared" si="1"/>
        <v>1</v>
      </c>
      <c r="F37" s="10"/>
      <c r="G37" s="3" t="str">
        <f>IFERROR(__xludf.DUMMYFUNCTION("""COMPUTED_VALUE"""),"Pierce Bennett")</f>
        <v>Pierce Bennett</v>
      </c>
      <c r="H37" s="3"/>
    </row>
    <row r="38">
      <c r="A38" s="10"/>
      <c r="B38" s="3" t="str">
        <f>IFERROR(__xludf.DUMMYFUNCTION("""COMPUTED_VALUE"""),"Richard Jones")</f>
        <v>Richard Jones</v>
      </c>
      <c r="C38" s="3"/>
      <c r="D38" s="3">
        <f t="shared" si="1"/>
        <v>1</v>
      </c>
      <c r="F38" s="10"/>
      <c r="G38" s="3" t="str">
        <f>IFERROR(__xludf.DUMMYFUNCTION("""COMPUTED_VALUE"""),"Richard Jones")</f>
        <v>Richard Jones</v>
      </c>
      <c r="H38" s="3"/>
    </row>
    <row r="39">
      <c r="A39" s="10"/>
      <c r="B39" s="3" t="str">
        <f>IFERROR(__xludf.DUMMYFUNCTION("""COMPUTED_VALUE"""),"Tali Kiwanuka")</f>
        <v>Tali Kiwanuka</v>
      </c>
      <c r="C39" s="3"/>
      <c r="D39" s="3">
        <f t="shared" si="1"/>
        <v>1</v>
      </c>
      <c r="F39" s="10"/>
      <c r="G39" s="3" t="str">
        <f>IFERROR(__xludf.DUMMYFUNCTION("""COMPUTED_VALUE"""),"Tali Kiwanuka")</f>
        <v>Tali Kiwanuka</v>
      </c>
      <c r="H39" s="3"/>
    </row>
    <row r="40">
      <c r="A40" s="10"/>
      <c r="B40" s="3" t="str">
        <f>IFERROR(__xludf.DUMMYFUNCTION("""COMPUTED_VALUE"""),"Theo Horton")</f>
        <v>Theo Horton</v>
      </c>
      <c r="C40" s="3"/>
      <c r="D40" s="3">
        <f t="shared" si="1"/>
        <v>1</v>
      </c>
      <c r="F40" s="10"/>
      <c r="G40" s="3" t="str">
        <f>IFERROR(__xludf.DUMMYFUNCTION("""COMPUTED_VALUE"""),"Theo Horton")</f>
        <v>Theo Horton</v>
      </c>
      <c r="H40" s="3"/>
    </row>
    <row r="41">
      <c r="A41" s="10"/>
      <c r="B41" s="3" t="str">
        <f>IFERROR(__xludf.DUMMYFUNCTION("""COMPUTED_VALUE"""),"Tom Love")</f>
        <v>Tom Love</v>
      </c>
      <c r="C41" s="3"/>
      <c r="D41" s="3">
        <f t="shared" si="1"/>
        <v>1</v>
      </c>
      <c r="F41" s="10"/>
      <c r="G41" s="3" t="str">
        <f>IFERROR(__xludf.DUMMYFUNCTION("""COMPUTED_VALUE"""),"Tom Love")</f>
        <v>Tom Love</v>
      </c>
      <c r="H41" s="3"/>
    </row>
    <row r="42">
      <c r="A42" s="10"/>
      <c r="B42" s="3" t="str">
        <f>IFERROR(__xludf.DUMMYFUNCTION("""COMPUTED_VALUE"""),"Will French")</f>
        <v>Will French</v>
      </c>
      <c r="C42" s="3"/>
      <c r="D42" s="3">
        <f t="shared" si="1"/>
        <v>1</v>
      </c>
      <c r="F42" s="10"/>
      <c r="G42" s="3" t="str">
        <f>IFERROR(__xludf.DUMMYFUNCTION("""COMPUTED_VALUE"""),"Will French")</f>
        <v>Will French</v>
      </c>
      <c r="H42" s="3"/>
    </row>
    <row r="43">
      <c r="A43" s="10"/>
      <c r="B43" s="3" t="str">
        <f>IFERROR(__xludf.DUMMYFUNCTION("""COMPUTED_VALUE"""),"Yemi Oviosu")</f>
        <v>Yemi Oviosu</v>
      </c>
      <c r="C43" s="3"/>
      <c r="D43" s="3">
        <f t="shared" si="1"/>
        <v>1</v>
      </c>
      <c r="F43" s="10"/>
      <c r="G43" s="3" t="str">
        <f>IFERROR(__xludf.DUMMYFUNCTION("""COMPUTED_VALUE"""),"Yemi Oviosu")</f>
        <v>Yemi Oviosu</v>
      </c>
      <c r="H43" s="3"/>
    </row>
    <row r="44">
      <c r="A44" s="10">
        <f>IFERROR(__xludf.DUMMYFUNCTION("""COMPUTED_VALUE"""),45178.0)</f>
        <v>45178</v>
      </c>
      <c r="B44" s="3" t="str">
        <f>IFERROR(__xludf.DUMMYFUNCTION("""COMPUTED_VALUE"""),"Aaron Snelling")</f>
        <v>Aaron Snelling</v>
      </c>
      <c r="C44" s="3">
        <f>IFERROR(__xludf.DUMMYFUNCTION("""COMPUTED_VALUE"""),8.0)</f>
        <v>8</v>
      </c>
      <c r="D44" s="3">
        <f t="shared" si="1"/>
        <v>0</v>
      </c>
      <c r="F44" s="10">
        <f>IFERROR(__xludf.DUMMYFUNCTION("""COMPUTED_VALUE"""),45178.0)</f>
        <v>45178</v>
      </c>
      <c r="G44" s="3" t="str">
        <f>IFERROR(__xludf.DUMMYFUNCTION("""COMPUTED_VALUE"""),"Alex Dockerill")</f>
        <v>Alex Dockerill</v>
      </c>
      <c r="H44" s="3">
        <f>IFERROR(__xludf.DUMMYFUNCTION("""COMPUTED_VALUE"""),15.0)</f>
        <v>15</v>
      </c>
    </row>
    <row r="45">
      <c r="A45" s="10">
        <f>IFERROR(__xludf.DUMMYFUNCTION("""COMPUTED_VALUE"""),45178.0)</f>
        <v>45178</v>
      </c>
      <c r="B45" s="3" t="str">
        <f>IFERROR(__xludf.DUMMYFUNCTION("""COMPUTED_VALUE"""),"Alex Clark")</f>
        <v>Alex Clark</v>
      </c>
      <c r="C45" s="3">
        <f>IFERROR(__xludf.DUMMYFUNCTION("""COMPUTED_VALUE"""),5.0)</f>
        <v>5</v>
      </c>
      <c r="D45" s="3">
        <f t="shared" si="1"/>
        <v>0</v>
      </c>
      <c r="F45" s="10">
        <f>IFERROR(__xludf.DUMMYFUNCTION("""COMPUTED_VALUE"""),45185.0)</f>
        <v>45185</v>
      </c>
      <c r="G45" s="3" t="str">
        <f>IFERROR(__xludf.DUMMYFUNCTION("""COMPUTED_VALUE"""),"Richard Jones")</f>
        <v>Richard Jones</v>
      </c>
      <c r="H45" s="3">
        <f>IFERROR(__xludf.DUMMYFUNCTION("""COMPUTED_VALUE"""),23.0)</f>
        <v>23</v>
      </c>
    </row>
    <row r="46">
      <c r="A46" s="10">
        <f>IFERROR(__xludf.DUMMYFUNCTION("""COMPUTED_VALUE"""),45178.0)</f>
        <v>45178</v>
      </c>
      <c r="B46" s="3" t="str">
        <f>IFERROR(__xludf.DUMMYFUNCTION("""COMPUTED_VALUE"""),"Alex Dockerill")</f>
        <v>Alex Dockerill</v>
      </c>
      <c r="C46" s="3">
        <f>IFERROR(__xludf.DUMMYFUNCTION("""COMPUTED_VALUE"""),15.0)</f>
        <v>15</v>
      </c>
      <c r="D46" s="3">
        <f t="shared" si="1"/>
        <v>1</v>
      </c>
      <c r="F46" s="10">
        <f>IFERROR(__xludf.DUMMYFUNCTION("""COMPUTED_VALUE"""),45192.0)</f>
        <v>45192</v>
      </c>
      <c r="G46" s="3" t="str">
        <f>IFERROR(__xludf.DUMMYFUNCTION("""COMPUTED_VALUE"""),"Jonny Simmons")</f>
        <v>Jonny Simmons</v>
      </c>
      <c r="H46" s="3">
        <f>IFERROR(__xludf.DUMMYFUNCTION("""COMPUTED_VALUE"""),13.0)</f>
        <v>13</v>
      </c>
    </row>
    <row r="47">
      <c r="A47" s="10">
        <f>IFERROR(__xludf.DUMMYFUNCTION("""COMPUTED_VALUE"""),45178.0)</f>
        <v>45178</v>
      </c>
      <c r="B47" s="3" t="str">
        <f>IFERROR(__xludf.DUMMYFUNCTION("""COMPUTED_VALUE"""),"Alex Mansfield")</f>
        <v>Alex Mansfield</v>
      </c>
      <c r="C47" s="3">
        <f>IFERROR(__xludf.DUMMYFUNCTION("""COMPUTED_VALUE"""),2.0)</f>
        <v>2</v>
      </c>
      <c r="D47" s="3">
        <f t="shared" si="1"/>
        <v>0</v>
      </c>
      <c r="F47" s="10">
        <f>IFERROR(__xludf.DUMMYFUNCTION("""COMPUTED_VALUE"""),45199.0)</f>
        <v>45199</v>
      </c>
      <c r="G47" s="3" t="str">
        <f>IFERROR(__xludf.DUMMYFUNCTION("""COMPUTED_VALUE"""),"Josh Sherriff-Jolly")</f>
        <v>Josh Sherriff-Jolly</v>
      </c>
      <c r="H47" s="3">
        <f>IFERROR(__xludf.DUMMYFUNCTION("""COMPUTED_VALUE"""),19.0)</f>
        <v>19</v>
      </c>
    </row>
    <row r="48">
      <c r="A48" s="10">
        <f>IFERROR(__xludf.DUMMYFUNCTION("""COMPUTED_VALUE"""),45178.0)</f>
        <v>45178</v>
      </c>
      <c r="B48" s="3" t="str">
        <f>IFERROR(__xludf.DUMMYFUNCTION("""COMPUTED_VALUE"""),"Andrew Barclay")</f>
        <v>Andrew Barclay</v>
      </c>
      <c r="C48" s="3">
        <f>IFERROR(__xludf.DUMMYFUNCTION("""COMPUTED_VALUE"""),2.0)</f>
        <v>2</v>
      </c>
      <c r="D48" s="3">
        <f t="shared" si="1"/>
        <v>0</v>
      </c>
      <c r="F48" s="10">
        <f>IFERROR(__xludf.DUMMYFUNCTION("""COMPUTED_VALUE"""),45206.0)</f>
        <v>45206</v>
      </c>
      <c r="G48" s="3" t="str">
        <f>IFERROR(__xludf.DUMMYFUNCTION("""COMPUTED_VALUE"""),"Theo Horton")</f>
        <v>Theo Horton</v>
      </c>
      <c r="H48" s="3">
        <f>IFERROR(__xludf.DUMMYFUNCTION("""COMPUTED_VALUE"""),20.0)</f>
        <v>20</v>
      </c>
    </row>
    <row r="49">
      <c r="A49" s="10">
        <f>IFERROR(__xludf.DUMMYFUNCTION("""COMPUTED_VALUE"""),45178.0)</f>
        <v>45178</v>
      </c>
      <c r="B49" s="3" t="str">
        <f>IFERROR(__xludf.DUMMYFUNCTION("""COMPUTED_VALUE"""),"Ben Dockerill")</f>
        <v>Ben Dockerill</v>
      </c>
      <c r="C49" s="3">
        <f>IFERROR(__xludf.DUMMYFUNCTION("""COMPUTED_VALUE"""),4.0)</f>
        <v>4</v>
      </c>
      <c r="D49" s="3">
        <f t="shared" si="1"/>
        <v>0</v>
      </c>
      <c r="F49" s="10">
        <f>IFERROR(__xludf.DUMMYFUNCTION("""COMPUTED_VALUE"""),45213.0)</f>
        <v>45213</v>
      </c>
      <c r="G49" s="3" t="str">
        <f>IFERROR(__xludf.DUMMYFUNCTION("""COMPUTED_VALUE"""),"Jarvis Cheek")</f>
        <v>Jarvis Cheek</v>
      </c>
      <c r="H49" s="3">
        <f>IFERROR(__xludf.DUMMYFUNCTION("""COMPUTED_VALUE"""),20.0)</f>
        <v>20</v>
      </c>
    </row>
    <row r="50">
      <c r="A50" s="10">
        <f>IFERROR(__xludf.DUMMYFUNCTION("""COMPUTED_VALUE"""),45178.0)</f>
        <v>45178</v>
      </c>
      <c r="B50" s="3" t="str">
        <f>IFERROR(__xludf.DUMMYFUNCTION("""COMPUTED_VALUE"""),"Cameron Ward")</f>
        <v>Cameron Ward</v>
      </c>
      <c r="C50" s="3">
        <f>IFERROR(__xludf.DUMMYFUNCTION("""COMPUTED_VALUE"""),2.0)</f>
        <v>2</v>
      </c>
      <c r="D50" s="3">
        <f t="shared" si="1"/>
        <v>0</v>
      </c>
      <c r="F50" s="10">
        <f>IFERROR(__xludf.DUMMYFUNCTION("""COMPUTED_VALUE"""),45220.0)</f>
        <v>45220</v>
      </c>
      <c r="G50" s="3" t="str">
        <f>IFERROR(__xludf.DUMMYFUNCTION("""COMPUTED_VALUE"""),"Paul Ball")</f>
        <v>Paul Ball</v>
      </c>
      <c r="H50" s="3">
        <f>IFERROR(__xludf.DUMMYFUNCTION("""COMPUTED_VALUE"""),11.0)</f>
        <v>11</v>
      </c>
    </row>
    <row r="51">
      <c r="A51" s="10">
        <f>IFERROR(__xludf.DUMMYFUNCTION("""COMPUTED_VALUE"""),45178.0)</f>
        <v>45178</v>
      </c>
      <c r="B51" s="3" t="str">
        <f>IFERROR(__xludf.DUMMYFUNCTION("""COMPUTED_VALUE"""),"Chris Douthwaite")</f>
        <v>Chris Douthwaite</v>
      </c>
      <c r="C51" s="3">
        <f>IFERROR(__xludf.DUMMYFUNCTION("""COMPUTED_VALUE"""),2.0)</f>
        <v>2</v>
      </c>
      <c r="D51" s="3">
        <f t="shared" si="1"/>
        <v>0</v>
      </c>
      <c r="F51" s="10">
        <f>IFERROR(__xludf.DUMMYFUNCTION("""COMPUTED_VALUE"""),45227.0)</f>
        <v>45227</v>
      </c>
      <c r="G51" s="3" t="str">
        <f>IFERROR(__xludf.DUMMYFUNCTION("""COMPUTED_VALUE"""),"Matt Crowe")</f>
        <v>Matt Crowe</v>
      </c>
      <c r="H51" s="3">
        <f>IFERROR(__xludf.DUMMYFUNCTION("""COMPUTED_VALUE"""),19.0)</f>
        <v>19</v>
      </c>
    </row>
    <row r="52">
      <c r="A52" s="10">
        <f>IFERROR(__xludf.DUMMYFUNCTION("""COMPUTED_VALUE"""),45178.0)</f>
        <v>45178</v>
      </c>
      <c r="B52" s="3" t="str">
        <f>IFERROR(__xludf.DUMMYFUNCTION("""COMPUTED_VALUE"""),"Dan Russell")</f>
        <v>Dan Russell</v>
      </c>
      <c r="C52" s="3">
        <f>IFERROR(__xludf.DUMMYFUNCTION("""COMPUTED_VALUE"""),10.0)</f>
        <v>10</v>
      </c>
      <c r="D52" s="3">
        <f t="shared" si="1"/>
        <v>0</v>
      </c>
      <c r="F52" s="10">
        <f>IFERROR(__xludf.DUMMYFUNCTION("""COMPUTED_VALUE"""),45241.0)</f>
        <v>45241</v>
      </c>
      <c r="G52" s="3" t="str">
        <f>IFERROR(__xludf.DUMMYFUNCTION("""COMPUTED_VALUE"""),"Nathan Baverstock")</f>
        <v>Nathan Baverstock</v>
      </c>
      <c r="H52" s="3">
        <f>IFERROR(__xludf.DUMMYFUNCTION("""COMPUTED_VALUE"""),19.0)</f>
        <v>19</v>
      </c>
    </row>
    <row r="53">
      <c r="A53" s="10">
        <f>IFERROR(__xludf.DUMMYFUNCTION("""COMPUTED_VALUE"""),45178.0)</f>
        <v>45178</v>
      </c>
      <c r="B53" s="3" t="str">
        <f>IFERROR(__xludf.DUMMYFUNCTION("""COMPUTED_VALUE"""),"Finn Coolen")</f>
        <v>Finn Coolen</v>
      </c>
      <c r="C53" s="3">
        <f>IFERROR(__xludf.DUMMYFUNCTION("""COMPUTED_VALUE"""),2.0)</f>
        <v>2</v>
      </c>
      <c r="D53" s="3">
        <f t="shared" si="1"/>
        <v>0</v>
      </c>
      <c r="F53" s="10">
        <f>IFERROR(__xludf.DUMMYFUNCTION("""COMPUTED_VALUE"""),45248.0)</f>
        <v>45248</v>
      </c>
      <c r="G53" s="3" t="str">
        <f>IFERROR(__xludf.DUMMYFUNCTION("""COMPUTED_VALUE"""),"Alex Dockerill")</f>
        <v>Alex Dockerill</v>
      </c>
      <c r="H53" s="3">
        <f>IFERROR(__xludf.DUMMYFUNCTION("""COMPUTED_VALUE"""),18.0)</f>
        <v>18</v>
      </c>
    </row>
    <row r="54">
      <c r="A54" s="10">
        <f>IFERROR(__xludf.DUMMYFUNCTION("""COMPUTED_VALUE"""),45178.0)</f>
        <v>45178</v>
      </c>
      <c r="B54" s="3" t="str">
        <f>IFERROR(__xludf.DUMMYFUNCTION("""COMPUTED_VALUE"""),"Hallam Wye")</f>
        <v>Hallam Wye</v>
      </c>
      <c r="C54" s="3">
        <f>IFERROR(__xludf.DUMMYFUNCTION("""COMPUTED_VALUE"""),2.0)</f>
        <v>2</v>
      </c>
      <c r="D54" s="3">
        <f t="shared" si="1"/>
        <v>0</v>
      </c>
      <c r="F54" s="10">
        <f>IFERROR(__xludf.DUMMYFUNCTION("""COMPUTED_VALUE"""),45255.0)</f>
        <v>45255</v>
      </c>
      <c r="G54" s="3" t="str">
        <f>IFERROR(__xludf.DUMMYFUNCTION("""COMPUTED_VALUE"""),"Richard Scott")</f>
        <v>Richard Scott</v>
      </c>
      <c r="H54" s="3">
        <f>IFERROR(__xludf.DUMMYFUNCTION("""COMPUTED_VALUE"""),27.0)</f>
        <v>27</v>
      </c>
    </row>
    <row r="55">
      <c r="A55" s="10">
        <f>IFERROR(__xludf.DUMMYFUNCTION("""COMPUTED_VALUE"""),45178.0)</f>
        <v>45178</v>
      </c>
      <c r="B55" s="3" t="str">
        <f>IFERROR(__xludf.DUMMYFUNCTION("""COMPUTED_VALUE"""),"Harold Kiyingi")</f>
        <v>Harold Kiyingi</v>
      </c>
      <c r="C55" s="3">
        <f>IFERROR(__xludf.DUMMYFUNCTION("""COMPUTED_VALUE"""),2.0)</f>
        <v>2</v>
      </c>
      <c r="D55" s="3">
        <f t="shared" si="1"/>
        <v>0</v>
      </c>
      <c r="F55" s="10">
        <f>IFERROR(__xludf.DUMMYFUNCTION("""COMPUTED_VALUE"""),45262.0)</f>
        <v>45262</v>
      </c>
      <c r="G55" s="3" t="str">
        <f>IFERROR(__xludf.DUMMYFUNCTION("""COMPUTED_VALUE"""),"Jack Harris")</f>
        <v>Jack Harris</v>
      </c>
      <c r="H55" s="3">
        <f>IFERROR(__xludf.DUMMYFUNCTION("""COMPUTED_VALUE"""),19.0)</f>
        <v>19</v>
      </c>
    </row>
    <row r="56">
      <c r="A56" s="10">
        <f>IFERROR(__xludf.DUMMYFUNCTION("""COMPUTED_VALUE"""),45178.0)</f>
        <v>45178</v>
      </c>
      <c r="B56" s="3" t="str">
        <f>IFERROR(__xludf.DUMMYFUNCTION("""COMPUTED_VALUE"""),"Harry Calvesbert")</f>
        <v>Harry Calvesbert</v>
      </c>
      <c r="C56" s="3">
        <f>IFERROR(__xludf.DUMMYFUNCTION("""COMPUTED_VALUE"""),2.0)</f>
        <v>2</v>
      </c>
      <c r="D56" s="3">
        <f t="shared" si="1"/>
        <v>0</v>
      </c>
      <c r="F56" s="10">
        <f>IFERROR(__xludf.DUMMYFUNCTION("""COMPUTED_VALUE"""),45276.0)</f>
        <v>45276</v>
      </c>
      <c r="G56" s="3" t="str">
        <f>IFERROR(__xludf.DUMMYFUNCTION("""COMPUTED_VALUE"""),"Alex Dockerill")</f>
        <v>Alex Dockerill</v>
      </c>
      <c r="H56" s="3">
        <f>IFERROR(__xludf.DUMMYFUNCTION("""COMPUTED_VALUE"""),19.0)</f>
        <v>19</v>
      </c>
    </row>
    <row r="57">
      <c r="A57" s="10">
        <f>IFERROR(__xludf.DUMMYFUNCTION("""COMPUTED_VALUE"""),45178.0)</f>
        <v>45178</v>
      </c>
      <c r="B57" s="3" t="str">
        <f>IFERROR(__xludf.DUMMYFUNCTION("""COMPUTED_VALUE"""),"James Rodriguez")</f>
        <v>James Rodriguez</v>
      </c>
      <c r="C57" s="3">
        <f>IFERROR(__xludf.DUMMYFUNCTION("""COMPUTED_VALUE"""),4.0)</f>
        <v>4</v>
      </c>
      <c r="D57" s="3">
        <f t="shared" si="1"/>
        <v>0</v>
      </c>
      <c r="F57" s="10">
        <f>IFERROR(__xludf.DUMMYFUNCTION("""COMPUTED_VALUE"""),45297.0)</f>
        <v>45297</v>
      </c>
      <c r="G57" s="3" t="str">
        <f>IFERROR(__xludf.DUMMYFUNCTION("""COMPUTED_VALUE"""),"Nathan Baverstock")</f>
        <v>Nathan Baverstock</v>
      </c>
      <c r="H57" s="3">
        <f>IFERROR(__xludf.DUMMYFUNCTION("""COMPUTED_VALUE"""),17.0)</f>
        <v>17</v>
      </c>
    </row>
    <row r="58">
      <c r="A58" s="10">
        <f>IFERROR(__xludf.DUMMYFUNCTION("""COMPUTED_VALUE"""),45178.0)</f>
        <v>45178</v>
      </c>
      <c r="B58" s="3" t="str">
        <f>IFERROR(__xludf.DUMMYFUNCTION("""COMPUTED_VALUE"""),"Jamie Wood")</f>
        <v>Jamie Wood</v>
      </c>
      <c r="C58" s="3">
        <f>IFERROR(__xludf.DUMMYFUNCTION("""COMPUTED_VALUE"""),8.0)</f>
        <v>8</v>
      </c>
      <c r="D58" s="3">
        <f t="shared" si="1"/>
        <v>0</v>
      </c>
      <c r="F58" s="10">
        <f>IFERROR(__xludf.DUMMYFUNCTION("""COMPUTED_VALUE"""),45304.0)</f>
        <v>45304</v>
      </c>
      <c r="G58" s="3" t="str">
        <f>IFERROR(__xludf.DUMMYFUNCTION("""COMPUTED_VALUE"""),"Matt Crowe")</f>
        <v>Matt Crowe</v>
      </c>
      <c r="H58" s="3">
        <f>IFERROR(__xludf.DUMMYFUNCTION("""COMPUTED_VALUE"""),17.0)</f>
        <v>17</v>
      </c>
    </row>
    <row r="59">
      <c r="A59" s="10">
        <f>IFERROR(__xludf.DUMMYFUNCTION("""COMPUTED_VALUE"""),45178.0)</f>
        <v>45178</v>
      </c>
      <c r="B59" s="3" t="str">
        <f>IFERROR(__xludf.DUMMYFUNCTION("""COMPUTED_VALUE"""),"Jarvis Cheek")</f>
        <v>Jarvis Cheek</v>
      </c>
      <c r="C59" s="3">
        <f>IFERROR(__xludf.DUMMYFUNCTION("""COMPUTED_VALUE"""),1.0)</f>
        <v>1</v>
      </c>
      <c r="D59" s="3">
        <f t="shared" si="1"/>
        <v>0</v>
      </c>
      <c r="F59" s="10">
        <f>IFERROR(__xludf.DUMMYFUNCTION("""COMPUTED_VALUE"""),45311.0)</f>
        <v>45311</v>
      </c>
      <c r="G59" s="3" t="str">
        <f>IFERROR(__xludf.DUMMYFUNCTION("""COMPUTED_VALUE"""),"Rich Lundie")</f>
        <v>Rich Lundie</v>
      </c>
      <c r="H59" s="3">
        <f>IFERROR(__xludf.DUMMYFUNCTION("""COMPUTED_VALUE"""),19.0)</f>
        <v>19</v>
      </c>
    </row>
    <row r="60">
      <c r="A60" s="10">
        <f>IFERROR(__xludf.DUMMYFUNCTION("""COMPUTED_VALUE"""),45178.0)</f>
        <v>45178</v>
      </c>
      <c r="B60" s="3" t="str">
        <f>IFERROR(__xludf.DUMMYFUNCTION("""COMPUTED_VALUE"""),"Jed Evamy")</f>
        <v>Jed Evamy</v>
      </c>
      <c r="C60" s="3">
        <f>IFERROR(__xludf.DUMMYFUNCTION("""COMPUTED_VALUE"""),2.0)</f>
        <v>2</v>
      </c>
      <c r="D60" s="3">
        <f t="shared" si="1"/>
        <v>0</v>
      </c>
      <c r="F60" s="10">
        <f>IFERROR(__xludf.DUMMYFUNCTION("""COMPUTED_VALUE"""),45318.0)</f>
        <v>45318</v>
      </c>
      <c r="G60" s="3" t="str">
        <f>IFERROR(__xludf.DUMMYFUNCTION("""COMPUTED_VALUE"""),"Pierce Bennett")</f>
        <v>Pierce Bennett</v>
      </c>
      <c r="H60" s="3">
        <f>IFERROR(__xludf.DUMMYFUNCTION("""COMPUTED_VALUE"""),20.0)</f>
        <v>20</v>
      </c>
    </row>
    <row r="61">
      <c r="A61" s="10">
        <f>IFERROR(__xludf.DUMMYFUNCTION("""COMPUTED_VALUE"""),45178.0)</f>
        <v>45178</v>
      </c>
      <c r="B61" s="3" t="str">
        <f>IFERROR(__xludf.DUMMYFUNCTION("""COMPUTED_VALUE"""),"Joe Docherty")</f>
        <v>Joe Docherty</v>
      </c>
      <c r="C61" s="3">
        <f>IFERROR(__xludf.DUMMYFUNCTION("""COMPUTED_VALUE"""),2.0)</f>
        <v>2</v>
      </c>
      <c r="D61" s="3">
        <f t="shared" si="1"/>
        <v>0</v>
      </c>
      <c r="F61" s="10">
        <f>IFERROR(__xludf.DUMMYFUNCTION("""COMPUTED_VALUE"""),45325.0)</f>
        <v>45325</v>
      </c>
      <c r="G61" s="3" t="str">
        <f>IFERROR(__xludf.DUMMYFUNCTION("""COMPUTED_VALUE"""),"Matt Crowe")</f>
        <v>Matt Crowe</v>
      </c>
      <c r="H61" s="3">
        <f>IFERROR(__xludf.DUMMYFUNCTION("""COMPUTED_VALUE"""),14.0)</f>
        <v>14</v>
      </c>
    </row>
    <row r="62">
      <c r="A62" s="10">
        <f>IFERROR(__xludf.DUMMYFUNCTION("""COMPUTED_VALUE"""),45178.0)</f>
        <v>45178</v>
      </c>
      <c r="B62" s="3" t="str">
        <f>IFERROR(__xludf.DUMMYFUNCTION("""COMPUTED_VALUE"""),"Joel Wright")</f>
        <v>Joel Wright</v>
      </c>
      <c r="C62" s="3">
        <f>IFERROR(__xludf.DUMMYFUNCTION("""COMPUTED_VALUE"""),2.0)</f>
        <v>2</v>
      </c>
      <c r="D62" s="3">
        <f t="shared" si="1"/>
        <v>0</v>
      </c>
      <c r="F62" s="10">
        <f>IFERROR(__xludf.DUMMYFUNCTION("""COMPUTED_VALUE"""),45332.0)</f>
        <v>45332</v>
      </c>
      <c r="G62" s="3" t="str">
        <f>IFERROR(__xludf.DUMMYFUNCTION("""COMPUTED_VALUE"""),"Max Watson")</f>
        <v>Max Watson</v>
      </c>
      <c r="H62" s="3">
        <f>IFERROR(__xludf.DUMMYFUNCTION("""COMPUTED_VALUE"""),6.0)</f>
        <v>6</v>
      </c>
    </row>
    <row r="63">
      <c r="A63" s="10">
        <f>IFERROR(__xludf.DUMMYFUNCTION("""COMPUTED_VALUE"""),45178.0)</f>
        <v>45178</v>
      </c>
      <c r="B63" s="3" t="str">
        <f>IFERROR(__xludf.DUMMYFUNCTION("""COMPUTED_VALUE"""),"John Harrison")</f>
        <v>John Harrison</v>
      </c>
      <c r="C63" s="3">
        <f>IFERROR(__xludf.DUMMYFUNCTION("""COMPUTED_VALUE"""),8.0)</f>
        <v>8</v>
      </c>
      <c r="D63" s="3">
        <f t="shared" si="1"/>
        <v>0</v>
      </c>
      <c r="F63" s="10">
        <f>IFERROR(__xludf.DUMMYFUNCTION("""COMPUTED_VALUE"""),45339.0)</f>
        <v>45339</v>
      </c>
      <c r="G63" s="3" t="str">
        <f>IFERROR(__xludf.DUMMYFUNCTION("""COMPUTED_VALUE"""),"Ade Lawal")</f>
        <v>Ade Lawal</v>
      </c>
      <c r="H63" s="3">
        <f>IFERROR(__xludf.DUMMYFUNCTION("""COMPUTED_VALUE"""),13.0)</f>
        <v>13</v>
      </c>
    </row>
    <row r="64">
      <c r="A64" s="10">
        <f>IFERROR(__xludf.DUMMYFUNCTION("""COMPUTED_VALUE"""),45178.0)</f>
        <v>45178</v>
      </c>
      <c r="B64" s="3" t="str">
        <f>IFERROR(__xludf.DUMMYFUNCTION("""COMPUTED_VALUE"""),"Jonny Simmons")</f>
        <v>Jonny Simmons</v>
      </c>
      <c r="C64" s="3">
        <f>IFERROR(__xludf.DUMMYFUNCTION("""COMPUTED_VALUE"""),2.0)</f>
        <v>2</v>
      </c>
      <c r="D64" s="3">
        <f t="shared" si="1"/>
        <v>0</v>
      </c>
      <c r="F64" s="10">
        <f>IFERROR(__xludf.DUMMYFUNCTION("""COMPUTED_VALUE"""),45339.0)</f>
        <v>45339</v>
      </c>
      <c r="G64" s="3" t="str">
        <f>IFERROR(__xludf.DUMMYFUNCTION("""COMPUTED_VALUE"""),"Richard Jones")</f>
        <v>Richard Jones</v>
      </c>
      <c r="H64" s="3">
        <f>IFERROR(__xludf.DUMMYFUNCTION("""COMPUTED_VALUE"""),13.0)</f>
        <v>13</v>
      </c>
    </row>
    <row r="65">
      <c r="A65" s="10">
        <f>IFERROR(__xludf.DUMMYFUNCTION("""COMPUTED_VALUE"""),45178.0)</f>
        <v>45178</v>
      </c>
      <c r="B65" s="3" t="str">
        <f>IFERROR(__xludf.DUMMYFUNCTION("""COMPUTED_VALUE"""),"Josh Sherriff-Jolly")</f>
        <v>Josh Sherriff-Jolly</v>
      </c>
      <c r="C65" s="3">
        <f>IFERROR(__xludf.DUMMYFUNCTION("""COMPUTED_VALUE"""),14.0)</f>
        <v>14</v>
      </c>
      <c r="D65" s="3">
        <f t="shared" si="1"/>
        <v>0</v>
      </c>
      <c r="F65" s="10">
        <f>IFERROR(__xludf.DUMMYFUNCTION("""COMPUTED_VALUE"""),45360.0)</f>
        <v>45360</v>
      </c>
      <c r="G65" s="3" t="str">
        <f>IFERROR(__xludf.DUMMYFUNCTION("""COMPUTED_VALUE"""),"Corey Cleave")</f>
        <v>Corey Cleave</v>
      </c>
      <c r="H65" s="3">
        <f>IFERROR(__xludf.DUMMYFUNCTION("""COMPUTED_VALUE"""),19.0)</f>
        <v>19</v>
      </c>
    </row>
    <row r="66">
      <c r="A66" s="10">
        <f>IFERROR(__xludf.DUMMYFUNCTION("""COMPUTED_VALUE"""),45178.0)</f>
        <v>45178</v>
      </c>
      <c r="B66" s="3" t="str">
        <f>IFERROR(__xludf.DUMMYFUNCTION("""COMPUTED_VALUE"""),"Keaton Cohen")</f>
        <v>Keaton Cohen</v>
      </c>
      <c r="C66" s="3">
        <f>IFERROR(__xludf.DUMMYFUNCTION("""COMPUTED_VALUE"""),3.0)</f>
        <v>3</v>
      </c>
      <c r="D66" s="3">
        <f t="shared" si="1"/>
        <v>0</v>
      </c>
      <c r="F66" s="10">
        <f>IFERROR(__xludf.DUMMYFUNCTION("""COMPUTED_VALUE"""),45367.0)</f>
        <v>45367</v>
      </c>
      <c r="G66" s="3" t="str">
        <f>IFERROR(__xludf.DUMMYFUNCTION("""COMPUTED_VALUE"""),"Masood Hamidi")</f>
        <v>Masood Hamidi</v>
      </c>
      <c r="H66" s="3">
        <f>IFERROR(__xludf.DUMMYFUNCTION("""COMPUTED_VALUE"""),14.0)</f>
        <v>14</v>
      </c>
    </row>
    <row r="67">
      <c r="A67" s="10">
        <f>IFERROR(__xludf.DUMMYFUNCTION("""COMPUTED_VALUE"""),45178.0)</f>
        <v>45178</v>
      </c>
      <c r="B67" s="3" t="str">
        <f>IFERROR(__xludf.DUMMYFUNCTION("""COMPUTED_VALUE"""),"Kye Williams")</f>
        <v>Kye Williams</v>
      </c>
      <c r="C67" s="3">
        <f>IFERROR(__xludf.DUMMYFUNCTION("""COMPUTED_VALUE"""),2.0)</f>
        <v>2</v>
      </c>
      <c r="D67" s="3">
        <f t="shared" si="1"/>
        <v>0</v>
      </c>
      <c r="F67" s="10">
        <f>IFERROR(__xludf.DUMMYFUNCTION("""COMPUTED_VALUE"""),45374.0)</f>
        <v>45374</v>
      </c>
      <c r="G67" s="3" t="str">
        <f>IFERROR(__xludf.DUMMYFUNCTION("""COMPUTED_VALUE"""),"George Connolly")</f>
        <v>George Connolly</v>
      </c>
      <c r="H67" s="3">
        <f>IFERROR(__xludf.DUMMYFUNCTION("""COMPUTED_VALUE"""),19.0)</f>
        <v>19</v>
      </c>
    </row>
    <row r="68">
      <c r="A68" s="10">
        <f>IFERROR(__xludf.DUMMYFUNCTION("""COMPUTED_VALUE"""),45178.0)</f>
        <v>45178</v>
      </c>
      <c r="B68" s="3" t="str">
        <f>IFERROR(__xludf.DUMMYFUNCTION("""COMPUTED_VALUE"""),"Matt Crowe")</f>
        <v>Matt Crowe</v>
      </c>
      <c r="C68" s="3">
        <f>IFERROR(__xludf.DUMMYFUNCTION("""COMPUTED_VALUE"""),8.0)</f>
        <v>8</v>
      </c>
      <c r="D68" s="3">
        <f t="shared" si="1"/>
        <v>0</v>
      </c>
      <c r="F68" s="10">
        <f>IFERROR(__xludf.DUMMYFUNCTION("""COMPUTED_VALUE"""),45388.0)</f>
        <v>45388</v>
      </c>
      <c r="G68" s="3" t="str">
        <f>IFERROR(__xludf.DUMMYFUNCTION("""COMPUTED_VALUE"""),"Jarvis Cheek")</f>
        <v>Jarvis Cheek</v>
      </c>
      <c r="H68" s="3">
        <f>IFERROR(__xludf.DUMMYFUNCTION("""COMPUTED_VALUE"""),26.0)</f>
        <v>26</v>
      </c>
    </row>
    <row r="69">
      <c r="A69" s="10">
        <f>IFERROR(__xludf.DUMMYFUNCTION("""COMPUTED_VALUE"""),45178.0)</f>
        <v>45178</v>
      </c>
      <c r="B69" s="3" t="str">
        <f>IFERROR(__xludf.DUMMYFUNCTION("""COMPUTED_VALUE"""),"Matthew Thomas")</f>
        <v>Matthew Thomas</v>
      </c>
      <c r="C69" s="3">
        <f>IFERROR(__xludf.DUMMYFUNCTION("""COMPUTED_VALUE"""),4.0)</f>
        <v>4</v>
      </c>
      <c r="D69" s="3">
        <f t="shared" si="1"/>
        <v>0</v>
      </c>
    </row>
    <row r="70">
      <c r="A70" s="10">
        <f>IFERROR(__xludf.DUMMYFUNCTION("""COMPUTED_VALUE"""),45178.0)</f>
        <v>45178</v>
      </c>
      <c r="B70" s="3" t="str">
        <f>IFERROR(__xludf.DUMMYFUNCTION("""COMPUTED_VALUE"""),"Max Watson")</f>
        <v>Max Watson</v>
      </c>
      <c r="C70" s="3">
        <f>IFERROR(__xludf.DUMMYFUNCTION("""COMPUTED_VALUE"""),1.0)</f>
        <v>1</v>
      </c>
      <c r="D70" s="3">
        <f t="shared" si="1"/>
        <v>0</v>
      </c>
    </row>
    <row r="71">
      <c r="A71" s="10">
        <f>IFERROR(__xludf.DUMMYFUNCTION("""COMPUTED_VALUE"""),45178.0)</f>
        <v>45178</v>
      </c>
      <c r="B71" s="3" t="str">
        <f>IFERROR(__xludf.DUMMYFUNCTION("""COMPUTED_VALUE"""),"Micah Pinnock")</f>
        <v>Micah Pinnock</v>
      </c>
      <c r="C71" s="3">
        <f>IFERROR(__xludf.DUMMYFUNCTION("""COMPUTED_VALUE"""),4.0)</f>
        <v>4</v>
      </c>
      <c r="D71" s="3">
        <f t="shared" si="1"/>
        <v>0</v>
      </c>
    </row>
    <row r="72">
      <c r="A72" s="10">
        <f>IFERROR(__xludf.DUMMYFUNCTION("""COMPUTED_VALUE"""),45178.0)</f>
        <v>45178</v>
      </c>
      <c r="B72" s="3" t="str">
        <f>IFERROR(__xludf.DUMMYFUNCTION("""COMPUTED_VALUE"""),"Nick Chimonides")</f>
        <v>Nick Chimonides</v>
      </c>
      <c r="C72" s="3">
        <f>IFERROR(__xludf.DUMMYFUNCTION("""COMPUTED_VALUE"""),2.0)</f>
        <v>2</v>
      </c>
      <c r="D72" s="3">
        <f t="shared" si="1"/>
        <v>0</v>
      </c>
    </row>
    <row r="73">
      <c r="A73" s="10">
        <f>IFERROR(__xludf.DUMMYFUNCTION("""COMPUTED_VALUE"""),45178.0)</f>
        <v>45178</v>
      </c>
      <c r="B73" s="3" t="str">
        <f>IFERROR(__xludf.DUMMYFUNCTION("""COMPUTED_VALUE"""),"Oliver Golzari")</f>
        <v>Oliver Golzari</v>
      </c>
      <c r="C73" s="3">
        <f>IFERROR(__xludf.DUMMYFUNCTION("""COMPUTED_VALUE"""),1.0)</f>
        <v>1</v>
      </c>
      <c r="D73" s="3">
        <f t="shared" si="1"/>
        <v>0</v>
      </c>
    </row>
    <row r="74">
      <c r="A74" s="10">
        <f>IFERROR(__xludf.DUMMYFUNCTION("""COMPUTED_VALUE"""),45178.0)</f>
        <v>45178</v>
      </c>
      <c r="B74" s="3" t="str">
        <f>IFERROR(__xludf.DUMMYFUNCTION("""COMPUTED_VALUE"""),"Ollie Sewell")</f>
        <v>Ollie Sewell</v>
      </c>
      <c r="C74" s="3">
        <f>IFERROR(__xludf.DUMMYFUNCTION("""COMPUTED_VALUE"""),7.0)</f>
        <v>7</v>
      </c>
      <c r="D74" s="3">
        <f t="shared" si="1"/>
        <v>0</v>
      </c>
    </row>
    <row r="75">
      <c r="A75" s="10">
        <f>IFERROR(__xludf.DUMMYFUNCTION("""COMPUTED_VALUE"""),45178.0)</f>
        <v>45178</v>
      </c>
      <c r="B75" s="3" t="str">
        <f>IFERROR(__xludf.DUMMYFUNCTION("""COMPUTED_VALUE"""),"Parimal Patel")</f>
        <v>Parimal Patel</v>
      </c>
      <c r="C75" s="3">
        <f>IFERROR(__xludf.DUMMYFUNCTION("""COMPUTED_VALUE"""),2.0)</f>
        <v>2</v>
      </c>
      <c r="D75" s="3">
        <f t="shared" si="1"/>
        <v>0</v>
      </c>
    </row>
    <row r="76">
      <c r="A76" s="10">
        <f>IFERROR(__xludf.DUMMYFUNCTION("""COMPUTED_VALUE"""),45178.0)</f>
        <v>45178</v>
      </c>
      <c r="B76" s="3" t="str">
        <f>IFERROR(__xludf.DUMMYFUNCTION("""COMPUTED_VALUE"""),"Rob Edmonds")</f>
        <v>Rob Edmonds</v>
      </c>
      <c r="C76" s="3">
        <f>IFERROR(__xludf.DUMMYFUNCTION("""COMPUTED_VALUE"""),10.0)</f>
        <v>10</v>
      </c>
      <c r="D76" s="3">
        <f t="shared" si="1"/>
        <v>0</v>
      </c>
    </row>
    <row r="77">
      <c r="A77" s="10">
        <f>IFERROR(__xludf.DUMMYFUNCTION("""COMPUTED_VALUE"""),45178.0)</f>
        <v>45178</v>
      </c>
      <c r="B77" s="3" t="str">
        <f>IFERROR(__xludf.DUMMYFUNCTION("""COMPUTED_VALUE"""),"Sean Staunton")</f>
        <v>Sean Staunton</v>
      </c>
      <c r="C77" s="3">
        <f>IFERROR(__xludf.DUMMYFUNCTION("""COMPUTED_VALUE"""),5.0)</f>
        <v>5</v>
      </c>
      <c r="D77" s="3">
        <f t="shared" si="1"/>
        <v>0</v>
      </c>
    </row>
    <row r="78">
      <c r="A78" s="10">
        <f>IFERROR(__xludf.DUMMYFUNCTION("""COMPUTED_VALUE"""),45178.0)</f>
        <v>45178</v>
      </c>
      <c r="B78" s="3" t="str">
        <f>IFERROR(__xludf.DUMMYFUNCTION("""COMPUTED_VALUE"""),"Sean Woodhouse")</f>
        <v>Sean Woodhouse</v>
      </c>
      <c r="C78" s="3">
        <f>IFERROR(__xludf.DUMMYFUNCTION("""COMPUTED_VALUE"""),2.0)</f>
        <v>2</v>
      </c>
      <c r="D78" s="3">
        <f t="shared" si="1"/>
        <v>0</v>
      </c>
    </row>
    <row r="79">
      <c r="A79" s="10">
        <f>IFERROR(__xludf.DUMMYFUNCTION("""COMPUTED_VALUE"""),45178.0)</f>
        <v>45178</v>
      </c>
      <c r="B79" s="3" t="str">
        <f>IFERROR(__xludf.DUMMYFUNCTION("""COMPUTED_VALUE"""),"Seb Curle")</f>
        <v>Seb Curle</v>
      </c>
      <c r="C79" s="3">
        <f>IFERROR(__xludf.DUMMYFUNCTION("""COMPUTED_VALUE"""),2.0)</f>
        <v>2</v>
      </c>
      <c r="D79" s="3">
        <f t="shared" si="1"/>
        <v>0</v>
      </c>
    </row>
    <row r="80">
      <c r="A80" s="10">
        <f>IFERROR(__xludf.DUMMYFUNCTION("""COMPUTED_VALUE"""),45178.0)</f>
        <v>45178</v>
      </c>
      <c r="B80" s="3" t="str">
        <f>IFERROR(__xludf.DUMMYFUNCTION("""COMPUTED_VALUE"""),"Stanley Timms")</f>
        <v>Stanley Timms</v>
      </c>
      <c r="C80" s="3">
        <f>IFERROR(__xludf.DUMMYFUNCTION("""COMPUTED_VALUE"""),4.0)</f>
        <v>4</v>
      </c>
      <c r="D80" s="3">
        <f t="shared" si="1"/>
        <v>0</v>
      </c>
    </row>
    <row r="81">
      <c r="A81" s="10">
        <f>IFERROR(__xludf.DUMMYFUNCTION("""COMPUTED_VALUE"""),45178.0)</f>
        <v>45178</v>
      </c>
      <c r="B81" s="3" t="str">
        <f>IFERROR(__xludf.DUMMYFUNCTION("""COMPUTED_VALUE"""),"Theo Horton")</f>
        <v>Theo Horton</v>
      </c>
      <c r="C81" s="3">
        <f>IFERROR(__xludf.DUMMYFUNCTION("""COMPUTED_VALUE"""),8.0)</f>
        <v>8</v>
      </c>
      <c r="D81" s="3">
        <f t="shared" si="1"/>
        <v>0</v>
      </c>
    </row>
    <row r="82">
      <c r="A82" s="10">
        <f>IFERROR(__xludf.DUMMYFUNCTION("""COMPUTED_VALUE"""),45178.0)</f>
        <v>45178</v>
      </c>
      <c r="B82" s="3" t="str">
        <f>IFERROR(__xludf.DUMMYFUNCTION("""COMPUTED_VALUE"""),"Tom Riley")</f>
        <v>Tom Riley</v>
      </c>
      <c r="C82" s="3">
        <f>IFERROR(__xludf.DUMMYFUNCTION("""COMPUTED_VALUE"""),2.0)</f>
        <v>2</v>
      </c>
      <c r="D82" s="3">
        <f t="shared" si="1"/>
        <v>0</v>
      </c>
    </row>
    <row r="83">
      <c r="A83" s="10">
        <f>IFERROR(__xludf.DUMMYFUNCTION("""COMPUTED_VALUE"""),45178.0)</f>
        <v>45178</v>
      </c>
      <c r="B83" s="3" t="str">
        <f>IFERROR(__xludf.DUMMYFUNCTION("""COMPUTED_VALUE"""),"Will French")</f>
        <v>Will French</v>
      </c>
      <c r="C83" s="3">
        <f>IFERROR(__xludf.DUMMYFUNCTION("""COMPUTED_VALUE"""),2.0)</f>
        <v>2</v>
      </c>
      <c r="D83" s="3">
        <f t="shared" si="1"/>
        <v>0</v>
      </c>
    </row>
    <row r="84">
      <c r="A84" s="10">
        <f>IFERROR(__xludf.DUMMYFUNCTION("""COMPUTED_VALUE"""),45178.0)</f>
        <v>45178</v>
      </c>
      <c r="B84" s="3" t="str">
        <f>IFERROR(__xludf.DUMMYFUNCTION("""COMPUTED_VALUE"""),"Will Sollory")</f>
        <v>Will Sollory</v>
      </c>
      <c r="C84" s="3">
        <f>IFERROR(__xludf.DUMMYFUNCTION("""COMPUTED_VALUE"""),2.0)</f>
        <v>2</v>
      </c>
      <c r="D84" s="3">
        <f t="shared" si="1"/>
        <v>0</v>
      </c>
    </row>
    <row r="85">
      <c r="A85" s="10">
        <f>IFERROR(__xludf.DUMMYFUNCTION("""COMPUTED_VALUE"""),45178.0)</f>
        <v>45178</v>
      </c>
      <c r="B85" s="3" t="str">
        <f>IFERROR(__xludf.DUMMYFUNCTION("""COMPUTED_VALUE"""),"Yemi Oviosu")</f>
        <v>Yemi Oviosu</v>
      </c>
      <c r="C85" s="3">
        <f>IFERROR(__xludf.DUMMYFUNCTION("""COMPUTED_VALUE"""),11.0)</f>
        <v>11</v>
      </c>
      <c r="D85" s="3">
        <f t="shared" si="1"/>
        <v>0</v>
      </c>
    </row>
    <row r="86">
      <c r="A86" s="10">
        <f>IFERROR(__xludf.DUMMYFUNCTION("""COMPUTED_VALUE"""),45185.0)</f>
        <v>45185</v>
      </c>
      <c r="B86" s="3" t="str">
        <f>IFERROR(__xludf.DUMMYFUNCTION("""COMPUTED_VALUE"""),"Aaron Snelling")</f>
        <v>Aaron Snelling</v>
      </c>
      <c r="C86" s="3">
        <f>IFERROR(__xludf.DUMMYFUNCTION("""COMPUTED_VALUE"""),8.0)</f>
        <v>8</v>
      </c>
      <c r="D86" s="3">
        <f t="shared" si="1"/>
        <v>0</v>
      </c>
    </row>
    <row r="87">
      <c r="A87" s="10">
        <f>IFERROR(__xludf.DUMMYFUNCTION("""COMPUTED_VALUE"""),45185.0)</f>
        <v>45185</v>
      </c>
      <c r="B87" s="3" t="str">
        <f>IFERROR(__xludf.DUMMYFUNCTION("""COMPUTED_VALUE"""),"Adam Platten")</f>
        <v>Adam Platten</v>
      </c>
      <c r="C87" s="3">
        <f>IFERROR(__xludf.DUMMYFUNCTION("""COMPUTED_VALUE"""),2.0)</f>
        <v>2</v>
      </c>
      <c r="D87" s="3">
        <f t="shared" si="1"/>
        <v>0</v>
      </c>
    </row>
    <row r="88">
      <c r="A88" s="10">
        <f>IFERROR(__xludf.DUMMYFUNCTION("""COMPUTED_VALUE"""),45185.0)</f>
        <v>45185</v>
      </c>
      <c r="B88" s="3" t="str">
        <f>IFERROR(__xludf.DUMMYFUNCTION("""COMPUTED_VALUE"""),"Ade Lawal")</f>
        <v>Ade Lawal</v>
      </c>
      <c r="C88" s="3">
        <f>IFERROR(__xludf.DUMMYFUNCTION("""COMPUTED_VALUE"""),-1.0)</f>
        <v>-1</v>
      </c>
      <c r="D88" s="3">
        <f t="shared" si="1"/>
        <v>0</v>
      </c>
    </row>
    <row r="89">
      <c r="A89" s="10">
        <f>IFERROR(__xludf.DUMMYFUNCTION("""COMPUTED_VALUE"""),45185.0)</f>
        <v>45185</v>
      </c>
      <c r="B89" s="3" t="str">
        <f>IFERROR(__xludf.DUMMYFUNCTION("""COMPUTED_VALUE"""),"Aidan Byrne")</f>
        <v>Aidan Byrne</v>
      </c>
      <c r="C89" s="3">
        <f>IFERROR(__xludf.DUMMYFUNCTION("""COMPUTED_VALUE"""),1.0)</f>
        <v>1</v>
      </c>
      <c r="D89" s="3">
        <f t="shared" si="1"/>
        <v>0</v>
      </c>
    </row>
    <row r="90">
      <c r="A90" s="10">
        <f>IFERROR(__xludf.DUMMYFUNCTION("""COMPUTED_VALUE"""),45185.0)</f>
        <v>45185</v>
      </c>
      <c r="B90" s="3" t="str">
        <f>IFERROR(__xludf.DUMMYFUNCTION("""COMPUTED_VALUE"""),"Alex Clark")</f>
        <v>Alex Clark</v>
      </c>
      <c r="C90" s="3">
        <f>IFERROR(__xludf.DUMMYFUNCTION("""COMPUTED_VALUE"""),2.0)</f>
        <v>2</v>
      </c>
      <c r="D90" s="3">
        <f t="shared" si="1"/>
        <v>0</v>
      </c>
    </row>
    <row r="91">
      <c r="A91" s="10">
        <f>IFERROR(__xludf.DUMMYFUNCTION("""COMPUTED_VALUE"""),45185.0)</f>
        <v>45185</v>
      </c>
      <c r="B91" s="3" t="str">
        <f>IFERROR(__xludf.DUMMYFUNCTION("""COMPUTED_VALUE"""),"Alex Dockerill")</f>
        <v>Alex Dockerill</v>
      </c>
      <c r="C91" s="3">
        <f>IFERROR(__xludf.DUMMYFUNCTION("""COMPUTED_VALUE"""),9.0)</f>
        <v>9</v>
      </c>
      <c r="D91" s="3">
        <f t="shared" si="1"/>
        <v>0</v>
      </c>
    </row>
    <row r="92">
      <c r="A92" s="10">
        <f>IFERROR(__xludf.DUMMYFUNCTION("""COMPUTED_VALUE"""),45185.0)</f>
        <v>45185</v>
      </c>
      <c r="B92" s="3" t="str">
        <f>IFERROR(__xludf.DUMMYFUNCTION("""COMPUTED_VALUE"""),"Alex Mansfield")</f>
        <v>Alex Mansfield</v>
      </c>
      <c r="C92" s="3">
        <f>IFERROR(__xludf.DUMMYFUNCTION("""COMPUTED_VALUE"""),2.0)</f>
        <v>2</v>
      </c>
      <c r="D92" s="3">
        <f t="shared" si="1"/>
        <v>0</v>
      </c>
    </row>
    <row r="93">
      <c r="A93" s="10">
        <f>IFERROR(__xludf.DUMMYFUNCTION("""COMPUTED_VALUE"""),45185.0)</f>
        <v>45185</v>
      </c>
      <c r="B93" s="3" t="str">
        <f>IFERROR(__xludf.DUMMYFUNCTION("""COMPUTED_VALUE"""),"Ali Koc")</f>
        <v>Ali Koc</v>
      </c>
      <c r="C93" s="3">
        <f>IFERROR(__xludf.DUMMYFUNCTION("""COMPUTED_VALUE"""),1.0)</f>
        <v>1</v>
      </c>
      <c r="D93" s="3">
        <f t="shared" si="1"/>
        <v>0</v>
      </c>
    </row>
    <row r="94">
      <c r="A94" s="10">
        <f>IFERROR(__xludf.DUMMYFUNCTION("""COMPUTED_VALUE"""),45185.0)</f>
        <v>45185</v>
      </c>
      <c r="B94" s="3" t="str">
        <f>IFERROR(__xludf.DUMMYFUNCTION("""COMPUTED_VALUE"""),"Andreas Andreou")</f>
        <v>Andreas Andreou</v>
      </c>
      <c r="C94" s="3">
        <f>IFERROR(__xludf.DUMMYFUNCTION("""COMPUTED_VALUE"""),1.0)</f>
        <v>1</v>
      </c>
      <c r="D94" s="3">
        <f t="shared" si="1"/>
        <v>0</v>
      </c>
    </row>
    <row r="95">
      <c r="A95" s="10">
        <f>IFERROR(__xludf.DUMMYFUNCTION("""COMPUTED_VALUE"""),45185.0)</f>
        <v>45185</v>
      </c>
      <c r="B95" s="3" t="str">
        <f>IFERROR(__xludf.DUMMYFUNCTION("""COMPUTED_VALUE"""),"Andrew Barclay")</f>
        <v>Andrew Barclay</v>
      </c>
      <c r="C95" s="3">
        <f>IFERROR(__xludf.DUMMYFUNCTION("""COMPUTED_VALUE"""),2.0)</f>
        <v>2</v>
      </c>
      <c r="D95" s="3">
        <f t="shared" si="1"/>
        <v>0</v>
      </c>
    </row>
    <row r="96">
      <c r="A96" s="10">
        <f>IFERROR(__xludf.DUMMYFUNCTION("""COMPUTED_VALUE"""),45185.0)</f>
        <v>45185</v>
      </c>
      <c r="B96" s="3" t="str">
        <f>IFERROR(__xludf.DUMMYFUNCTION("""COMPUTED_VALUE"""),"Anish Philips")</f>
        <v>Anish Philips</v>
      </c>
      <c r="C96" s="3">
        <f>IFERROR(__xludf.DUMMYFUNCTION("""COMPUTED_VALUE"""),2.0)</f>
        <v>2</v>
      </c>
      <c r="D96" s="3">
        <f t="shared" si="1"/>
        <v>0</v>
      </c>
    </row>
    <row r="97">
      <c r="A97" s="10">
        <f>IFERROR(__xludf.DUMMYFUNCTION("""COMPUTED_VALUE"""),45185.0)</f>
        <v>45185</v>
      </c>
      <c r="B97" s="3" t="str">
        <f>IFERROR(__xludf.DUMMYFUNCTION("""COMPUTED_VALUE"""),"Anthony Ball")</f>
        <v>Anthony Ball</v>
      </c>
      <c r="C97" s="3">
        <f>IFERROR(__xludf.DUMMYFUNCTION("""COMPUTED_VALUE"""),1.0)</f>
        <v>1</v>
      </c>
      <c r="D97" s="3">
        <f t="shared" si="1"/>
        <v>0</v>
      </c>
    </row>
    <row r="98">
      <c r="A98" s="10">
        <f>IFERROR(__xludf.DUMMYFUNCTION("""COMPUTED_VALUE"""),45185.0)</f>
        <v>45185</v>
      </c>
      <c r="B98" s="3" t="str">
        <f>IFERROR(__xludf.DUMMYFUNCTION("""COMPUTED_VALUE"""),"Ben Dockerill")</f>
        <v>Ben Dockerill</v>
      </c>
      <c r="C98" s="3">
        <f>IFERROR(__xludf.DUMMYFUNCTION("""COMPUTED_VALUE"""),8.0)</f>
        <v>8</v>
      </c>
      <c r="D98" s="3">
        <f t="shared" si="1"/>
        <v>0</v>
      </c>
    </row>
    <row r="99">
      <c r="A99" s="10">
        <f>IFERROR(__xludf.DUMMYFUNCTION("""COMPUTED_VALUE"""),45185.0)</f>
        <v>45185</v>
      </c>
      <c r="B99" s="3" t="str">
        <f>IFERROR(__xludf.DUMMYFUNCTION("""COMPUTED_VALUE"""),"Ben Himpe")</f>
        <v>Ben Himpe</v>
      </c>
      <c r="C99" s="3">
        <f>IFERROR(__xludf.DUMMYFUNCTION("""COMPUTED_VALUE"""),5.0)</f>
        <v>5</v>
      </c>
      <c r="D99" s="3">
        <f t="shared" si="1"/>
        <v>0</v>
      </c>
    </row>
    <row r="100">
      <c r="A100" s="10">
        <f>IFERROR(__xludf.DUMMYFUNCTION("""COMPUTED_VALUE"""),45185.0)</f>
        <v>45185</v>
      </c>
      <c r="B100" s="3" t="str">
        <f>IFERROR(__xludf.DUMMYFUNCTION("""COMPUTED_VALUE"""),"Billy Mclean")</f>
        <v>Billy Mclean</v>
      </c>
      <c r="C100" s="3">
        <f>IFERROR(__xludf.DUMMYFUNCTION("""COMPUTED_VALUE"""),4.0)</f>
        <v>4</v>
      </c>
      <c r="D100" s="3">
        <f t="shared" si="1"/>
        <v>0</v>
      </c>
    </row>
    <row r="101">
      <c r="A101" s="10">
        <f>IFERROR(__xludf.DUMMYFUNCTION("""COMPUTED_VALUE"""),45185.0)</f>
        <v>45185</v>
      </c>
      <c r="B101" s="3" t="str">
        <f>IFERROR(__xludf.DUMMYFUNCTION("""COMPUTED_VALUE"""),"Calum Bennett")</f>
        <v>Calum Bennett</v>
      </c>
      <c r="C101" s="3">
        <f>IFERROR(__xludf.DUMMYFUNCTION("""COMPUTED_VALUE"""),2.0)</f>
        <v>2</v>
      </c>
      <c r="D101" s="3">
        <f t="shared" si="1"/>
        <v>0</v>
      </c>
    </row>
    <row r="102">
      <c r="A102" s="10">
        <f>IFERROR(__xludf.DUMMYFUNCTION("""COMPUTED_VALUE"""),45185.0)</f>
        <v>45185</v>
      </c>
      <c r="B102" s="3" t="str">
        <f>IFERROR(__xludf.DUMMYFUNCTION("""COMPUTED_VALUE"""),"Cameron Hildebrandt-Brooks")</f>
        <v>Cameron Hildebrandt-Brooks</v>
      </c>
      <c r="C102" s="3">
        <f>IFERROR(__xludf.DUMMYFUNCTION("""COMPUTED_VALUE"""),1.0)</f>
        <v>1</v>
      </c>
      <c r="D102" s="3">
        <f t="shared" si="1"/>
        <v>0</v>
      </c>
    </row>
    <row r="103">
      <c r="A103" s="10">
        <f>IFERROR(__xludf.DUMMYFUNCTION("""COMPUTED_VALUE"""),45185.0)</f>
        <v>45185</v>
      </c>
      <c r="B103" s="3" t="str">
        <f>IFERROR(__xludf.DUMMYFUNCTION("""COMPUTED_VALUE"""),"Charlie Doe")</f>
        <v>Charlie Doe</v>
      </c>
      <c r="C103" s="3">
        <f>IFERROR(__xludf.DUMMYFUNCTION("""COMPUTED_VALUE"""),6.0)</f>
        <v>6</v>
      </c>
      <c r="D103" s="3">
        <f t="shared" si="1"/>
        <v>0</v>
      </c>
    </row>
    <row r="104">
      <c r="A104" s="10">
        <f>IFERROR(__xludf.DUMMYFUNCTION("""COMPUTED_VALUE"""),45185.0)</f>
        <v>45185</v>
      </c>
      <c r="B104" s="3" t="str">
        <f>IFERROR(__xludf.DUMMYFUNCTION("""COMPUTED_VALUE"""),"Chris Claeys")</f>
        <v>Chris Claeys</v>
      </c>
      <c r="C104" s="3">
        <f>IFERROR(__xludf.DUMMYFUNCTION("""COMPUTED_VALUE"""),2.0)</f>
        <v>2</v>
      </c>
      <c r="D104" s="3">
        <f t="shared" si="1"/>
        <v>0</v>
      </c>
    </row>
    <row r="105">
      <c r="A105" s="10">
        <f>IFERROR(__xludf.DUMMYFUNCTION("""COMPUTED_VALUE"""),45185.0)</f>
        <v>45185</v>
      </c>
      <c r="B105" s="3" t="str">
        <f>IFERROR(__xludf.DUMMYFUNCTION("""COMPUTED_VALUE"""),"Christian King")</f>
        <v>Christian King</v>
      </c>
      <c r="C105" s="3">
        <f>IFERROR(__xludf.DUMMYFUNCTION("""COMPUTED_VALUE"""),2.0)</f>
        <v>2</v>
      </c>
      <c r="D105" s="3">
        <f t="shared" si="1"/>
        <v>0</v>
      </c>
    </row>
    <row r="106">
      <c r="A106" s="10">
        <f>IFERROR(__xludf.DUMMYFUNCTION("""COMPUTED_VALUE"""),45185.0)</f>
        <v>45185</v>
      </c>
      <c r="B106" s="3" t="str">
        <f>IFERROR(__xludf.DUMMYFUNCTION("""COMPUTED_VALUE"""),"Ciaran Curran")</f>
        <v>Ciaran Curran</v>
      </c>
      <c r="C106" s="3">
        <f>IFERROR(__xludf.DUMMYFUNCTION("""COMPUTED_VALUE"""),2.0)</f>
        <v>2</v>
      </c>
      <c r="D106" s="3">
        <f t="shared" si="1"/>
        <v>0</v>
      </c>
    </row>
    <row r="107">
      <c r="A107" s="10">
        <f>IFERROR(__xludf.DUMMYFUNCTION("""COMPUTED_VALUE"""),45185.0)</f>
        <v>45185</v>
      </c>
      <c r="B107" s="3" t="str">
        <f>IFERROR(__xludf.DUMMYFUNCTION("""COMPUTED_VALUE"""),"Connor White")</f>
        <v>Connor White</v>
      </c>
      <c r="C107" s="3">
        <f>IFERROR(__xludf.DUMMYFUNCTION("""COMPUTED_VALUE"""),2.0)</f>
        <v>2</v>
      </c>
      <c r="D107" s="3">
        <f t="shared" si="1"/>
        <v>0</v>
      </c>
    </row>
    <row r="108">
      <c r="A108" s="10">
        <f>IFERROR(__xludf.DUMMYFUNCTION("""COMPUTED_VALUE"""),45185.0)</f>
        <v>45185</v>
      </c>
      <c r="B108" s="3" t="str">
        <f>IFERROR(__xludf.DUMMYFUNCTION("""COMPUTED_VALUE"""),"Dan Russell")</f>
        <v>Dan Russell</v>
      </c>
      <c r="C108" s="3">
        <f>IFERROR(__xludf.DUMMYFUNCTION("""COMPUTED_VALUE"""),7.0)</f>
        <v>7</v>
      </c>
      <c r="D108" s="3">
        <f t="shared" si="1"/>
        <v>0</v>
      </c>
    </row>
    <row r="109">
      <c r="A109" s="10">
        <f>IFERROR(__xludf.DUMMYFUNCTION("""COMPUTED_VALUE"""),45185.0)</f>
        <v>45185</v>
      </c>
      <c r="B109" s="3" t="str">
        <f>IFERROR(__xludf.DUMMYFUNCTION("""COMPUTED_VALUE"""),"David Holmes-White")</f>
        <v>David Holmes-White</v>
      </c>
      <c r="C109" s="3">
        <f>IFERROR(__xludf.DUMMYFUNCTION("""COMPUTED_VALUE"""),2.0)</f>
        <v>2</v>
      </c>
      <c r="D109" s="3">
        <f t="shared" si="1"/>
        <v>0</v>
      </c>
    </row>
    <row r="110">
      <c r="A110" s="10">
        <f>IFERROR(__xludf.DUMMYFUNCTION("""COMPUTED_VALUE"""),45185.0)</f>
        <v>45185</v>
      </c>
      <c r="B110" s="3" t="str">
        <f>IFERROR(__xludf.DUMMYFUNCTION("""COMPUTED_VALUE"""),"Deji Ogunyemi")</f>
        <v>Deji Ogunyemi</v>
      </c>
      <c r="C110" s="3">
        <f>IFERROR(__xludf.DUMMYFUNCTION("""COMPUTED_VALUE"""),2.0)</f>
        <v>2</v>
      </c>
      <c r="D110" s="3">
        <f t="shared" si="1"/>
        <v>0</v>
      </c>
    </row>
    <row r="111">
      <c r="A111" s="10">
        <f>IFERROR(__xludf.DUMMYFUNCTION("""COMPUTED_VALUE"""),45185.0)</f>
        <v>45185</v>
      </c>
      <c r="B111" s="3" t="str">
        <f>IFERROR(__xludf.DUMMYFUNCTION("""COMPUTED_VALUE"""),"Denver Lalonde")</f>
        <v>Denver Lalonde</v>
      </c>
      <c r="C111" s="3">
        <f>IFERROR(__xludf.DUMMYFUNCTION("""COMPUTED_VALUE"""),5.0)</f>
        <v>5</v>
      </c>
      <c r="D111" s="3">
        <f t="shared" si="1"/>
        <v>0</v>
      </c>
    </row>
    <row r="112">
      <c r="A112" s="10">
        <f>IFERROR(__xludf.DUMMYFUNCTION("""COMPUTED_VALUE"""),45185.0)</f>
        <v>45185</v>
      </c>
      <c r="B112" s="3" t="str">
        <f>IFERROR(__xludf.DUMMYFUNCTION("""COMPUTED_VALUE"""),"Ellis Forrester")</f>
        <v>Ellis Forrester</v>
      </c>
      <c r="C112" s="3">
        <f>IFERROR(__xludf.DUMMYFUNCTION("""COMPUTED_VALUE"""),1.0)</f>
        <v>1</v>
      </c>
      <c r="D112" s="3">
        <f t="shared" si="1"/>
        <v>0</v>
      </c>
    </row>
    <row r="113">
      <c r="A113" s="10">
        <f>IFERROR(__xludf.DUMMYFUNCTION("""COMPUTED_VALUE"""),45185.0)</f>
        <v>45185</v>
      </c>
      <c r="B113" s="3" t="str">
        <f>IFERROR(__xludf.DUMMYFUNCTION("""COMPUTED_VALUE"""),"Emi Muhadri")</f>
        <v>Emi Muhadri</v>
      </c>
      <c r="C113" s="3">
        <f>IFERROR(__xludf.DUMMYFUNCTION("""COMPUTED_VALUE"""),2.0)</f>
        <v>2</v>
      </c>
      <c r="D113" s="3">
        <f t="shared" si="1"/>
        <v>0</v>
      </c>
    </row>
    <row r="114">
      <c r="A114" s="10">
        <f>IFERROR(__xludf.DUMMYFUNCTION("""COMPUTED_VALUE"""),45185.0)</f>
        <v>45185</v>
      </c>
      <c r="B114" s="3" t="str">
        <f>IFERROR(__xludf.DUMMYFUNCTION("""COMPUTED_VALUE"""),"Finn Coolen")</f>
        <v>Finn Coolen</v>
      </c>
      <c r="C114" s="3">
        <f>IFERROR(__xludf.DUMMYFUNCTION("""COMPUTED_VALUE"""),2.0)</f>
        <v>2</v>
      </c>
      <c r="D114" s="3">
        <f t="shared" si="1"/>
        <v>0</v>
      </c>
    </row>
    <row r="115">
      <c r="A115" s="10">
        <f>IFERROR(__xludf.DUMMYFUNCTION("""COMPUTED_VALUE"""),45185.0)</f>
        <v>45185</v>
      </c>
      <c r="B115" s="3" t="str">
        <f>IFERROR(__xludf.DUMMYFUNCTION("""COMPUTED_VALUE"""),"Gaz Wheldale")</f>
        <v>Gaz Wheldale</v>
      </c>
      <c r="C115" s="3">
        <f>IFERROR(__xludf.DUMMYFUNCTION("""COMPUTED_VALUE"""),8.0)</f>
        <v>8</v>
      </c>
      <c r="D115" s="3">
        <f t="shared" si="1"/>
        <v>0</v>
      </c>
    </row>
    <row r="116">
      <c r="A116" s="10">
        <f>IFERROR(__xludf.DUMMYFUNCTION("""COMPUTED_VALUE"""),45185.0)</f>
        <v>45185</v>
      </c>
      <c r="B116" s="3" t="str">
        <f>IFERROR(__xludf.DUMMYFUNCTION("""COMPUTED_VALUE"""),"George Havord")</f>
        <v>George Havord</v>
      </c>
      <c r="C116" s="3">
        <f>IFERROR(__xludf.DUMMYFUNCTION("""COMPUTED_VALUE"""),2.0)</f>
        <v>2</v>
      </c>
      <c r="D116" s="3">
        <f t="shared" si="1"/>
        <v>0</v>
      </c>
    </row>
    <row r="117">
      <c r="A117" s="10">
        <f>IFERROR(__xludf.DUMMYFUNCTION("""COMPUTED_VALUE"""),45185.0)</f>
        <v>45185</v>
      </c>
      <c r="B117" s="3" t="str">
        <f>IFERROR(__xludf.DUMMYFUNCTION("""COMPUTED_VALUE"""),"Gus Neill")</f>
        <v>Gus Neill</v>
      </c>
      <c r="C117" s="3">
        <f>IFERROR(__xludf.DUMMYFUNCTION("""COMPUTED_VALUE"""),2.0)</f>
        <v>2</v>
      </c>
      <c r="D117" s="3">
        <f t="shared" si="1"/>
        <v>0</v>
      </c>
    </row>
    <row r="118">
      <c r="A118" s="10">
        <f>IFERROR(__xludf.DUMMYFUNCTION("""COMPUTED_VALUE"""),45185.0)</f>
        <v>45185</v>
      </c>
      <c r="B118" s="3" t="str">
        <f>IFERROR(__xludf.DUMMYFUNCTION("""COMPUTED_VALUE"""),"Hallam Wye")</f>
        <v>Hallam Wye</v>
      </c>
      <c r="C118" s="3">
        <f>IFERROR(__xludf.DUMMYFUNCTION("""COMPUTED_VALUE"""),5.0)</f>
        <v>5</v>
      </c>
      <c r="D118" s="3">
        <f t="shared" si="1"/>
        <v>0</v>
      </c>
    </row>
    <row r="119">
      <c r="A119" s="10">
        <f>IFERROR(__xludf.DUMMYFUNCTION("""COMPUTED_VALUE"""),45185.0)</f>
        <v>45185</v>
      </c>
      <c r="B119" s="3" t="str">
        <f>IFERROR(__xludf.DUMMYFUNCTION("""COMPUTED_VALUE"""),"Harry Fripp")</f>
        <v>Harry Fripp</v>
      </c>
      <c r="C119" s="3">
        <f>IFERROR(__xludf.DUMMYFUNCTION("""COMPUTED_VALUE"""),2.0)</f>
        <v>2</v>
      </c>
      <c r="D119" s="3">
        <f t="shared" si="1"/>
        <v>0</v>
      </c>
    </row>
    <row r="120">
      <c r="A120" s="10">
        <f>IFERROR(__xludf.DUMMYFUNCTION("""COMPUTED_VALUE"""),45185.0)</f>
        <v>45185</v>
      </c>
      <c r="B120" s="3" t="str">
        <f>IFERROR(__xludf.DUMMYFUNCTION("""COMPUTED_VALUE"""),"Ismail Wall")</f>
        <v>Ismail Wall</v>
      </c>
      <c r="C120" s="3">
        <f>IFERROR(__xludf.DUMMYFUNCTION("""COMPUTED_VALUE"""),5.0)</f>
        <v>5</v>
      </c>
      <c r="D120" s="3">
        <f t="shared" si="1"/>
        <v>0</v>
      </c>
    </row>
    <row r="121">
      <c r="A121" s="10">
        <f>IFERROR(__xludf.DUMMYFUNCTION("""COMPUTED_VALUE"""),45185.0)</f>
        <v>45185</v>
      </c>
      <c r="B121" s="3" t="str">
        <f>IFERROR(__xludf.DUMMYFUNCTION("""COMPUTED_VALUE"""),"Jabari Dixon")</f>
        <v>Jabari Dixon</v>
      </c>
      <c r="C121" s="3">
        <f>IFERROR(__xludf.DUMMYFUNCTION("""COMPUTED_VALUE"""),1.0)</f>
        <v>1</v>
      </c>
      <c r="D121" s="3">
        <f t="shared" si="1"/>
        <v>0</v>
      </c>
    </row>
    <row r="122">
      <c r="A122" s="10">
        <f>IFERROR(__xludf.DUMMYFUNCTION("""COMPUTED_VALUE"""),45185.0)</f>
        <v>45185</v>
      </c>
      <c r="B122" s="3" t="str">
        <f>IFERROR(__xludf.DUMMYFUNCTION("""COMPUTED_VALUE"""),"Jack Harris")</f>
        <v>Jack Harris</v>
      </c>
      <c r="C122" s="3">
        <f>IFERROR(__xludf.DUMMYFUNCTION("""COMPUTED_VALUE"""),1.0)</f>
        <v>1</v>
      </c>
      <c r="D122" s="3">
        <f t="shared" si="1"/>
        <v>0</v>
      </c>
    </row>
    <row r="123">
      <c r="A123" s="10">
        <f>IFERROR(__xludf.DUMMYFUNCTION("""COMPUTED_VALUE"""),45185.0)</f>
        <v>45185</v>
      </c>
      <c r="B123" s="3" t="str">
        <f>IFERROR(__xludf.DUMMYFUNCTION("""COMPUTED_VALUE"""),"James Rodriguez")</f>
        <v>James Rodriguez</v>
      </c>
      <c r="C123" s="3">
        <f>IFERROR(__xludf.DUMMYFUNCTION("""COMPUTED_VALUE"""),2.0)</f>
        <v>2</v>
      </c>
      <c r="D123" s="3">
        <f t="shared" si="1"/>
        <v>0</v>
      </c>
    </row>
    <row r="124">
      <c r="A124" s="10">
        <f>IFERROR(__xludf.DUMMYFUNCTION("""COMPUTED_VALUE"""),45185.0)</f>
        <v>45185</v>
      </c>
      <c r="B124" s="3" t="str">
        <f>IFERROR(__xludf.DUMMYFUNCTION("""COMPUTED_VALUE"""),"Janam Satra")</f>
        <v>Janam Satra</v>
      </c>
      <c r="C124" s="3">
        <f>IFERROR(__xludf.DUMMYFUNCTION("""COMPUTED_VALUE"""),1.0)</f>
        <v>1</v>
      </c>
      <c r="D124" s="3">
        <f t="shared" si="1"/>
        <v>0</v>
      </c>
    </row>
    <row r="125">
      <c r="A125" s="10">
        <f>IFERROR(__xludf.DUMMYFUNCTION("""COMPUTED_VALUE"""),45185.0)</f>
        <v>45185</v>
      </c>
      <c r="B125" s="3" t="str">
        <f>IFERROR(__xludf.DUMMYFUNCTION("""COMPUTED_VALUE"""),"Jarvis Cheek")</f>
        <v>Jarvis Cheek</v>
      </c>
      <c r="C125" s="3">
        <f>IFERROR(__xludf.DUMMYFUNCTION("""COMPUTED_VALUE"""),7.0)</f>
        <v>7</v>
      </c>
      <c r="D125" s="3">
        <f t="shared" si="1"/>
        <v>0</v>
      </c>
    </row>
    <row r="126">
      <c r="A126" s="10">
        <f>IFERROR(__xludf.DUMMYFUNCTION("""COMPUTED_VALUE"""),45185.0)</f>
        <v>45185</v>
      </c>
      <c r="B126" s="3" t="str">
        <f>IFERROR(__xludf.DUMMYFUNCTION("""COMPUTED_VALUE"""),"Jason Heath")</f>
        <v>Jason Heath</v>
      </c>
      <c r="C126" s="3">
        <f>IFERROR(__xludf.DUMMYFUNCTION("""COMPUTED_VALUE"""),2.0)</f>
        <v>2</v>
      </c>
      <c r="D126" s="3">
        <f t="shared" si="1"/>
        <v>0</v>
      </c>
    </row>
    <row r="127">
      <c r="A127" s="10">
        <f>IFERROR(__xludf.DUMMYFUNCTION("""COMPUTED_VALUE"""),45185.0)</f>
        <v>45185</v>
      </c>
      <c r="B127" s="3" t="str">
        <f>IFERROR(__xludf.DUMMYFUNCTION("""COMPUTED_VALUE"""),"Jason Nwakaeze")</f>
        <v>Jason Nwakaeze</v>
      </c>
      <c r="C127" s="3">
        <f>IFERROR(__xludf.DUMMYFUNCTION("""COMPUTED_VALUE"""),2.0)</f>
        <v>2</v>
      </c>
      <c r="D127" s="3">
        <f t="shared" si="1"/>
        <v>0</v>
      </c>
    </row>
    <row r="128">
      <c r="A128" s="10">
        <f>IFERROR(__xludf.DUMMYFUNCTION("""COMPUTED_VALUE"""),45185.0)</f>
        <v>45185</v>
      </c>
      <c r="B128" s="3" t="str">
        <f>IFERROR(__xludf.DUMMYFUNCTION("""COMPUTED_VALUE"""),"Jed Evamy")</f>
        <v>Jed Evamy</v>
      </c>
      <c r="C128" s="3">
        <f>IFERROR(__xludf.DUMMYFUNCTION("""COMPUTED_VALUE"""),8.0)</f>
        <v>8</v>
      </c>
      <c r="D128" s="3">
        <f t="shared" si="1"/>
        <v>0</v>
      </c>
    </row>
    <row r="129">
      <c r="A129" s="10">
        <f>IFERROR(__xludf.DUMMYFUNCTION("""COMPUTED_VALUE"""),45185.0)</f>
        <v>45185</v>
      </c>
      <c r="B129" s="3" t="str">
        <f>IFERROR(__xludf.DUMMYFUNCTION("""COMPUTED_VALUE"""),"Joe Tanner")</f>
        <v>Joe Tanner</v>
      </c>
      <c r="C129" s="3">
        <f>IFERROR(__xludf.DUMMYFUNCTION("""COMPUTED_VALUE"""),1.0)</f>
        <v>1</v>
      </c>
      <c r="D129" s="3">
        <f t="shared" si="1"/>
        <v>0</v>
      </c>
    </row>
    <row r="130">
      <c r="A130" s="10">
        <f>IFERROR(__xludf.DUMMYFUNCTION("""COMPUTED_VALUE"""),45185.0)</f>
        <v>45185</v>
      </c>
      <c r="B130" s="3" t="str">
        <f>IFERROR(__xludf.DUMMYFUNCTION("""COMPUTED_VALUE"""),"Joel Wright")</f>
        <v>Joel Wright</v>
      </c>
      <c r="C130" s="3">
        <f>IFERROR(__xludf.DUMMYFUNCTION("""COMPUTED_VALUE"""),1.0)</f>
        <v>1</v>
      </c>
      <c r="D130" s="3">
        <f t="shared" si="1"/>
        <v>0</v>
      </c>
    </row>
    <row r="131">
      <c r="A131" s="10">
        <f>IFERROR(__xludf.DUMMYFUNCTION("""COMPUTED_VALUE"""),45185.0)</f>
        <v>45185</v>
      </c>
      <c r="B131" s="3" t="str">
        <f>IFERROR(__xludf.DUMMYFUNCTION("""COMPUTED_VALUE"""),"Joey Wackrill")</f>
        <v>Joey Wackrill</v>
      </c>
      <c r="C131" s="3">
        <f>IFERROR(__xludf.DUMMYFUNCTION("""COMPUTED_VALUE"""),1.0)</f>
        <v>1</v>
      </c>
      <c r="D131" s="3">
        <f t="shared" si="1"/>
        <v>0</v>
      </c>
    </row>
    <row r="132">
      <c r="A132" s="10">
        <f>IFERROR(__xludf.DUMMYFUNCTION("""COMPUTED_VALUE"""),45185.0)</f>
        <v>45185</v>
      </c>
      <c r="B132" s="3" t="str">
        <f>IFERROR(__xludf.DUMMYFUNCTION("""COMPUTED_VALUE"""),"John Harrison")</f>
        <v>John Harrison</v>
      </c>
      <c r="C132" s="3">
        <f>IFERROR(__xludf.DUMMYFUNCTION("""COMPUTED_VALUE"""),8.0)</f>
        <v>8</v>
      </c>
      <c r="D132" s="3">
        <f t="shared" si="1"/>
        <v>0</v>
      </c>
    </row>
    <row r="133">
      <c r="A133" s="10">
        <f>IFERROR(__xludf.DUMMYFUNCTION("""COMPUTED_VALUE"""),45185.0)</f>
        <v>45185</v>
      </c>
      <c r="B133" s="3" t="str">
        <f>IFERROR(__xludf.DUMMYFUNCTION("""COMPUTED_VALUE"""),"Jordan Davis")</f>
        <v>Jordan Davis</v>
      </c>
      <c r="C133" s="3">
        <f>IFERROR(__xludf.DUMMYFUNCTION("""COMPUTED_VALUE"""),2.0)</f>
        <v>2</v>
      </c>
      <c r="D133" s="3">
        <f t="shared" si="1"/>
        <v>0</v>
      </c>
    </row>
    <row r="134">
      <c r="A134" s="10">
        <f>IFERROR(__xludf.DUMMYFUNCTION("""COMPUTED_VALUE"""),45185.0)</f>
        <v>45185</v>
      </c>
      <c r="B134" s="3" t="str">
        <f>IFERROR(__xludf.DUMMYFUNCTION("""COMPUTED_VALUE"""),"Joseph Smith")</f>
        <v>Joseph Smith</v>
      </c>
      <c r="C134" s="3">
        <f>IFERROR(__xludf.DUMMYFUNCTION("""COMPUTED_VALUE"""),2.0)</f>
        <v>2</v>
      </c>
      <c r="D134" s="3">
        <f t="shared" si="1"/>
        <v>0</v>
      </c>
    </row>
    <row r="135">
      <c r="A135" s="10">
        <f>IFERROR(__xludf.DUMMYFUNCTION("""COMPUTED_VALUE"""),45185.0)</f>
        <v>45185</v>
      </c>
      <c r="B135" s="3" t="str">
        <f>IFERROR(__xludf.DUMMYFUNCTION("""COMPUTED_VALUE"""),"Josh Sherriff-Jolly")</f>
        <v>Josh Sherriff-Jolly</v>
      </c>
      <c r="C135" s="3">
        <f>IFERROR(__xludf.DUMMYFUNCTION("""COMPUTED_VALUE"""),6.0)</f>
        <v>6</v>
      </c>
      <c r="D135" s="3">
        <f t="shared" si="1"/>
        <v>0</v>
      </c>
    </row>
    <row r="136">
      <c r="A136" s="10">
        <f>IFERROR(__xludf.DUMMYFUNCTION("""COMPUTED_VALUE"""),45185.0)</f>
        <v>45185</v>
      </c>
      <c r="B136" s="3" t="str">
        <f>IFERROR(__xludf.DUMMYFUNCTION("""COMPUTED_VALUE"""),"Kevin Gonzalez")</f>
        <v>Kevin Gonzalez</v>
      </c>
      <c r="C136" s="3">
        <f>IFERROR(__xludf.DUMMYFUNCTION("""COMPUTED_VALUE"""),1.0)</f>
        <v>1</v>
      </c>
      <c r="D136" s="3">
        <f t="shared" si="1"/>
        <v>0</v>
      </c>
    </row>
    <row r="137">
      <c r="A137" s="10">
        <f>IFERROR(__xludf.DUMMYFUNCTION("""COMPUTED_VALUE"""),45185.0)</f>
        <v>45185</v>
      </c>
      <c r="B137" s="3" t="str">
        <f>IFERROR(__xludf.DUMMYFUNCTION("""COMPUTED_VALUE"""),"Kye Williams")</f>
        <v>Kye Williams</v>
      </c>
      <c r="C137" s="3">
        <f>IFERROR(__xludf.DUMMYFUNCTION("""COMPUTED_VALUE"""),2.0)</f>
        <v>2</v>
      </c>
      <c r="D137" s="3">
        <f t="shared" si="1"/>
        <v>0</v>
      </c>
    </row>
    <row r="138">
      <c r="A138" s="10">
        <f>IFERROR(__xludf.DUMMYFUNCTION("""COMPUTED_VALUE"""),45185.0)</f>
        <v>45185</v>
      </c>
      <c r="B138" s="3" t="str">
        <f>IFERROR(__xludf.DUMMYFUNCTION("""COMPUTED_VALUE"""),"Lee Clark")</f>
        <v>Lee Clark</v>
      </c>
      <c r="C138" s="3">
        <f>IFERROR(__xludf.DUMMYFUNCTION("""COMPUTED_VALUE"""),2.0)</f>
        <v>2</v>
      </c>
      <c r="D138" s="3">
        <f t="shared" si="1"/>
        <v>0</v>
      </c>
    </row>
    <row r="139">
      <c r="A139" s="10">
        <f>IFERROR(__xludf.DUMMYFUNCTION("""COMPUTED_VALUE"""),45185.0)</f>
        <v>45185</v>
      </c>
      <c r="B139" s="3" t="str">
        <f>IFERROR(__xludf.DUMMYFUNCTION("""COMPUTED_VALUE"""),"Leuman Coronado")</f>
        <v>Leuman Coronado</v>
      </c>
      <c r="C139" s="3">
        <f>IFERROR(__xludf.DUMMYFUNCTION("""COMPUTED_VALUE"""),7.0)</f>
        <v>7</v>
      </c>
      <c r="D139" s="3">
        <f t="shared" si="1"/>
        <v>0</v>
      </c>
    </row>
    <row r="140">
      <c r="A140" s="10">
        <f>IFERROR(__xludf.DUMMYFUNCTION("""COMPUTED_VALUE"""),45185.0)</f>
        <v>45185</v>
      </c>
      <c r="B140" s="3" t="str">
        <f>IFERROR(__xludf.DUMMYFUNCTION("""COMPUTED_VALUE"""),"Martin Goodson")</f>
        <v>Martin Goodson</v>
      </c>
      <c r="C140" s="3">
        <f>IFERROR(__xludf.DUMMYFUNCTION("""COMPUTED_VALUE"""),1.0)</f>
        <v>1</v>
      </c>
      <c r="D140" s="3">
        <f t="shared" si="1"/>
        <v>0</v>
      </c>
    </row>
    <row r="141">
      <c r="A141" s="10">
        <f>IFERROR(__xludf.DUMMYFUNCTION("""COMPUTED_VALUE"""),45185.0)</f>
        <v>45185</v>
      </c>
      <c r="B141" s="3" t="str">
        <f>IFERROR(__xludf.DUMMYFUNCTION("""COMPUTED_VALUE"""),"Masood Hamidi")</f>
        <v>Masood Hamidi</v>
      </c>
      <c r="C141" s="3">
        <f>IFERROR(__xludf.DUMMYFUNCTION("""COMPUTED_VALUE"""),5.0)</f>
        <v>5</v>
      </c>
      <c r="D141" s="3">
        <f t="shared" si="1"/>
        <v>0</v>
      </c>
    </row>
    <row r="142">
      <c r="A142" s="10">
        <f>IFERROR(__xludf.DUMMYFUNCTION("""COMPUTED_VALUE"""),45185.0)</f>
        <v>45185</v>
      </c>
      <c r="B142" s="3" t="str">
        <f>IFERROR(__xludf.DUMMYFUNCTION("""COMPUTED_VALUE"""),"Micah Pinnock")</f>
        <v>Micah Pinnock</v>
      </c>
      <c r="C142" s="3">
        <f>IFERROR(__xludf.DUMMYFUNCTION("""COMPUTED_VALUE"""),2.0)</f>
        <v>2</v>
      </c>
      <c r="D142" s="3">
        <f t="shared" si="1"/>
        <v>0</v>
      </c>
    </row>
    <row r="143">
      <c r="A143" s="10">
        <f>IFERROR(__xludf.DUMMYFUNCTION("""COMPUTED_VALUE"""),45185.0)</f>
        <v>45185</v>
      </c>
      <c r="B143" s="3" t="str">
        <f>IFERROR(__xludf.DUMMYFUNCTION("""COMPUTED_VALUE"""),"Nathan Baverstock")</f>
        <v>Nathan Baverstock</v>
      </c>
      <c r="C143" s="3">
        <f>IFERROR(__xludf.DUMMYFUNCTION("""COMPUTED_VALUE"""),2.0)</f>
        <v>2</v>
      </c>
      <c r="D143" s="3">
        <f t="shared" si="1"/>
        <v>0</v>
      </c>
    </row>
    <row r="144">
      <c r="A144" s="10">
        <f>IFERROR(__xludf.DUMMYFUNCTION("""COMPUTED_VALUE"""),45185.0)</f>
        <v>45185</v>
      </c>
      <c r="B144" s="3" t="str">
        <f>IFERROR(__xludf.DUMMYFUNCTION("""COMPUTED_VALUE"""),"Niall Wootten")</f>
        <v>Niall Wootten</v>
      </c>
      <c r="C144" s="3">
        <f>IFERROR(__xludf.DUMMYFUNCTION("""COMPUTED_VALUE"""),2.0)</f>
        <v>2</v>
      </c>
      <c r="D144" s="3">
        <f t="shared" si="1"/>
        <v>0</v>
      </c>
    </row>
    <row r="145">
      <c r="A145" s="10">
        <f>IFERROR(__xludf.DUMMYFUNCTION("""COMPUTED_VALUE"""),45185.0)</f>
        <v>45185</v>
      </c>
      <c r="B145" s="3" t="str">
        <f>IFERROR(__xludf.DUMMYFUNCTION("""COMPUTED_VALUE"""),"Nick Chimonides")</f>
        <v>Nick Chimonides</v>
      </c>
      <c r="C145" s="3">
        <f>IFERROR(__xludf.DUMMYFUNCTION("""COMPUTED_VALUE"""),2.0)</f>
        <v>2</v>
      </c>
      <c r="D145" s="3">
        <f t="shared" si="1"/>
        <v>0</v>
      </c>
    </row>
    <row r="146">
      <c r="A146" s="10">
        <f>IFERROR(__xludf.DUMMYFUNCTION("""COMPUTED_VALUE"""),45185.0)</f>
        <v>45185</v>
      </c>
      <c r="B146" s="3" t="str">
        <f>IFERROR(__xludf.DUMMYFUNCTION("""COMPUTED_VALUE"""),"Nima Naghdi")</f>
        <v>Nima Naghdi</v>
      </c>
      <c r="C146" s="3">
        <f>IFERROR(__xludf.DUMMYFUNCTION("""COMPUTED_VALUE"""),7.0)</f>
        <v>7</v>
      </c>
      <c r="D146" s="3">
        <f t="shared" si="1"/>
        <v>0</v>
      </c>
    </row>
    <row r="147">
      <c r="A147" s="10">
        <f>IFERROR(__xludf.DUMMYFUNCTION("""COMPUTED_VALUE"""),45185.0)</f>
        <v>45185</v>
      </c>
      <c r="B147" s="3" t="str">
        <f>IFERROR(__xludf.DUMMYFUNCTION("""COMPUTED_VALUE"""),"Oliver Golzari")</f>
        <v>Oliver Golzari</v>
      </c>
      <c r="C147" s="3">
        <f>IFERROR(__xludf.DUMMYFUNCTION("""COMPUTED_VALUE"""),10.0)</f>
        <v>10</v>
      </c>
      <c r="D147" s="3">
        <f t="shared" si="1"/>
        <v>0</v>
      </c>
    </row>
    <row r="148">
      <c r="A148" s="10">
        <f>IFERROR(__xludf.DUMMYFUNCTION("""COMPUTED_VALUE"""),45185.0)</f>
        <v>45185</v>
      </c>
      <c r="B148" s="3" t="str">
        <f>IFERROR(__xludf.DUMMYFUNCTION("""COMPUTED_VALUE"""),"Ollie Sewell")</f>
        <v>Ollie Sewell</v>
      </c>
      <c r="C148" s="3">
        <f>IFERROR(__xludf.DUMMYFUNCTION("""COMPUTED_VALUE"""),12.0)</f>
        <v>12</v>
      </c>
      <c r="D148" s="3">
        <f t="shared" si="1"/>
        <v>0</v>
      </c>
    </row>
    <row r="149">
      <c r="A149" s="10">
        <f>IFERROR(__xludf.DUMMYFUNCTION("""COMPUTED_VALUE"""),45185.0)</f>
        <v>45185</v>
      </c>
      <c r="B149" s="3" t="str">
        <f>IFERROR(__xludf.DUMMYFUNCTION("""COMPUTED_VALUE"""),"Parimal Patel")</f>
        <v>Parimal Patel</v>
      </c>
      <c r="C149" s="3">
        <f>IFERROR(__xludf.DUMMYFUNCTION("""COMPUTED_VALUE"""),14.0)</f>
        <v>14</v>
      </c>
      <c r="D149" s="3">
        <f t="shared" si="1"/>
        <v>0</v>
      </c>
    </row>
    <row r="150">
      <c r="A150" s="10">
        <f>IFERROR(__xludf.DUMMYFUNCTION("""COMPUTED_VALUE"""),45185.0)</f>
        <v>45185</v>
      </c>
      <c r="B150" s="3" t="str">
        <f>IFERROR(__xludf.DUMMYFUNCTION("""COMPUTED_VALUE"""),"Paul Ball")</f>
        <v>Paul Ball</v>
      </c>
      <c r="C150" s="3">
        <f>IFERROR(__xludf.DUMMYFUNCTION("""COMPUTED_VALUE"""),5.0)</f>
        <v>5</v>
      </c>
      <c r="D150" s="3">
        <f t="shared" si="1"/>
        <v>0</v>
      </c>
    </row>
    <row r="151">
      <c r="A151" s="10">
        <f>IFERROR(__xludf.DUMMYFUNCTION("""COMPUTED_VALUE"""),45185.0)</f>
        <v>45185</v>
      </c>
      <c r="B151" s="3" t="str">
        <f>IFERROR(__xludf.DUMMYFUNCTION("""COMPUTED_VALUE"""),"Pearl Bakengela")</f>
        <v>Pearl Bakengela</v>
      </c>
      <c r="C151" s="3">
        <f>IFERROR(__xludf.DUMMYFUNCTION("""COMPUTED_VALUE"""),6.0)</f>
        <v>6</v>
      </c>
      <c r="D151" s="3">
        <f t="shared" si="1"/>
        <v>0</v>
      </c>
    </row>
    <row r="152">
      <c r="A152" s="10">
        <f>IFERROR(__xludf.DUMMYFUNCTION("""COMPUTED_VALUE"""),45185.0)</f>
        <v>45185</v>
      </c>
      <c r="B152" s="3" t="str">
        <f>IFERROR(__xludf.DUMMYFUNCTION("""COMPUTED_VALUE"""),"Peter Green")</f>
        <v>Peter Green</v>
      </c>
      <c r="C152" s="3">
        <f>IFERROR(__xludf.DUMMYFUNCTION("""COMPUTED_VALUE"""),1.0)</f>
        <v>1</v>
      </c>
      <c r="D152" s="3">
        <f t="shared" si="1"/>
        <v>0</v>
      </c>
    </row>
    <row r="153">
      <c r="A153" s="10">
        <f>IFERROR(__xludf.DUMMYFUNCTION("""COMPUTED_VALUE"""),45185.0)</f>
        <v>45185</v>
      </c>
      <c r="B153" s="3" t="str">
        <f>IFERROR(__xludf.DUMMYFUNCTION("""COMPUTED_VALUE"""),"Raj Ramful")</f>
        <v>Raj Ramful</v>
      </c>
      <c r="C153" s="3">
        <f>IFERROR(__xludf.DUMMYFUNCTION("""COMPUTED_VALUE"""),1.0)</f>
        <v>1</v>
      </c>
      <c r="D153" s="3">
        <f t="shared" si="1"/>
        <v>0</v>
      </c>
    </row>
    <row r="154">
      <c r="A154" s="10">
        <f>IFERROR(__xludf.DUMMYFUNCTION("""COMPUTED_VALUE"""),45185.0)</f>
        <v>45185</v>
      </c>
      <c r="B154" s="3" t="str">
        <f>IFERROR(__xludf.DUMMYFUNCTION("""COMPUTED_VALUE"""),"Rich Lundie")</f>
        <v>Rich Lundie</v>
      </c>
      <c r="C154" s="3">
        <f>IFERROR(__xludf.DUMMYFUNCTION("""COMPUTED_VALUE"""),2.0)</f>
        <v>2</v>
      </c>
      <c r="D154" s="3">
        <f t="shared" si="1"/>
        <v>0</v>
      </c>
    </row>
    <row r="155">
      <c r="A155" s="10">
        <f>IFERROR(__xludf.DUMMYFUNCTION("""COMPUTED_VALUE"""),45185.0)</f>
        <v>45185</v>
      </c>
      <c r="B155" s="3" t="str">
        <f>IFERROR(__xludf.DUMMYFUNCTION("""COMPUTED_VALUE"""),"Richard Jones")</f>
        <v>Richard Jones</v>
      </c>
      <c r="C155" s="3">
        <f>IFERROR(__xludf.DUMMYFUNCTION("""COMPUTED_VALUE"""),23.0)</f>
        <v>23</v>
      </c>
      <c r="D155" s="3">
        <f t="shared" si="1"/>
        <v>1</v>
      </c>
    </row>
    <row r="156">
      <c r="A156" s="10">
        <f>IFERROR(__xludf.DUMMYFUNCTION("""COMPUTED_VALUE"""),45185.0)</f>
        <v>45185</v>
      </c>
      <c r="B156" s="3" t="str">
        <f>IFERROR(__xludf.DUMMYFUNCTION("""COMPUTED_VALUE"""),"Richard Scott")</f>
        <v>Richard Scott</v>
      </c>
      <c r="C156" s="3">
        <f>IFERROR(__xludf.DUMMYFUNCTION("""COMPUTED_VALUE"""),2.0)</f>
        <v>2</v>
      </c>
      <c r="D156" s="3">
        <f t="shared" si="1"/>
        <v>0</v>
      </c>
    </row>
    <row r="157">
      <c r="A157" s="10">
        <f>IFERROR(__xludf.DUMMYFUNCTION("""COMPUTED_VALUE"""),45185.0)</f>
        <v>45185</v>
      </c>
      <c r="B157" s="3" t="str">
        <f>IFERROR(__xludf.DUMMYFUNCTION("""COMPUTED_VALUE"""),"Ryan Cochrane")</f>
        <v>Ryan Cochrane</v>
      </c>
      <c r="C157" s="3">
        <f>IFERROR(__xludf.DUMMYFUNCTION("""COMPUTED_VALUE"""),2.0)</f>
        <v>2</v>
      </c>
      <c r="D157" s="3">
        <f t="shared" si="1"/>
        <v>0</v>
      </c>
    </row>
    <row r="158">
      <c r="A158" s="10">
        <f>IFERROR(__xludf.DUMMYFUNCTION("""COMPUTED_VALUE"""),45185.0)</f>
        <v>45185</v>
      </c>
      <c r="B158" s="3" t="str">
        <f>IFERROR(__xludf.DUMMYFUNCTION("""COMPUTED_VALUE"""),"Sam A'Court")</f>
        <v>Sam A'Court</v>
      </c>
      <c r="C158" s="3">
        <f>IFERROR(__xludf.DUMMYFUNCTION("""COMPUTED_VALUE"""),2.0)</f>
        <v>2</v>
      </c>
      <c r="D158" s="3">
        <f t="shared" si="1"/>
        <v>0</v>
      </c>
    </row>
    <row r="159">
      <c r="A159" s="10">
        <f>IFERROR(__xludf.DUMMYFUNCTION("""COMPUTED_VALUE"""),45185.0)</f>
        <v>45185</v>
      </c>
      <c r="B159" s="3" t="str">
        <f>IFERROR(__xludf.DUMMYFUNCTION("""COMPUTED_VALUE"""),"Sean Staunton")</f>
        <v>Sean Staunton</v>
      </c>
      <c r="C159" s="3">
        <f>IFERROR(__xludf.DUMMYFUNCTION("""COMPUTED_VALUE"""),7.0)</f>
        <v>7</v>
      </c>
      <c r="D159" s="3">
        <f t="shared" si="1"/>
        <v>0</v>
      </c>
    </row>
    <row r="160">
      <c r="A160" s="10">
        <f>IFERROR(__xludf.DUMMYFUNCTION("""COMPUTED_VALUE"""),45185.0)</f>
        <v>45185</v>
      </c>
      <c r="B160" s="3" t="str">
        <f>IFERROR(__xludf.DUMMYFUNCTION("""COMPUTED_VALUE"""),"Seb Curle")</f>
        <v>Seb Curle</v>
      </c>
      <c r="C160" s="3">
        <f>IFERROR(__xludf.DUMMYFUNCTION("""COMPUTED_VALUE"""),8.0)</f>
        <v>8</v>
      </c>
      <c r="D160" s="3">
        <f t="shared" si="1"/>
        <v>0</v>
      </c>
    </row>
    <row r="161">
      <c r="A161" s="10">
        <f>IFERROR(__xludf.DUMMYFUNCTION("""COMPUTED_VALUE"""),45185.0)</f>
        <v>45185</v>
      </c>
      <c r="B161" s="3" t="str">
        <f>IFERROR(__xludf.DUMMYFUNCTION("""COMPUTED_VALUE"""),"Stanley Timms")</f>
        <v>Stanley Timms</v>
      </c>
      <c r="C161" s="3">
        <f>IFERROR(__xludf.DUMMYFUNCTION("""COMPUTED_VALUE"""),4.0)</f>
        <v>4</v>
      </c>
      <c r="D161" s="3">
        <f t="shared" si="1"/>
        <v>0</v>
      </c>
    </row>
    <row r="162">
      <c r="A162" s="10">
        <f>IFERROR(__xludf.DUMMYFUNCTION("""COMPUTED_VALUE"""),45185.0)</f>
        <v>45185</v>
      </c>
      <c r="B162" s="3" t="str">
        <f>IFERROR(__xludf.DUMMYFUNCTION("""COMPUTED_VALUE"""),"Theo Horton")</f>
        <v>Theo Horton</v>
      </c>
      <c r="C162" s="3">
        <f>IFERROR(__xludf.DUMMYFUNCTION("""COMPUTED_VALUE"""),13.0)</f>
        <v>13</v>
      </c>
      <c r="D162" s="3">
        <f t="shared" si="1"/>
        <v>0</v>
      </c>
    </row>
    <row r="163">
      <c r="A163" s="10">
        <f>IFERROR(__xludf.DUMMYFUNCTION("""COMPUTED_VALUE"""),45185.0)</f>
        <v>45185</v>
      </c>
      <c r="B163" s="3" t="str">
        <f>IFERROR(__xludf.DUMMYFUNCTION("""COMPUTED_VALUE"""),"Tom Love")</f>
        <v>Tom Love</v>
      </c>
      <c r="C163" s="3">
        <f>IFERROR(__xludf.DUMMYFUNCTION("""COMPUTED_VALUE"""),2.0)</f>
        <v>2</v>
      </c>
      <c r="D163" s="3">
        <f t="shared" si="1"/>
        <v>0</v>
      </c>
    </row>
    <row r="164">
      <c r="A164" s="10">
        <f>IFERROR(__xludf.DUMMYFUNCTION("""COMPUTED_VALUE"""),45185.0)</f>
        <v>45185</v>
      </c>
      <c r="B164" s="3" t="str">
        <f>IFERROR(__xludf.DUMMYFUNCTION("""COMPUTED_VALUE"""),"Tom Riley")</f>
        <v>Tom Riley</v>
      </c>
      <c r="C164" s="3">
        <f>IFERROR(__xludf.DUMMYFUNCTION("""COMPUTED_VALUE"""),8.0)</f>
        <v>8</v>
      </c>
      <c r="D164" s="3">
        <f t="shared" si="1"/>
        <v>0</v>
      </c>
    </row>
    <row r="165">
      <c r="A165" s="10">
        <f>IFERROR(__xludf.DUMMYFUNCTION("""COMPUTED_VALUE"""),45185.0)</f>
        <v>45185</v>
      </c>
      <c r="B165" s="3" t="str">
        <f>IFERROR(__xludf.DUMMYFUNCTION("""COMPUTED_VALUE"""),"Victor Lemmer")</f>
        <v>Victor Lemmer</v>
      </c>
      <c r="C165" s="3">
        <f>IFERROR(__xludf.DUMMYFUNCTION("""COMPUTED_VALUE"""),2.0)</f>
        <v>2</v>
      </c>
      <c r="D165" s="3">
        <f t="shared" si="1"/>
        <v>0</v>
      </c>
    </row>
    <row r="166">
      <c r="A166" s="10">
        <f>IFERROR(__xludf.DUMMYFUNCTION("""COMPUTED_VALUE"""),45185.0)</f>
        <v>45185</v>
      </c>
      <c r="B166" s="3" t="str">
        <f>IFERROR(__xludf.DUMMYFUNCTION("""COMPUTED_VALUE"""),"Will French")</f>
        <v>Will French</v>
      </c>
      <c r="C166" s="3">
        <f>IFERROR(__xludf.DUMMYFUNCTION("""COMPUTED_VALUE"""),2.0)</f>
        <v>2</v>
      </c>
      <c r="D166" s="3">
        <f t="shared" si="1"/>
        <v>0</v>
      </c>
    </row>
    <row r="167">
      <c r="A167" s="10">
        <f>IFERROR(__xludf.DUMMYFUNCTION("""COMPUTED_VALUE"""),45185.0)</f>
        <v>45185</v>
      </c>
      <c r="B167" s="3" t="str">
        <f>IFERROR(__xludf.DUMMYFUNCTION("""COMPUTED_VALUE"""),"Will Sollory")</f>
        <v>Will Sollory</v>
      </c>
      <c r="C167" s="3">
        <f>IFERROR(__xludf.DUMMYFUNCTION("""COMPUTED_VALUE"""),2.0)</f>
        <v>2</v>
      </c>
      <c r="D167" s="3">
        <f t="shared" si="1"/>
        <v>0</v>
      </c>
    </row>
    <row r="168">
      <c r="A168" s="10">
        <f>IFERROR(__xludf.DUMMYFUNCTION("""COMPUTED_VALUE"""),45185.0)</f>
        <v>45185</v>
      </c>
      <c r="B168" s="3" t="str">
        <f>IFERROR(__xludf.DUMMYFUNCTION("""COMPUTED_VALUE"""),"Yemi Oviosu")</f>
        <v>Yemi Oviosu</v>
      </c>
      <c r="C168" s="3">
        <f>IFERROR(__xludf.DUMMYFUNCTION("""COMPUTED_VALUE"""),8.0)</f>
        <v>8</v>
      </c>
      <c r="D168" s="3">
        <f t="shared" si="1"/>
        <v>0</v>
      </c>
    </row>
    <row r="169">
      <c r="A169" s="10">
        <f>IFERROR(__xludf.DUMMYFUNCTION("""COMPUTED_VALUE"""),45192.0)</f>
        <v>45192</v>
      </c>
      <c r="B169" s="3" t="str">
        <f>IFERROR(__xludf.DUMMYFUNCTION("""COMPUTED_VALUE"""),"Aaron Snelling")</f>
        <v>Aaron Snelling</v>
      </c>
      <c r="C169" s="3">
        <f>IFERROR(__xludf.DUMMYFUNCTION("""COMPUTED_VALUE"""),2.0)</f>
        <v>2</v>
      </c>
      <c r="D169" s="3">
        <f t="shared" si="1"/>
        <v>0</v>
      </c>
    </row>
    <row r="170">
      <c r="A170" s="10">
        <f>IFERROR(__xludf.DUMMYFUNCTION("""COMPUTED_VALUE"""),45192.0)</f>
        <v>45192</v>
      </c>
      <c r="B170" s="3" t="str">
        <f>IFERROR(__xludf.DUMMYFUNCTION("""COMPUTED_VALUE"""),"Abz Marfa")</f>
        <v>Abz Marfa</v>
      </c>
      <c r="C170" s="3">
        <f>IFERROR(__xludf.DUMMYFUNCTION("""COMPUTED_VALUE"""),2.0)</f>
        <v>2</v>
      </c>
      <c r="D170" s="3">
        <f t="shared" si="1"/>
        <v>0</v>
      </c>
    </row>
    <row r="171">
      <c r="A171" s="10">
        <f>IFERROR(__xludf.DUMMYFUNCTION("""COMPUTED_VALUE"""),45192.0)</f>
        <v>45192</v>
      </c>
      <c r="B171" s="3" t="str">
        <f>IFERROR(__xludf.DUMMYFUNCTION("""COMPUTED_VALUE"""),"Ade Lawal")</f>
        <v>Ade Lawal</v>
      </c>
      <c r="C171" s="3">
        <f>IFERROR(__xludf.DUMMYFUNCTION("""COMPUTED_VALUE"""),1.0)</f>
        <v>1</v>
      </c>
      <c r="D171" s="3">
        <f t="shared" si="1"/>
        <v>0</v>
      </c>
    </row>
    <row r="172">
      <c r="A172" s="10">
        <f>IFERROR(__xludf.DUMMYFUNCTION("""COMPUTED_VALUE"""),45192.0)</f>
        <v>45192</v>
      </c>
      <c r="B172" s="3" t="str">
        <f>IFERROR(__xludf.DUMMYFUNCTION("""COMPUTED_VALUE"""),"Afnan Khan")</f>
        <v>Afnan Khan</v>
      </c>
      <c r="C172" s="3">
        <f>IFERROR(__xludf.DUMMYFUNCTION("""COMPUTED_VALUE"""),2.0)</f>
        <v>2</v>
      </c>
      <c r="D172" s="3">
        <f t="shared" si="1"/>
        <v>0</v>
      </c>
    </row>
    <row r="173">
      <c r="A173" s="10">
        <f>IFERROR(__xludf.DUMMYFUNCTION("""COMPUTED_VALUE"""),45192.0)</f>
        <v>45192</v>
      </c>
      <c r="B173" s="3" t="str">
        <f>IFERROR(__xludf.DUMMYFUNCTION("""COMPUTED_VALUE"""),"Alex Clark")</f>
        <v>Alex Clark</v>
      </c>
      <c r="C173" s="3">
        <f>IFERROR(__xludf.DUMMYFUNCTION("""COMPUTED_VALUE"""),4.0)</f>
        <v>4</v>
      </c>
      <c r="D173" s="3">
        <f t="shared" si="1"/>
        <v>0</v>
      </c>
    </row>
    <row r="174">
      <c r="A174" s="10">
        <f>IFERROR(__xludf.DUMMYFUNCTION("""COMPUTED_VALUE"""),45192.0)</f>
        <v>45192</v>
      </c>
      <c r="B174" s="3" t="str">
        <f>IFERROR(__xludf.DUMMYFUNCTION("""COMPUTED_VALUE"""),"Alex Mansfield")</f>
        <v>Alex Mansfield</v>
      </c>
      <c r="C174" s="3">
        <f>IFERROR(__xludf.DUMMYFUNCTION("""COMPUTED_VALUE"""),7.0)</f>
        <v>7</v>
      </c>
      <c r="D174" s="3">
        <f t="shared" si="1"/>
        <v>0</v>
      </c>
    </row>
    <row r="175">
      <c r="A175" s="10">
        <f>IFERROR(__xludf.DUMMYFUNCTION("""COMPUTED_VALUE"""),45192.0)</f>
        <v>45192</v>
      </c>
      <c r="B175" s="3" t="str">
        <f>IFERROR(__xludf.DUMMYFUNCTION("""COMPUTED_VALUE"""),"Alex Scott-Ruddock")</f>
        <v>Alex Scott-Ruddock</v>
      </c>
      <c r="C175" s="3">
        <f>IFERROR(__xludf.DUMMYFUNCTION("""COMPUTED_VALUE"""),1.0)</f>
        <v>1</v>
      </c>
      <c r="D175" s="3">
        <f t="shared" si="1"/>
        <v>0</v>
      </c>
    </row>
    <row r="176">
      <c r="A176" s="10">
        <f>IFERROR(__xludf.DUMMYFUNCTION("""COMPUTED_VALUE"""),45192.0)</f>
        <v>45192</v>
      </c>
      <c r="B176" s="3" t="str">
        <f>IFERROR(__xludf.DUMMYFUNCTION("""COMPUTED_VALUE"""),"Andres Ahlgren")</f>
        <v>Andres Ahlgren</v>
      </c>
      <c r="C176" s="3">
        <f>IFERROR(__xludf.DUMMYFUNCTION("""COMPUTED_VALUE"""),2.0)</f>
        <v>2</v>
      </c>
      <c r="D176" s="3">
        <f t="shared" si="1"/>
        <v>0</v>
      </c>
    </row>
    <row r="177">
      <c r="A177" s="10">
        <f>IFERROR(__xludf.DUMMYFUNCTION("""COMPUTED_VALUE"""),45192.0)</f>
        <v>45192</v>
      </c>
      <c r="B177" s="3" t="str">
        <f>IFERROR(__xludf.DUMMYFUNCTION("""COMPUTED_VALUE"""),"Anish Philips")</f>
        <v>Anish Philips</v>
      </c>
      <c r="C177" s="3">
        <f>IFERROR(__xludf.DUMMYFUNCTION("""COMPUTED_VALUE"""),5.0)</f>
        <v>5</v>
      </c>
      <c r="D177" s="3">
        <f t="shared" si="1"/>
        <v>0</v>
      </c>
    </row>
    <row r="178">
      <c r="A178" s="10">
        <f>IFERROR(__xludf.DUMMYFUNCTION("""COMPUTED_VALUE"""),45192.0)</f>
        <v>45192</v>
      </c>
      <c r="B178" s="3" t="str">
        <f>IFERROR(__xludf.DUMMYFUNCTION("""COMPUTED_VALUE"""),"Anthony Ball")</f>
        <v>Anthony Ball</v>
      </c>
      <c r="C178" s="3">
        <f>IFERROR(__xludf.DUMMYFUNCTION("""COMPUTED_VALUE"""),1.0)</f>
        <v>1</v>
      </c>
      <c r="D178" s="3">
        <f t="shared" si="1"/>
        <v>0</v>
      </c>
    </row>
    <row r="179">
      <c r="A179" s="10">
        <f>IFERROR(__xludf.DUMMYFUNCTION("""COMPUTED_VALUE"""),45192.0)</f>
        <v>45192</v>
      </c>
      <c r="B179" s="3" t="str">
        <f>IFERROR(__xludf.DUMMYFUNCTION("""COMPUTED_VALUE"""),"Ben Dockerill")</f>
        <v>Ben Dockerill</v>
      </c>
      <c r="C179" s="3">
        <f>IFERROR(__xludf.DUMMYFUNCTION("""COMPUTED_VALUE"""),2.0)</f>
        <v>2</v>
      </c>
      <c r="D179" s="3">
        <f t="shared" si="1"/>
        <v>0</v>
      </c>
    </row>
    <row r="180">
      <c r="A180" s="10">
        <f>IFERROR(__xludf.DUMMYFUNCTION("""COMPUTED_VALUE"""),45192.0)</f>
        <v>45192</v>
      </c>
      <c r="B180" s="3" t="str">
        <f>IFERROR(__xludf.DUMMYFUNCTION("""COMPUTED_VALUE"""),"Billy Mclean")</f>
        <v>Billy Mclean</v>
      </c>
      <c r="C180" s="3">
        <f>IFERROR(__xludf.DUMMYFUNCTION("""COMPUTED_VALUE"""),2.0)</f>
        <v>2</v>
      </c>
      <c r="D180" s="3">
        <f t="shared" si="1"/>
        <v>0</v>
      </c>
    </row>
    <row r="181">
      <c r="A181" s="10">
        <f>IFERROR(__xludf.DUMMYFUNCTION("""COMPUTED_VALUE"""),45192.0)</f>
        <v>45192</v>
      </c>
      <c r="B181" s="3" t="str">
        <f>IFERROR(__xludf.DUMMYFUNCTION("""COMPUTED_VALUE"""),"Calum Bennett")</f>
        <v>Calum Bennett</v>
      </c>
      <c r="C181" s="3">
        <f>IFERROR(__xludf.DUMMYFUNCTION("""COMPUTED_VALUE"""),2.0)</f>
        <v>2</v>
      </c>
      <c r="D181" s="3">
        <f t="shared" si="1"/>
        <v>0</v>
      </c>
    </row>
    <row r="182">
      <c r="A182" s="10">
        <f>IFERROR(__xludf.DUMMYFUNCTION("""COMPUTED_VALUE"""),45192.0)</f>
        <v>45192</v>
      </c>
      <c r="B182" s="3" t="str">
        <f>IFERROR(__xludf.DUMMYFUNCTION("""COMPUTED_VALUE"""),"Cameron Hildebrandt-Brooks")</f>
        <v>Cameron Hildebrandt-Brooks</v>
      </c>
      <c r="C182" s="3">
        <f>IFERROR(__xludf.DUMMYFUNCTION("""COMPUTED_VALUE"""),1.0)</f>
        <v>1</v>
      </c>
      <c r="D182" s="3">
        <f t="shared" si="1"/>
        <v>0</v>
      </c>
    </row>
    <row r="183">
      <c r="A183" s="10">
        <f>IFERROR(__xludf.DUMMYFUNCTION("""COMPUTED_VALUE"""),45192.0)</f>
        <v>45192</v>
      </c>
      <c r="B183" s="3" t="str">
        <f>IFERROR(__xludf.DUMMYFUNCTION("""COMPUTED_VALUE"""),"Charlie Brooks")</f>
        <v>Charlie Brooks</v>
      </c>
      <c r="C183" s="3">
        <f>IFERROR(__xludf.DUMMYFUNCTION("""COMPUTED_VALUE"""),2.0)</f>
        <v>2</v>
      </c>
      <c r="D183" s="3">
        <f t="shared" si="1"/>
        <v>0</v>
      </c>
    </row>
    <row r="184">
      <c r="A184" s="10">
        <f>IFERROR(__xludf.DUMMYFUNCTION("""COMPUTED_VALUE"""),45192.0)</f>
        <v>45192</v>
      </c>
      <c r="B184" s="3" t="str">
        <f>IFERROR(__xludf.DUMMYFUNCTION("""COMPUTED_VALUE"""),"Chris Claeys")</f>
        <v>Chris Claeys</v>
      </c>
      <c r="C184" s="3">
        <f>IFERROR(__xludf.DUMMYFUNCTION("""COMPUTED_VALUE"""),6.0)</f>
        <v>6</v>
      </c>
      <c r="D184" s="3">
        <f t="shared" si="1"/>
        <v>0</v>
      </c>
    </row>
    <row r="185">
      <c r="A185" s="10">
        <f>IFERROR(__xludf.DUMMYFUNCTION("""COMPUTED_VALUE"""),45192.0)</f>
        <v>45192</v>
      </c>
      <c r="B185" s="3" t="str">
        <f>IFERROR(__xludf.DUMMYFUNCTION("""COMPUTED_VALUE"""),"Chris Douthwaite")</f>
        <v>Chris Douthwaite</v>
      </c>
      <c r="C185" s="3">
        <f>IFERROR(__xludf.DUMMYFUNCTION("""COMPUTED_VALUE"""),4.0)</f>
        <v>4</v>
      </c>
      <c r="D185" s="3">
        <f t="shared" si="1"/>
        <v>0</v>
      </c>
    </row>
    <row r="186">
      <c r="A186" s="10">
        <f>IFERROR(__xludf.DUMMYFUNCTION("""COMPUTED_VALUE"""),45192.0)</f>
        <v>45192</v>
      </c>
      <c r="B186" s="3" t="str">
        <f>IFERROR(__xludf.DUMMYFUNCTION("""COMPUTED_VALUE"""),"Chris Tong")</f>
        <v>Chris Tong</v>
      </c>
      <c r="C186" s="3">
        <f>IFERROR(__xludf.DUMMYFUNCTION("""COMPUTED_VALUE"""),2.0)</f>
        <v>2</v>
      </c>
      <c r="D186" s="3">
        <f t="shared" si="1"/>
        <v>0</v>
      </c>
    </row>
    <row r="187">
      <c r="A187" s="10">
        <f>IFERROR(__xludf.DUMMYFUNCTION("""COMPUTED_VALUE"""),45192.0)</f>
        <v>45192</v>
      </c>
      <c r="B187" s="3" t="str">
        <f>IFERROR(__xludf.DUMMYFUNCTION("""COMPUTED_VALUE"""),"Ciaran Curran")</f>
        <v>Ciaran Curran</v>
      </c>
      <c r="C187" s="3">
        <f>IFERROR(__xludf.DUMMYFUNCTION("""COMPUTED_VALUE"""),2.0)</f>
        <v>2</v>
      </c>
      <c r="D187" s="3">
        <f t="shared" si="1"/>
        <v>0</v>
      </c>
    </row>
    <row r="188">
      <c r="A188" s="10">
        <f>IFERROR(__xludf.DUMMYFUNCTION("""COMPUTED_VALUE"""),45192.0)</f>
        <v>45192</v>
      </c>
      <c r="B188" s="3" t="str">
        <f>IFERROR(__xludf.DUMMYFUNCTION("""COMPUTED_VALUE"""),"David Holmes-White")</f>
        <v>David Holmes-White</v>
      </c>
      <c r="C188" s="3">
        <f>IFERROR(__xludf.DUMMYFUNCTION("""COMPUTED_VALUE"""),2.0)</f>
        <v>2</v>
      </c>
      <c r="D188" s="3">
        <f t="shared" si="1"/>
        <v>0</v>
      </c>
    </row>
    <row r="189">
      <c r="A189" s="10">
        <f>IFERROR(__xludf.DUMMYFUNCTION("""COMPUTED_VALUE"""),45192.0)</f>
        <v>45192</v>
      </c>
      <c r="B189" s="3" t="str">
        <f>IFERROR(__xludf.DUMMYFUNCTION("""COMPUTED_VALUE"""),"Ellis Forrester")</f>
        <v>Ellis Forrester</v>
      </c>
      <c r="C189" s="3">
        <f>IFERROR(__xludf.DUMMYFUNCTION("""COMPUTED_VALUE"""),1.0)</f>
        <v>1</v>
      </c>
      <c r="D189" s="3">
        <f t="shared" si="1"/>
        <v>0</v>
      </c>
    </row>
    <row r="190">
      <c r="A190" s="10">
        <f>IFERROR(__xludf.DUMMYFUNCTION("""COMPUTED_VALUE"""),45192.0)</f>
        <v>45192</v>
      </c>
      <c r="B190" s="3" t="str">
        <f>IFERROR(__xludf.DUMMYFUNCTION("""COMPUTED_VALUE"""),"Emi Muhadri")</f>
        <v>Emi Muhadri</v>
      </c>
      <c r="C190" s="3">
        <f>IFERROR(__xludf.DUMMYFUNCTION("""COMPUTED_VALUE"""),2.0)</f>
        <v>2</v>
      </c>
      <c r="D190" s="3">
        <f t="shared" si="1"/>
        <v>0</v>
      </c>
    </row>
    <row r="191">
      <c r="A191" s="10">
        <f>IFERROR(__xludf.DUMMYFUNCTION("""COMPUTED_VALUE"""),45192.0)</f>
        <v>45192</v>
      </c>
      <c r="B191" s="3" t="str">
        <f>IFERROR(__xludf.DUMMYFUNCTION("""COMPUTED_VALUE"""),"Ewan Harris")</f>
        <v>Ewan Harris</v>
      </c>
      <c r="C191" s="3">
        <f>IFERROR(__xludf.DUMMYFUNCTION("""COMPUTED_VALUE"""),4.0)</f>
        <v>4</v>
      </c>
      <c r="D191" s="3">
        <f t="shared" si="1"/>
        <v>0</v>
      </c>
    </row>
    <row r="192">
      <c r="A192" s="10">
        <f>IFERROR(__xludf.DUMMYFUNCTION("""COMPUTED_VALUE"""),45192.0)</f>
        <v>45192</v>
      </c>
      <c r="B192" s="3" t="str">
        <f>IFERROR(__xludf.DUMMYFUNCTION("""COMPUTED_VALUE"""),"George Havord")</f>
        <v>George Havord</v>
      </c>
      <c r="C192" s="3">
        <f>IFERROR(__xludf.DUMMYFUNCTION("""COMPUTED_VALUE"""),2.0)</f>
        <v>2</v>
      </c>
      <c r="D192" s="3">
        <f t="shared" si="1"/>
        <v>0</v>
      </c>
    </row>
    <row r="193">
      <c r="A193" s="10">
        <f>IFERROR(__xludf.DUMMYFUNCTION("""COMPUTED_VALUE"""),45192.0)</f>
        <v>45192</v>
      </c>
      <c r="B193" s="3" t="str">
        <f>IFERROR(__xludf.DUMMYFUNCTION("""COMPUTED_VALUE"""),"Hallam Wye")</f>
        <v>Hallam Wye</v>
      </c>
      <c r="C193" s="3">
        <f>IFERROR(__xludf.DUMMYFUNCTION("""COMPUTED_VALUE"""),1.0)</f>
        <v>1</v>
      </c>
      <c r="D193" s="3">
        <f t="shared" si="1"/>
        <v>0</v>
      </c>
    </row>
    <row r="194">
      <c r="A194" s="10">
        <f>IFERROR(__xludf.DUMMYFUNCTION("""COMPUTED_VALUE"""),45192.0)</f>
        <v>45192</v>
      </c>
      <c r="B194" s="3" t="str">
        <f>IFERROR(__xludf.DUMMYFUNCTION("""COMPUTED_VALUE"""),"Harold Kiyingi")</f>
        <v>Harold Kiyingi</v>
      </c>
      <c r="C194" s="3">
        <f>IFERROR(__xludf.DUMMYFUNCTION("""COMPUTED_VALUE"""),3.0)</f>
        <v>3</v>
      </c>
      <c r="D194" s="3">
        <f t="shared" si="1"/>
        <v>0</v>
      </c>
    </row>
    <row r="195">
      <c r="A195" s="10">
        <f>IFERROR(__xludf.DUMMYFUNCTION("""COMPUTED_VALUE"""),45192.0)</f>
        <v>45192</v>
      </c>
      <c r="B195" s="3" t="str">
        <f>IFERROR(__xludf.DUMMYFUNCTION("""COMPUTED_VALUE"""),"Harry Fripp")</f>
        <v>Harry Fripp</v>
      </c>
      <c r="C195" s="3">
        <f>IFERROR(__xludf.DUMMYFUNCTION("""COMPUTED_VALUE"""),2.0)</f>
        <v>2</v>
      </c>
      <c r="D195" s="3">
        <f t="shared" si="1"/>
        <v>0</v>
      </c>
    </row>
    <row r="196">
      <c r="A196" s="10">
        <f>IFERROR(__xludf.DUMMYFUNCTION("""COMPUTED_VALUE"""),45192.0)</f>
        <v>45192</v>
      </c>
      <c r="B196" s="3" t="str">
        <f>IFERROR(__xludf.DUMMYFUNCTION("""COMPUTED_VALUE"""),"Ismail Wall")</f>
        <v>Ismail Wall</v>
      </c>
      <c r="C196" s="3">
        <f>IFERROR(__xludf.DUMMYFUNCTION("""COMPUTED_VALUE"""),1.0)</f>
        <v>1</v>
      </c>
      <c r="D196" s="3">
        <f t="shared" si="1"/>
        <v>0</v>
      </c>
    </row>
    <row r="197">
      <c r="A197" s="10">
        <f>IFERROR(__xludf.DUMMYFUNCTION("""COMPUTED_VALUE"""),45192.0)</f>
        <v>45192</v>
      </c>
      <c r="B197" s="3" t="str">
        <f>IFERROR(__xludf.DUMMYFUNCTION("""COMPUTED_VALUE"""),"Jabari Dixon")</f>
        <v>Jabari Dixon</v>
      </c>
      <c r="C197" s="3">
        <f>IFERROR(__xludf.DUMMYFUNCTION("""COMPUTED_VALUE"""),1.0)</f>
        <v>1</v>
      </c>
      <c r="D197" s="3">
        <f t="shared" si="1"/>
        <v>0</v>
      </c>
    </row>
    <row r="198">
      <c r="A198" s="10">
        <f>IFERROR(__xludf.DUMMYFUNCTION("""COMPUTED_VALUE"""),45192.0)</f>
        <v>45192</v>
      </c>
      <c r="B198" s="3" t="str">
        <f>IFERROR(__xludf.DUMMYFUNCTION("""COMPUTED_VALUE"""),"Jack Harris")</f>
        <v>Jack Harris</v>
      </c>
      <c r="C198" s="3">
        <f>IFERROR(__xludf.DUMMYFUNCTION("""COMPUTED_VALUE"""),1.0)</f>
        <v>1</v>
      </c>
      <c r="D198" s="3">
        <f t="shared" si="1"/>
        <v>0</v>
      </c>
    </row>
    <row r="199">
      <c r="A199" s="10">
        <f>IFERROR(__xludf.DUMMYFUNCTION("""COMPUTED_VALUE"""),45192.0)</f>
        <v>45192</v>
      </c>
      <c r="B199" s="3" t="str">
        <f>IFERROR(__xludf.DUMMYFUNCTION("""COMPUTED_VALUE"""),"James Black")</f>
        <v>James Black</v>
      </c>
      <c r="C199" s="3">
        <f>IFERROR(__xludf.DUMMYFUNCTION("""COMPUTED_VALUE"""),2.0)</f>
        <v>2</v>
      </c>
      <c r="D199" s="3">
        <f t="shared" si="1"/>
        <v>0</v>
      </c>
    </row>
    <row r="200">
      <c r="A200" s="10">
        <f>IFERROR(__xludf.DUMMYFUNCTION("""COMPUTED_VALUE"""),45192.0)</f>
        <v>45192</v>
      </c>
      <c r="B200" s="3" t="str">
        <f>IFERROR(__xludf.DUMMYFUNCTION("""COMPUTED_VALUE"""),"James Rodriguez")</f>
        <v>James Rodriguez</v>
      </c>
      <c r="C200" s="3">
        <f>IFERROR(__xludf.DUMMYFUNCTION("""COMPUTED_VALUE"""),6.0)</f>
        <v>6</v>
      </c>
      <c r="D200" s="3">
        <f t="shared" si="1"/>
        <v>0</v>
      </c>
    </row>
    <row r="201">
      <c r="A201" s="10">
        <f>IFERROR(__xludf.DUMMYFUNCTION("""COMPUTED_VALUE"""),45192.0)</f>
        <v>45192</v>
      </c>
      <c r="B201" s="3" t="str">
        <f>IFERROR(__xludf.DUMMYFUNCTION("""COMPUTED_VALUE"""),"Jamie Wood")</f>
        <v>Jamie Wood</v>
      </c>
      <c r="C201" s="3">
        <f>IFERROR(__xludf.DUMMYFUNCTION("""COMPUTED_VALUE"""),2.0)</f>
        <v>2</v>
      </c>
      <c r="D201" s="3">
        <f t="shared" si="1"/>
        <v>0</v>
      </c>
    </row>
    <row r="202">
      <c r="A202" s="10">
        <f>IFERROR(__xludf.DUMMYFUNCTION("""COMPUTED_VALUE"""),45192.0)</f>
        <v>45192</v>
      </c>
      <c r="B202" s="3" t="str">
        <f>IFERROR(__xludf.DUMMYFUNCTION("""COMPUTED_VALUE"""),"Janam Satra")</f>
        <v>Janam Satra</v>
      </c>
      <c r="C202" s="3">
        <f>IFERROR(__xludf.DUMMYFUNCTION("""COMPUTED_VALUE"""),2.0)</f>
        <v>2</v>
      </c>
      <c r="D202" s="3">
        <f t="shared" si="1"/>
        <v>0</v>
      </c>
    </row>
    <row r="203">
      <c r="A203" s="10">
        <f>IFERROR(__xludf.DUMMYFUNCTION("""COMPUTED_VALUE"""),45192.0)</f>
        <v>45192</v>
      </c>
      <c r="B203" s="3" t="str">
        <f>IFERROR(__xludf.DUMMYFUNCTION("""COMPUTED_VALUE"""),"Jarvis Cheek")</f>
        <v>Jarvis Cheek</v>
      </c>
      <c r="C203" s="3">
        <f>IFERROR(__xludf.DUMMYFUNCTION("""COMPUTED_VALUE"""),7.0)</f>
        <v>7</v>
      </c>
      <c r="D203" s="3">
        <f t="shared" si="1"/>
        <v>0</v>
      </c>
    </row>
    <row r="204">
      <c r="A204" s="10">
        <f>IFERROR(__xludf.DUMMYFUNCTION("""COMPUTED_VALUE"""),45192.0)</f>
        <v>45192</v>
      </c>
      <c r="B204" s="3" t="str">
        <f>IFERROR(__xludf.DUMMYFUNCTION("""COMPUTED_VALUE"""),"Jason Heath")</f>
        <v>Jason Heath</v>
      </c>
      <c r="C204" s="3">
        <f>IFERROR(__xludf.DUMMYFUNCTION("""COMPUTED_VALUE"""),2.0)</f>
        <v>2</v>
      </c>
      <c r="D204" s="3">
        <f t="shared" si="1"/>
        <v>0</v>
      </c>
    </row>
    <row r="205">
      <c r="A205" s="10">
        <f>IFERROR(__xludf.DUMMYFUNCTION("""COMPUTED_VALUE"""),45192.0)</f>
        <v>45192</v>
      </c>
      <c r="B205" s="3" t="str">
        <f>IFERROR(__xludf.DUMMYFUNCTION("""COMPUTED_VALUE"""),"Joe Docherty")</f>
        <v>Joe Docherty</v>
      </c>
      <c r="C205" s="3">
        <f>IFERROR(__xludf.DUMMYFUNCTION("""COMPUTED_VALUE"""),8.0)</f>
        <v>8</v>
      </c>
      <c r="D205" s="3">
        <f t="shared" si="1"/>
        <v>0</v>
      </c>
    </row>
    <row r="206">
      <c r="A206" s="10">
        <f>IFERROR(__xludf.DUMMYFUNCTION("""COMPUTED_VALUE"""),45192.0)</f>
        <v>45192</v>
      </c>
      <c r="B206" s="3" t="str">
        <f>IFERROR(__xludf.DUMMYFUNCTION("""COMPUTED_VALUE"""),"John Harrison")</f>
        <v>John Harrison</v>
      </c>
      <c r="C206" s="3">
        <f>IFERROR(__xludf.DUMMYFUNCTION("""COMPUTED_VALUE"""),2.0)</f>
        <v>2</v>
      </c>
      <c r="D206" s="3">
        <f t="shared" si="1"/>
        <v>0</v>
      </c>
    </row>
    <row r="207">
      <c r="A207" s="10">
        <f>IFERROR(__xludf.DUMMYFUNCTION("""COMPUTED_VALUE"""),45192.0)</f>
        <v>45192</v>
      </c>
      <c r="B207" s="3" t="str">
        <f>IFERROR(__xludf.DUMMYFUNCTION("""COMPUTED_VALUE"""),"Jonny Simmons")</f>
        <v>Jonny Simmons</v>
      </c>
      <c r="C207" s="3">
        <f>IFERROR(__xludf.DUMMYFUNCTION("""COMPUTED_VALUE"""),13.0)</f>
        <v>13</v>
      </c>
      <c r="D207" s="3">
        <f t="shared" si="1"/>
        <v>1</v>
      </c>
    </row>
    <row r="208">
      <c r="A208" s="10">
        <f>IFERROR(__xludf.DUMMYFUNCTION("""COMPUTED_VALUE"""),45192.0)</f>
        <v>45192</v>
      </c>
      <c r="B208" s="3" t="str">
        <f>IFERROR(__xludf.DUMMYFUNCTION("""COMPUTED_VALUE"""),"Joseph Smith")</f>
        <v>Joseph Smith</v>
      </c>
      <c r="C208" s="3">
        <f>IFERROR(__xludf.DUMMYFUNCTION("""COMPUTED_VALUE"""),2.0)</f>
        <v>2</v>
      </c>
      <c r="D208" s="3">
        <f t="shared" si="1"/>
        <v>0</v>
      </c>
    </row>
    <row r="209">
      <c r="A209" s="10">
        <f>IFERROR(__xludf.DUMMYFUNCTION("""COMPUTED_VALUE"""),45192.0)</f>
        <v>45192</v>
      </c>
      <c r="B209" s="3" t="str">
        <f>IFERROR(__xludf.DUMMYFUNCTION("""COMPUTED_VALUE"""),"Josh Billings")</f>
        <v>Josh Billings</v>
      </c>
      <c r="C209" s="3">
        <f>IFERROR(__xludf.DUMMYFUNCTION("""COMPUTED_VALUE"""),8.0)</f>
        <v>8</v>
      </c>
      <c r="D209" s="3">
        <f t="shared" si="1"/>
        <v>0</v>
      </c>
    </row>
    <row r="210">
      <c r="A210" s="10">
        <f>IFERROR(__xludf.DUMMYFUNCTION("""COMPUTED_VALUE"""),45192.0)</f>
        <v>45192</v>
      </c>
      <c r="B210" s="3" t="str">
        <f>IFERROR(__xludf.DUMMYFUNCTION("""COMPUTED_VALUE"""),"Josh Sherriff-Jolly")</f>
        <v>Josh Sherriff-Jolly</v>
      </c>
      <c r="C210" s="3">
        <f>IFERROR(__xludf.DUMMYFUNCTION("""COMPUTED_VALUE"""),5.0)</f>
        <v>5</v>
      </c>
      <c r="D210" s="3">
        <f t="shared" si="1"/>
        <v>0</v>
      </c>
    </row>
    <row r="211">
      <c r="A211" s="10">
        <f>IFERROR(__xludf.DUMMYFUNCTION("""COMPUTED_VALUE"""),45192.0)</f>
        <v>45192</v>
      </c>
      <c r="B211" s="3" t="str">
        <f>IFERROR(__xludf.DUMMYFUNCTION("""COMPUTED_VALUE"""),"Kevin Gonzalez")</f>
        <v>Kevin Gonzalez</v>
      </c>
      <c r="C211" s="3">
        <f>IFERROR(__xludf.DUMMYFUNCTION("""COMPUTED_VALUE"""),1.0)</f>
        <v>1</v>
      </c>
      <c r="D211" s="3">
        <f t="shared" si="1"/>
        <v>0</v>
      </c>
    </row>
    <row r="212">
      <c r="A212" s="10">
        <f>IFERROR(__xludf.DUMMYFUNCTION("""COMPUTED_VALUE"""),45192.0)</f>
        <v>45192</v>
      </c>
      <c r="B212" s="3" t="str">
        <f>IFERROR(__xludf.DUMMYFUNCTION("""COMPUTED_VALUE"""),"Lawrence Asante")</f>
        <v>Lawrence Asante</v>
      </c>
      <c r="C212" s="3">
        <f>IFERROR(__xludf.DUMMYFUNCTION("""COMPUTED_VALUE"""),7.0)</f>
        <v>7</v>
      </c>
      <c r="D212" s="3">
        <f t="shared" si="1"/>
        <v>0</v>
      </c>
    </row>
    <row r="213">
      <c r="A213" s="10">
        <f>IFERROR(__xludf.DUMMYFUNCTION("""COMPUTED_VALUE"""),45192.0)</f>
        <v>45192</v>
      </c>
      <c r="B213" s="3" t="str">
        <f>IFERROR(__xludf.DUMMYFUNCTION("""COMPUTED_VALUE"""),"Lee Clark")</f>
        <v>Lee Clark</v>
      </c>
      <c r="C213" s="3">
        <f>IFERROR(__xludf.DUMMYFUNCTION("""COMPUTED_VALUE"""),1.0)</f>
        <v>1</v>
      </c>
      <c r="D213" s="3">
        <f t="shared" si="1"/>
        <v>0</v>
      </c>
    </row>
    <row r="214">
      <c r="A214" s="10">
        <f>IFERROR(__xludf.DUMMYFUNCTION("""COMPUTED_VALUE"""),45192.0)</f>
        <v>45192</v>
      </c>
      <c r="B214" s="3" t="str">
        <f>IFERROR(__xludf.DUMMYFUNCTION("""COMPUTED_VALUE"""),"Leigh Cremin")</f>
        <v>Leigh Cremin</v>
      </c>
      <c r="C214" s="3">
        <f>IFERROR(__xludf.DUMMYFUNCTION("""COMPUTED_VALUE"""),1.0)</f>
        <v>1</v>
      </c>
      <c r="D214" s="3">
        <f t="shared" si="1"/>
        <v>0</v>
      </c>
    </row>
    <row r="215">
      <c r="A215" s="10">
        <f>IFERROR(__xludf.DUMMYFUNCTION("""COMPUTED_VALUE"""),45192.0)</f>
        <v>45192</v>
      </c>
      <c r="B215" s="3" t="str">
        <f>IFERROR(__xludf.DUMMYFUNCTION("""COMPUTED_VALUE"""),"Leuman Coronado")</f>
        <v>Leuman Coronado</v>
      </c>
      <c r="C215" s="3">
        <f>IFERROR(__xludf.DUMMYFUNCTION("""COMPUTED_VALUE"""),2.0)</f>
        <v>2</v>
      </c>
      <c r="D215" s="3">
        <f t="shared" si="1"/>
        <v>0</v>
      </c>
    </row>
    <row r="216">
      <c r="A216" s="10">
        <f>IFERROR(__xludf.DUMMYFUNCTION("""COMPUTED_VALUE"""),45192.0)</f>
        <v>45192</v>
      </c>
      <c r="B216" s="3" t="str">
        <f>IFERROR(__xludf.DUMMYFUNCTION("""COMPUTED_VALUE"""),"Liam Gunn")</f>
        <v>Liam Gunn</v>
      </c>
      <c r="C216" s="3">
        <f>IFERROR(__xludf.DUMMYFUNCTION("""COMPUTED_VALUE"""),2.0)</f>
        <v>2</v>
      </c>
      <c r="D216" s="3">
        <f t="shared" si="1"/>
        <v>0</v>
      </c>
    </row>
    <row r="217">
      <c r="A217" s="10">
        <f>IFERROR(__xludf.DUMMYFUNCTION("""COMPUTED_VALUE"""),45192.0)</f>
        <v>45192</v>
      </c>
      <c r="B217" s="3" t="str">
        <f>IFERROR(__xludf.DUMMYFUNCTION("""COMPUTED_VALUE"""),"Martin Goodson")</f>
        <v>Martin Goodson</v>
      </c>
      <c r="C217" s="3">
        <f>IFERROR(__xludf.DUMMYFUNCTION("""COMPUTED_VALUE"""),1.0)</f>
        <v>1</v>
      </c>
      <c r="D217" s="3">
        <f t="shared" si="1"/>
        <v>0</v>
      </c>
    </row>
    <row r="218">
      <c r="A218" s="10">
        <f>IFERROR(__xludf.DUMMYFUNCTION("""COMPUTED_VALUE"""),45192.0)</f>
        <v>45192</v>
      </c>
      <c r="B218" s="3" t="str">
        <f>IFERROR(__xludf.DUMMYFUNCTION("""COMPUTED_VALUE"""),"Masood Hamidi")</f>
        <v>Masood Hamidi</v>
      </c>
      <c r="C218" s="3">
        <f>IFERROR(__xludf.DUMMYFUNCTION("""COMPUTED_VALUE"""),2.0)</f>
        <v>2</v>
      </c>
      <c r="D218" s="3">
        <f t="shared" si="1"/>
        <v>0</v>
      </c>
    </row>
    <row r="219">
      <c r="A219" s="10">
        <f>IFERROR(__xludf.DUMMYFUNCTION("""COMPUTED_VALUE"""),45192.0)</f>
        <v>45192</v>
      </c>
      <c r="B219" s="3" t="str">
        <f>IFERROR(__xludf.DUMMYFUNCTION("""COMPUTED_VALUE"""),"Matt Crowe")</f>
        <v>Matt Crowe</v>
      </c>
      <c r="C219" s="3">
        <f>IFERROR(__xludf.DUMMYFUNCTION("""COMPUTED_VALUE"""),2.0)</f>
        <v>2</v>
      </c>
      <c r="D219" s="3">
        <f t="shared" si="1"/>
        <v>0</v>
      </c>
    </row>
    <row r="220">
      <c r="A220" s="10">
        <f>IFERROR(__xludf.DUMMYFUNCTION("""COMPUTED_VALUE"""),45192.0)</f>
        <v>45192</v>
      </c>
      <c r="B220" s="3" t="str">
        <f>IFERROR(__xludf.DUMMYFUNCTION("""COMPUTED_VALUE"""),"Matt Powell")</f>
        <v>Matt Powell</v>
      </c>
      <c r="C220" s="3">
        <f>IFERROR(__xludf.DUMMYFUNCTION("""COMPUTED_VALUE"""),2.0)</f>
        <v>2</v>
      </c>
      <c r="D220" s="3">
        <f t="shared" si="1"/>
        <v>0</v>
      </c>
    </row>
    <row r="221">
      <c r="A221" s="10">
        <f>IFERROR(__xludf.DUMMYFUNCTION("""COMPUTED_VALUE"""),45192.0)</f>
        <v>45192</v>
      </c>
      <c r="B221" s="3" t="str">
        <f>IFERROR(__xludf.DUMMYFUNCTION("""COMPUTED_VALUE"""),"Matthew Thomas")</f>
        <v>Matthew Thomas</v>
      </c>
      <c r="C221" s="3">
        <f>IFERROR(__xludf.DUMMYFUNCTION("""COMPUTED_VALUE"""),7.0)</f>
        <v>7</v>
      </c>
      <c r="D221" s="3">
        <f t="shared" si="1"/>
        <v>0</v>
      </c>
    </row>
    <row r="222">
      <c r="A222" s="10">
        <f>IFERROR(__xludf.DUMMYFUNCTION("""COMPUTED_VALUE"""),45192.0)</f>
        <v>45192</v>
      </c>
      <c r="B222" s="3" t="str">
        <f>IFERROR(__xludf.DUMMYFUNCTION("""COMPUTED_VALUE"""),"Michael Dill")</f>
        <v>Michael Dill</v>
      </c>
      <c r="C222" s="3">
        <f>IFERROR(__xludf.DUMMYFUNCTION("""COMPUTED_VALUE"""),1.0)</f>
        <v>1</v>
      </c>
      <c r="D222" s="3">
        <f t="shared" si="1"/>
        <v>0</v>
      </c>
    </row>
    <row r="223">
      <c r="A223" s="10">
        <f>IFERROR(__xludf.DUMMYFUNCTION("""COMPUTED_VALUE"""),45192.0)</f>
        <v>45192</v>
      </c>
      <c r="B223" s="3" t="str">
        <f>IFERROR(__xludf.DUMMYFUNCTION("""COMPUTED_VALUE"""),"Nathan Nzau")</f>
        <v>Nathan Nzau</v>
      </c>
      <c r="C223" s="3">
        <f>IFERROR(__xludf.DUMMYFUNCTION("""COMPUTED_VALUE"""),2.0)</f>
        <v>2</v>
      </c>
      <c r="D223" s="3">
        <f t="shared" si="1"/>
        <v>0</v>
      </c>
    </row>
    <row r="224">
      <c r="A224" s="10">
        <f>IFERROR(__xludf.DUMMYFUNCTION("""COMPUTED_VALUE"""),45192.0)</f>
        <v>45192</v>
      </c>
      <c r="B224" s="3" t="str">
        <f>IFERROR(__xludf.DUMMYFUNCTION("""COMPUTED_VALUE"""),"Niall Wootten")</f>
        <v>Niall Wootten</v>
      </c>
      <c r="C224" s="3">
        <f>IFERROR(__xludf.DUMMYFUNCTION("""COMPUTED_VALUE"""),6.0)</f>
        <v>6</v>
      </c>
      <c r="D224" s="3">
        <f t="shared" si="1"/>
        <v>0</v>
      </c>
    </row>
    <row r="225">
      <c r="A225" s="10">
        <f>IFERROR(__xludf.DUMMYFUNCTION("""COMPUTED_VALUE"""),45192.0)</f>
        <v>45192</v>
      </c>
      <c r="B225" s="3" t="str">
        <f>IFERROR(__xludf.DUMMYFUNCTION("""COMPUTED_VALUE"""),"Nick Chimonides")</f>
        <v>Nick Chimonides</v>
      </c>
      <c r="C225" s="3">
        <f>IFERROR(__xludf.DUMMYFUNCTION("""COMPUTED_VALUE"""),8.0)</f>
        <v>8</v>
      </c>
      <c r="D225" s="3">
        <f t="shared" si="1"/>
        <v>0</v>
      </c>
    </row>
    <row r="226">
      <c r="A226" s="10">
        <f>IFERROR(__xludf.DUMMYFUNCTION("""COMPUTED_VALUE"""),45192.0)</f>
        <v>45192</v>
      </c>
      <c r="B226" s="3" t="str">
        <f>IFERROR(__xludf.DUMMYFUNCTION("""COMPUTED_VALUE"""),"Nima Naghdi")</f>
        <v>Nima Naghdi</v>
      </c>
      <c r="C226" s="3">
        <f>IFERROR(__xludf.DUMMYFUNCTION("""COMPUTED_VALUE"""),2.0)</f>
        <v>2</v>
      </c>
      <c r="D226" s="3">
        <f t="shared" si="1"/>
        <v>0</v>
      </c>
    </row>
    <row r="227">
      <c r="A227" s="10">
        <f>IFERROR(__xludf.DUMMYFUNCTION("""COMPUTED_VALUE"""),45192.0)</f>
        <v>45192</v>
      </c>
      <c r="B227" s="3" t="str">
        <f>IFERROR(__xludf.DUMMYFUNCTION("""COMPUTED_VALUE"""),"Oli Barton")</f>
        <v>Oli Barton</v>
      </c>
      <c r="C227" s="3">
        <f>IFERROR(__xludf.DUMMYFUNCTION("""COMPUTED_VALUE"""),1.0)</f>
        <v>1</v>
      </c>
      <c r="D227" s="3">
        <f t="shared" si="1"/>
        <v>0</v>
      </c>
    </row>
    <row r="228">
      <c r="A228" s="10">
        <f>IFERROR(__xludf.DUMMYFUNCTION("""COMPUTED_VALUE"""),45192.0)</f>
        <v>45192</v>
      </c>
      <c r="B228" s="3" t="str">
        <f>IFERROR(__xludf.DUMMYFUNCTION("""COMPUTED_VALUE"""),"Ollie Sewell")</f>
        <v>Ollie Sewell</v>
      </c>
      <c r="C228" s="3">
        <f>IFERROR(__xludf.DUMMYFUNCTION("""COMPUTED_VALUE"""),5.0)</f>
        <v>5</v>
      </c>
      <c r="D228" s="3">
        <f t="shared" si="1"/>
        <v>0</v>
      </c>
    </row>
    <row r="229">
      <c r="A229" s="10">
        <f>IFERROR(__xludf.DUMMYFUNCTION("""COMPUTED_VALUE"""),45192.0)</f>
        <v>45192</v>
      </c>
      <c r="B229" s="3" t="str">
        <f>IFERROR(__xludf.DUMMYFUNCTION("""COMPUTED_VALUE"""),"Parimal Patel")</f>
        <v>Parimal Patel</v>
      </c>
      <c r="C229" s="3">
        <f>IFERROR(__xludf.DUMMYFUNCTION("""COMPUTED_VALUE"""),2.0)</f>
        <v>2</v>
      </c>
      <c r="D229" s="3">
        <f t="shared" si="1"/>
        <v>0</v>
      </c>
    </row>
    <row r="230">
      <c r="A230" s="10">
        <f>IFERROR(__xludf.DUMMYFUNCTION("""COMPUTED_VALUE"""),45192.0)</f>
        <v>45192</v>
      </c>
      <c r="B230" s="3" t="str">
        <f>IFERROR(__xludf.DUMMYFUNCTION("""COMPUTED_VALUE"""),"Pearl Bakengela")</f>
        <v>Pearl Bakengela</v>
      </c>
      <c r="C230" s="3">
        <f>IFERROR(__xludf.DUMMYFUNCTION("""COMPUTED_VALUE"""),2.0)</f>
        <v>2</v>
      </c>
      <c r="D230" s="3">
        <f t="shared" si="1"/>
        <v>0</v>
      </c>
    </row>
    <row r="231">
      <c r="A231" s="10">
        <f>IFERROR(__xludf.DUMMYFUNCTION("""COMPUTED_VALUE"""),45192.0)</f>
        <v>45192</v>
      </c>
      <c r="B231" s="3" t="str">
        <f>IFERROR(__xludf.DUMMYFUNCTION("""COMPUTED_VALUE"""),"Peter Green")</f>
        <v>Peter Green</v>
      </c>
      <c r="C231" s="3">
        <f>IFERROR(__xludf.DUMMYFUNCTION("""COMPUTED_VALUE"""),1.0)</f>
        <v>1</v>
      </c>
      <c r="D231" s="3">
        <f t="shared" si="1"/>
        <v>0</v>
      </c>
    </row>
    <row r="232">
      <c r="A232" s="10">
        <f>IFERROR(__xludf.DUMMYFUNCTION("""COMPUTED_VALUE"""),45192.0)</f>
        <v>45192</v>
      </c>
      <c r="B232" s="3" t="str">
        <f>IFERROR(__xludf.DUMMYFUNCTION("""COMPUTED_VALUE"""),"Rich Lundie")</f>
        <v>Rich Lundie</v>
      </c>
      <c r="C232" s="3">
        <f>IFERROR(__xludf.DUMMYFUNCTION("""COMPUTED_VALUE"""),-1.0)</f>
        <v>-1</v>
      </c>
      <c r="D232" s="3">
        <f t="shared" si="1"/>
        <v>0</v>
      </c>
    </row>
    <row r="233">
      <c r="A233" s="10">
        <f>IFERROR(__xludf.DUMMYFUNCTION("""COMPUTED_VALUE"""),45192.0)</f>
        <v>45192</v>
      </c>
      <c r="B233" s="3" t="str">
        <f>IFERROR(__xludf.DUMMYFUNCTION("""COMPUTED_VALUE"""),"Richard Jones")</f>
        <v>Richard Jones</v>
      </c>
      <c r="C233" s="3">
        <f>IFERROR(__xludf.DUMMYFUNCTION("""COMPUTED_VALUE"""),2.0)</f>
        <v>2</v>
      </c>
      <c r="D233" s="3">
        <f t="shared" si="1"/>
        <v>0</v>
      </c>
    </row>
    <row r="234">
      <c r="A234" s="10">
        <f>IFERROR(__xludf.DUMMYFUNCTION("""COMPUTED_VALUE"""),45192.0)</f>
        <v>45192</v>
      </c>
      <c r="B234" s="3" t="str">
        <f>IFERROR(__xludf.DUMMYFUNCTION("""COMPUTED_VALUE"""),"Rob Edmonds")</f>
        <v>Rob Edmonds</v>
      </c>
      <c r="C234" s="3">
        <f>IFERROR(__xludf.DUMMYFUNCTION("""COMPUTED_VALUE"""),1.0)</f>
        <v>1</v>
      </c>
      <c r="D234" s="3">
        <f t="shared" si="1"/>
        <v>0</v>
      </c>
    </row>
    <row r="235">
      <c r="A235" s="10">
        <f>IFERROR(__xludf.DUMMYFUNCTION("""COMPUTED_VALUE"""),45192.0)</f>
        <v>45192</v>
      </c>
      <c r="B235" s="3" t="str">
        <f>IFERROR(__xludf.DUMMYFUNCTION("""COMPUTED_VALUE"""),"Ryan Cochrane")</f>
        <v>Ryan Cochrane</v>
      </c>
      <c r="C235" s="3">
        <f>IFERROR(__xludf.DUMMYFUNCTION("""COMPUTED_VALUE"""),6.0)</f>
        <v>6</v>
      </c>
      <c r="D235" s="3">
        <f t="shared" si="1"/>
        <v>0</v>
      </c>
    </row>
    <row r="236">
      <c r="A236" s="10">
        <f>IFERROR(__xludf.DUMMYFUNCTION("""COMPUTED_VALUE"""),45192.0)</f>
        <v>45192</v>
      </c>
      <c r="B236" s="3" t="str">
        <f>IFERROR(__xludf.DUMMYFUNCTION("""COMPUTED_VALUE"""),"Sam A'Court")</f>
        <v>Sam A'Court</v>
      </c>
      <c r="C236" s="3">
        <f>IFERROR(__xludf.DUMMYFUNCTION("""COMPUTED_VALUE"""),2.0)</f>
        <v>2</v>
      </c>
      <c r="D236" s="3">
        <f t="shared" si="1"/>
        <v>0</v>
      </c>
    </row>
    <row r="237">
      <c r="A237" s="10">
        <f>IFERROR(__xludf.DUMMYFUNCTION("""COMPUTED_VALUE"""),45192.0)</f>
        <v>45192</v>
      </c>
      <c r="B237" s="3" t="str">
        <f>IFERROR(__xludf.DUMMYFUNCTION("""COMPUTED_VALUE"""),"Sam Laidler")</f>
        <v>Sam Laidler</v>
      </c>
      <c r="C237" s="3">
        <f>IFERROR(__xludf.DUMMYFUNCTION("""COMPUTED_VALUE"""),8.0)</f>
        <v>8</v>
      </c>
      <c r="D237" s="3">
        <f t="shared" si="1"/>
        <v>0</v>
      </c>
    </row>
    <row r="238">
      <c r="A238" s="10">
        <f>IFERROR(__xludf.DUMMYFUNCTION("""COMPUTED_VALUE"""),45192.0)</f>
        <v>45192</v>
      </c>
      <c r="B238" s="3" t="str">
        <f>IFERROR(__xludf.DUMMYFUNCTION("""COMPUTED_VALUE"""),"Sean Rowlett")</f>
        <v>Sean Rowlett</v>
      </c>
      <c r="C238" s="3">
        <f>IFERROR(__xludf.DUMMYFUNCTION("""COMPUTED_VALUE"""),1.0)</f>
        <v>1</v>
      </c>
      <c r="D238" s="3">
        <f t="shared" si="1"/>
        <v>0</v>
      </c>
    </row>
    <row r="239">
      <c r="A239" s="10">
        <f>IFERROR(__xludf.DUMMYFUNCTION("""COMPUTED_VALUE"""),45192.0)</f>
        <v>45192</v>
      </c>
      <c r="B239" s="3" t="str">
        <f>IFERROR(__xludf.DUMMYFUNCTION("""COMPUTED_VALUE"""),"Sean Staunton")</f>
        <v>Sean Staunton</v>
      </c>
      <c r="C239" s="3">
        <f>IFERROR(__xludf.DUMMYFUNCTION("""COMPUTED_VALUE"""),4.0)</f>
        <v>4</v>
      </c>
      <c r="D239" s="3">
        <f t="shared" si="1"/>
        <v>0</v>
      </c>
    </row>
    <row r="240">
      <c r="A240" s="10">
        <f>IFERROR(__xludf.DUMMYFUNCTION("""COMPUTED_VALUE"""),45192.0)</f>
        <v>45192</v>
      </c>
      <c r="B240" s="3" t="str">
        <f>IFERROR(__xludf.DUMMYFUNCTION("""COMPUTED_VALUE"""),"Seb Curle")</f>
        <v>Seb Curle</v>
      </c>
      <c r="C240" s="3">
        <f>IFERROR(__xludf.DUMMYFUNCTION("""COMPUTED_VALUE"""),8.0)</f>
        <v>8</v>
      </c>
      <c r="D240" s="3">
        <f t="shared" si="1"/>
        <v>0</v>
      </c>
    </row>
    <row r="241">
      <c r="A241" s="10">
        <f>IFERROR(__xludf.DUMMYFUNCTION("""COMPUTED_VALUE"""),45192.0)</f>
        <v>45192</v>
      </c>
      <c r="B241" s="3" t="str">
        <f>IFERROR(__xludf.DUMMYFUNCTION("""COMPUTED_VALUE"""),"Shavon Muir")</f>
        <v>Shavon Muir</v>
      </c>
      <c r="C241" s="3">
        <f>IFERROR(__xludf.DUMMYFUNCTION("""COMPUTED_VALUE"""),7.0)</f>
        <v>7</v>
      </c>
      <c r="D241" s="3">
        <f t="shared" si="1"/>
        <v>0</v>
      </c>
    </row>
    <row r="242">
      <c r="A242" s="10">
        <f>IFERROR(__xludf.DUMMYFUNCTION("""COMPUTED_VALUE"""),45192.0)</f>
        <v>45192</v>
      </c>
      <c r="B242" s="3" t="str">
        <f>IFERROR(__xludf.DUMMYFUNCTION("""COMPUTED_VALUE"""),"Sidney Hopper-Kelly")</f>
        <v>Sidney Hopper-Kelly</v>
      </c>
      <c r="C242" s="3">
        <f>IFERROR(__xludf.DUMMYFUNCTION("""COMPUTED_VALUE"""),1.0)</f>
        <v>1</v>
      </c>
      <c r="D242" s="3">
        <f t="shared" si="1"/>
        <v>0</v>
      </c>
    </row>
    <row r="243">
      <c r="A243" s="10">
        <f>IFERROR(__xludf.DUMMYFUNCTION("""COMPUTED_VALUE"""),45192.0)</f>
        <v>45192</v>
      </c>
      <c r="B243" s="3" t="str">
        <f>IFERROR(__xludf.DUMMYFUNCTION("""COMPUTED_VALUE"""),"Tali Kiwanuka")</f>
        <v>Tali Kiwanuka</v>
      </c>
      <c r="C243" s="3">
        <f>IFERROR(__xludf.DUMMYFUNCTION("""COMPUTED_VALUE"""),2.0)</f>
        <v>2</v>
      </c>
      <c r="D243" s="3">
        <f t="shared" si="1"/>
        <v>0</v>
      </c>
    </row>
    <row r="244">
      <c r="A244" s="10">
        <f>IFERROR(__xludf.DUMMYFUNCTION("""COMPUTED_VALUE"""),45192.0)</f>
        <v>45192</v>
      </c>
      <c r="B244" s="3" t="str">
        <f>IFERROR(__xludf.DUMMYFUNCTION("""COMPUTED_VALUE"""),"Theo Horton")</f>
        <v>Theo Horton</v>
      </c>
      <c r="C244" s="3">
        <f>IFERROR(__xludf.DUMMYFUNCTION("""COMPUTED_VALUE"""),2.0)</f>
        <v>2</v>
      </c>
      <c r="D244" s="3">
        <f t="shared" si="1"/>
        <v>0</v>
      </c>
    </row>
    <row r="245">
      <c r="A245" s="10">
        <f>IFERROR(__xludf.DUMMYFUNCTION("""COMPUTED_VALUE"""),45192.0)</f>
        <v>45192</v>
      </c>
      <c r="B245" s="3" t="str">
        <f>IFERROR(__xludf.DUMMYFUNCTION("""COMPUTED_VALUE"""),"Tom Davidson")</f>
        <v>Tom Davidson</v>
      </c>
      <c r="C245" s="3">
        <f>IFERROR(__xludf.DUMMYFUNCTION("""COMPUTED_VALUE"""),2.0)</f>
        <v>2</v>
      </c>
      <c r="D245" s="3">
        <f t="shared" si="1"/>
        <v>0</v>
      </c>
    </row>
    <row r="246">
      <c r="A246" s="10">
        <f>IFERROR(__xludf.DUMMYFUNCTION("""COMPUTED_VALUE"""),45192.0)</f>
        <v>45192</v>
      </c>
      <c r="B246" s="3" t="str">
        <f>IFERROR(__xludf.DUMMYFUNCTION("""COMPUTED_VALUE"""),"Tom Love")</f>
        <v>Tom Love</v>
      </c>
      <c r="C246" s="3">
        <f>IFERROR(__xludf.DUMMYFUNCTION("""COMPUTED_VALUE"""),6.0)</f>
        <v>6</v>
      </c>
      <c r="D246" s="3">
        <f t="shared" si="1"/>
        <v>0</v>
      </c>
    </row>
    <row r="247">
      <c r="A247" s="10">
        <f>IFERROR(__xludf.DUMMYFUNCTION("""COMPUTED_VALUE"""),45192.0)</f>
        <v>45192</v>
      </c>
      <c r="B247" s="3" t="str">
        <f>IFERROR(__xludf.DUMMYFUNCTION("""COMPUTED_VALUE"""),"Tom Riley")</f>
        <v>Tom Riley</v>
      </c>
      <c r="C247" s="3">
        <f>IFERROR(__xludf.DUMMYFUNCTION("""COMPUTED_VALUE"""),4.0)</f>
        <v>4</v>
      </c>
      <c r="D247" s="3">
        <f t="shared" si="1"/>
        <v>0</v>
      </c>
    </row>
    <row r="248">
      <c r="A248" s="10">
        <f>IFERROR(__xludf.DUMMYFUNCTION("""COMPUTED_VALUE"""),45192.0)</f>
        <v>45192</v>
      </c>
      <c r="B248" s="3" t="str">
        <f>IFERROR(__xludf.DUMMYFUNCTION("""COMPUTED_VALUE"""),"Victor Lemmer")</f>
        <v>Victor Lemmer</v>
      </c>
      <c r="C248" s="3">
        <f>IFERROR(__xludf.DUMMYFUNCTION("""COMPUTED_VALUE"""),2.0)</f>
        <v>2</v>
      </c>
      <c r="D248" s="3">
        <f t="shared" si="1"/>
        <v>0</v>
      </c>
    </row>
    <row r="249">
      <c r="A249" s="10">
        <f>IFERROR(__xludf.DUMMYFUNCTION("""COMPUTED_VALUE"""),45192.0)</f>
        <v>45192</v>
      </c>
      <c r="B249" s="3" t="str">
        <f>IFERROR(__xludf.DUMMYFUNCTION("""COMPUTED_VALUE"""),"Yemi Oviosu")</f>
        <v>Yemi Oviosu</v>
      </c>
      <c r="C249" s="3">
        <f>IFERROR(__xludf.DUMMYFUNCTION("""COMPUTED_VALUE"""),2.0)</f>
        <v>2</v>
      </c>
      <c r="D249" s="3">
        <f t="shared" si="1"/>
        <v>0</v>
      </c>
    </row>
    <row r="250">
      <c r="A250" s="10">
        <f>IFERROR(__xludf.DUMMYFUNCTION("""COMPUTED_VALUE"""),45199.0)</f>
        <v>45199</v>
      </c>
      <c r="B250" s="3" t="str">
        <f>IFERROR(__xludf.DUMMYFUNCTION("""COMPUTED_VALUE"""),"Ade Lawal")</f>
        <v>Ade Lawal</v>
      </c>
      <c r="C250" s="3">
        <f>IFERROR(__xludf.DUMMYFUNCTION("""COMPUTED_VALUE"""),2.0)</f>
        <v>2</v>
      </c>
      <c r="D250" s="3">
        <f t="shared" si="1"/>
        <v>0</v>
      </c>
    </row>
    <row r="251">
      <c r="A251" s="10">
        <f>IFERROR(__xludf.DUMMYFUNCTION("""COMPUTED_VALUE"""),45199.0)</f>
        <v>45199</v>
      </c>
      <c r="B251" s="3" t="str">
        <f>IFERROR(__xludf.DUMMYFUNCTION("""COMPUTED_VALUE"""),"Alex Clark")</f>
        <v>Alex Clark</v>
      </c>
      <c r="C251" s="3">
        <f>IFERROR(__xludf.DUMMYFUNCTION("""COMPUTED_VALUE"""),7.0)</f>
        <v>7</v>
      </c>
      <c r="D251" s="3">
        <f t="shared" si="1"/>
        <v>0</v>
      </c>
    </row>
    <row r="252">
      <c r="A252" s="10">
        <f>IFERROR(__xludf.DUMMYFUNCTION("""COMPUTED_VALUE"""),45199.0)</f>
        <v>45199</v>
      </c>
      <c r="B252" s="3" t="str">
        <f>IFERROR(__xludf.DUMMYFUNCTION("""COMPUTED_VALUE"""),"Alex Dockerill")</f>
        <v>Alex Dockerill</v>
      </c>
      <c r="C252" s="3">
        <f>IFERROR(__xludf.DUMMYFUNCTION("""COMPUTED_VALUE"""),2.0)</f>
        <v>2</v>
      </c>
      <c r="D252" s="3">
        <f t="shared" si="1"/>
        <v>0</v>
      </c>
    </row>
    <row r="253">
      <c r="A253" s="10">
        <f>IFERROR(__xludf.DUMMYFUNCTION("""COMPUTED_VALUE"""),45199.0)</f>
        <v>45199</v>
      </c>
      <c r="B253" s="3" t="str">
        <f>IFERROR(__xludf.DUMMYFUNCTION("""COMPUTED_VALUE"""),"Alex Mansfield")</f>
        <v>Alex Mansfield</v>
      </c>
      <c r="C253" s="3">
        <f>IFERROR(__xludf.DUMMYFUNCTION("""COMPUTED_VALUE"""),2.0)</f>
        <v>2</v>
      </c>
      <c r="D253" s="3">
        <f t="shared" si="1"/>
        <v>0</v>
      </c>
    </row>
    <row r="254">
      <c r="A254" s="10">
        <f>IFERROR(__xludf.DUMMYFUNCTION("""COMPUTED_VALUE"""),45199.0)</f>
        <v>45199</v>
      </c>
      <c r="B254" s="3" t="str">
        <f>IFERROR(__xludf.DUMMYFUNCTION("""COMPUTED_VALUE"""),"Andreas Andreou")</f>
        <v>Andreas Andreou</v>
      </c>
      <c r="C254" s="3">
        <f>IFERROR(__xludf.DUMMYFUNCTION("""COMPUTED_VALUE"""),1.0)</f>
        <v>1</v>
      </c>
      <c r="D254" s="3">
        <f t="shared" si="1"/>
        <v>0</v>
      </c>
    </row>
    <row r="255">
      <c r="A255" s="10">
        <f>IFERROR(__xludf.DUMMYFUNCTION("""COMPUTED_VALUE"""),45199.0)</f>
        <v>45199</v>
      </c>
      <c r="B255" s="3" t="str">
        <f>IFERROR(__xludf.DUMMYFUNCTION("""COMPUTED_VALUE"""),"Andres Ahlgren")</f>
        <v>Andres Ahlgren</v>
      </c>
      <c r="C255" s="3">
        <f>IFERROR(__xludf.DUMMYFUNCTION("""COMPUTED_VALUE"""),2.0)</f>
        <v>2</v>
      </c>
      <c r="D255" s="3">
        <f t="shared" si="1"/>
        <v>0</v>
      </c>
    </row>
    <row r="256">
      <c r="A256" s="10">
        <f>IFERROR(__xludf.DUMMYFUNCTION("""COMPUTED_VALUE"""),45199.0)</f>
        <v>45199</v>
      </c>
      <c r="B256" s="3" t="str">
        <f>IFERROR(__xludf.DUMMYFUNCTION("""COMPUTED_VALUE"""),"Andrew Barclay")</f>
        <v>Andrew Barclay</v>
      </c>
      <c r="C256" s="3">
        <f>IFERROR(__xludf.DUMMYFUNCTION("""COMPUTED_VALUE"""),2.0)</f>
        <v>2</v>
      </c>
      <c r="D256" s="3">
        <f t="shared" si="1"/>
        <v>0</v>
      </c>
    </row>
    <row r="257">
      <c r="A257" s="10">
        <f>IFERROR(__xludf.DUMMYFUNCTION("""COMPUTED_VALUE"""),45199.0)</f>
        <v>45199</v>
      </c>
      <c r="B257" s="3" t="str">
        <f>IFERROR(__xludf.DUMMYFUNCTION("""COMPUTED_VALUE"""),"Anish Philips")</f>
        <v>Anish Philips</v>
      </c>
      <c r="C257" s="3">
        <f>IFERROR(__xludf.DUMMYFUNCTION("""COMPUTED_VALUE"""),2.0)</f>
        <v>2</v>
      </c>
      <c r="D257" s="3">
        <f t="shared" si="1"/>
        <v>0</v>
      </c>
    </row>
    <row r="258">
      <c r="A258" s="10">
        <f>IFERROR(__xludf.DUMMYFUNCTION("""COMPUTED_VALUE"""),45199.0)</f>
        <v>45199</v>
      </c>
      <c r="B258" s="3" t="str">
        <f>IFERROR(__xludf.DUMMYFUNCTION("""COMPUTED_VALUE"""),"Ben Dockerill")</f>
        <v>Ben Dockerill</v>
      </c>
      <c r="C258" s="3">
        <f>IFERROR(__xludf.DUMMYFUNCTION("""COMPUTED_VALUE"""),5.0)</f>
        <v>5</v>
      </c>
      <c r="D258" s="3">
        <f t="shared" si="1"/>
        <v>0</v>
      </c>
    </row>
    <row r="259">
      <c r="A259" s="10">
        <f>IFERROR(__xludf.DUMMYFUNCTION("""COMPUTED_VALUE"""),45199.0)</f>
        <v>45199</v>
      </c>
      <c r="B259" s="3" t="str">
        <f>IFERROR(__xludf.DUMMYFUNCTION("""COMPUTED_VALUE"""),"Ben Himpe")</f>
        <v>Ben Himpe</v>
      </c>
      <c r="C259" s="3">
        <f>IFERROR(__xludf.DUMMYFUNCTION("""COMPUTED_VALUE"""),7.0)</f>
        <v>7</v>
      </c>
      <c r="D259" s="3">
        <f t="shared" si="1"/>
        <v>0</v>
      </c>
    </row>
    <row r="260">
      <c r="A260" s="10">
        <f>IFERROR(__xludf.DUMMYFUNCTION("""COMPUTED_VALUE"""),45199.0)</f>
        <v>45199</v>
      </c>
      <c r="B260" s="3" t="str">
        <f>IFERROR(__xludf.DUMMYFUNCTION("""COMPUTED_VALUE"""),"Billy Mclean")</f>
        <v>Billy Mclean</v>
      </c>
      <c r="C260" s="3">
        <f>IFERROR(__xludf.DUMMYFUNCTION("""COMPUTED_VALUE"""),2.0)</f>
        <v>2</v>
      </c>
      <c r="D260" s="3">
        <f t="shared" si="1"/>
        <v>0</v>
      </c>
    </row>
    <row r="261">
      <c r="A261" s="10">
        <f>IFERROR(__xludf.DUMMYFUNCTION("""COMPUTED_VALUE"""),45199.0)</f>
        <v>45199</v>
      </c>
      <c r="B261" s="3" t="str">
        <f>IFERROR(__xludf.DUMMYFUNCTION("""COMPUTED_VALUE"""),"Calum Bennett")</f>
        <v>Calum Bennett</v>
      </c>
      <c r="C261" s="3">
        <f>IFERROR(__xludf.DUMMYFUNCTION("""COMPUTED_VALUE"""),7.0)</f>
        <v>7</v>
      </c>
      <c r="D261" s="3">
        <f t="shared" si="1"/>
        <v>0</v>
      </c>
    </row>
    <row r="262">
      <c r="A262" s="10">
        <f>IFERROR(__xludf.DUMMYFUNCTION("""COMPUTED_VALUE"""),45199.0)</f>
        <v>45199</v>
      </c>
      <c r="B262" s="3" t="str">
        <f>IFERROR(__xludf.DUMMYFUNCTION("""COMPUTED_VALUE"""),"Cameron Hildebrandt-Brooks")</f>
        <v>Cameron Hildebrandt-Brooks</v>
      </c>
      <c r="C262" s="3">
        <f>IFERROR(__xludf.DUMMYFUNCTION("""COMPUTED_VALUE"""),1.0)</f>
        <v>1</v>
      </c>
      <c r="D262" s="3">
        <f t="shared" si="1"/>
        <v>0</v>
      </c>
    </row>
    <row r="263">
      <c r="A263" s="10">
        <f>IFERROR(__xludf.DUMMYFUNCTION("""COMPUTED_VALUE"""),45199.0)</f>
        <v>45199</v>
      </c>
      <c r="B263" s="3" t="str">
        <f>IFERROR(__xludf.DUMMYFUNCTION("""COMPUTED_VALUE"""),"Chris Claeys")</f>
        <v>Chris Claeys</v>
      </c>
      <c r="C263" s="3">
        <f>IFERROR(__xludf.DUMMYFUNCTION("""COMPUTED_VALUE"""),6.0)</f>
        <v>6</v>
      </c>
      <c r="D263" s="3">
        <f t="shared" si="1"/>
        <v>0</v>
      </c>
    </row>
    <row r="264">
      <c r="A264" s="10">
        <f>IFERROR(__xludf.DUMMYFUNCTION("""COMPUTED_VALUE"""),45199.0)</f>
        <v>45199</v>
      </c>
      <c r="B264" s="3" t="str">
        <f>IFERROR(__xludf.DUMMYFUNCTION("""COMPUTED_VALUE"""),"Chris Douthwaite")</f>
        <v>Chris Douthwaite</v>
      </c>
      <c r="C264" s="3">
        <f>IFERROR(__xludf.DUMMYFUNCTION("""COMPUTED_VALUE"""),1.0)</f>
        <v>1</v>
      </c>
      <c r="D264" s="3">
        <f t="shared" si="1"/>
        <v>0</v>
      </c>
    </row>
    <row r="265">
      <c r="A265" s="10">
        <f>IFERROR(__xludf.DUMMYFUNCTION("""COMPUTED_VALUE"""),45199.0)</f>
        <v>45199</v>
      </c>
      <c r="B265" s="3" t="str">
        <f>IFERROR(__xludf.DUMMYFUNCTION("""COMPUTED_VALUE"""),"Ciaran Curran")</f>
        <v>Ciaran Curran</v>
      </c>
      <c r="C265" s="3">
        <f>IFERROR(__xludf.DUMMYFUNCTION("""COMPUTED_VALUE"""),10.0)</f>
        <v>10</v>
      </c>
      <c r="D265" s="3">
        <f t="shared" si="1"/>
        <v>0</v>
      </c>
    </row>
    <row r="266">
      <c r="A266" s="10">
        <f>IFERROR(__xludf.DUMMYFUNCTION("""COMPUTED_VALUE"""),45199.0)</f>
        <v>45199</v>
      </c>
      <c r="B266" s="3" t="str">
        <f>IFERROR(__xludf.DUMMYFUNCTION("""COMPUTED_VALUE"""),"Connor White")</f>
        <v>Connor White</v>
      </c>
      <c r="C266" s="3">
        <f>IFERROR(__xludf.DUMMYFUNCTION("""COMPUTED_VALUE"""),2.0)</f>
        <v>2</v>
      </c>
      <c r="D266" s="3">
        <f t="shared" si="1"/>
        <v>0</v>
      </c>
    </row>
    <row r="267">
      <c r="A267" s="10">
        <f>IFERROR(__xludf.DUMMYFUNCTION("""COMPUTED_VALUE"""),45199.0)</f>
        <v>45199</v>
      </c>
      <c r="B267" s="3" t="str">
        <f>IFERROR(__xludf.DUMMYFUNCTION("""COMPUTED_VALUE"""),"Ellis Forrester")</f>
        <v>Ellis Forrester</v>
      </c>
      <c r="C267" s="3">
        <f>IFERROR(__xludf.DUMMYFUNCTION("""COMPUTED_VALUE"""),2.0)</f>
        <v>2</v>
      </c>
      <c r="D267" s="3">
        <f t="shared" si="1"/>
        <v>0</v>
      </c>
    </row>
    <row r="268">
      <c r="A268" s="10">
        <f>IFERROR(__xludf.DUMMYFUNCTION("""COMPUTED_VALUE"""),45199.0)</f>
        <v>45199</v>
      </c>
      <c r="B268" s="3" t="str">
        <f>IFERROR(__xludf.DUMMYFUNCTION("""COMPUTED_VALUE"""),"Emi Muhadri")</f>
        <v>Emi Muhadri</v>
      </c>
      <c r="C268" s="3">
        <f>IFERROR(__xludf.DUMMYFUNCTION("""COMPUTED_VALUE"""),2.0)</f>
        <v>2</v>
      </c>
      <c r="D268" s="3">
        <f t="shared" si="1"/>
        <v>0</v>
      </c>
    </row>
    <row r="269">
      <c r="A269" s="10">
        <f>IFERROR(__xludf.DUMMYFUNCTION("""COMPUTED_VALUE"""),45199.0)</f>
        <v>45199</v>
      </c>
      <c r="B269" s="3" t="str">
        <f>IFERROR(__xludf.DUMMYFUNCTION("""COMPUTED_VALUE"""),"Gaz Wheldale")</f>
        <v>Gaz Wheldale</v>
      </c>
      <c r="C269" s="3">
        <f>IFERROR(__xludf.DUMMYFUNCTION("""COMPUTED_VALUE"""),7.0)</f>
        <v>7</v>
      </c>
      <c r="D269" s="3">
        <f t="shared" si="1"/>
        <v>0</v>
      </c>
    </row>
    <row r="270">
      <c r="A270" s="10">
        <f>IFERROR(__xludf.DUMMYFUNCTION("""COMPUTED_VALUE"""),45199.0)</f>
        <v>45199</v>
      </c>
      <c r="B270" s="3" t="str">
        <f>IFERROR(__xludf.DUMMYFUNCTION("""COMPUTED_VALUE"""),"George Havord")</f>
        <v>George Havord</v>
      </c>
      <c r="C270" s="3">
        <f>IFERROR(__xludf.DUMMYFUNCTION("""COMPUTED_VALUE"""),7.0)</f>
        <v>7</v>
      </c>
      <c r="D270" s="3">
        <f t="shared" si="1"/>
        <v>0</v>
      </c>
    </row>
    <row r="271">
      <c r="A271" s="10">
        <f>IFERROR(__xludf.DUMMYFUNCTION("""COMPUTED_VALUE"""),45199.0)</f>
        <v>45199</v>
      </c>
      <c r="B271" s="3" t="str">
        <f>IFERROR(__xludf.DUMMYFUNCTION("""COMPUTED_VALUE"""),"Hallam Wye")</f>
        <v>Hallam Wye</v>
      </c>
      <c r="C271" s="3">
        <f>IFERROR(__xludf.DUMMYFUNCTION("""COMPUTED_VALUE"""),2.0)</f>
        <v>2</v>
      </c>
      <c r="D271" s="3">
        <f t="shared" si="1"/>
        <v>0</v>
      </c>
    </row>
    <row r="272">
      <c r="A272" s="10">
        <f>IFERROR(__xludf.DUMMYFUNCTION("""COMPUTED_VALUE"""),45199.0)</f>
        <v>45199</v>
      </c>
      <c r="B272" s="3" t="str">
        <f>IFERROR(__xludf.DUMMYFUNCTION("""COMPUTED_VALUE"""),"Harold Kiyingi")</f>
        <v>Harold Kiyingi</v>
      </c>
      <c r="C272" s="3">
        <f>IFERROR(__xludf.DUMMYFUNCTION("""COMPUTED_VALUE"""),2.0)</f>
        <v>2</v>
      </c>
      <c r="D272" s="3">
        <f t="shared" si="1"/>
        <v>0</v>
      </c>
    </row>
    <row r="273">
      <c r="A273" s="10">
        <f>IFERROR(__xludf.DUMMYFUNCTION("""COMPUTED_VALUE"""),45199.0)</f>
        <v>45199</v>
      </c>
      <c r="B273" s="3" t="str">
        <f>IFERROR(__xludf.DUMMYFUNCTION("""COMPUTED_VALUE"""),"Ismail Wall")</f>
        <v>Ismail Wall</v>
      </c>
      <c r="C273" s="3">
        <f>IFERROR(__xludf.DUMMYFUNCTION("""COMPUTED_VALUE"""),1.0)</f>
        <v>1</v>
      </c>
      <c r="D273" s="3">
        <f t="shared" si="1"/>
        <v>0</v>
      </c>
    </row>
    <row r="274">
      <c r="A274" s="10">
        <f>IFERROR(__xludf.DUMMYFUNCTION("""COMPUTED_VALUE"""),45199.0)</f>
        <v>45199</v>
      </c>
      <c r="B274" s="3" t="str">
        <f>IFERROR(__xludf.DUMMYFUNCTION("""COMPUTED_VALUE"""),"Jabari Dixon")</f>
        <v>Jabari Dixon</v>
      </c>
      <c r="C274" s="3">
        <f>IFERROR(__xludf.DUMMYFUNCTION("""COMPUTED_VALUE"""),2.0)</f>
        <v>2</v>
      </c>
      <c r="D274" s="3">
        <f t="shared" si="1"/>
        <v>0</v>
      </c>
    </row>
    <row r="275">
      <c r="A275" s="10">
        <f>IFERROR(__xludf.DUMMYFUNCTION("""COMPUTED_VALUE"""),45199.0)</f>
        <v>45199</v>
      </c>
      <c r="B275" s="3" t="str">
        <f>IFERROR(__xludf.DUMMYFUNCTION("""COMPUTED_VALUE"""),"James Rodriguez")</f>
        <v>James Rodriguez</v>
      </c>
      <c r="C275" s="3">
        <f>IFERROR(__xludf.DUMMYFUNCTION("""COMPUTED_VALUE"""),6.0)</f>
        <v>6</v>
      </c>
      <c r="D275" s="3">
        <f t="shared" si="1"/>
        <v>0</v>
      </c>
    </row>
    <row r="276">
      <c r="A276" s="10">
        <f>IFERROR(__xludf.DUMMYFUNCTION("""COMPUTED_VALUE"""),45199.0)</f>
        <v>45199</v>
      </c>
      <c r="B276" s="3" t="str">
        <f>IFERROR(__xludf.DUMMYFUNCTION("""COMPUTED_VALUE"""),"James Timmins")</f>
        <v>James Timmins</v>
      </c>
      <c r="C276" s="3">
        <f>IFERROR(__xludf.DUMMYFUNCTION("""COMPUTED_VALUE"""),5.0)</f>
        <v>5</v>
      </c>
      <c r="D276" s="3">
        <f t="shared" si="1"/>
        <v>0</v>
      </c>
    </row>
    <row r="277">
      <c r="A277" s="10">
        <f>IFERROR(__xludf.DUMMYFUNCTION("""COMPUTED_VALUE"""),45199.0)</f>
        <v>45199</v>
      </c>
      <c r="B277" s="3" t="str">
        <f>IFERROR(__xludf.DUMMYFUNCTION("""COMPUTED_VALUE"""),"Jamie Wood")</f>
        <v>Jamie Wood</v>
      </c>
      <c r="C277" s="3">
        <f>IFERROR(__xludf.DUMMYFUNCTION("""COMPUTED_VALUE"""),2.0)</f>
        <v>2</v>
      </c>
      <c r="D277" s="3">
        <f t="shared" si="1"/>
        <v>0</v>
      </c>
    </row>
    <row r="278">
      <c r="A278" s="10">
        <f>IFERROR(__xludf.DUMMYFUNCTION("""COMPUTED_VALUE"""),45199.0)</f>
        <v>45199</v>
      </c>
      <c r="B278" s="3" t="str">
        <f>IFERROR(__xludf.DUMMYFUNCTION("""COMPUTED_VALUE"""),"Jarvis Cheek")</f>
        <v>Jarvis Cheek</v>
      </c>
      <c r="C278" s="3">
        <f>IFERROR(__xludf.DUMMYFUNCTION("""COMPUTED_VALUE"""),0.0)</f>
        <v>0</v>
      </c>
      <c r="D278" s="3">
        <f t="shared" si="1"/>
        <v>0</v>
      </c>
    </row>
    <row r="279">
      <c r="A279" s="10">
        <f>IFERROR(__xludf.DUMMYFUNCTION("""COMPUTED_VALUE"""),45199.0)</f>
        <v>45199</v>
      </c>
      <c r="B279" s="3" t="str">
        <f>IFERROR(__xludf.DUMMYFUNCTION("""COMPUTED_VALUE"""),"Jason Heath")</f>
        <v>Jason Heath</v>
      </c>
      <c r="C279" s="3">
        <f>IFERROR(__xludf.DUMMYFUNCTION("""COMPUTED_VALUE"""),5.0)</f>
        <v>5</v>
      </c>
      <c r="D279" s="3">
        <f t="shared" si="1"/>
        <v>0</v>
      </c>
    </row>
    <row r="280">
      <c r="A280" s="10">
        <f>IFERROR(__xludf.DUMMYFUNCTION("""COMPUTED_VALUE"""),45199.0)</f>
        <v>45199</v>
      </c>
      <c r="B280" s="3" t="str">
        <f>IFERROR(__xludf.DUMMYFUNCTION("""COMPUTED_VALUE"""),"Jason Nwakaeze")</f>
        <v>Jason Nwakaeze</v>
      </c>
      <c r="C280" s="3">
        <f>IFERROR(__xludf.DUMMYFUNCTION("""COMPUTED_VALUE"""),2.0)</f>
        <v>2</v>
      </c>
      <c r="D280" s="3">
        <f t="shared" si="1"/>
        <v>0</v>
      </c>
    </row>
    <row r="281">
      <c r="A281" s="10">
        <f>IFERROR(__xludf.DUMMYFUNCTION("""COMPUTED_VALUE"""),45199.0)</f>
        <v>45199</v>
      </c>
      <c r="B281" s="3" t="str">
        <f>IFERROR(__xludf.DUMMYFUNCTION("""COMPUTED_VALUE"""),"Joe France")</f>
        <v>Joe France</v>
      </c>
      <c r="C281" s="3">
        <f>IFERROR(__xludf.DUMMYFUNCTION("""COMPUTED_VALUE"""),2.0)</f>
        <v>2</v>
      </c>
      <c r="D281" s="3">
        <f t="shared" si="1"/>
        <v>0</v>
      </c>
    </row>
    <row r="282">
      <c r="A282" s="10">
        <f>IFERROR(__xludf.DUMMYFUNCTION("""COMPUTED_VALUE"""),45199.0)</f>
        <v>45199</v>
      </c>
      <c r="B282" s="3" t="str">
        <f>IFERROR(__xludf.DUMMYFUNCTION("""COMPUTED_VALUE"""),"Joe Tanner")</f>
        <v>Joe Tanner</v>
      </c>
      <c r="C282" s="3">
        <f>IFERROR(__xludf.DUMMYFUNCTION("""COMPUTED_VALUE"""),1.0)</f>
        <v>1</v>
      </c>
      <c r="D282" s="3">
        <f t="shared" si="1"/>
        <v>0</v>
      </c>
    </row>
    <row r="283">
      <c r="A283" s="10">
        <f>IFERROR(__xludf.DUMMYFUNCTION("""COMPUTED_VALUE"""),45199.0)</f>
        <v>45199</v>
      </c>
      <c r="B283" s="3" t="str">
        <f>IFERROR(__xludf.DUMMYFUNCTION("""COMPUTED_VALUE"""),"Joey Wackrill")</f>
        <v>Joey Wackrill</v>
      </c>
      <c r="C283" s="3">
        <f>IFERROR(__xludf.DUMMYFUNCTION("""COMPUTED_VALUE"""),1.0)</f>
        <v>1</v>
      </c>
      <c r="D283" s="3">
        <f t="shared" si="1"/>
        <v>0</v>
      </c>
    </row>
    <row r="284">
      <c r="A284" s="10">
        <f>IFERROR(__xludf.DUMMYFUNCTION("""COMPUTED_VALUE"""),45199.0)</f>
        <v>45199</v>
      </c>
      <c r="B284" s="3" t="str">
        <f>IFERROR(__xludf.DUMMYFUNCTION("""COMPUTED_VALUE"""),"John Harrison")</f>
        <v>John Harrison</v>
      </c>
      <c r="C284" s="3">
        <f>IFERROR(__xludf.DUMMYFUNCTION("""COMPUTED_VALUE"""),2.0)</f>
        <v>2</v>
      </c>
      <c r="D284" s="3">
        <f t="shared" si="1"/>
        <v>0</v>
      </c>
    </row>
    <row r="285">
      <c r="A285" s="10">
        <f>IFERROR(__xludf.DUMMYFUNCTION("""COMPUTED_VALUE"""),45199.0)</f>
        <v>45199</v>
      </c>
      <c r="B285" s="3" t="str">
        <f>IFERROR(__xludf.DUMMYFUNCTION("""COMPUTED_VALUE"""),"Joseph Smith")</f>
        <v>Joseph Smith</v>
      </c>
      <c r="C285" s="3">
        <f>IFERROR(__xludf.DUMMYFUNCTION("""COMPUTED_VALUE"""),2.0)</f>
        <v>2</v>
      </c>
      <c r="D285" s="3">
        <f t="shared" si="1"/>
        <v>0</v>
      </c>
    </row>
    <row r="286">
      <c r="A286" s="10">
        <f>IFERROR(__xludf.DUMMYFUNCTION("""COMPUTED_VALUE"""),45199.0)</f>
        <v>45199</v>
      </c>
      <c r="B286" s="3" t="str">
        <f>IFERROR(__xludf.DUMMYFUNCTION("""COMPUTED_VALUE"""),"Josh Billings")</f>
        <v>Josh Billings</v>
      </c>
      <c r="C286" s="3">
        <f>IFERROR(__xludf.DUMMYFUNCTION("""COMPUTED_VALUE"""),2.0)</f>
        <v>2</v>
      </c>
      <c r="D286" s="3">
        <f t="shared" si="1"/>
        <v>0</v>
      </c>
    </row>
    <row r="287">
      <c r="A287" s="10">
        <f>IFERROR(__xludf.DUMMYFUNCTION("""COMPUTED_VALUE"""),45199.0)</f>
        <v>45199</v>
      </c>
      <c r="B287" s="3" t="str">
        <f>IFERROR(__xludf.DUMMYFUNCTION("""COMPUTED_VALUE"""),"Josh Sherriff-Jolly")</f>
        <v>Josh Sherriff-Jolly</v>
      </c>
      <c r="C287" s="3">
        <f>IFERROR(__xludf.DUMMYFUNCTION("""COMPUTED_VALUE"""),19.0)</f>
        <v>19</v>
      </c>
      <c r="D287" s="3">
        <f t="shared" si="1"/>
        <v>1</v>
      </c>
    </row>
    <row r="288">
      <c r="A288" s="10">
        <f>IFERROR(__xludf.DUMMYFUNCTION("""COMPUTED_VALUE"""),45199.0)</f>
        <v>45199</v>
      </c>
      <c r="B288" s="3" t="str">
        <f>IFERROR(__xludf.DUMMYFUNCTION("""COMPUTED_VALUE"""),"Keaton Cohen")</f>
        <v>Keaton Cohen</v>
      </c>
      <c r="C288" s="3">
        <f>IFERROR(__xludf.DUMMYFUNCTION("""COMPUTED_VALUE"""),10.0)</f>
        <v>10</v>
      </c>
      <c r="D288" s="3">
        <f t="shared" si="1"/>
        <v>0</v>
      </c>
    </row>
    <row r="289">
      <c r="A289" s="10">
        <f>IFERROR(__xludf.DUMMYFUNCTION("""COMPUTED_VALUE"""),45199.0)</f>
        <v>45199</v>
      </c>
      <c r="B289" s="3" t="str">
        <f>IFERROR(__xludf.DUMMYFUNCTION("""COMPUTED_VALUE"""),"Kevin Gonzalez")</f>
        <v>Kevin Gonzalez</v>
      </c>
      <c r="C289" s="3">
        <f>IFERROR(__xludf.DUMMYFUNCTION("""COMPUTED_VALUE"""),2.0)</f>
        <v>2</v>
      </c>
      <c r="D289" s="3">
        <f t="shared" si="1"/>
        <v>0</v>
      </c>
    </row>
    <row r="290">
      <c r="A290" s="10">
        <f>IFERROR(__xludf.DUMMYFUNCTION("""COMPUTED_VALUE"""),45199.0)</f>
        <v>45199</v>
      </c>
      <c r="B290" s="3" t="str">
        <f>IFERROR(__xludf.DUMMYFUNCTION("""COMPUTED_VALUE"""),"Leuman Coronado")</f>
        <v>Leuman Coronado</v>
      </c>
      <c r="C290" s="3">
        <f>IFERROR(__xludf.DUMMYFUNCTION("""COMPUTED_VALUE"""),2.0)</f>
        <v>2</v>
      </c>
      <c r="D290" s="3">
        <f t="shared" si="1"/>
        <v>0</v>
      </c>
    </row>
    <row r="291">
      <c r="A291" s="10">
        <f>IFERROR(__xludf.DUMMYFUNCTION("""COMPUTED_VALUE"""),45199.0)</f>
        <v>45199</v>
      </c>
      <c r="B291" s="3" t="str">
        <f>IFERROR(__xludf.DUMMYFUNCTION("""COMPUTED_VALUE"""),"Mark Roberts")</f>
        <v>Mark Roberts</v>
      </c>
      <c r="C291" s="3">
        <f>IFERROR(__xludf.DUMMYFUNCTION("""COMPUTED_VALUE"""),2.0)</f>
        <v>2</v>
      </c>
      <c r="D291" s="3">
        <f t="shared" si="1"/>
        <v>0</v>
      </c>
    </row>
    <row r="292">
      <c r="A292" s="10">
        <f>IFERROR(__xludf.DUMMYFUNCTION("""COMPUTED_VALUE"""),45199.0)</f>
        <v>45199</v>
      </c>
      <c r="B292" s="3" t="str">
        <f>IFERROR(__xludf.DUMMYFUNCTION("""COMPUTED_VALUE"""),"Martin Goodson")</f>
        <v>Martin Goodson</v>
      </c>
      <c r="C292" s="3">
        <f>IFERROR(__xludf.DUMMYFUNCTION("""COMPUTED_VALUE"""),1.0)</f>
        <v>1</v>
      </c>
      <c r="D292" s="3">
        <f t="shared" si="1"/>
        <v>0</v>
      </c>
    </row>
    <row r="293">
      <c r="A293" s="10">
        <f>IFERROR(__xludf.DUMMYFUNCTION("""COMPUTED_VALUE"""),45199.0)</f>
        <v>45199</v>
      </c>
      <c r="B293" s="3" t="str">
        <f>IFERROR(__xludf.DUMMYFUNCTION("""COMPUTED_VALUE"""),"Masood Hamidi")</f>
        <v>Masood Hamidi</v>
      </c>
      <c r="C293" s="3">
        <f>IFERROR(__xludf.DUMMYFUNCTION("""COMPUTED_VALUE"""),2.0)</f>
        <v>2</v>
      </c>
      <c r="D293" s="3">
        <f t="shared" si="1"/>
        <v>0</v>
      </c>
    </row>
    <row r="294">
      <c r="A294" s="10">
        <f>IFERROR(__xludf.DUMMYFUNCTION("""COMPUTED_VALUE"""),45199.0)</f>
        <v>45199</v>
      </c>
      <c r="B294" s="3" t="str">
        <f>IFERROR(__xludf.DUMMYFUNCTION("""COMPUTED_VALUE"""),"Matt Crowe")</f>
        <v>Matt Crowe</v>
      </c>
      <c r="C294" s="3">
        <f>IFERROR(__xludf.DUMMYFUNCTION("""COMPUTED_VALUE"""),2.0)</f>
        <v>2</v>
      </c>
      <c r="D294" s="3">
        <f t="shared" si="1"/>
        <v>0</v>
      </c>
    </row>
    <row r="295">
      <c r="A295" s="10">
        <f>IFERROR(__xludf.DUMMYFUNCTION("""COMPUTED_VALUE"""),45199.0)</f>
        <v>45199</v>
      </c>
      <c r="B295" s="3" t="str">
        <f>IFERROR(__xludf.DUMMYFUNCTION("""COMPUTED_VALUE"""),"Matt Hope")</f>
        <v>Matt Hope</v>
      </c>
      <c r="C295" s="3">
        <f>IFERROR(__xludf.DUMMYFUNCTION("""COMPUTED_VALUE"""),6.0)</f>
        <v>6</v>
      </c>
      <c r="D295" s="3">
        <f t="shared" si="1"/>
        <v>0</v>
      </c>
    </row>
    <row r="296">
      <c r="A296" s="10">
        <f>IFERROR(__xludf.DUMMYFUNCTION("""COMPUTED_VALUE"""),45199.0)</f>
        <v>45199</v>
      </c>
      <c r="B296" s="3" t="str">
        <f>IFERROR(__xludf.DUMMYFUNCTION("""COMPUTED_VALUE"""),"Matthew Thomas")</f>
        <v>Matthew Thomas</v>
      </c>
      <c r="C296" s="3">
        <f>IFERROR(__xludf.DUMMYFUNCTION("""COMPUTED_VALUE"""),2.0)</f>
        <v>2</v>
      </c>
      <c r="D296" s="3">
        <f t="shared" si="1"/>
        <v>0</v>
      </c>
    </row>
    <row r="297">
      <c r="A297" s="10">
        <f>IFERROR(__xludf.DUMMYFUNCTION("""COMPUTED_VALUE"""),45199.0)</f>
        <v>45199</v>
      </c>
      <c r="B297" s="3" t="str">
        <f>IFERROR(__xludf.DUMMYFUNCTION("""COMPUTED_VALUE"""),"Michael Dill")</f>
        <v>Michael Dill</v>
      </c>
      <c r="C297" s="3">
        <f>IFERROR(__xludf.DUMMYFUNCTION("""COMPUTED_VALUE"""),1.0)</f>
        <v>1</v>
      </c>
      <c r="D297" s="3">
        <f t="shared" si="1"/>
        <v>0</v>
      </c>
    </row>
    <row r="298">
      <c r="A298" s="10">
        <f>IFERROR(__xludf.DUMMYFUNCTION("""COMPUTED_VALUE"""),45199.0)</f>
        <v>45199</v>
      </c>
      <c r="B298" s="3" t="str">
        <f>IFERROR(__xludf.DUMMYFUNCTION("""COMPUTED_VALUE"""),"Niall Wootten")</f>
        <v>Niall Wootten</v>
      </c>
      <c r="C298" s="3">
        <f>IFERROR(__xludf.DUMMYFUNCTION("""COMPUTED_VALUE"""),1.0)</f>
        <v>1</v>
      </c>
      <c r="D298" s="3">
        <f t="shared" si="1"/>
        <v>0</v>
      </c>
    </row>
    <row r="299">
      <c r="A299" s="10">
        <f>IFERROR(__xludf.DUMMYFUNCTION("""COMPUTED_VALUE"""),45199.0)</f>
        <v>45199</v>
      </c>
      <c r="B299" s="3" t="str">
        <f>IFERROR(__xludf.DUMMYFUNCTION("""COMPUTED_VALUE"""),"Nima Naghdi")</f>
        <v>Nima Naghdi</v>
      </c>
      <c r="C299" s="3">
        <f>IFERROR(__xludf.DUMMYFUNCTION("""COMPUTED_VALUE"""),2.0)</f>
        <v>2</v>
      </c>
      <c r="D299" s="3">
        <f t="shared" si="1"/>
        <v>0</v>
      </c>
    </row>
    <row r="300">
      <c r="A300" s="10">
        <f>IFERROR(__xludf.DUMMYFUNCTION("""COMPUTED_VALUE"""),45199.0)</f>
        <v>45199</v>
      </c>
      <c r="B300" s="3" t="str">
        <f>IFERROR(__xludf.DUMMYFUNCTION("""COMPUTED_VALUE"""),"Oli Barton")</f>
        <v>Oli Barton</v>
      </c>
      <c r="C300" s="3">
        <f>IFERROR(__xludf.DUMMYFUNCTION("""COMPUTED_VALUE"""),2.0)</f>
        <v>2</v>
      </c>
      <c r="D300" s="3">
        <f t="shared" si="1"/>
        <v>0</v>
      </c>
    </row>
    <row r="301">
      <c r="A301" s="10">
        <f>IFERROR(__xludf.DUMMYFUNCTION("""COMPUTED_VALUE"""),45199.0)</f>
        <v>45199</v>
      </c>
      <c r="B301" s="3" t="str">
        <f>IFERROR(__xludf.DUMMYFUNCTION("""COMPUTED_VALUE"""),"Ollie Sewell")</f>
        <v>Ollie Sewell</v>
      </c>
      <c r="C301" s="3">
        <f>IFERROR(__xludf.DUMMYFUNCTION("""COMPUTED_VALUE"""),5.0)</f>
        <v>5</v>
      </c>
      <c r="D301" s="3">
        <f t="shared" si="1"/>
        <v>0</v>
      </c>
    </row>
    <row r="302">
      <c r="A302" s="10">
        <f>IFERROR(__xludf.DUMMYFUNCTION("""COMPUTED_VALUE"""),45199.0)</f>
        <v>45199</v>
      </c>
      <c r="B302" s="3" t="str">
        <f>IFERROR(__xludf.DUMMYFUNCTION("""COMPUTED_VALUE"""),"Parimal Patel")</f>
        <v>Parimal Patel</v>
      </c>
      <c r="C302" s="3">
        <f>IFERROR(__xludf.DUMMYFUNCTION("""COMPUTED_VALUE"""),2.0)</f>
        <v>2</v>
      </c>
      <c r="D302" s="3">
        <f t="shared" si="1"/>
        <v>0</v>
      </c>
    </row>
    <row r="303">
      <c r="A303" s="10">
        <f>IFERROR(__xludf.DUMMYFUNCTION("""COMPUTED_VALUE"""),45199.0)</f>
        <v>45199</v>
      </c>
      <c r="B303" s="3" t="str">
        <f>IFERROR(__xludf.DUMMYFUNCTION("""COMPUTED_VALUE"""),"Paul Ball")</f>
        <v>Paul Ball</v>
      </c>
      <c r="C303" s="3">
        <f>IFERROR(__xludf.DUMMYFUNCTION("""COMPUTED_VALUE"""),-1.0)</f>
        <v>-1</v>
      </c>
      <c r="D303" s="3">
        <f t="shared" si="1"/>
        <v>0</v>
      </c>
    </row>
    <row r="304">
      <c r="A304" s="10">
        <f>IFERROR(__xludf.DUMMYFUNCTION("""COMPUTED_VALUE"""),45199.0)</f>
        <v>45199</v>
      </c>
      <c r="B304" s="3" t="str">
        <f>IFERROR(__xludf.DUMMYFUNCTION("""COMPUTED_VALUE"""),"Richard Jones")</f>
        <v>Richard Jones</v>
      </c>
      <c r="C304" s="3">
        <f>IFERROR(__xludf.DUMMYFUNCTION("""COMPUTED_VALUE"""),2.0)</f>
        <v>2</v>
      </c>
      <c r="D304" s="3">
        <f t="shared" si="1"/>
        <v>0</v>
      </c>
    </row>
    <row r="305">
      <c r="A305" s="10">
        <f>IFERROR(__xludf.DUMMYFUNCTION("""COMPUTED_VALUE"""),45199.0)</f>
        <v>45199</v>
      </c>
      <c r="B305" s="3" t="str">
        <f>IFERROR(__xludf.DUMMYFUNCTION("""COMPUTED_VALUE"""),"Sam A'Court")</f>
        <v>Sam A'Court</v>
      </c>
      <c r="C305" s="3">
        <f>IFERROR(__xludf.DUMMYFUNCTION("""COMPUTED_VALUE"""),2.0)</f>
        <v>2</v>
      </c>
      <c r="D305" s="3">
        <f t="shared" si="1"/>
        <v>0</v>
      </c>
    </row>
    <row r="306">
      <c r="A306" s="10">
        <f>IFERROR(__xludf.DUMMYFUNCTION("""COMPUTED_VALUE"""),45199.0)</f>
        <v>45199</v>
      </c>
      <c r="B306" s="3" t="str">
        <f>IFERROR(__xludf.DUMMYFUNCTION("""COMPUTED_VALUE"""),"Sam Bowen")</f>
        <v>Sam Bowen</v>
      </c>
      <c r="C306" s="3">
        <f>IFERROR(__xludf.DUMMYFUNCTION("""COMPUTED_VALUE"""),1.0)</f>
        <v>1</v>
      </c>
      <c r="D306" s="3">
        <f t="shared" si="1"/>
        <v>0</v>
      </c>
    </row>
    <row r="307">
      <c r="A307" s="10">
        <f>IFERROR(__xludf.DUMMYFUNCTION("""COMPUTED_VALUE"""),45199.0)</f>
        <v>45199</v>
      </c>
      <c r="B307" s="3" t="str">
        <f>IFERROR(__xludf.DUMMYFUNCTION("""COMPUTED_VALUE"""),"Sam Laidler")</f>
        <v>Sam Laidler</v>
      </c>
      <c r="C307" s="3">
        <f>IFERROR(__xludf.DUMMYFUNCTION("""COMPUTED_VALUE"""),2.0)</f>
        <v>2</v>
      </c>
      <c r="D307" s="3">
        <f t="shared" si="1"/>
        <v>0</v>
      </c>
    </row>
    <row r="308">
      <c r="A308" s="10">
        <f>IFERROR(__xludf.DUMMYFUNCTION("""COMPUTED_VALUE"""),45199.0)</f>
        <v>45199</v>
      </c>
      <c r="B308" s="3" t="str">
        <f>IFERROR(__xludf.DUMMYFUNCTION("""COMPUTED_VALUE"""),"Sean Rowlett")</f>
        <v>Sean Rowlett</v>
      </c>
      <c r="C308" s="3">
        <f>IFERROR(__xludf.DUMMYFUNCTION("""COMPUTED_VALUE"""),2.0)</f>
        <v>2</v>
      </c>
      <c r="D308" s="3">
        <f t="shared" si="1"/>
        <v>0</v>
      </c>
    </row>
    <row r="309">
      <c r="A309" s="10">
        <f>IFERROR(__xludf.DUMMYFUNCTION("""COMPUTED_VALUE"""),45199.0)</f>
        <v>45199</v>
      </c>
      <c r="B309" s="3" t="str">
        <f>IFERROR(__xludf.DUMMYFUNCTION("""COMPUTED_VALUE"""),"Sean Staunton")</f>
        <v>Sean Staunton</v>
      </c>
      <c r="C309" s="3">
        <f>IFERROR(__xludf.DUMMYFUNCTION("""COMPUTED_VALUE"""),15.0)</f>
        <v>15</v>
      </c>
      <c r="D309" s="3">
        <f t="shared" si="1"/>
        <v>0</v>
      </c>
    </row>
    <row r="310">
      <c r="A310" s="10">
        <f>IFERROR(__xludf.DUMMYFUNCTION("""COMPUTED_VALUE"""),45199.0)</f>
        <v>45199</v>
      </c>
      <c r="B310" s="3" t="str">
        <f>IFERROR(__xludf.DUMMYFUNCTION("""COMPUTED_VALUE"""),"Seb Curle")</f>
        <v>Seb Curle</v>
      </c>
      <c r="C310" s="3">
        <f>IFERROR(__xludf.DUMMYFUNCTION("""COMPUTED_VALUE"""),1.0)</f>
        <v>1</v>
      </c>
      <c r="D310" s="3">
        <f t="shared" si="1"/>
        <v>0</v>
      </c>
    </row>
    <row r="311">
      <c r="A311" s="10">
        <f>IFERROR(__xludf.DUMMYFUNCTION("""COMPUTED_VALUE"""),45199.0)</f>
        <v>45199</v>
      </c>
      <c r="B311" s="3" t="str">
        <f>IFERROR(__xludf.DUMMYFUNCTION("""COMPUTED_VALUE"""),"Stanley Timms")</f>
        <v>Stanley Timms</v>
      </c>
      <c r="C311" s="3">
        <f>IFERROR(__xludf.DUMMYFUNCTION("""COMPUTED_VALUE"""),2.0)</f>
        <v>2</v>
      </c>
      <c r="D311" s="3">
        <f t="shared" si="1"/>
        <v>0</v>
      </c>
    </row>
    <row r="312">
      <c r="A312" s="10">
        <f>IFERROR(__xludf.DUMMYFUNCTION("""COMPUTED_VALUE"""),45199.0)</f>
        <v>45199</v>
      </c>
      <c r="B312" s="3" t="str">
        <f>IFERROR(__xludf.DUMMYFUNCTION("""COMPUTED_VALUE"""),"Theo Horton")</f>
        <v>Theo Horton</v>
      </c>
      <c r="C312" s="3">
        <f>IFERROR(__xludf.DUMMYFUNCTION("""COMPUTED_VALUE"""),2.0)</f>
        <v>2</v>
      </c>
      <c r="D312" s="3">
        <f t="shared" si="1"/>
        <v>0</v>
      </c>
    </row>
    <row r="313">
      <c r="A313" s="10">
        <f>IFERROR(__xludf.DUMMYFUNCTION("""COMPUTED_VALUE"""),45199.0)</f>
        <v>45199</v>
      </c>
      <c r="B313" s="3" t="str">
        <f>IFERROR(__xludf.DUMMYFUNCTION("""COMPUTED_VALUE"""),"Tom Davidson")</f>
        <v>Tom Davidson</v>
      </c>
      <c r="C313" s="3">
        <f>IFERROR(__xludf.DUMMYFUNCTION("""COMPUTED_VALUE"""),2.0)</f>
        <v>2</v>
      </c>
      <c r="D313" s="3">
        <f t="shared" si="1"/>
        <v>0</v>
      </c>
    </row>
    <row r="314">
      <c r="A314" s="10">
        <f>IFERROR(__xludf.DUMMYFUNCTION("""COMPUTED_VALUE"""),45199.0)</f>
        <v>45199</v>
      </c>
      <c r="B314" s="3" t="str">
        <f>IFERROR(__xludf.DUMMYFUNCTION("""COMPUTED_VALUE"""),"Tom Riley")</f>
        <v>Tom Riley</v>
      </c>
      <c r="C314" s="3">
        <f>IFERROR(__xludf.DUMMYFUNCTION("""COMPUTED_VALUE"""),2.0)</f>
        <v>2</v>
      </c>
      <c r="D314" s="3">
        <f t="shared" si="1"/>
        <v>0</v>
      </c>
    </row>
    <row r="315">
      <c r="A315" s="10">
        <f>IFERROR(__xludf.DUMMYFUNCTION("""COMPUTED_VALUE"""),45199.0)</f>
        <v>45199</v>
      </c>
      <c r="B315" s="3" t="str">
        <f>IFERROR(__xludf.DUMMYFUNCTION("""COMPUTED_VALUE"""),"Victor Lemmer")</f>
        <v>Victor Lemmer</v>
      </c>
      <c r="C315" s="3">
        <f>IFERROR(__xludf.DUMMYFUNCTION("""COMPUTED_VALUE"""),2.0)</f>
        <v>2</v>
      </c>
      <c r="D315" s="3">
        <f t="shared" si="1"/>
        <v>0</v>
      </c>
    </row>
    <row r="316">
      <c r="A316" s="10">
        <f>IFERROR(__xludf.DUMMYFUNCTION("""COMPUTED_VALUE"""),45199.0)</f>
        <v>45199</v>
      </c>
      <c r="B316" s="3" t="str">
        <f>IFERROR(__xludf.DUMMYFUNCTION("""COMPUTED_VALUE"""),"Will Sollory")</f>
        <v>Will Sollory</v>
      </c>
      <c r="C316" s="3">
        <f>IFERROR(__xludf.DUMMYFUNCTION("""COMPUTED_VALUE"""),4.0)</f>
        <v>4</v>
      </c>
      <c r="D316" s="3">
        <f t="shared" si="1"/>
        <v>0</v>
      </c>
    </row>
    <row r="317">
      <c r="A317" s="10">
        <f>IFERROR(__xludf.DUMMYFUNCTION("""COMPUTED_VALUE"""),45199.0)</f>
        <v>45199</v>
      </c>
      <c r="B317" s="3" t="str">
        <f>IFERROR(__xludf.DUMMYFUNCTION("""COMPUTED_VALUE"""),"Yemi Oviosu")</f>
        <v>Yemi Oviosu</v>
      </c>
      <c r="C317" s="3">
        <f>IFERROR(__xludf.DUMMYFUNCTION("""COMPUTED_VALUE"""),2.0)</f>
        <v>2</v>
      </c>
      <c r="D317" s="3">
        <f t="shared" si="1"/>
        <v>0</v>
      </c>
    </row>
    <row r="318">
      <c r="A318" s="10">
        <f>IFERROR(__xludf.DUMMYFUNCTION("""COMPUTED_VALUE"""),45206.0)</f>
        <v>45206</v>
      </c>
      <c r="B318" s="3" t="str">
        <f>IFERROR(__xludf.DUMMYFUNCTION("""COMPUTED_VALUE"""),"Aaron Snelling")</f>
        <v>Aaron Snelling</v>
      </c>
      <c r="C318" s="3">
        <f>IFERROR(__xludf.DUMMYFUNCTION("""COMPUTED_VALUE"""),0.0)</f>
        <v>0</v>
      </c>
      <c r="D318" s="3">
        <f t="shared" si="1"/>
        <v>0</v>
      </c>
    </row>
    <row r="319">
      <c r="A319" s="10">
        <f>IFERROR(__xludf.DUMMYFUNCTION("""COMPUTED_VALUE"""),45206.0)</f>
        <v>45206</v>
      </c>
      <c r="B319" s="3" t="str">
        <f>IFERROR(__xludf.DUMMYFUNCTION("""COMPUTED_VALUE"""),"Abz Marfa")</f>
        <v>Abz Marfa</v>
      </c>
      <c r="C319" s="3">
        <f>IFERROR(__xludf.DUMMYFUNCTION("""COMPUTED_VALUE"""),6.0)</f>
        <v>6</v>
      </c>
      <c r="D319" s="3">
        <f t="shared" si="1"/>
        <v>0</v>
      </c>
    </row>
    <row r="320">
      <c r="A320" s="10">
        <f>IFERROR(__xludf.DUMMYFUNCTION("""COMPUTED_VALUE"""),45206.0)</f>
        <v>45206</v>
      </c>
      <c r="B320" s="3" t="str">
        <f>IFERROR(__xludf.DUMMYFUNCTION("""COMPUTED_VALUE"""),"Ade Lawal")</f>
        <v>Ade Lawal</v>
      </c>
      <c r="C320" s="3">
        <f>IFERROR(__xludf.DUMMYFUNCTION("""COMPUTED_VALUE"""),1.0)</f>
        <v>1</v>
      </c>
      <c r="D320" s="3">
        <f t="shared" si="1"/>
        <v>0</v>
      </c>
    </row>
    <row r="321">
      <c r="A321" s="10">
        <f>IFERROR(__xludf.DUMMYFUNCTION("""COMPUTED_VALUE"""),45206.0)</f>
        <v>45206</v>
      </c>
      <c r="B321" s="3" t="str">
        <f>IFERROR(__xludf.DUMMYFUNCTION("""COMPUTED_VALUE"""),"Afnan Khan")</f>
        <v>Afnan Khan</v>
      </c>
      <c r="C321" s="3">
        <f>IFERROR(__xludf.DUMMYFUNCTION("""COMPUTED_VALUE"""),3.0)</f>
        <v>3</v>
      </c>
      <c r="D321" s="3">
        <f t="shared" si="1"/>
        <v>0</v>
      </c>
    </row>
    <row r="322">
      <c r="A322" s="10">
        <f>IFERROR(__xludf.DUMMYFUNCTION("""COMPUTED_VALUE"""),45206.0)</f>
        <v>45206</v>
      </c>
      <c r="B322" s="3" t="str">
        <f>IFERROR(__xludf.DUMMYFUNCTION("""COMPUTED_VALUE"""),"Alex Mansfield")</f>
        <v>Alex Mansfield</v>
      </c>
      <c r="C322" s="3">
        <f>IFERROR(__xludf.DUMMYFUNCTION("""COMPUTED_VALUE"""),2.0)</f>
        <v>2</v>
      </c>
      <c r="D322" s="3">
        <f t="shared" si="1"/>
        <v>0</v>
      </c>
    </row>
    <row r="323">
      <c r="A323" s="10">
        <f>IFERROR(__xludf.DUMMYFUNCTION("""COMPUTED_VALUE"""),45206.0)</f>
        <v>45206</v>
      </c>
      <c r="B323" s="3" t="str">
        <f>IFERROR(__xludf.DUMMYFUNCTION("""COMPUTED_VALUE"""),"Alex Scott-Ruddock")</f>
        <v>Alex Scott-Ruddock</v>
      </c>
      <c r="C323" s="3">
        <f>IFERROR(__xludf.DUMMYFUNCTION("""COMPUTED_VALUE"""),1.0)</f>
        <v>1</v>
      </c>
      <c r="D323" s="3">
        <f t="shared" si="1"/>
        <v>0</v>
      </c>
    </row>
    <row r="324">
      <c r="A324" s="10">
        <f>IFERROR(__xludf.DUMMYFUNCTION("""COMPUTED_VALUE"""),45206.0)</f>
        <v>45206</v>
      </c>
      <c r="B324" s="3" t="str">
        <f>IFERROR(__xludf.DUMMYFUNCTION("""COMPUTED_VALUE"""),"Andres Ahlgren")</f>
        <v>Andres Ahlgren</v>
      </c>
      <c r="C324" s="3">
        <f>IFERROR(__xludf.DUMMYFUNCTION("""COMPUTED_VALUE"""),6.0)</f>
        <v>6</v>
      </c>
      <c r="D324" s="3">
        <f t="shared" si="1"/>
        <v>0</v>
      </c>
    </row>
    <row r="325">
      <c r="A325" s="10">
        <f>IFERROR(__xludf.DUMMYFUNCTION("""COMPUTED_VALUE"""),45206.0)</f>
        <v>45206</v>
      </c>
      <c r="B325" s="3" t="str">
        <f>IFERROR(__xludf.DUMMYFUNCTION("""COMPUTED_VALUE"""),"Andrew Barclay")</f>
        <v>Andrew Barclay</v>
      </c>
      <c r="C325" s="3">
        <f>IFERROR(__xludf.DUMMYFUNCTION("""COMPUTED_VALUE"""),1.0)</f>
        <v>1</v>
      </c>
      <c r="D325" s="3">
        <f t="shared" si="1"/>
        <v>0</v>
      </c>
    </row>
    <row r="326">
      <c r="A326" s="10">
        <f>IFERROR(__xludf.DUMMYFUNCTION("""COMPUTED_VALUE"""),45206.0)</f>
        <v>45206</v>
      </c>
      <c r="B326" s="3" t="str">
        <f>IFERROR(__xludf.DUMMYFUNCTION("""COMPUTED_VALUE"""),"Anish Philips")</f>
        <v>Anish Philips</v>
      </c>
      <c r="C326" s="3">
        <f>IFERROR(__xludf.DUMMYFUNCTION("""COMPUTED_VALUE"""),8.0)</f>
        <v>8</v>
      </c>
      <c r="D326" s="3">
        <f t="shared" si="1"/>
        <v>0</v>
      </c>
    </row>
    <row r="327">
      <c r="A327" s="10">
        <f>IFERROR(__xludf.DUMMYFUNCTION("""COMPUTED_VALUE"""),45206.0)</f>
        <v>45206</v>
      </c>
      <c r="B327" s="3" t="str">
        <f>IFERROR(__xludf.DUMMYFUNCTION("""COMPUTED_VALUE"""),"Anthony Ball")</f>
        <v>Anthony Ball</v>
      </c>
      <c r="C327" s="3">
        <f>IFERROR(__xludf.DUMMYFUNCTION("""COMPUTED_VALUE"""),1.0)</f>
        <v>1</v>
      </c>
      <c r="D327" s="3">
        <f t="shared" si="1"/>
        <v>0</v>
      </c>
    </row>
    <row r="328">
      <c r="A328" s="10">
        <f>IFERROR(__xludf.DUMMYFUNCTION("""COMPUTED_VALUE"""),45206.0)</f>
        <v>45206</v>
      </c>
      <c r="B328" s="3" t="str">
        <f>IFERROR(__xludf.DUMMYFUNCTION("""COMPUTED_VALUE"""),"Ash Mayers")</f>
        <v>Ash Mayers</v>
      </c>
      <c r="C328" s="3">
        <f>IFERROR(__xludf.DUMMYFUNCTION("""COMPUTED_VALUE"""),7.0)</f>
        <v>7</v>
      </c>
      <c r="D328" s="3">
        <f t="shared" si="1"/>
        <v>0</v>
      </c>
    </row>
    <row r="329">
      <c r="A329" s="10">
        <f>IFERROR(__xludf.DUMMYFUNCTION("""COMPUTED_VALUE"""),45206.0)</f>
        <v>45206</v>
      </c>
      <c r="B329" s="3" t="str">
        <f>IFERROR(__xludf.DUMMYFUNCTION("""COMPUTED_VALUE"""),"Ben Dockerill")</f>
        <v>Ben Dockerill</v>
      </c>
      <c r="C329" s="3">
        <f>IFERROR(__xludf.DUMMYFUNCTION("""COMPUTED_VALUE"""),0.0)</f>
        <v>0</v>
      </c>
      <c r="D329" s="3">
        <f t="shared" si="1"/>
        <v>0</v>
      </c>
    </row>
    <row r="330">
      <c r="A330" s="10">
        <f>IFERROR(__xludf.DUMMYFUNCTION("""COMPUTED_VALUE"""),45206.0)</f>
        <v>45206</v>
      </c>
      <c r="B330" s="3" t="str">
        <f>IFERROR(__xludf.DUMMYFUNCTION("""COMPUTED_VALUE"""),"Billy Mclean")</f>
        <v>Billy Mclean</v>
      </c>
      <c r="C330" s="3">
        <f>IFERROR(__xludf.DUMMYFUNCTION("""COMPUTED_VALUE"""),2.0)</f>
        <v>2</v>
      </c>
      <c r="D330" s="3">
        <f t="shared" si="1"/>
        <v>0</v>
      </c>
    </row>
    <row r="331">
      <c r="A331" s="10">
        <f>IFERROR(__xludf.DUMMYFUNCTION("""COMPUTED_VALUE"""),45206.0)</f>
        <v>45206</v>
      </c>
      <c r="B331" s="3" t="str">
        <f>IFERROR(__xludf.DUMMYFUNCTION("""COMPUTED_VALUE"""),"Calum Bennett")</f>
        <v>Calum Bennett</v>
      </c>
      <c r="C331" s="3">
        <f>IFERROR(__xludf.DUMMYFUNCTION("""COMPUTED_VALUE"""),2.0)</f>
        <v>2</v>
      </c>
      <c r="D331" s="3">
        <f t="shared" si="1"/>
        <v>0</v>
      </c>
    </row>
    <row r="332">
      <c r="A332" s="10">
        <f>IFERROR(__xludf.DUMMYFUNCTION("""COMPUTED_VALUE"""),45206.0)</f>
        <v>45206</v>
      </c>
      <c r="B332" s="3" t="str">
        <f>IFERROR(__xludf.DUMMYFUNCTION("""COMPUTED_VALUE"""),"Cameron Ward")</f>
        <v>Cameron Ward</v>
      </c>
      <c r="C332" s="3">
        <f>IFERROR(__xludf.DUMMYFUNCTION("""COMPUTED_VALUE"""),2.0)</f>
        <v>2</v>
      </c>
      <c r="D332" s="3">
        <f t="shared" si="1"/>
        <v>0</v>
      </c>
    </row>
    <row r="333">
      <c r="A333" s="10">
        <f>IFERROR(__xludf.DUMMYFUNCTION("""COMPUTED_VALUE"""),45206.0)</f>
        <v>45206</v>
      </c>
      <c r="B333" s="3" t="str">
        <f>IFERROR(__xludf.DUMMYFUNCTION("""COMPUTED_VALUE"""),"Charlie Doe")</f>
        <v>Charlie Doe</v>
      </c>
      <c r="C333" s="3">
        <f>IFERROR(__xludf.DUMMYFUNCTION("""COMPUTED_VALUE"""),1.0)</f>
        <v>1</v>
      </c>
      <c r="D333" s="3">
        <f t="shared" si="1"/>
        <v>0</v>
      </c>
    </row>
    <row r="334">
      <c r="A334" s="10">
        <f>IFERROR(__xludf.DUMMYFUNCTION("""COMPUTED_VALUE"""),45206.0)</f>
        <v>45206</v>
      </c>
      <c r="B334" s="3" t="str">
        <f>IFERROR(__xludf.DUMMYFUNCTION("""COMPUTED_VALUE"""),"Chris Boden")</f>
        <v>Chris Boden</v>
      </c>
      <c r="C334" s="3">
        <f>IFERROR(__xludf.DUMMYFUNCTION("""COMPUTED_VALUE"""),3.0)</f>
        <v>3</v>
      </c>
      <c r="D334" s="3">
        <f t="shared" si="1"/>
        <v>0</v>
      </c>
    </row>
    <row r="335">
      <c r="A335" s="10">
        <f>IFERROR(__xludf.DUMMYFUNCTION("""COMPUTED_VALUE"""),45206.0)</f>
        <v>45206</v>
      </c>
      <c r="B335" s="3" t="str">
        <f>IFERROR(__xludf.DUMMYFUNCTION("""COMPUTED_VALUE"""),"Chris Claeys")</f>
        <v>Chris Claeys</v>
      </c>
      <c r="C335" s="3">
        <f>IFERROR(__xludf.DUMMYFUNCTION("""COMPUTED_VALUE"""),2.0)</f>
        <v>2</v>
      </c>
      <c r="D335" s="3">
        <f t="shared" si="1"/>
        <v>0</v>
      </c>
    </row>
    <row r="336">
      <c r="A336" s="10">
        <f>IFERROR(__xludf.DUMMYFUNCTION("""COMPUTED_VALUE"""),45206.0)</f>
        <v>45206</v>
      </c>
      <c r="B336" s="3" t="str">
        <f>IFERROR(__xludf.DUMMYFUNCTION("""COMPUTED_VALUE"""),"Chris Douthwaite")</f>
        <v>Chris Douthwaite</v>
      </c>
      <c r="C336" s="3">
        <f>IFERROR(__xludf.DUMMYFUNCTION("""COMPUTED_VALUE"""),1.0)</f>
        <v>1</v>
      </c>
      <c r="D336" s="3">
        <f t="shared" si="1"/>
        <v>0</v>
      </c>
    </row>
    <row r="337">
      <c r="A337" s="10">
        <f>IFERROR(__xludf.DUMMYFUNCTION("""COMPUTED_VALUE"""),45206.0)</f>
        <v>45206</v>
      </c>
      <c r="B337" s="3" t="str">
        <f>IFERROR(__xludf.DUMMYFUNCTION("""COMPUTED_VALUE"""),"Christian King")</f>
        <v>Christian King</v>
      </c>
      <c r="C337" s="3">
        <f>IFERROR(__xludf.DUMMYFUNCTION("""COMPUTED_VALUE"""),10.0)</f>
        <v>10</v>
      </c>
      <c r="D337" s="3">
        <f t="shared" si="1"/>
        <v>0</v>
      </c>
    </row>
    <row r="338">
      <c r="A338" s="10">
        <f>IFERROR(__xludf.DUMMYFUNCTION("""COMPUTED_VALUE"""),45206.0)</f>
        <v>45206</v>
      </c>
      <c r="B338" s="3" t="str">
        <f>IFERROR(__xludf.DUMMYFUNCTION("""COMPUTED_VALUE"""),"Ciaran Curran")</f>
        <v>Ciaran Curran</v>
      </c>
      <c r="C338" s="3">
        <f>IFERROR(__xludf.DUMMYFUNCTION("""COMPUTED_VALUE"""),6.0)</f>
        <v>6</v>
      </c>
      <c r="D338" s="3">
        <f t="shared" si="1"/>
        <v>0</v>
      </c>
    </row>
    <row r="339">
      <c r="A339" s="10">
        <f>IFERROR(__xludf.DUMMYFUNCTION("""COMPUTED_VALUE"""),45206.0)</f>
        <v>45206</v>
      </c>
      <c r="B339" s="3" t="str">
        <f>IFERROR(__xludf.DUMMYFUNCTION("""COMPUTED_VALUE"""),"Dan Klin")</f>
        <v>Dan Klin</v>
      </c>
      <c r="C339" s="3">
        <f>IFERROR(__xludf.DUMMYFUNCTION("""COMPUTED_VALUE"""),2.0)</f>
        <v>2</v>
      </c>
      <c r="D339" s="3">
        <f t="shared" si="1"/>
        <v>0</v>
      </c>
    </row>
    <row r="340">
      <c r="A340" s="10">
        <f>IFERROR(__xludf.DUMMYFUNCTION("""COMPUTED_VALUE"""),45206.0)</f>
        <v>45206</v>
      </c>
      <c r="B340" s="3" t="str">
        <f>IFERROR(__xludf.DUMMYFUNCTION("""COMPUTED_VALUE"""),"Dan Russell")</f>
        <v>Dan Russell</v>
      </c>
      <c r="C340" s="3">
        <f>IFERROR(__xludf.DUMMYFUNCTION("""COMPUTED_VALUE"""),6.0)</f>
        <v>6</v>
      </c>
      <c r="D340" s="3">
        <f t="shared" si="1"/>
        <v>0</v>
      </c>
    </row>
    <row r="341">
      <c r="A341" s="10">
        <f>IFERROR(__xludf.DUMMYFUNCTION("""COMPUTED_VALUE"""),45206.0)</f>
        <v>45206</v>
      </c>
      <c r="B341" s="3" t="str">
        <f>IFERROR(__xludf.DUMMYFUNCTION("""COMPUTED_VALUE"""),"David Holmes-White")</f>
        <v>David Holmes-White</v>
      </c>
      <c r="C341" s="3">
        <f>IFERROR(__xludf.DUMMYFUNCTION("""COMPUTED_VALUE"""),2.0)</f>
        <v>2</v>
      </c>
      <c r="D341" s="3">
        <f t="shared" si="1"/>
        <v>0</v>
      </c>
    </row>
    <row r="342">
      <c r="A342" s="10">
        <f>IFERROR(__xludf.DUMMYFUNCTION("""COMPUTED_VALUE"""),45206.0)</f>
        <v>45206</v>
      </c>
      <c r="B342" s="3" t="str">
        <f>IFERROR(__xludf.DUMMYFUNCTION("""COMPUTED_VALUE"""),"Dean Wright")</f>
        <v>Dean Wright</v>
      </c>
      <c r="C342" s="3">
        <f>IFERROR(__xludf.DUMMYFUNCTION("""COMPUTED_VALUE"""),1.0)</f>
        <v>1</v>
      </c>
      <c r="D342" s="3">
        <f t="shared" si="1"/>
        <v>0</v>
      </c>
    </row>
    <row r="343">
      <c r="A343" s="10">
        <f>IFERROR(__xludf.DUMMYFUNCTION("""COMPUTED_VALUE"""),45206.0)</f>
        <v>45206</v>
      </c>
      <c r="B343" s="3" t="str">
        <f>IFERROR(__xludf.DUMMYFUNCTION("""COMPUTED_VALUE"""),"Deji Ogunyemi")</f>
        <v>Deji Ogunyemi</v>
      </c>
      <c r="C343" s="3">
        <f>IFERROR(__xludf.DUMMYFUNCTION("""COMPUTED_VALUE"""),2.0)</f>
        <v>2</v>
      </c>
      <c r="D343" s="3">
        <f t="shared" si="1"/>
        <v>0</v>
      </c>
    </row>
    <row r="344">
      <c r="A344" s="10">
        <f>IFERROR(__xludf.DUMMYFUNCTION("""COMPUTED_VALUE"""),45206.0)</f>
        <v>45206</v>
      </c>
      <c r="B344" s="3" t="str">
        <f>IFERROR(__xludf.DUMMYFUNCTION("""COMPUTED_VALUE"""),"Denver Lalonde")</f>
        <v>Denver Lalonde</v>
      </c>
      <c r="C344" s="3">
        <f>IFERROR(__xludf.DUMMYFUNCTION("""COMPUTED_VALUE"""),2.0)</f>
        <v>2</v>
      </c>
      <c r="D344" s="3">
        <f t="shared" si="1"/>
        <v>0</v>
      </c>
    </row>
    <row r="345">
      <c r="A345" s="10">
        <f>IFERROR(__xludf.DUMMYFUNCTION("""COMPUTED_VALUE"""),45206.0)</f>
        <v>45206</v>
      </c>
      <c r="B345" s="3" t="str">
        <f>IFERROR(__xludf.DUMMYFUNCTION("""COMPUTED_VALUE"""),"Dereece Pinder")</f>
        <v>Dereece Pinder</v>
      </c>
      <c r="C345" s="3">
        <f>IFERROR(__xludf.DUMMYFUNCTION("""COMPUTED_VALUE"""),8.0)</f>
        <v>8</v>
      </c>
      <c r="D345" s="3">
        <f t="shared" si="1"/>
        <v>0</v>
      </c>
    </row>
    <row r="346">
      <c r="A346" s="10">
        <f>IFERROR(__xludf.DUMMYFUNCTION("""COMPUTED_VALUE"""),45206.0)</f>
        <v>45206</v>
      </c>
      <c r="B346" s="3" t="str">
        <f>IFERROR(__xludf.DUMMYFUNCTION("""COMPUTED_VALUE"""),"Ellis Forrester")</f>
        <v>Ellis Forrester</v>
      </c>
      <c r="C346" s="3">
        <f>IFERROR(__xludf.DUMMYFUNCTION("""COMPUTED_VALUE"""),8.0)</f>
        <v>8</v>
      </c>
      <c r="D346" s="3">
        <f t="shared" si="1"/>
        <v>0</v>
      </c>
    </row>
    <row r="347">
      <c r="A347" s="10">
        <f>IFERROR(__xludf.DUMMYFUNCTION("""COMPUTED_VALUE"""),45206.0)</f>
        <v>45206</v>
      </c>
      <c r="B347" s="3" t="str">
        <f>IFERROR(__xludf.DUMMYFUNCTION("""COMPUTED_VALUE"""),"Emi Muhadri")</f>
        <v>Emi Muhadri</v>
      </c>
      <c r="C347" s="3">
        <f>IFERROR(__xludf.DUMMYFUNCTION("""COMPUTED_VALUE"""),6.0)</f>
        <v>6</v>
      </c>
      <c r="D347" s="3">
        <f t="shared" si="1"/>
        <v>0</v>
      </c>
    </row>
    <row r="348">
      <c r="A348" s="10">
        <f>IFERROR(__xludf.DUMMYFUNCTION("""COMPUTED_VALUE"""),45206.0)</f>
        <v>45206</v>
      </c>
      <c r="B348" s="3" t="str">
        <f>IFERROR(__xludf.DUMMYFUNCTION("""COMPUTED_VALUE"""),"Ewan Harris")</f>
        <v>Ewan Harris</v>
      </c>
      <c r="C348" s="3">
        <f>IFERROR(__xludf.DUMMYFUNCTION("""COMPUTED_VALUE"""),2.0)</f>
        <v>2</v>
      </c>
      <c r="D348" s="3">
        <f t="shared" si="1"/>
        <v>0</v>
      </c>
    </row>
    <row r="349">
      <c r="A349" s="10">
        <f>IFERROR(__xludf.DUMMYFUNCTION("""COMPUTED_VALUE"""),45206.0)</f>
        <v>45206</v>
      </c>
      <c r="B349" s="3" t="str">
        <f>IFERROR(__xludf.DUMMYFUNCTION("""COMPUTED_VALUE"""),"Finn Coolen")</f>
        <v>Finn Coolen</v>
      </c>
      <c r="C349" s="3">
        <f>IFERROR(__xludf.DUMMYFUNCTION("""COMPUTED_VALUE"""),7.0)</f>
        <v>7</v>
      </c>
      <c r="D349" s="3">
        <f t="shared" si="1"/>
        <v>0</v>
      </c>
    </row>
    <row r="350">
      <c r="A350" s="10">
        <f>IFERROR(__xludf.DUMMYFUNCTION("""COMPUTED_VALUE"""),45206.0)</f>
        <v>45206</v>
      </c>
      <c r="B350" s="3" t="str">
        <f>IFERROR(__xludf.DUMMYFUNCTION("""COMPUTED_VALUE"""),"George Connolly")</f>
        <v>George Connolly</v>
      </c>
      <c r="C350" s="3">
        <f>IFERROR(__xludf.DUMMYFUNCTION("""COMPUTED_VALUE"""),5.0)</f>
        <v>5</v>
      </c>
      <c r="D350" s="3">
        <f t="shared" si="1"/>
        <v>0</v>
      </c>
    </row>
    <row r="351">
      <c r="A351" s="10">
        <f>IFERROR(__xludf.DUMMYFUNCTION("""COMPUTED_VALUE"""),45206.0)</f>
        <v>45206</v>
      </c>
      <c r="B351" s="3" t="str">
        <f>IFERROR(__xludf.DUMMYFUNCTION("""COMPUTED_VALUE"""),"Harry Fripp")</f>
        <v>Harry Fripp</v>
      </c>
      <c r="C351" s="3">
        <f>IFERROR(__xludf.DUMMYFUNCTION("""COMPUTED_VALUE"""),2.0)</f>
        <v>2</v>
      </c>
      <c r="D351" s="3">
        <f t="shared" si="1"/>
        <v>0</v>
      </c>
    </row>
    <row r="352">
      <c r="A352" s="10">
        <f>IFERROR(__xludf.DUMMYFUNCTION("""COMPUTED_VALUE"""),45206.0)</f>
        <v>45206</v>
      </c>
      <c r="B352" s="3" t="str">
        <f>IFERROR(__xludf.DUMMYFUNCTION("""COMPUTED_VALUE"""),"Ismail Wall")</f>
        <v>Ismail Wall</v>
      </c>
      <c r="C352" s="3">
        <f>IFERROR(__xludf.DUMMYFUNCTION("""COMPUTED_VALUE"""),2.0)</f>
        <v>2</v>
      </c>
      <c r="D352" s="3">
        <f t="shared" si="1"/>
        <v>0</v>
      </c>
    </row>
    <row r="353">
      <c r="A353" s="10">
        <f>IFERROR(__xludf.DUMMYFUNCTION("""COMPUTED_VALUE"""),45206.0)</f>
        <v>45206</v>
      </c>
      <c r="B353" s="3" t="str">
        <f>IFERROR(__xludf.DUMMYFUNCTION("""COMPUTED_VALUE"""),"Jabari Dixon")</f>
        <v>Jabari Dixon</v>
      </c>
      <c r="C353" s="3">
        <f>IFERROR(__xludf.DUMMYFUNCTION("""COMPUTED_VALUE"""),8.0)</f>
        <v>8</v>
      </c>
      <c r="D353" s="3">
        <f t="shared" si="1"/>
        <v>0</v>
      </c>
    </row>
    <row r="354">
      <c r="A354" s="10">
        <f>IFERROR(__xludf.DUMMYFUNCTION("""COMPUTED_VALUE"""),45206.0)</f>
        <v>45206</v>
      </c>
      <c r="B354" s="3" t="str">
        <f>IFERROR(__xludf.DUMMYFUNCTION("""COMPUTED_VALUE"""),"Jack Butcher")</f>
        <v>Jack Butcher</v>
      </c>
      <c r="C354" s="3">
        <f>IFERROR(__xludf.DUMMYFUNCTION("""COMPUTED_VALUE"""),1.0)</f>
        <v>1</v>
      </c>
      <c r="D354" s="3">
        <f t="shared" si="1"/>
        <v>0</v>
      </c>
    </row>
    <row r="355">
      <c r="A355" s="10">
        <f>IFERROR(__xludf.DUMMYFUNCTION("""COMPUTED_VALUE"""),45206.0)</f>
        <v>45206</v>
      </c>
      <c r="B355" s="3" t="str">
        <f>IFERROR(__xludf.DUMMYFUNCTION("""COMPUTED_VALUE"""),"Jack Harris")</f>
        <v>Jack Harris</v>
      </c>
      <c r="C355" s="3">
        <f>IFERROR(__xludf.DUMMYFUNCTION("""COMPUTED_VALUE"""),1.0)</f>
        <v>1</v>
      </c>
      <c r="D355" s="3">
        <f t="shared" si="1"/>
        <v>0</v>
      </c>
    </row>
    <row r="356">
      <c r="A356" s="10">
        <f>IFERROR(__xludf.DUMMYFUNCTION("""COMPUTED_VALUE"""),45206.0)</f>
        <v>45206</v>
      </c>
      <c r="B356" s="3" t="str">
        <f>IFERROR(__xludf.DUMMYFUNCTION("""COMPUTED_VALUE"""),"James Rodriguez")</f>
        <v>James Rodriguez</v>
      </c>
      <c r="C356" s="3">
        <f>IFERROR(__xludf.DUMMYFUNCTION("""COMPUTED_VALUE"""),2.0)</f>
        <v>2</v>
      </c>
      <c r="D356" s="3">
        <f t="shared" si="1"/>
        <v>0</v>
      </c>
    </row>
    <row r="357">
      <c r="A357" s="10">
        <f>IFERROR(__xludf.DUMMYFUNCTION("""COMPUTED_VALUE"""),45206.0)</f>
        <v>45206</v>
      </c>
      <c r="B357" s="3" t="str">
        <f>IFERROR(__xludf.DUMMYFUNCTION("""COMPUTED_VALUE"""),"Jamie Arkell")</f>
        <v>Jamie Arkell</v>
      </c>
      <c r="C357" s="3">
        <f>IFERROR(__xludf.DUMMYFUNCTION("""COMPUTED_VALUE"""),12.0)</f>
        <v>12</v>
      </c>
      <c r="D357" s="3">
        <f t="shared" si="1"/>
        <v>0</v>
      </c>
    </row>
    <row r="358">
      <c r="A358" s="10">
        <f>IFERROR(__xludf.DUMMYFUNCTION("""COMPUTED_VALUE"""),45206.0)</f>
        <v>45206</v>
      </c>
      <c r="B358" s="3" t="str">
        <f>IFERROR(__xludf.DUMMYFUNCTION("""COMPUTED_VALUE"""),"Jamie Wood")</f>
        <v>Jamie Wood</v>
      </c>
      <c r="C358" s="3">
        <f>IFERROR(__xludf.DUMMYFUNCTION("""COMPUTED_VALUE"""),1.0)</f>
        <v>1</v>
      </c>
      <c r="D358" s="3">
        <f t="shared" si="1"/>
        <v>0</v>
      </c>
    </row>
    <row r="359">
      <c r="A359" s="10">
        <f>IFERROR(__xludf.DUMMYFUNCTION("""COMPUTED_VALUE"""),45206.0)</f>
        <v>45206</v>
      </c>
      <c r="B359" s="3" t="str">
        <f>IFERROR(__xludf.DUMMYFUNCTION("""COMPUTED_VALUE"""),"Janam Satra")</f>
        <v>Janam Satra</v>
      </c>
      <c r="C359" s="3">
        <f>IFERROR(__xludf.DUMMYFUNCTION("""COMPUTED_VALUE"""),4.0)</f>
        <v>4</v>
      </c>
      <c r="D359" s="3">
        <f t="shared" si="1"/>
        <v>0</v>
      </c>
    </row>
    <row r="360">
      <c r="A360" s="10">
        <f>IFERROR(__xludf.DUMMYFUNCTION("""COMPUTED_VALUE"""),45206.0)</f>
        <v>45206</v>
      </c>
      <c r="B360" s="3" t="str">
        <f>IFERROR(__xludf.DUMMYFUNCTION("""COMPUTED_VALUE"""),"Jarvis Cheek")</f>
        <v>Jarvis Cheek</v>
      </c>
      <c r="C360" s="3">
        <f>IFERROR(__xludf.DUMMYFUNCTION("""COMPUTED_VALUE"""),5.0)</f>
        <v>5</v>
      </c>
      <c r="D360" s="3">
        <f t="shared" si="1"/>
        <v>0</v>
      </c>
    </row>
    <row r="361">
      <c r="A361" s="10">
        <f>IFERROR(__xludf.DUMMYFUNCTION("""COMPUTED_VALUE"""),45206.0)</f>
        <v>45206</v>
      </c>
      <c r="B361" s="3" t="str">
        <f>IFERROR(__xludf.DUMMYFUNCTION("""COMPUTED_VALUE"""),"Jason Heath")</f>
        <v>Jason Heath</v>
      </c>
      <c r="C361" s="3">
        <f>IFERROR(__xludf.DUMMYFUNCTION("""COMPUTED_VALUE"""),2.0)</f>
        <v>2</v>
      </c>
      <c r="D361" s="3">
        <f t="shared" si="1"/>
        <v>0</v>
      </c>
    </row>
    <row r="362">
      <c r="A362" s="10">
        <f>IFERROR(__xludf.DUMMYFUNCTION("""COMPUTED_VALUE"""),45206.0)</f>
        <v>45206</v>
      </c>
      <c r="B362" s="3" t="str">
        <f>IFERROR(__xludf.DUMMYFUNCTION("""COMPUTED_VALUE"""),"Jason Raife")</f>
        <v>Jason Raife</v>
      </c>
      <c r="C362" s="3">
        <f>IFERROR(__xludf.DUMMYFUNCTION("""COMPUTED_VALUE"""),2.0)</f>
        <v>2</v>
      </c>
      <c r="D362" s="3">
        <f t="shared" si="1"/>
        <v>0</v>
      </c>
    </row>
    <row r="363">
      <c r="A363" s="10">
        <f>IFERROR(__xludf.DUMMYFUNCTION("""COMPUTED_VALUE"""),45206.0)</f>
        <v>45206</v>
      </c>
      <c r="B363" s="3" t="str">
        <f>IFERROR(__xludf.DUMMYFUNCTION("""COMPUTED_VALUE"""),"Jay Mair")</f>
        <v>Jay Mair</v>
      </c>
      <c r="C363" s="3">
        <f>IFERROR(__xludf.DUMMYFUNCTION("""COMPUTED_VALUE"""),2.0)</f>
        <v>2</v>
      </c>
      <c r="D363" s="3">
        <f t="shared" si="1"/>
        <v>0</v>
      </c>
    </row>
    <row r="364">
      <c r="A364" s="10">
        <f>IFERROR(__xludf.DUMMYFUNCTION("""COMPUTED_VALUE"""),45206.0)</f>
        <v>45206</v>
      </c>
      <c r="B364" s="3" t="str">
        <f>IFERROR(__xludf.DUMMYFUNCTION("""COMPUTED_VALUE"""),"Jayden Wong")</f>
        <v>Jayden Wong</v>
      </c>
      <c r="C364" s="3">
        <f>IFERROR(__xludf.DUMMYFUNCTION("""COMPUTED_VALUE"""),4.0)</f>
        <v>4</v>
      </c>
      <c r="D364" s="3">
        <f t="shared" si="1"/>
        <v>0</v>
      </c>
    </row>
    <row r="365">
      <c r="A365" s="10">
        <f>IFERROR(__xludf.DUMMYFUNCTION("""COMPUTED_VALUE"""),45206.0)</f>
        <v>45206</v>
      </c>
      <c r="B365" s="3" t="str">
        <f>IFERROR(__xludf.DUMMYFUNCTION("""COMPUTED_VALUE"""),"Joe Docherty")</f>
        <v>Joe Docherty</v>
      </c>
      <c r="C365" s="3">
        <f>IFERROR(__xludf.DUMMYFUNCTION("""COMPUTED_VALUE"""),1.0)</f>
        <v>1</v>
      </c>
      <c r="D365" s="3">
        <f t="shared" si="1"/>
        <v>0</v>
      </c>
    </row>
    <row r="366">
      <c r="A366" s="10">
        <f>IFERROR(__xludf.DUMMYFUNCTION("""COMPUTED_VALUE"""),45206.0)</f>
        <v>45206</v>
      </c>
      <c r="B366" s="3" t="str">
        <f>IFERROR(__xludf.DUMMYFUNCTION("""COMPUTED_VALUE"""),"Joe Vincent")</f>
        <v>Joe Vincent</v>
      </c>
      <c r="C366" s="3">
        <f>IFERROR(__xludf.DUMMYFUNCTION("""COMPUTED_VALUE"""),2.0)</f>
        <v>2</v>
      </c>
      <c r="D366" s="3">
        <f t="shared" si="1"/>
        <v>0</v>
      </c>
    </row>
    <row r="367">
      <c r="A367" s="10">
        <f>IFERROR(__xludf.DUMMYFUNCTION("""COMPUTED_VALUE"""),45206.0)</f>
        <v>45206</v>
      </c>
      <c r="B367" s="3" t="str">
        <f>IFERROR(__xludf.DUMMYFUNCTION("""COMPUTED_VALUE"""),"John Harrison")</f>
        <v>John Harrison</v>
      </c>
      <c r="C367" s="3">
        <f>IFERROR(__xludf.DUMMYFUNCTION("""COMPUTED_VALUE"""),7.0)</f>
        <v>7</v>
      </c>
      <c r="D367" s="3">
        <f t="shared" si="1"/>
        <v>0</v>
      </c>
    </row>
    <row r="368">
      <c r="A368" s="10">
        <f>IFERROR(__xludf.DUMMYFUNCTION("""COMPUTED_VALUE"""),45206.0)</f>
        <v>45206</v>
      </c>
      <c r="B368" s="3" t="str">
        <f>IFERROR(__xludf.DUMMYFUNCTION("""COMPUTED_VALUE"""),"Jonny Simmons")</f>
        <v>Jonny Simmons</v>
      </c>
      <c r="C368" s="3">
        <f>IFERROR(__xludf.DUMMYFUNCTION("""COMPUTED_VALUE"""),1.0)</f>
        <v>1</v>
      </c>
      <c r="D368" s="3">
        <f t="shared" si="1"/>
        <v>0</v>
      </c>
    </row>
    <row r="369">
      <c r="A369" s="10">
        <f>IFERROR(__xludf.DUMMYFUNCTION("""COMPUTED_VALUE"""),45206.0)</f>
        <v>45206</v>
      </c>
      <c r="B369" s="3" t="str">
        <f>IFERROR(__xludf.DUMMYFUNCTION("""COMPUTED_VALUE"""),"Joseph Smith")</f>
        <v>Joseph Smith</v>
      </c>
      <c r="C369" s="3">
        <f>IFERROR(__xludf.DUMMYFUNCTION("""COMPUTED_VALUE"""),1.0)</f>
        <v>1</v>
      </c>
      <c r="D369" s="3">
        <f t="shared" si="1"/>
        <v>0</v>
      </c>
    </row>
    <row r="370">
      <c r="A370" s="10">
        <f>IFERROR(__xludf.DUMMYFUNCTION("""COMPUTED_VALUE"""),45206.0)</f>
        <v>45206</v>
      </c>
      <c r="B370" s="3" t="str">
        <f>IFERROR(__xludf.DUMMYFUNCTION("""COMPUTED_VALUE"""),"Josh Billings")</f>
        <v>Josh Billings</v>
      </c>
      <c r="C370" s="3">
        <f>IFERROR(__xludf.DUMMYFUNCTION("""COMPUTED_VALUE"""),6.0)</f>
        <v>6</v>
      </c>
      <c r="D370" s="3">
        <f t="shared" si="1"/>
        <v>0</v>
      </c>
    </row>
    <row r="371">
      <c r="A371" s="10">
        <f>IFERROR(__xludf.DUMMYFUNCTION("""COMPUTED_VALUE"""),45206.0)</f>
        <v>45206</v>
      </c>
      <c r="B371" s="3" t="str">
        <f>IFERROR(__xludf.DUMMYFUNCTION("""COMPUTED_VALUE"""),"Josh Sherriff-Jolly")</f>
        <v>Josh Sherriff-Jolly</v>
      </c>
      <c r="C371" s="3">
        <f>IFERROR(__xludf.DUMMYFUNCTION("""COMPUTED_VALUE"""),6.0)</f>
        <v>6</v>
      </c>
      <c r="D371" s="3">
        <f t="shared" si="1"/>
        <v>0</v>
      </c>
    </row>
    <row r="372">
      <c r="A372" s="10">
        <f>IFERROR(__xludf.DUMMYFUNCTION("""COMPUTED_VALUE"""),45206.0)</f>
        <v>45206</v>
      </c>
      <c r="B372" s="3" t="str">
        <f>IFERROR(__xludf.DUMMYFUNCTION("""COMPUTED_VALUE"""),"Kevin Gonzalez")</f>
        <v>Kevin Gonzalez</v>
      </c>
      <c r="C372" s="3">
        <f>IFERROR(__xludf.DUMMYFUNCTION("""COMPUTED_VALUE"""),1.0)</f>
        <v>1</v>
      </c>
      <c r="D372" s="3">
        <f t="shared" si="1"/>
        <v>0</v>
      </c>
    </row>
    <row r="373">
      <c r="A373" s="10">
        <f>IFERROR(__xludf.DUMMYFUNCTION("""COMPUTED_VALUE"""),45206.0)</f>
        <v>45206</v>
      </c>
      <c r="B373" s="3" t="str">
        <f>IFERROR(__xludf.DUMMYFUNCTION("""COMPUTED_VALUE"""),"Lee Clark")</f>
        <v>Lee Clark</v>
      </c>
      <c r="C373" s="3">
        <f>IFERROR(__xludf.DUMMYFUNCTION("""COMPUTED_VALUE"""),1.0)</f>
        <v>1</v>
      </c>
      <c r="D373" s="3">
        <f t="shared" si="1"/>
        <v>0</v>
      </c>
    </row>
    <row r="374">
      <c r="A374" s="10">
        <f>IFERROR(__xludf.DUMMYFUNCTION("""COMPUTED_VALUE"""),45206.0)</f>
        <v>45206</v>
      </c>
      <c r="B374" s="3" t="str">
        <f>IFERROR(__xludf.DUMMYFUNCTION("""COMPUTED_VALUE"""),"Leuman Coronado")</f>
        <v>Leuman Coronado</v>
      </c>
      <c r="C374" s="3">
        <f>IFERROR(__xludf.DUMMYFUNCTION("""COMPUTED_VALUE"""),4.0)</f>
        <v>4</v>
      </c>
      <c r="D374" s="3">
        <f t="shared" si="1"/>
        <v>0</v>
      </c>
    </row>
    <row r="375">
      <c r="A375" s="10">
        <f>IFERROR(__xludf.DUMMYFUNCTION("""COMPUTED_VALUE"""),45206.0)</f>
        <v>45206</v>
      </c>
      <c r="B375" s="3" t="str">
        <f>IFERROR(__xludf.DUMMYFUNCTION("""COMPUTED_VALUE"""),"Martin Goodson")</f>
        <v>Martin Goodson</v>
      </c>
      <c r="C375" s="3">
        <f>IFERROR(__xludf.DUMMYFUNCTION("""COMPUTED_VALUE"""),1.0)</f>
        <v>1</v>
      </c>
      <c r="D375" s="3">
        <f t="shared" si="1"/>
        <v>0</v>
      </c>
    </row>
    <row r="376">
      <c r="A376" s="10">
        <f>IFERROR(__xludf.DUMMYFUNCTION("""COMPUTED_VALUE"""),45206.0)</f>
        <v>45206</v>
      </c>
      <c r="B376" s="3" t="str">
        <f>IFERROR(__xludf.DUMMYFUNCTION("""COMPUTED_VALUE"""),"Masood Hamidi")</f>
        <v>Masood Hamidi</v>
      </c>
      <c r="C376" s="3">
        <f>IFERROR(__xludf.DUMMYFUNCTION("""COMPUTED_VALUE"""),0.0)</f>
        <v>0</v>
      </c>
      <c r="D376" s="3">
        <f t="shared" si="1"/>
        <v>0</v>
      </c>
    </row>
    <row r="377">
      <c r="A377" s="10">
        <f>IFERROR(__xludf.DUMMYFUNCTION("""COMPUTED_VALUE"""),45206.0)</f>
        <v>45206</v>
      </c>
      <c r="B377" s="3" t="str">
        <f>IFERROR(__xludf.DUMMYFUNCTION("""COMPUTED_VALUE"""),"Matt Crowe")</f>
        <v>Matt Crowe</v>
      </c>
      <c r="C377" s="3">
        <f>IFERROR(__xludf.DUMMYFUNCTION("""COMPUTED_VALUE"""),1.0)</f>
        <v>1</v>
      </c>
      <c r="D377" s="3">
        <f t="shared" si="1"/>
        <v>0</v>
      </c>
    </row>
    <row r="378">
      <c r="A378" s="10">
        <f>IFERROR(__xludf.DUMMYFUNCTION("""COMPUTED_VALUE"""),45206.0)</f>
        <v>45206</v>
      </c>
      <c r="B378" s="3" t="str">
        <f>IFERROR(__xludf.DUMMYFUNCTION("""COMPUTED_VALUE"""),"Matt Hope")</f>
        <v>Matt Hope</v>
      </c>
      <c r="C378" s="3">
        <f>IFERROR(__xludf.DUMMYFUNCTION("""COMPUTED_VALUE"""),2.0)</f>
        <v>2</v>
      </c>
      <c r="D378" s="3">
        <f t="shared" si="1"/>
        <v>0</v>
      </c>
    </row>
    <row r="379">
      <c r="A379" s="10">
        <f>IFERROR(__xludf.DUMMYFUNCTION("""COMPUTED_VALUE"""),45206.0)</f>
        <v>45206</v>
      </c>
      <c r="B379" s="3" t="str">
        <f>IFERROR(__xludf.DUMMYFUNCTION("""COMPUTED_VALUE"""),"Matt Powell")</f>
        <v>Matt Powell</v>
      </c>
      <c r="C379" s="3">
        <f>IFERROR(__xludf.DUMMYFUNCTION("""COMPUTED_VALUE"""),2.0)</f>
        <v>2</v>
      </c>
      <c r="D379" s="3">
        <f t="shared" si="1"/>
        <v>0</v>
      </c>
    </row>
    <row r="380">
      <c r="A380" s="10">
        <f>IFERROR(__xludf.DUMMYFUNCTION("""COMPUTED_VALUE"""),45206.0)</f>
        <v>45206</v>
      </c>
      <c r="B380" s="3" t="str">
        <f>IFERROR(__xludf.DUMMYFUNCTION("""COMPUTED_VALUE"""),"Matt Price")</f>
        <v>Matt Price</v>
      </c>
      <c r="C380" s="3">
        <f>IFERROR(__xludf.DUMMYFUNCTION("""COMPUTED_VALUE"""),10.0)</f>
        <v>10</v>
      </c>
      <c r="D380" s="3">
        <f t="shared" si="1"/>
        <v>0</v>
      </c>
    </row>
    <row r="381">
      <c r="A381" s="10">
        <f>IFERROR(__xludf.DUMMYFUNCTION("""COMPUTED_VALUE"""),45206.0)</f>
        <v>45206</v>
      </c>
      <c r="B381" s="3" t="str">
        <f>IFERROR(__xludf.DUMMYFUNCTION("""COMPUTED_VALUE"""),"Max Watson")</f>
        <v>Max Watson</v>
      </c>
      <c r="C381" s="3">
        <f>IFERROR(__xludf.DUMMYFUNCTION("""COMPUTED_VALUE"""),1.0)</f>
        <v>1</v>
      </c>
      <c r="D381" s="3">
        <f t="shared" si="1"/>
        <v>0</v>
      </c>
    </row>
    <row r="382">
      <c r="A382" s="10">
        <f>IFERROR(__xludf.DUMMYFUNCTION("""COMPUTED_VALUE"""),45206.0)</f>
        <v>45206</v>
      </c>
      <c r="B382" s="3" t="str">
        <f>IFERROR(__xludf.DUMMYFUNCTION("""COMPUTED_VALUE"""),"Michael Dill")</f>
        <v>Michael Dill</v>
      </c>
      <c r="C382" s="3">
        <f>IFERROR(__xludf.DUMMYFUNCTION("""COMPUTED_VALUE"""),2.0)</f>
        <v>2</v>
      </c>
      <c r="D382" s="3">
        <f t="shared" si="1"/>
        <v>0</v>
      </c>
    </row>
    <row r="383">
      <c r="A383" s="10">
        <f>IFERROR(__xludf.DUMMYFUNCTION("""COMPUTED_VALUE"""),45206.0)</f>
        <v>45206</v>
      </c>
      <c r="B383" s="3" t="str">
        <f>IFERROR(__xludf.DUMMYFUNCTION("""COMPUTED_VALUE"""),"Nathan Baverstock")</f>
        <v>Nathan Baverstock</v>
      </c>
      <c r="C383" s="3">
        <f>IFERROR(__xludf.DUMMYFUNCTION("""COMPUTED_VALUE"""),7.0)</f>
        <v>7</v>
      </c>
      <c r="D383" s="3">
        <f t="shared" si="1"/>
        <v>0</v>
      </c>
    </row>
    <row r="384">
      <c r="A384" s="10">
        <f>IFERROR(__xludf.DUMMYFUNCTION("""COMPUTED_VALUE"""),45206.0)</f>
        <v>45206</v>
      </c>
      <c r="B384" s="3" t="str">
        <f>IFERROR(__xludf.DUMMYFUNCTION("""COMPUTED_VALUE"""),"Nima Naghdi")</f>
        <v>Nima Naghdi</v>
      </c>
      <c r="C384" s="3">
        <f>IFERROR(__xludf.DUMMYFUNCTION("""COMPUTED_VALUE"""),2.0)</f>
        <v>2</v>
      </c>
      <c r="D384" s="3">
        <f t="shared" si="1"/>
        <v>0</v>
      </c>
    </row>
    <row r="385">
      <c r="A385" s="10">
        <f>IFERROR(__xludf.DUMMYFUNCTION("""COMPUTED_VALUE"""),45206.0)</f>
        <v>45206</v>
      </c>
      <c r="B385" s="3" t="str">
        <f>IFERROR(__xludf.DUMMYFUNCTION("""COMPUTED_VALUE"""),"Oliver Golzari")</f>
        <v>Oliver Golzari</v>
      </c>
      <c r="C385" s="3">
        <f>IFERROR(__xludf.DUMMYFUNCTION("""COMPUTED_VALUE"""),6.0)</f>
        <v>6</v>
      </c>
      <c r="D385" s="3">
        <f t="shared" si="1"/>
        <v>0</v>
      </c>
    </row>
    <row r="386">
      <c r="A386" s="10">
        <f>IFERROR(__xludf.DUMMYFUNCTION("""COMPUTED_VALUE"""),45206.0)</f>
        <v>45206</v>
      </c>
      <c r="B386" s="3" t="str">
        <f>IFERROR(__xludf.DUMMYFUNCTION("""COMPUTED_VALUE"""),"Ollie Sewell")</f>
        <v>Ollie Sewell</v>
      </c>
      <c r="C386" s="3">
        <f>IFERROR(__xludf.DUMMYFUNCTION("""COMPUTED_VALUE"""),6.0)</f>
        <v>6</v>
      </c>
      <c r="D386" s="3">
        <f t="shared" si="1"/>
        <v>0</v>
      </c>
    </row>
    <row r="387">
      <c r="A387" s="10">
        <f>IFERROR(__xludf.DUMMYFUNCTION("""COMPUTED_VALUE"""),45206.0)</f>
        <v>45206</v>
      </c>
      <c r="B387" s="3" t="str">
        <f>IFERROR(__xludf.DUMMYFUNCTION("""COMPUTED_VALUE"""),"Parimal Patel")</f>
        <v>Parimal Patel</v>
      </c>
      <c r="C387" s="3">
        <f>IFERROR(__xludf.DUMMYFUNCTION("""COMPUTED_VALUE"""),1.0)</f>
        <v>1</v>
      </c>
      <c r="D387" s="3">
        <f t="shared" si="1"/>
        <v>0</v>
      </c>
    </row>
    <row r="388">
      <c r="A388" s="10">
        <f>IFERROR(__xludf.DUMMYFUNCTION("""COMPUTED_VALUE"""),45206.0)</f>
        <v>45206</v>
      </c>
      <c r="B388" s="3" t="str">
        <f>IFERROR(__xludf.DUMMYFUNCTION("""COMPUTED_VALUE"""),"Paul Ball")</f>
        <v>Paul Ball</v>
      </c>
      <c r="C388" s="3">
        <f>IFERROR(__xludf.DUMMYFUNCTION("""COMPUTED_VALUE"""),1.0)</f>
        <v>1</v>
      </c>
      <c r="D388" s="3">
        <f t="shared" si="1"/>
        <v>0</v>
      </c>
    </row>
    <row r="389">
      <c r="A389" s="10">
        <f>IFERROR(__xludf.DUMMYFUNCTION("""COMPUTED_VALUE"""),45206.0)</f>
        <v>45206</v>
      </c>
      <c r="B389" s="3" t="str">
        <f>IFERROR(__xludf.DUMMYFUNCTION("""COMPUTED_VALUE"""),"Paul Jalil")</f>
        <v>Paul Jalil</v>
      </c>
      <c r="C389" s="3">
        <f>IFERROR(__xludf.DUMMYFUNCTION("""COMPUTED_VALUE"""),5.0)</f>
        <v>5</v>
      </c>
      <c r="D389" s="3">
        <f t="shared" si="1"/>
        <v>0</v>
      </c>
    </row>
    <row r="390">
      <c r="A390" s="10">
        <f>IFERROR(__xludf.DUMMYFUNCTION("""COMPUTED_VALUE"""),45206.0)</f>
        <v>45206</v>
      </c>
      <c r="B390" s="3" t="str">
        <f>IFERROR(__xludf.DUMMYFUNCTION("""COMPUTED_VALUE"""),"Pearl Bakengela")</f>
        <v>Pearl Bakengela</v>
      </c>
      <c r="C390" s="3">
        <f>IFERROR(__xludf.DUMMYFUNCTION("""COMPUTED_VALUE"""),-3.0)</f>
        <v>-3</v>
      </c>
      <c r="D390" s="3">
        <f t="shared" si="1"/>
        <v>0</v>
      </c>
    </row>
    <row r="391">
      <c r="A391" s="10">
        <f>IFERROR(__xludf.DUMMYFUNCTION("""COMPUTED_VALUE"""),45206.0)</f>
        <v>45206</v>
      </c>
      <c r="B391" s="3" t="str">
        <f>IFERROR(__xludf.DUMMYFUNCTION("""COMPUTED_VALUE"""),"Peter Green")</f>
        <v>Peter Green</v>
      </c>
      <c r="C391" s="3">
        <f>IFERROR(__xludf.DUMMYFUNCTION("""COMPUTED_VALUE"""),8.0)</f>
        <v>8</v>
      </c>
      <c r="D391" s="3">
        <f t="shared" si="1"/>
        <v>0</v>
      </c>
    </row>
    <row r="392">
      <c r="A392" s="10">
        <f>IFERROR(__xludf.DUMMYFUNCTION("""COMPUTED_VALUE"""),45206.0)</f>
        <v>45206</v>
      </c>
      <c r="B392" s="3" t="str">
        <f>IFERROR(__xludf.DUMMYFUNCTION("""COMPUTED_VALUE"""),"Phil Boden")</f>
        <v>Phil Boden</v>
      </c>
      <c r="C392" s="3">
        <f>IFERROR(__xludf.DUMMYFUNCTION("""COMPUTED_VALUE"""),2.0)</f>
        <v>2</v>
      </c>
      <c r="D392" s="3">
        <f t="shared" si="1"/>
        <v>0</v>
      </c>
    </row>
    <row r="393">
      <c r="A393" s="10">
        <f>IFERROR(__xludf.DUMMYFUNCTION("""COMPUTED_VALUE"""),45206.0)</f>
        <v>45206</v>
      </c>
      <c r="B393" s="3" t="str">
        <f>IFERROR(__xludf.DUMMYFUNCTION("""COMPUTED_VALUE"""),"Rich Lundie")</f>
        <v>Rich Lundie</v>
      </c>
      <c r="C393" s="3">
        <f>IFERROR(__xludf.DUMMYFUNCTION("""COMPUTED_VALUE"""),1.0)</f>
        <v>1</v>
      </c>
      <c r="D393" s="3">
        <f t="shared" si="1"/>
        <v>0</v>
      </c>
    </row>
    <row r="394">
      <c r="A394" s="10">
        <f>IFERROR(__xludf.DUMMYFUNCTION("""COMPUTED_VALUE"""),45206.0)</f>
        <v>45206</v>
      </c>
      <c r="B394" s="3" t="str">
        <f>IFERROR(__xludf.DUMMYFUNCTION("""COMPUTED_VALUE"""),"Richard Jones")</f>
        <v>Richard Jones</v>
      </c>
      <c r="C394" s="3">
        <f>IFERROR(__xludf.DUMMYFUNCTION("""COMPUTED_VALUE"""),2.0)</f>
        <v>2</v>
      </c>
      <c r="D394" s="3">
        <f t="shared" si="1"/>
        <v>0</v>
      </c>
    </row>
    <row r="395">
      <c r="A395" s="10">
        <f>IFERROR(__xludf.DUMMYFUNCTION("""COMPUTED_VALUE"""),45206.0)</f>
        <v>45206</v>
      </c>
      <c r="B395" s="3" t="str">
        <f>IFERROR(__xludf.DUMMYFUNCTION("""COMPUTED_VALUE"""),"Sam A'Court")</f>
        <v>Sam A'Court</v>
      </c>
      <c r="C395" s="3">
        <f>IFERROR(__xludf.DUMMYFUNCTION("""COMPUTED_VALUE"""),2.0)</f>
        <v>2</v>
      </c>
      <c r="D395" s="3">
        <f t="shared" si="1"/>
        <v>0</v>
      </c>
    </row>
    <row r="396">
      <c r="A396" s="10">
        <f>IFERROR(__xludf.DUMMYFUNCTION("""COMPUTED_VALUE"""),45206.0)</f>
        <v>45206</v>
      </c>
      <c r="B396" s="3" t="str">
        <f>IFERROR(__xludf.DUMMYFUNCTION("""COMPUTED_VALUE"""),"Sean Rowlett")</f>
        <v>Sean Rowlett</v>
      </c>
      <c r="C396" s="3">
        <f>IFERROR(__xludf.DUMMYFUNCTION("""COMPUTED_VALUE"""),6.0)</f>
        <v>6</v>
      </c>
      <c r="D396" s="3">
        <f t="shared" si="1"/>
        <v>0</v>
      </c>
    </row>
    <row r="397">
      <c r="A397" s="10">
        <f>IFERROR(__xludf.DUMMYFUNCTION("""COMPUTED_VALUE"""),45206.0)</f>
        <v>45206</v>
      </c>
      <c r="B397" s="3" t="str">
        <f>IFERROR(__xludf.DUMMYFUNCTION("""COMPUTED_VALUE"""),"Sean Staunton")</f>
        <v>Sean Staunton</v>
      </c>
      <c r="C397" s="3">
        <f>IFERROR(__xludf.DUMMYFUNCTION("""COMPUTED_VALUE"""),8.0)</f>
        <v>8</v>
      </c>
      <c r="D397" s="3">
        <f t="shared" si="1"/>
        <v>0</v>
      </c>
    </row>
    <row r="398">
      <c r="A398" s="10">
        <f>IFERROR(__xludf.DUMMYFUNCTION("""COMPUTED_VALUE"""),45206.0)</f>
        <v>45206</v>
      </c>
      <c r="B398" s="3" t="str">
        <f>IFERROR(__xludf.DUMMYFUNCTION("""COMPUTED_VALUE"""),"Seb Curle")</f>
        <v>Seb Curle</v>
      </c>
      <c r="C398" s="3">
        <f>IFERROR(__xludf.DUMMYFUNCTION("""COMPUTED_VALUE"""),4.0)</f>
        <v>4</v>
      </c>
      <c r="D398" s="3">
        <f t="shared" si="1"/>
        <v>0</v>
      </c>
    </row>
    <row r="399">
      <c r="A399" s="10">
        <f>IFERROR(__xludf.DUMMYFUNCTION("""COMPUTED_VALUE"""),45206.0)</f>
        <v>45206</v>
      </c>
      <c r="B399" s="3" t="str">
        <f>IFERROR(__xludf.DUMMYFUNCTION("""COMPUTED_VALUE"""),"Shavon Muir")</f>
        <v>Shavon Muir</v>
      </c>
      <c r="C399" s="3">
        <f>IFERROR(__xludf.DUMMYFUNCTION("""COMPUTED_VALUE"""),2.0)</f>
        <v>2</v>
      </c>
      <c r="D399" s="3">
        <f t="shared" si="1"/>
        <v>0</v>
      </c>
    </row>
    <row r="400">
      <c r="A400" s="10">
        <f>IFERROR(__xludf.DUMMYFUNCTION("""COMPUTED_VALUE"""),45206.0)</f>
        <v>45206</v>
      </c>
      <c r="B400" s="3" t="str">
        <f>IFERROR(__xludf.DUMMYFUNCTION("""COMPUTED_VALUE"""),"Sidney Hopper-Kelly")</f>
        <v>Sidney Hopper-Kelly</v>
      </c>
      <c r="C400" s="3">
        <f>IFERROR(__xludf.DUMMYFUNCTION("""COMPUTED_VALUE"""),1.0)</f>
        <v>1</v>
      </c>
      <c r="D400" s="3">
        <f t="shared" si="1"/>
        <v>0</v>
      </c>
    </row>
    <row r="401">
      <c r="A401" s="10">
        <f>IFERROR(__xludf.DUMMYFUNCTION("""COMPUTED_VALUE"""),45206.0)</f>
        <v>45206</v>
      </c>
      <c r="B401" s="3" t="str">
        <f>IFERROR(__xludf.DUMMYFUNCTION("""COMPUTED_VALUE"""),"Stanley Timms")</f>
        <v>Stanley Timms</v>
      </c>
      <c r="C401" s="3">
        <f>IFERROR(__xludf.DUMMYFUNCTION("""COMPUTED_VALUE"""),2.0)</f>
        <v>2</v>
      </c>
      <c r="D401" s="3">
        <f t="shared" si="1"/>
        <v>0</v>
      </c>
    </row>
    <row r="402">
      <c r="A402" s="10">
        <f>IFERROR(__xludf.DUMMYFUNCTION("""COMPUTED_VALUE"""),45206.0)</f>
        <v>45206</v>
      </c>
      <c r="B402" s="3" t="str">
        <f>IFERROR(__xludf.DUMMYFUNCTION("""COMPUTED_VALUE"""),"Ste Calder")</f>
        <v>Ste Calder</v>
      </c>
      <c r="C402" s="3">
        <f>IFERROR(__xludf.DUMMYFUNCTION("""COMPUTED_VALUE"""),2.0)</f>
        <v>2</v>
      </c>
      <c r="D402" s="3">
        <f t="shared" si="1"/>
        <v>0</v>
      </c>
    </row>
    <row r="403">
      <c r="A403" s="10">
        <f>IFERROR(__xludf.DUMMYFUNCTION("""COMPUTED_VALUE"""),45206.0)</f>
        <v>45206</v>
      </c>
      <c r="B403" s="3" t="str">
        <f>IFERROR(__xludf.DUMMYFUNCTION("""COMPUTED_VALUE"""),"Steve Francis")</f>
        <v>Steve Francis</v>
      </c>
      <c r="C403" s="3">
        <f>IFERROR(__xludf.DUMMYFUNCTION("""COMPUTED_VALUE"""),2.0)</f>
        <v>2</v>
      </c>
      <c r="D403" s="3">
        <f t="shared" si="1"/>
        <v>0</v>
      </c>
    </row>
    <row r="404">
      <c r="A404" s="10">
        <f>IFERROR(__xludf.DUMMYFUNCTION("""COMPUTED_VALUE"""),45206.0)</f>
        <v>45206</v>
      </c>
      <c r="B404" s="3" t="str">
        <f>IFERROR(__xludf.DUMMYFUNCTION("""COMPUTED_VALUE"""),"Stu Jordan")</f>
        <v>Stu Jordan</v>
      </c>
      <c r="C404" s="3">
        <f>IFERROR(__xludf.DUMMYFUNCTION("""COMPUTED_VALUE"""),1.0)</f>
        <v>1</v>
      </c>
      <c r="D404" s="3">
        <f t="shared" si="1"/>
        <v>0</v>
      </c>
    </row>
    <row r="405">
      <c r="A405" s="10">
        <f>IFERROR(__xludf.DUMMYFUNCTION("""COMPUTED_VALUE"""),45206.0)</f>
        <v>45206</v>
      </c>
      <c r="B405" s="3" t="str">
        <f>IFERROR(__xludf.DUMMYFUNCTION("""COMPUTED_VALUE"""),"Tali Kiwanuka")</f>
        <v>Tali Kiwanuka</v>
      </c>
      <c r="C405" s="3">
        <f>IFERROR(__xludf.DUMMYFUNCTION("""COMPUTED_VALUE"""),2.0)</f>
        <v>2</v>
      </c>
      <c r="D405" s="3">
        <f t="shared" si="1"/>
        <v>0</v>
      </c>
    </row>
    <row r="406">
      <c r="A406" s="10">
        <f>IFERROR(__xludf.DUMMYFUNCTION("""COMPUTED_VALUE"""),45206.0)</f>
        <v>45206</v>
      </c>
      <c r="B406" s="3" t="str">
        <f>IFERROR(__xludf.DUMMYFUNCTION("""COMPUTED_VALUE"""),"Theo Horton")</f>
        <v>Theo Horton</v>
      </c>
      <c r="C406" s="3">
        <f>IFERROR(__xludf.DUMMYFUNCTION("""COMPUTED_VALUE"""),20.0)</f>
        <v>20</v>
      </c>
      <c r="D406" s="3">
        <f t="shared" si="1"/>
        <v>1</v>
      </c>
    </row>
    <row r="407">
      <c r="A407" s="10">
        <f>IFERROR(__xludf.DUMMYFUNCTION("""COMPUTED_VALUE"""),45206.0)</f>
        <v>45206</v>
      </c>
      <c r="B407" s="3" t="str">
        <f>IFERROR(__xludf.DUMMYFUNCTION("""COMPUTED_VALUE"""),"Tom Love")</f>
        <v>Tom Love</v>
      </c>
      <c r="C407" s="3">
        <f>IFERROR(__xludf.DUMMYFUNCTION("""COMPUTED_VALUE"""),2.0)</f>
        <v>2</v>
      </c>
      <c r="D407" s="3">
        <f t="shared" si="1"/>
        <v>0</v>
      </c>
    </row>
    <row r="408">
      <c r="A408" s="10">
        <f>IFERROR(__xludf.DUMMYFUNCTION("""COMPUTED_VALUE"""),45206.0)</f>
        <v>45206</v>
      </c>
      <c r="B408" s="3" t="str">
        <f>IFERROR(__xludf.DUMMYFUNCTION("""COMPUTED_VALUE"""),"Victor Lemmer")</f>
        <v>Victor Lemmer</v>
      </c>
      <c r="C408" s="3">
        <f>IFERROR(__xludf.DUMMYFUNCTION("""COMPUTED_VALUE"""),2.0)</f>
        <v>2</v>
      </c>
      <c r="D408" s="3">
        <f t="shared" si="1"/>
        <v>0</v>
      </c>
    </row>
    <row r="409">
      <c r="A409" s="10">
        <f>IFERROR(__xludf.DUMMYFUNCTION("""COMPUTED_VALUE"""),45206.0)</f>
        <v>45206</v>
      </c>
      <c r="B409" s="3" t="str">
        <f>IFERROR(__xludf.DUMMYFUNCTION("""COMPUTED_VALUE"""),"Will French")</f>
        <v>Will French</v>
      </c>
      <c r="C409" s="3">
        <f>IFERROR(__xludf.DUMMYFUNCTION("""COMPUTED_VALUE"""),6.0)</f>
        <v>6</v>
      </c>
      <c r="D409" s="3">
        <f t="shared" si="1"/>
        <v>0</v>
      </c>
    </row>
    <row r="410">
      <c r="A410" s="10">
        <f>IFERROR(__xludf.DUMMYFUNCTION("""COMPUTED_VALUE"""),45206.0)</f>
        <v>45206</v>
      </c>
      <c r="B410" s="3" t="str">
        <f>IFERROR(__xludf.DUMMYFUNCTION("""COMPUTED_VALUE"""),"Yemi Oviosu")</f>
        <v>Yemi Oviosu</v>
      </c>
      <c r="C410" s="3">
        <f>IFERROR(__xludf.DUMMYFUNCTION("""COMPUTED_VALUE"""),5.0)</f>
        <v>5</v>
      </c>
      <c r="D410" s="3">
        <f t="shared" si="1"/>
        <v>0</v>
      </c>
    </row>
    <row r="411">
      <c r="A411" s="10">
        <f>IFERROR(__xludf.DUMMYFUNCTION("""COMPUTED_VALUE"""),45213.0)</f>
        <v>45213</v>
      </c>
      <c r="B411" s="3" t="str">
        <f>IFERROR(__xludf.DUMMYFUNCTION("""COMPUTED_VALUE"""),"Adam Platten")</f>
        <v>Adam Platten</v>
      </c>
      <c r="C411" s="3">
        <f>IFERROR(__xludf.DUMMYFUNCTION("""COMPUTED_VALUE"""),13.0)</f>
        <v>13</v>
      </c>
      <c r="D411" s="3">
        <f t="shared" si="1"/>
        <v>0</v>
      </c>
    </row>
    <row r="412">
      <c r="A412" s="10">
        <f>IFERROR(__xludf.DUMMYFUNCTION("""COMPUTED_VALUE"""),45213.0)</f>
        <v>45213</v>
      </c>
      <c r="B412" s="3" t="str">
        <f>IFERROR(__xludf.DUMMYFUNCTION("""COMPUTED_VALUE"""),"Afnan Khan")</f>
        <v>Afnan Khan</v>
      </c>
      <c r="C412" s="3">
        <f>IFERROR(__xludf.DUMMYFUNCTION("""COMPUTED_VALUE"""),7.0)</f>
        <v>7</v>
      </c>
      <c r="D412" s="3">
        <f t="shared" si="1"/>
        <v>0</v>
      </c>
    </row>
    <row r="413">
      <c r="A413" s="10">
        <f>IFERROR(__xludf.DUMMYFUNCTION("""COMPUTED_VALUE"""),45213.0)</f>
        <v>45213</v>
      </c>
      <c r="B413" s="3" t="str">
        <f>IFERROR(__xludf.DUMMYFUNCTION("""COMPUTED_VALUE"""),"Alex Dockerill")</f>
        <v>Alex Dockerill</v>
      </c>
      <c r="C413" s="3">
        <f>IFERROR(__xludf.DUMMYFUNCTION("""COMPUTED_VALUE"""),2.0)</f>
        <v>2</v>
      </c>
      <c r="D413" s="3">
        <f t="shared" si="1"/>
        <v>0</v>
      </c>
    </row>
    <row r="414">
      <c r="A414" s="10">
        <f>IFERROR(__xludf.DUMMYFUNCTION("""COMPUTED_VALUE"""),45213.0)</f>
        <v>45213</v>
      </c>
      <c r="B414" s="3" t="str">
        <f>IFERROR(__xludf.DUMMYFUNCTION("""COMPUTED_VALUE"""),"Alex Mansfield")</f>
        <v>Alex Mansfield</v>
      </c>
      <c r="C414" s="3">
        <f>IFERROR(__xludf.DUMMYFUNCTION("""COMPUTED_VALUE"""),5.0)</f>
        <v>5</v>
      </c>
      <c r="D414" s="3">
        <f t="shared" si="1"/>
        <v>0</v>
      </c>
    </row>
    <row r="415">
      <c r="A415" s="10">
        <f>IFERROR(__xludf.DUMMYFUNCTION("""COMPUTED_VALUE"""),45213.0)</f>
        <v>45213</v>
      </c>
      <c r="B415" s="3" t="str">
        <f>IFERROR(__xludf.DUMMYFUNCTION("""COMPUTED_VALUE"""),"Alex Scott-Ruddock")</f>
        <v>Alex Scott-Ruddock</v>
      </c>
      <c r="C415" s="3">
        <f>IFERROR(__xludf.DUMMYFUNCTION("""COMPUTED_VALUE"""),6.0)</f>
        <v>6</v>
      </c>
      <c r="D415" s="3">
        <f t="shared" si="1"/>
        <v>0</v>
      </c>
    </row>
    <row r="416">
      <c r="A416" s="10">
        <f>IFERROR(__xludf.DUMMYFUNCTION("""COMPUTED_VALUE"""),45213.0)</f>
        <v>45213</v>
      </c>
      <c r="B416" s="3" t="str">
        <f>IFERROR(__xludf.DUMMYFUNCTION("""COMPUTED_VALUE"""),"Alex Stevens")</f>
        <v>Alex Stevens</v>
      </c>
      <c r="C416" s="3">
        <f>IFERROR(__xludf.DUMMYFUNCTION("""COMPUTED_VALUE"""),6.0)</f>
        <v>6</v>
      </c>
      <c r="D416" s="3">
        <f t="shared" si="1"/>
        <v>0</v>
      </c>
    </row>
    <row r="417">
      <c r="A417" s="10">
        <f>IFERROR(__xludf.DUMMYFUNCTION("""COMPUTED_VALUE"""),45213.0)</f>
        <v>45213</v>
      </c>
      <c r="B417" s="3" t="str">
        <f>IFERROR(__xludf.DUMMYFUNCTION("""COMPUTED_VALUE"""),"Andres Ahlgren")</f>
        <v>Andres Ahlgren</v>
      </c>
      <c r="C417" s="3">
        <f>IFERROR(__xludf.DUMMYFUNCTION("""COMPUTED_VALUE"""),5.0)</f>
        <v>5</v>
      </c>
      <c r="D417" s="3">
        <f t="shared" si="1"/>
        <v>0</v>
      </c>
    </row>
    <row r="418">
      <c r="A418" s="10">
        <f>IFERROR(__xludf.DUMMYFUNCTION("""COMPUTED_VALUE"""),45213.0)</f>
        <v>45213</v>
      </c>
      <c r="B418" s="3" t="str">
        <f>IFERROR(__xludf.DUMMYFUNCTION("""COMPUTED_VALUE"""),"Andrew Barclay")</f>
        <v>Andrew Barclay</v>
      </c>
      <c r="C418" s="3">
        <f>IFERROR(__xludf.DUMMYFUNCTION("""COMPUTED_VALUE"""),1.0)</f>
        <v>1</v>
      </c>
      <c r="D418" s="3">
        <f t="shared" si="1"/>
        <v>0</v>
      </c>
    </row>
    <row r="419">
      <c r="A419" s="10">
        <f>IFERROR(__xludf.DUMMYFUNCTION("""COMPUTED_VALUE"""),45213.0)</f>
        <v>45213</v>
      </c>
      <c r="B419" s="3" t="str">
        <f>IFERROR(__xludf.DUMMYFUNCTION("""COMPUTED_VALUE"""),"Anish Philips")</f>
        <v>Anish Philips</v>
      </c>
      <c r="C419" s="3">
        <f>IFERROR(__xludf.DUMMYFUNCTION("""COMPUTED_VALUE"""),2.0)</f>
        <v>2</v>
      </c>
      <c r="D419" s="3">
        <f t="shared" si="1"/>
        <v>0</v>
      </c>
    </row>
    <row r="420">
      <c r="A420" s="10">
        <f>IFERROR(__xludf.DUMMYFUNCTION("""COMPUTED_VALUE"""),45213.0)</f>
        <v>45213</v>
      </c>
      <c r="B420" s="3" t="str">
        <f>IFERROR(__xludf.DUMMYFUNCTION("""COMPUTED_VALUE"""),"Anthony Ball")</f>
        <v>Anthony Ball</v>
      </c>
      <c r="C420" s="3">
        <f>IFERROR(__xludf.DUMMYFUNCTION("""COMPUTED_VALUE"""),1.0)</f>
        <v>1</v>
      </c>
      <c r="D420" s="3">
        <f t="shared" si="1"/>
        <v>0</v>
      </c>
    </row>
    <row r="421">
      <c r="A421" s="10">
        <f>IFERROR(__xludf.DUMMYFUNCTION("""COMPUTED_VALUE"""),45213.0)</f>
        <v>45213</v>
      </c>
      <c r="B421" s="3" t="str">
        <f>IFERROR(__xludf.DUMMYFUNCTION("""COMPUTED_VALUE"""),"Ben Dockerill")</f>
        <v>Ben Dockerill</v>
      </c>
      <c r="C421" s="3">
        <f>IFERROR(__xludf.DUMMYFUNCTION("""COMPUTED_VALUE"""),5.0)</f>
        <v>5</v>
      </c>
      <c r="D421" s="3">
        <f t="shared" si="1"/>
        <v>0</v>
      </c>
    </row>
    <row r="422">
      <c r="A422" s="10">
        <f>IFERROR(__xludf.DUMMYFUNCTION("""COMPUTED_VALUE"""),45213.0)</f>
        <v>45213</v>
      </c>
      <c r="B422" s="3" t="str">
        <f>IFERROR(__xludf.DUMMYFUNCTION("""COMPUTED_VALUE"""),"Ben Himpe")</f>
        <v>Ben Himpe</v>
      </c>
      <c r="C422" s="3">
        <f>IFERROR(__xludf.DUMMYFUNCTION("""COMPUTED_VALUE"""),2.0)</f>
        <v>2</v>
      </c>
      <c r="D422" s="3">
        <f t="shared" si="1"/>
        <v>0</v>
      </c>
    </row>
    <row r="423">
      <c r="A423" s="10">
        <f>IFERROR(__xludf.DUMMYFUNCTION("""COMPUTED_VALUE"""),45213.0)</f>
        <v>45213</v>
      </c>
      <c r="B423" s="3" t="str">
        <f>IFERROR(__xludf.DUMMYFUNCTION("""COMPUTED_VALUE"""),"Billy Mclean")</f>
        <v>Billy Mclean</v>
      </c>
      <c r="C423" s="3">
        <f>IFERROR(__xludf.DUMMYFUNCTION("""COMPUTED_VALUE"""),2.0)</f>
        <v>2</v>
      </c>
      <c r="D423" s="3">
        <f t="shared" si="1"/>
        <v>0</v>
      </c>
    </row>
    <row r="424">
      <c r="A424" s="10">
        <f>IFERROR(__xludf.DUMMYFUNCTION("""COMPUTED_VALUE"""),45213.0)</f>
        <v>45213</v>
      </c>
      <c r="B424" s="3" t="str">
        <f>IFERROR(__xludf.DUMMYFUNCTION("""COMPUTED_VALUE"""),"Cameron Pashley")</f>
        <v>Cameron Pashley</v>
      </c>
      <c r="C424" s="3">
        <f>IFERROR(__xludf.DUMMYFUNCTION("""COMPUTED_VALUE"""),2.0)</f>
        <v>2</v>
      </c>
      <c r="D424" s="3">
        <f t="shared" si="1"/>
        <v>0</v>
      </c>
    </row>
    <row r="425">
      <c r="A425" s="10">
        <f>IFERROR(__xludf.DUMMYFUNCTION("""COMPUTED_VALUE"""),45213.0)</f>
        <v>45213</v>
      </c>
      <c r="B425" s="3" t="str">
        <f>IFERROR(__xludf.DUMMYFUNCTION("""COMPUTED_VALUE"""),"Cameron Ward")</f>
        <v>Cameron Ward</v>
      </c>
      <c r="C425" s="3">
        <f>IFERROR(__xludf.DUMMYFUNCTION("""COMPUTED_VALUE"""),2.0)</f>
        <v>2</v>
      </c>
      <c r="D425" s="3">
        <f t="shared" si="1"/>
        <v>0</v>
      </c>
    </row>
    <row r="426">
      <c r="A426" s="10">
        <f>IFERROR(__xludf.DUMMYFUNCTION("""COMPUTED_VALUE"""),45213.0)</f>
        <v>45213</v>
      </c>
      <c r="B426" s="3" t="str">
        <f>IFERROR(__xludf.DUMMYFUNCTION("""COMPUTED_VALUE"""),"Charlie Doe")</f>
        <v>Charlie Doe</v>
      </c>
      <c r="C426" s="3">
        <f>IFERROR(__xludf.DUMMYFUNCTION("""COMPUTED_VALUE"""),6.0)</f>
        <v>6</v>
      </c>
      <c r="D426" s="3">
        <f t="shared" si="1"/>
        <v>0</v>
      </c>
    </row>
    <row r="427">
      <c r="A427" s="10">
        <f>IFERROR(__xludf.DUMMYFUNCTION("""COMPUTED_VALUE"""),45213.0)</f>
        <v>45213</v>
      </c>
      <c r="B427" s="3" t="str">
        <f>IFERROR(__xludf.DUMMYFUNCTION("""COMPUTED_VALUE"""),"Charlie Heptinstall")</f>
        <v>Charlie Heptinstall</v>
      </c>
      <c r="C427" s="3">
        <f>IFERROR(__xludf.DUMMYFUNCTION("""COMPUTED_VALUE"""),1.0)</f>
        <v>1</v>
      </c>
      <c r="D427" s="3">
        <f t="shared" si="1"/>
        <v>0</v>
      </c>
    </row>
    <row r="428">
      <c r="A428" s="10">
        <f>IFERROR(__xludf.DUMMYFUNCTION("""COMPUTED_VALUE"""),45213.0)</f>
        <v>45213</v>
      </c>
      <c r="B428" s="3" t="str">
        <f>IFERROR(__xludf.DUMMYFUNCTION("""COMPUTED_VALUE"""),"Chris Claeys")</f>
        <v>Chris Claeys</v>
      </c>
      <c r="C428" s="3">
        <f>IFERROR(__xludf.DUMMYFUNCTION("""COMPUTED_VALUE"""),2.0)</f>
        <v>2</v>
      </c>
      <c r="D428" s="3">
        <f t="shared" si="1"/>
        <v>0</v>
      </c>
    </row>
    <row r="429">
      <c r="A429" s="10">
        <f>IFERROR(__xludf.DUMMYFUNCTION("""COMPUTED_VALUE"""),45213.0)</f>
        <v>45213</v>
      </c>
      <c r="B429" s="3" t="str">
        <f>IFERROR(__xludf.DUMMYFUNCTION("""COMPUTED_VALUE"""),"Christian King")</f>
        <v>Christian King</v>
      </c>
      <c r="C429" s="3">
        <f>IFERROR(__xludf.DUMMYFUNCTION("""COMPUTED_VALUE"""),2.0)</f>
        <v>2</v>
      </c>
      <c r="D429" s="3">
        <f t="shared" si="1"/>
        <v>0</v>
      </c>
    </row>
    <row r="430">
      <c r="A430" s="10">
        <f>IFERROR(__xludf.DUMMYFUNCTION("""COMPUTED_VALUE"""),45213.0)</f>
        <v>45213</v>
      </c>
      <c r="B430" s="3" t="str">
        <f>IFERROR(__xludf.DUMMYFUNCTION("""COMPUTED_VALUE"""),"Connor White")</f>
        <v>Connor White</v>
      </c>
      <c r="C430" s="3">
        <f>IFERROR(__xludf.DUMMYFUNCTION("""COMPUTED_VALUE"""),1.0)</f>
        <v>1</v>
      </c>
      <c r="D430" s="3">
        <f t="shared" si="1"/>
        <v>0</v>
      </c>
    </row>
    <row r="431">
      <c r="A431" s="10">
        <f>IFERROR(__xludf.DUMMYFUNCTION("""COMPUTED_VALUE"""),45213.0)</f>
        <v>45213</v>
      </c>
      <c r="B431" s="3" t="str">
        <f>IFERROR(__xludf.DUMMYFUNCTION("""COMPUTED_VALUE"""),"Dan Russell")</f>
        <v>Dan Russell</v>
      </c>
      <c r="C431" s="3">
        <f>IFERROR(__xludf.DUMMYFUNCTION("""COMPUTED_VALUE"""),2.0)</f>
        <v>2</v>
      </c>
      <c r="D431" s="3">
        <f t="shared" si="1"/>
        <v>0</v>
      </c>
    </row>
    <row r="432">
      <c r="A432" s="10">
        <f>IFERROR(__xludf.DUMMYFUNCTION("""COMPUTED_VALUE"""),45213.0)</f>
        <v>45213</v>
      </c>
      <c r="B432" s="3" t="str">
        <f>IFERROR(__xludf.DUMMYFUNCTION("""COMPUTED_VALUE"""),"David Holmes-White")</f>
        <v>David Holmes-White</v>
      </c>
      <c r="C432" s="3">
        <f>IFERROR(__xludf.DUMMYFUNCTION("""COMPUTED_VALUE"""),2.0)</f>
        <v>2</v>
      </c>
      <c r="D432" s="3">
        <f t="shared" si="1"/>
        <v>0</v>
      </c>
    </row>
    <row r="433">
      <c r="A433" s="10">
        <f>IFERROR(__xludf.DUMMYFUNCTION("""COMPUTED_VALUE"""),45213.0)</f>
        <v>45213</v>
      </c>
      <c r="B433" s="3" t="str">
        <f>IFERROR(__xludf.DUMMYFUNCTION("""COMPUTED_VALUE"""),"Deji Ogunyemi")</f>
        <v>Deji Ogunyemi</v>
      </c>
      <c r="C433" s="3">
        <f>IFERROR(__xludf.DUMMYFUNCTION("""COMPUTED_VALUE"""),11.0)</f>
        <v>11</v>
      </c>
      <c r="D433" s="3">
        <f t="shared" si="1"/>
        <v>0</v>
      </c>
    </row>
    <row r="434">
      <c r="A434" s="10">
        <f>IFERROR(__xludf.DUMMYFUNCTION("""COMPUTED_VALUE"""),45213.0)</f>
        <v>45213</v>
      </c>
      <c r="B434" s="3" t="str">
        <f>IFERROR(__xludf.DUMMYFUNCTION("""COMPUTED_VALUE"""),"Denver Lalonde")</f>
        <v>Denver Lalonde</v>
      </c>
      <c r="C434" s="3">
        <f>IFERROR(__xludf.DUMMYFUNCTION("""COMPUTED_VALUE"""),4.0)</f>
        <v>4</v>
      </c>
      <c r="D434" s="3">
        <f t="shared" si="1"/>
        <v>0</v>
      </c>
    </row>
    <row r="435">
      <c r="A435" s="10">
        <f>IFERROR(__xludf.DUMMYFUNCTION("""COMPUTED_VALUE"""),45213.0)</f>
        <v>45213</v>
      </c>
      <c r="B435" s="3" t="str">
        <f>IFERROR(__xludf.DUMMYFUNCTION("""COMPUTED_VALUE"""),"Ed Wightman")</f>
        <v>Ed Wightman</v>
      </c>
      <c r="C435" s="3">
        <f>IFERROR(__xludf.DUMMYFUNCTION("""COMPUTED_VALUE"""),2.0)</f>
        <v>2</v>
      </c>
      <c r="D435" s="3">
        <f t="shared" si="1"/>
        <v>0</v>
      </c>
    </row>
    <row r="436">
      <c r="A436" s="10">
        <f>IFERROR(__xludf.DUMMYFUNCTION("""COMPUTED_VALUE"""),45213.0)</f>
        <v>45213</v>
      </c>
      <c r="B436" s="3" t="str">
        <f>IFERROR(__xludf.DUMMYFUNCTION("""COMPUTED_VALUE"""),"Ellis Forrester")</f>
        <v>Ellis Forrester</v>
      </c>
      <c r="C436" s="3">
        <f>IFERROR(__xludf.DUMMYFUNCTION("""COMPUTED_VALUE"""),1.0)</f>
        <v>1</v>
      </c>
      <c r="D436" s="3">
        <f t="shared" si="1"/>
        <v>0</v>
      </c>
    </row>
    <row r="437">
      <c r="A437" s="10">
        <f>IFERROR(__xludf.DUMMYFUNCTION("""COMPUTED_VALUE"""),45213.0)</f>
        <v>45213</v>
      </c>
      <c r="B437" s="3" t="str">
        <f>IFERROR(__xludf.DUMMYFUNCTION("""COMPUTED_VALUE"""),"Emi Muhadri")</f>
        <v>Emi Muhadri</v>
      </c>
      <c r="C437" s="3">
        <f>IFERROR(__xludf.DUMMYFUNCTION("""COMPUTED_VALUE"""),3.0)</f>
        <v>3</v>
      </c>
      <c r="D437" s="3">
        <f t="shared" si="1"/>
        <v>0</v>
      </c>
    </row>
    <row r="438">
      <c r="A438" s="10">
        <f>IFERROR(__xludf.DUMMYFUNCTION("""COMPUTED_VALUE"""),45213.0)</f>
        <v>45213</v>
      </c>
      <c r="B438" s="3" t="str">
        <f>IFERROR(__xludf.DUMMYFUNCTION("""COMPUTED_VALUE"""),"Finn Coolen")</f>
        <v>Finn Coolen</v>
      </c>
      <c r="C438" s="3">
        <f>IFERROR(__xludf.DUMMYFUNCTION("""COMPUTED_VALUE"""),2.0)</f>
        <v>2</v>
      </c>
      <c r="D438" s="3">
        <f t="shared" si="1"/>
        <v>0</v>
      </c>
    </row>
    <row r="439">
      <c r="A439" s="10">
        <f>IFERROR(__xludf.DUMMYFUNCTION("""COMPUTED_VALUE"""),45213.0)</f>
        <v>45213</v>
      </c>
      <c r="B439" s="3" t="str">
        <f>IFERROR(__xludf.DUMMYFUNCTION("""COMPUTED_VALUE"""),"Gaz Wheldale")</f>
        <v>Gaz Wheldale</v>
      </c>
      <c r="C439" s="3">
        <f>IFERROR(__xludf.DUMMYFUNCTION("""COMPUTED_VALUE"""),1.0)</f>
        <v>1</v>
      </c>
      <c r="D439" s="3">
        <f t="shared" si="1"/>
        <v>0</v>
      </c>
    </row>
    <row r="440">
      <c r="A440" s="10">
        <f>IFERROR(__xludf.DUMMYFUNCTION("""COMPUTED_VALUE"""),45213.0)</f>
        <v>45213</v>
      </c>
      <c r="B440" s="3" t="str">
        <f>IFERROR(__xludf.DUMMYFUNCTION("""COMPUTED_VALUE"""),"George Connolly")</f>
        <v>George Connolly</v>
      </c>
      <c r="C440" s="3">
        <f>IFERROR(__xludf.DUMMYFUNCTION("""COMPUTED_VALUE"""),15.0)</f>
        <v>15</v>
      </c>
      <c r="D440" s="3">
        <f t="shared" si="1"/>
        <v>0</v>
      </c>
    </row>
    <row r="441">
      <c r="A441" s="10">
        <f>IFERROR(__xludf.DUMMYFUNCTION("""COMPUTED_VALUE"""),45213.0)</f>
        <v>45213</v>
      </c>
      <c r="B441" s="3" t="str">
        <f>IFERROR(__xludf.DUMMYFUNCTION("""COMPUTED_VALUE"""),"George Havord")</f>
        <v>George Havord</v>
      </c>
      <c r="C441" s="3">
        <f>IFERROR(__xludf.DUMMYFUNCTION("""COMPUTED_VALUE"""),2.0)</f>
        <v>2</v>
      </c>
      <c r="D441" s="3">
        <f t="shared" si="1"/>
        <v>0</v>
      </c>
    </row>
    <row r="442">
      <c r="A442" s="10">
        <f>IFERROR(__xludf.DUMMYFUNCTION("""COMPUTED_VALUE"""),45213.0)</f>
        <v>45213</v>
      </c>
      <c r="B442" s="3" t="str">
        <f>IFERROR(__xludf.DUMMYFUNCTION("""COMPUTED_VALUE"""),"Harold Kiyingi")</f>
        <v>Harold Kiyingi</v>
      </c>
      <c r="C442" s="3">
        <f>IFERROR(__xludf.DUMMYFUNCTION("""COMPUTED_VALUE"""),2.0)</f>
        <v>2</v>
      </c>
      <c r="D442" s="3">
        <f t="shared" si="1"/>
        <v>0</v>
      </c>
    </row>
    <row r="443">
      <c r="A443" s="10">
        <f>IFERROR(__xludf.DUMMYFUNCTION("""COMPUTED_VALUE"""),45213.0)</f>
        <v>45213</v>
      </c>
      <c r="B443" s="3" t="str">
        <f>IFERROR(__xludf.DUMMYFUNCTION("""COMPUTED_VALUE"""),"Harry Fripp")</f>
        <v>Harry Fripp</v>
      </c>
      <c r="C443" s="3">
        <f>IFERROR(__xludf.DUMMYFUNCTION("""COMPUTED_VALUE"""),8.0)</f>
        <v>8</v>
      </c>
      <c r="D443" s="3">
        <f t="shared" si="1"/>
        <v>0</v>
      </c>
    </row>
    <row r="444">
      <c r="A444" s="10">
        <f>IFERROR(__xludf.DUMMYFUNCTION("""COMPUTED_VALUE"""),45213.0)</f>
        <v>45213</v>
      </c>
      <c r="B444" s="3" t="str">
        <f>IFERROR(__xludf.DUMMYFUNCTION("""COMPUTED_VALUE"""),"Isaac Adepegba")</f>
        <v>Isaac Adepegba</v>
      </c>
      <c r="C444" s="3">
        <f>IFERROR(__xludf.DUMMYFUNCTION("""COMPUTED_VALUE"""),2.0)</f>
        <v>2</v>
      </c>
      <c r="D444" s="3">
        <f t="shared" si="1"/>
        <v>0</v>
      </c>
    </row>
    <row r="445">
      <c r="A445" s="10">
        <f>IFERROR(__xludf.DUMMYFUNCTION("""COMPUTED_VALUE"""),45213.0)</f>
        <v>45213</v>
      </c>
      <c r="B445" s="3" t="str">
        <f>IFERROR(__xludf.DUMMYFUNCTION("""COMPUTED_VALUE"""),"Ismail Wall")</f>
        <v>Ismail Wall</v>
      </c>
      <c r="C445" s="3">
        <f>IFERROR(__xludf.DUMMYFUNCTION("""COMPUTED_VALUE"""),1.0)</f>
        <v>1</v>
      </c>
      <c r="D445" s="3">
        <f t="shared" si="1"/>
        <v>0</v>
      </c>
    </row>
    <row r="446">
      <c r="A446" s="10">
        <f>IFERROR(__xludf.DUMMYFUNCTION("""COMPUTED_VALUE"""),45213.0)</f>
        <v>45213</v>
      </c>
      <c r="B446" s="3" t="str">
        <f>IFERROR(__xludf.DUMMYFUNCTION("""COMPUTED_VALUE"""),"Jack Harris")</f>
        <v>Jack Harris</v>
      </c>
      <c r="C446" s="3">
        <f>IFERROR(__xludf.DUMMYFUNCTION("""COMPUTED_VALUE"""),1.0)</f>
        <v>1</v>
      </c>
      <c r="D446" s="3">
        <f t="shared" si="1"/>
        <v>0</v>
      </c>
    </row>
    <row r="447">
      <c r="A447" s="10">
        <f>IFERROR(__xludf.DUMMYFUNCTION("""COMPUTED_VALUE"""),45213.0)</f>
        <v>45213</v>
      </c>
      <c r="B447" s="3" t="str">
        <f>IFERROR(__xludf.DUMMYFUNCTION("""COMPUTED_VALUE"""),"Jack Hind")</f>
        <v>Jack Hind</v>
      </c>
      <c r="C447" s="3">
        <f>IFERROR(__xludf.DUMMYFUNCTION("""COMPUTED_VALUE"""),6.0)</f>
        <v>6</v>
      </c>
      <c r="D447" s="3">
        <f t="shared" si="1"/>
        <v>0</v>
      </c>
    </row>
    <row r="448">
      <c r="A448" s="10">
        <f>IFERROR(__xludf.DUMMYFUNCTION("""COMPUTED_VALUE"""),45213.0)</f>
        <v>45213</v>
      </c>
      <c r="B448" s="3" t="str">
        <f>IFERROR(__xludf.DUMMYFUNCTION("""COMPUTED_VALUE"""),"Jamie Wood")</f>
        <v>Jamie Wood</v>
      </c>
      <c r="C448" s="3">
        <f>IFERROR(__xludf.DUMMYFUNCTION("""COMPUTED_VALUE"""),8.0)</f>
        <v>8</v>
      </c>
      <c r="D448" s="3">
        <f t="shared" si="1"/>
        <v>0</v>
      </c>
    </row>
    <row r="449">
      <c r="A449" s="10">
        <f>IFERROR(__xludf.DUMMYFUNCTION("""COMPUTED_VALUE"""),45213.0)</f>
        <v>45213</v>
      </c>
      <c r="B449" s="3" t="str">
        <f>IFERROR(__xludf.DUMMYFUNCTION("""COMPUTED_VALUE"""),"Janam Satra")</f>
        <v>Janam Satra</v>
      </c>
      <c r="C449" s="3">
        <f>IFERROR(__xludf.DUMMYFUNCTION("""COMPUTED_VALUE"""),2.0)</f>
        <v>2</v>
      </c>
      <c r="D449" s="3">
        <f t="shared" si="1"/>
        <v>0</v>
      </c>
    </row>
    <row r="450">
      <c r="A450" s="10">
        <f>IFERROR(__xludf.DUMMYFUNCTION("""COMPUTED_VALUE"""),45213.0)</f>
        <v>45213</v>
      </c>
      <c r="B450" s="3" t="str">
        <f>IFERROR(__xludf.DUMMYFUNCTION("""COMPUTED_VALUE"""),"Jarvis Cheek")</f>
        <v>Jarvis Cheek</v>
      </c>
      <c r="C450" s="3">
        <f>IFERROR(__xludf.DUMMYFUNCTION("""COMPUTED_VALUE"""),20.0)</f>
        <v>20</v>
      </c>
      <c r="D450" s="3">
        <f t="shared" si="1"/>
        <v>1</v>
      </c>
    </row>
    <row r="451">
      <c r="A451" s="10">
        <f>IFERROR(__xludf.DUMMYFUNCTION("""COMPUTED_VALUE"""),45213.0)</f>
        <v>45213</v>
      </c>
      <c r="B451" s="3" t="str">
        <f>IFERROR(__xludf.DUMMYFUNCTION("""COMPUTED_VALUE"""),"Jason Heath")</f>
        <v>Jason Heath</v>
      </c>
      <c r="C451" s="3">
        <f>IFERROR(__xludf.DUMMYFUNCTION("""COMPUTED_VALUE"""),1.0)</f>
        <v>1</v>
      </c>
      <c r="D451" s="3">
        <f t="shared" si="1"/>
        <v>0</v>
      </c>
    </row>
    <row r="452">
      <c r="A452" s="10">
        <f>IFERROR(__xludf.DUMMYFUNCTION("""COMPUTED_VALUE"""),45213.0)</f>
        <v>45213</v>
      </c>
      <c r="B452" s="3" t="str">
        <f>IFERROR(__xludf.DUMMYFUNCTION("""COMPUTED_VALUE"""),"Jay Mair")</f>
        <v>Jay Mair</v>
      </c>
      <c r="C452" s="3">
        <f>IFERROR(__xludf.DUMMYFUNCTION("""COMPUTED_VALUE"""),2.0)</f>
        <v>2</v>
      </c>
      <c r="D452" s="3">
        <f t="shared" si="1"/>
        <v>0</v>
      </c>
    </row>
    <row r="453">
      <c r="A453" s="10">
        <f>IFERROR(__xludf.DUMMYFUNCTION("""COMPUTED_VALUE"""),45213.0)</f>
        <v>45213</v>
      </c>
      <c r="B453" s="3" t="str">
        <f>IFERROR(__xludf.DUMMYFUNCTION("""COMPUTED_VALUE"""),"Jed Evamy")</f>
        <v>Jed Evamy</v>
      </c>
      <c r="C453" s="3">
        <f>IFERROR(__xludf.DUMMYFUNCTION("""COMPUTED_VALUE"""),2.0)</f>
        <v>2</v>
      </c>
      <c r="D453" s="3">
        <f t="shared" si="1"/>
        <v>0</v>
      </c>
    </row>
    <row r="454">
      <c r="A454" s="10">
        <f>IFERROR(__xludf.DUMMYFUNCTION("""COMPUTED_VALUE"""),45213.0)</f>
        <v>45213</v>
      </c>
      <c r="B454" s="3" t="str">
        <f>IFERROR(__xludf.DUMMYFUNCTION("""COMPUTED_VALUE"""),"Jerome Goncalves")</f>
        <v>Jerome Goncalves</v>
      </c>
      <c r="C454" s="3">
        <f>IFERROR(__xludf.DUMMYFUNCTION("""COMPUTED_VALUE"""),2.0)</f>
        <v>2</v>
      </c>
      <c r="D454" s="3">
        <f t="shared" si="1"/>
        <v>0</v>
      </c>
    </row>
    <row r="455">
      <c r="A455" s="10">
        <f>IFERROR(__xludf.DUMMYFUNCTION("""COMPUTED_VALUE"""),45213.0)</f>
        <v>45213</v>
      </c>
      <c r="B455" s="3" t="str">
        <f>IFERROR(__xludf.DUMMYFUNCTION("""COMPUTED_VALUE"""),"Joe Docherty")</f>
        <v>Joe Docherty</v>
      </c>
      <c r="C455" s="3">
        <f>IFERROR(__xludf.DUMMYFUNCTION("""COMPUTED_VALUE"""),6.0)</f>
        <v>6</v>
      </c>
      <c r="D455" s="3">
        <f t="shared" si="1"/>
        <v>0</v>
      </c>
    </row>
    <row r="456">
      <c r="A456" s="10">
        <f>IFERROR(__xludf.DUMMYFUNCTION("""COMPUTED_VALUE"""),45213.0)</f>
        <v>45213</v>
      </c>
      <c r="B456" s="3" t="str">
        <f>IFERROR(__xludf.DUMMYFUNCTION("""COMPUTED_VALUE"""),"Joe France")</f>
        <v>Joe France</v>
      </c>
      <c r="C456" s="3">
        <f>IFERROR(__xludf.DUMMYFUNCTION("""COMPUTED_VALUE"""),1.0)</f>
        <v>1</v>
      </c>
      <c r="D456" s="3">
        <f t="shared" si="1"/>
        <v>0</v>
      </c>
    </row>
    <row r="457">
      <c r="A457" s="10">
        <f>IFERROR(__xludf.DUMMYFUNCTION("""COMPUTED_VALUE"""),45213.0)</f>
        <v>45213</v>
      </c>
      <c r="B457" s="3" t="str">
        <f>IFERROR(__xludf.DUMMYFUNCTION("""COMPUTED_VALUE"""),"John Harrison")</f>
        <v>John Harrison</v>
      </c>
      <c r="C457" s="3">
        <f>IFERROR(__xludf.DUMMYFUNCTION("""COMPUTED_VALUE"""),2.0)</f>
        <v>2</v>
      </c>
      <c r="D457" s="3">
        <f t="shared" si="1"/>
        <v>0</v>
      </c>
    </row>
    <row r="458">
      <c r="A458" s="10">
        <f>IFERROR(__xludf.DUMMYFUNCTION("""COMPUTED_VALUE"""),45213.0)</f>
        <v>45213</v>
      </c>
      <c r="B458" s="3" t="str">
        <f>IFERROR(__xludf.DUMMYFUNCTION("""COMPUTED_VALUE"""),"Josh Billings")</f>
        <v>Josh Billings</v>
      </c>
      <c r="C458" s="3">
        <f>IFERROR(__xludf.DUMMYFUNCTION("""COMPUTED_VALUE"""),10.0)</f>
        <v>10</v>
      </c>
      <c r="D458" s="3">
        <f t="shared" si="1"/>
        <v>0</v>
      </c>
    </row>
    <row r="459">
      <c r="A459" s="10">
        <f>IFERROR(__xludf.DUMMYFUNCTION("""COMPUTED_VALUE"""),45213.0)</f>
        <v>45213</v>
      </c>
      <c r="B459" s="3" t="str">
        <f>IFERROR(__xludf.DUMMYFUNCTION("""COMPUTED_VALUE"""),"Keaton Cohen")</f>
        <v>Keaton Cohen</v>
      </c>
      <c r="C459" s="3">
        <f>IFERROR(__xludf.DUMMYFUNCTION("""COMPUTED_VALUE"""),7.0)</f>
        <v>7</v>
      </c>
      <c r="D459" s="3">
        <f t="shared" si="1"/>
        <v>0</v>
      </c>
    </row>
    <row r="460">
      <c r="A460" s="10">
        <f>IFERROR(__xludf.DUMMYFUNCTION("""COMPUTED_VALUE"""),45213.0)</f>
        <v>45213</v>
      </c>
      <c r="B460" s="3" t="str">
        <f>IFERROR(__xludf.DUMMYFUNCTION("""COMPUTED_VALUE"""),"Kevin Gonzalez")</f>
        <v>Kevin Gonzalez</v>
      </c>
      <c r="C460" s="3">
        <f>IFERROR(__xludf.DUMMYFUNCTION("""COMPUTED_VALUE"""),0.0)</f>
        <v>0</v>
      </c>
      <c r="D460" s="3">
        <f t="shared" si="1"/>
        <v>0</v>
      </c>
    </row>
    <row r="461">
      <c r="A461" s="10">
        <f>IFERROR(__xludf.DUMMYFUNCTION("""COMPUTED_VALUE"""),45213.0)</f>
        <v>45213</v>
      </c>
      <c r="B461" s="3" t="str">
        <f>IFERROR(__xludf.DUMMYFUNCTION("""COMPUTED_VALUE"""),"Lee Clark")</f>
        <v>Lee Clark</v>
      </c>
      <c r="C461" s="3">
        <f>IFERROR(__xludf.DUMMYFUNCTION("""COMPUTED_VALUE"""),-2.0)</f>
        <v>-2</v>
      </c>
      <c r="D461" s="3">
        <f t="shared" si="1"/>
        <v>0</v>
      </c>
    </row>
    <row r="462">
      <c r="A462" s="10">
        <f>IFERROR(__xludf.DUMMYFUNCTION("""COMPUTED_VALUE"""),45213.0)</f>
        <v>45213</v>
      </c>
      <c r="B462" s="3" t="str">
        <f>IFERROR(__xludf.DUMMYFUNCTION("""COMPUTED_VALUE"""),"Leuman Coronado")</f>
        <v>Leuman Coronado</v>
      </c>
      <c r="C462" s="3">
        <f>IFERROR(__xludf.DUMMYFUNCTION("""COMPUTED_VALUE"""),7.0)</f>
        <v>7</v>
      </c>
      <c r="D462" s="3">
        <f t="shared" si="1"/>
        <v>0</v>
      </c>
    </row>
    <row r="463">
      <c r="A463" s="10">
        <f>IFERROR(__xludf.DUMMYFUNCTION("""COMPUTED_VALUE"""),45213.0)</f>
        <v>45213</v>
      </c>
      <c r="B463" s="3" t="str">
        <f>IFERROR(__xludf.DUMMYFUNCTION("""COMPUTED_VALUE"""),"Luke Dyges")</f>
        <v>Luke Dyges</v>
      </c>
      <c r="C463" s="3">
        <f>IFERROR(__xludf.DUMMYFUNCTION("""COMPUTED_VALUE"""),13.0)</f>
        <v>13</v>
      </c>
      <c r="D463" s="3">
        <f t="shared" si="1"/>
        <v>0</v>
      </c>
    </row>
    <row r="464">
      <c r="A464" s="10">
        <f>IFERROR(__xludf.DUMMYFUNCTION("""COMPUTED_VALUE"""),45213.0)</f>
        <v>45213</v>
      </c>
      <c r="B464" s="3" t="str">
        <f>IFERROR(__xludf.DUMMYFUNCTION("""COMPUTED_VALUE"""),"Mark Roberts")</f>
        <v>Mark Roberts</v>
      </c>
      <c r="C464" s="3">
        <f>IFERROR(__xludf.DUMMYFUNCTION("""COMPUTED_VALUE"""),4.0)</f>
        <v>4</v>
      </c>
      <c r="D464" s="3">
        <f t="shared" si="1"/>
        <v>0</v>
      </c>
    </row>
    <row r="465">
      <c r="A465" s="10">
        <f>IFERROR(__xludf.DUMMYFUNCTION("""COMPUTED_VALUE"""),45213.0)</f>
        <v>45213</v>
      </c>
      <c r="B465" s="3" t="str">
        <f>IFERROR(__xludf.DUMMYFUNCTION("""COMPUTED_VALUE"""),"Martin Goodson")</f>
        <v>Martin Goodson</v>
      </c>
      <c r="C465" s="3">
        <f>IFERROR(__xludf.DUMMYFUNCTION("""COMPUTED_VALUE"""),1.0)</f>
        <v>1</v>
      </c>
      <c r="D465" s="3">
        <f t="shared" si="1"/>
        <v>0</v>
      </c>
    </row>
    <row r="466">
      <c r="A466" s="10">
        <f>IFERROR(__xludf.DUMMYFUNCTION("""COMPUTED_VALUE"""),45213.0)</f>
        <v>45213</v>
      </c>
      <c r="B466" s="3" t="str">
        <f>IFERROR(__xludf.DUMMYFUNCTION("""COMPUTED_VALUE"""),"Masood Hamidi")</f>
        <v>Masood Hamidi</v>
      </c>
      <c r="C466" s="3">
        <f>IFERROR(__xludf.DUMMYFUNCTION("""COMPUTED_VALUE"""),2.0)</f>
        <v>2</v>
      </c>
      <c r="D466" s="3">
        <f t="shared" si="1"/>
        <v>0</v>
      </c>
    </row>
    <row r="467">
      <c r="A467" s="10">
        <f>IFERROR(__xludf.DUMMYFUNCTION("""COMPUTED_VALUE"""),45213.0)</f>
        <v>45213</v>
      </c>
      <c r="B467" s="3" t="str">
        <f>IFERROR(__xludf.DUMMYFUNCTION("""COMPUTED_VALUE"""),"Matt Crowe")</f>
        <v>Matt Crowe</v>
      </c>
      <c r="C467" s="3">
        <f>IFERROR(__xludf.DUMMYFUNCTION("""COMPUTED_VALUE"""),2.0)</f>
        <v>2</v>
      </c>
      <c r="D467" s="3">
        <f t="shared" si="1"/>
        <v>0</v>
      </c>
    </row>
    <row r="468">
      <c r="A468" s="10">
        <f>IFERROR(__xludf.DUMMYFUNCTION("""COMPUTED_VALUE"""),45213.0)</f>
        <v>45213</v>
      </c>
      <c r="B468" s="3" t="str">
        <f>IFERROR(__xludf.DUMMYFUNCTION("""COMPUTED_VALUE"""),"Matt Hope")</f>
        <v>Matt Hope</v>
      </c>
      <c r="C468" s="3">
        <f>IFERROR(__xludf.DUMMYFUNCTION("""COMPUTED_VALUE"""),5.0)</f>
        <v>5</v>
      </c>
      <c r="D468" s="3">
        <f t="shared" si="1"/>
        <v>0</v>
      </c>
    </row>
    <row r="469">
      <c r="A469" s="10">
        <f>IFERROR(__xludf.DUMMYFUNCTION("""COMPUTED_VALUE"""),45213.0)</f>
        <v>45213</v>
      </c>
      <c r="B469" s="3" t="str">
        <f>IFERROR(__xludf.DUMMYFUNCTION("""COMPUTED_VALUE"""),"Max Miles")</f>
        <v>Max Miles</v>
      </c>
      <c r="C469" s="3">
        <f>IFERROR(__xludf.DUMMYFUNCTION("""COMPUTED_VALUE"""),2.0)</f>
        <v>2</v>
      </c>
      <c r="D469" s="3">
        <f t="shared" si="1"/>
        <v>0</v>
      </c>
    </row>
    <row r="470">
      <c r="A470" s="10">
        <f>IFERROR(__xludf.DUMMYFUNCTION("""COMPUTED_VALUE"""),45213.0)</f>
        <v>45213</v>
      </c>
      <c r="B470" s="3" t="str">
        <f>IFERROR(__xludf.DUMMYFUNCTION("""COMPUTED_VALUE"""),"Max Watson")</f>
        <v>Max Watson</v>
      </c>
      <c r="C470" s="3">
        <f>IFERROR(__xludf.DUMMYFUNCTION("""COMPUTED_VALUE"""),1.0)</f>
        <v>1</v>
      </c>
      <c r="D470" s="3">
        <f t="shared" si="1"/>
        <v>0</v>
      </c>
    </row>
    <row r="471">
      <c r="A471" s="10">
        <f>IFERROR(__xludf.DUMMYFUNCTION("""COMPUTED_VALUE"""),45213.0)</f>
        <v>45213</v>
      </c>
      <c r="B471" s="3" t="str">
        <f>IFERROR(__xludf.DUMMYFUNCTION("""COMPUTED_VALUE"""),"Michael Dill")</f>
        <v>Michael Dill</v>
      </c>
      <c r="C471" s="3">
        <f>IFERROR(__xludf.DUMMYFUNCTION("""COMPUTED_VALUE"""),1.0)</f>
        <v>1</v>
      </c>
      <c r="D471" s="3">
        <f t="shared" si="1"/>
        <v>0</v>
      </c>
    </row>
    <row r="472">
      <c r="A472" s="10">
        <f>IFERROR(__xludf.DUMMYFUNCTION("""COMPUTED_VALUE"""),45213.0)</f>
        <v>45213</v>
      </c>
      <c r="B472" s="3" t="str">
        <f>IFERROR(__xludf.DUMMYFUNCTION("""COMPUTED_VALUE"""),"Nathan Baverstock")</f>
        <v>Nathan Baverstock</v>
      </c>
      <c r="C472" s="3">
        <f>IFERROR(__xludf.DUMMYFUNCTION("""COMPUTED_VALUE"""),2.0)</f>
        <v>2</v>
      </c>
      <c r="D472" s="3">
        <f t="shared" si="1"/>
        <v>0</v>
      </c>
    </row>
    <row r="473">
      <c r="A473" s="10">
        <f>IFERROR(__xludf.DUMMYFUNCTION("""COMPUTED_VALUE"""),45213.0)</f>
        <v>45213</v>
      </c>
      <c r="B473" s="3" t="str">
        <f>IFERROR(__xludf.DUMMYFUNCTION("""COMPUTED_VALUE"""),"Nima Naghdi")</f>
        <v>Nima Naghdi</v>
      </c>
      <c r="C473" s="3">
        <f>IFERROR(__xludf.DUMMYFUNCTION("""COMPUTED_VALUE"""),2.0)</f>
        <v>2</v>
      </c>
      <c r="D473" s="3">
        <f t="shared" si="1"/>
        <v>0</v>
      </c>
    </row>
    <row r="474">
      <c r="A474" s="10">
        <f>IFERROR(__xludf.DUMMYFUNCTION("""COMPUTED_VALUE"""),45213.0)</f>
        <v>45213</v>
      </c>
      <c r="B474" s="3" t="str">
        <f>IFERROR(__xludf.DUMMYFUNCTION("""COMPUTED_VALUE"""),"Oli Barton")</f>
        <v>Oli Barton</v>
      </c>
      <c r="C474" s="3">
        <f>IFERROR(__xludf.DUMMYFUNCTION("""COMPUTED_VALUE"""),1.0)</f>
        <v>1</v>
      </c>
      <c r="D474" s="3">
        <f t="shared" si="1"/>
        <v>0</v>
      </c>
    </row>
    <row r="475">
      <c r="A475" s="10">
        <f>IFERROR(__xludf.DUMMYFUNCTION("""COMPUTED_VALUE"""),45213.0)</f>
        <v>45213</v>
      </c>
      <c r="B475" s="3" t="str">
        <f>IFERROR(__xludf.DUMMYFUNCTION("""COMPUTED_VALUE"""),"Oliver Golzari")</f>
        <v>Oliver Golzari</v>
      </c>
      <c r="C475" s="3">
        <f>IFERROR(__xludf.DUMMYFUNCTION("""COMPUTED_VALUE"""),2.0)</f>
        <v>2</v>
      </c>
      <c r="D475" s="3">
        <f t="shared" si="1"/>
        <v>0</v>
      </c>
    </row>
    <row r="476">
      <c r="A476" s="10">
        <f>IFERROR(__xludf.DUMMYFUNCTION("""COMPUTED_VALUE"""),45213.0)</f>
        <v>45213</v>
      </c>
      <c r="B476" s="3" t="str">
        <f>IFERROR(__xludf.DUMMYFUNCTION("""COMPUTED_VALUE"""),"Ollie Sewell")</f>
        <v>Ollie Sewell</v>
      </c>
      <c r="C476" s="3">
        <f>IFERROR(__xludf.DUMMYFUNCTION("""COMPUTED_VALUE"""),2.0)</f>
        <v>2</v>
      </c>
      <c r="D476" s="3">
        <f t="shared" si="1"/>
        <v>0</v>
      </c>
    </row>
    <row r="477">
      <c r="A477" s="10">
        <f>IFERROR(__xludf.DUMMYFUNCTION("""COMPUTED_VALUE"""),45213.0)</f>
        <v>45213</v>
      </c>
      <c r="B477" s="3" t="str">
        <f>IFERROR(__xludf.DUMMYFUNCTION("""COMPUTED_VALUE"""),"Parimal Patel")</f>
        <v>Parimal Patel</v>
      </c>
      <c r="C477" s="3">
        <f>IFERROR(__xludf.DUMMYFUNCTION("""COMPUTED_VALUE"""),7.0)</f>
        <v>7</v>
      </c>
      <c r="D477" s="3">
        <f t="shared" si="1"/>
        <v>0</v>
      </c>
    </row>
    <row r="478">
      <c r="A478" s="10">
        <f>IFERROR(__xludf.DUMMYFUNCTION("""COMPUTED_VALUE"""),45213.0)</f>
        <v>45213</v>
      </c>
      <c r="B478" s="3" t="str">
        <f>IFERROR(__xludf.DUMMYFUNCTION("""COMPUTED_VALUE"""),"Peter Green")</f>
        <v>Peter Green</v>
      </c>
      <c r="C478" s="3">
        <f>IFERROR(__xludf.DUMMYFUNCTION("""COMPUTED_VALUE"""),1.0)</f>
        <v>1</v>
      </c>
      <c r="D478" s="3">
        <f t="shared" si="1"/>
        <v>0</v>
      </c>
    </row>
    <row r="479">
      <c r="A479" s="10">
        <f>IFERROR(__xludf.DUMMYFUNCTION("""COMPUTED_VALUE"""),45213.0)</f>
        <v>45213</v>
      </c>
      <c r="B479" s="3" t="str">
        <f>IFERROR(__xludf.DUMMYFUNCTION("""COMPUTED_VALUE"""),"Reiss Hutton")</f>
        <v>Reiss Hutton</v>
      </c>
      <c r="C479" s="3">
        <f>IFERROR(__xludf.DUMMYFUNCTION("""COMPUTED_VALUE"""),2.0)</f>
        <v>2</v>
      </c>
      <c r="D479" s="3">
        <f t="shared" si="1"/>
        <v>0</v>
      </c>
    </row>
    <row r="480">
      <c r="A480" s="10">
        <f>IFERROR(__xludf.DUMMYFUNCTION("""COMPUTED_VALUE"""),45213.0)</f>
        <v>45213</v>
      </c>
      <c r="B480" s="3" t="str">
        <f>IFERROR(__xludf.DUMMYFUNCTION("""COMPUTED_VALUE"""),"Rich Lundie")</f>
        <v>Rich Lundie</v>
      </c>
      <c r="C480" s="3">
        <f>IFERROR(__xludf.DUMMYFUNCTION("""COMPUTED_VALUE"""),1.0)</f>
        <v>1</v>
      </c>
      <c r="D480" s="3">
        <f t="shared" si="1"/>
        <v>0</v>
      </c>
    </row>
    <row r="481">
      <c r="A481" s="10">
        <f>IFERROR(__xludf.DUMMYFUNCTION("""COMPUTED_VALUE"""),45213.0)</f>
        <v>45213</v>
      </c>
      <c r="B481" s="3" t="str">
        <f>IFERROR(__xludf.DUMMYFUNCTION("""COMPUTED_VALUE"""),"Richard Jones")</f>
        <v>Richard Jones</v>
      </c>
      <c r="C481" s="3">
        <f>IFERROR(__xludf.DUMMYFUNCTION("""COMPUTED_VALUE"""),2.0)</f>
        <v>2</v>
      </c>
      <c r="D481" s="3">
        <f t="shared" si="1"/>
        <v>0</v>
      </c>
    </row>
    <row r="482">
      <c r="A482" s="10">
        <f>IFERROR(__xludf.DUMMYFUNCTION("""COMPUTED_VALUE"""),45213.0)</f>
        <v>45213</v>
      </c>
      <c r="B482" s="3" t="str">
        <f>IFERROR(__xludf.DUMMYFUNCTION("""COMPUTED_VALUE"""),"Ryan Cochrane")</f>
        <v>Ryan Cochrane</v>
      </c>
      <c r="C482" s="3">
        <f>IFERROR(__xludf.DUMMYFUNCTION("""COMPUTED_VALUE"""),2.0)</f>
        <v>2</v>
      </c>
      <c r="D482" s="3">
        <f t="shared" si="1"/>
        <v>0</v>
      </c>
    </row>
    <row r="483">
      <c r="A483" s="10">
        <f>IFERROR(__xludf.DUMMYFUNCTION("""COMPUTED_VALUE"""),45213.0)</f>
        <v>45213</v>
      </c>
      <c r="B483" s="3" t="str">
        <f>IFERROR(__xludf.DUMMYFUNCTION("""COMPUTED_VALUE"""),"Sam A'Court")</f>
        <v>Sam A'Court</v>
      </c>
      <c r="C483" s="3">
        <f>IFERROR(__xludf.DUMMYFUNCTION("""COMPUTED_VALUE"""),2.0)</f>
        <v>2</v>
      </c>
      <c r="D483" s="3">
        <f t="shared" si="1"/>
        <v>0</v>
      </c>
    </row>
    <row r="484">
      <c r="A484" s="10">
        <f>IFERROR(__xludf.DUMMYFUNCTION("""COMPUTED_VALUE"""),45213.0)</f>
        <v>45213</v>
      </c>
      <c r="B484" s="3" t="str">
        <f>IFERROR(__xludf.DUMMYFUNCTION("""COMPUTED_VALUE"""),"Sean Rowlett")</f>
        <v>Sean Rowlett</v>
      </c>
      <c r="C484" s="3">
        <f>IFERROR(__xludf.DUMMYFUNCTION("""COMPUTED_VALUE"""),1.0)</f>
        <v>1</v>
      </c>
      <c r="D484" s="3">
        <f t="shared" si="1"/>
        <v>0</v>
      </c>
    </row>
    <row r="485">
      <c r="A485" s="10">
        <f>IFERROR(__xludf.DUMMYFUNCTION("""COMPUTED_VALUE"""),45213.0)</f>
        <v>45213</v>
      </c>
      <c r="B485" s="3" t="str">
        <f>IFERROR(__xludf.DUMMYFUNCTION("""COMPUTED_VALUE"""),"Seb Curle")</f>
        <v>Seb Curle</v>
      </c>
      <c r="C485" s="3">
        <f>IFERROR(__xludf.DUMMYFUNCTION("""COMPUTED_VALUE"""),1.0)</f>
        <v>1</v>
      </c>
      <c r="D485" s="3">
        <f t="shared" si="1"/>
        <v>0</v>
      </c>
    </row>
    <row r="486">
      <c r="A486" s="10">
        <f>IFERROR(__xludf.DUMMYFUNCTION("""COMPUTED_VALUE"""),45213.0)</f>
        <v>45213</v>
      </c>
      <c r="B486" s="3" t="str">
        <f>IFERROR(__xludf.DUMMYFUNCTION("""COMPUTED_VALUE"""),"Sidney Hopper-Kelly")</f>
        <v>Sidney Hopper-Kelly</v>
      </c>
      <c r="C486" s="3">
        <f>IFERROR(__xludf.DUMMYFUNCTION("""COMPUTED_VALUE"""),1.0)</f>
        <v>1</v>
      </c>
      <c r="D486" s="3">
        <f t="shared" si="1"/>
        <v>0</v>
      </c>
    </row>
    <row r="487">
      <c r="A487" s="10">
        <f>IFERROR(__xludf.DUMMYFUNCTION("""COMPUTED_VALUE"""),45213.0)</f>
        <v>45213</v>
      </c>
      <c r="B487" s="3" t="str">
        <f>IFERROR(__xludf.DUMMYFUNCTION("""COMPUTED_VALUE"""),"Stu Jordan")</f>
        <v>Stu Jordan</v>
      </c>
      <c r="C487" s="3">
        <f>IFERROR(__xludf.DUMMYFUNCTION("""COMPUTED_VALUE"""),1.0)</f>
        <v>1</v>
      </c>
      <c r="D487" s="3">
        <f t="shared" si="1"/>
        <v>0</v>
      </c>
    </row>
    <row r="488">
      <c r="A488" s="10">
        <f>IFERROR(__xludf.DUMMYFUNCTION("""COMPUTED_VALUE"""),45213.0)</f>
        <v>45213</v>
      </c>
      <c r="B488" s="3" t="str">
        <f>IFERROR(__xludf.DUMMYFUNCTION("""COMPUTED_VALUE"""),"Tali Kiwanuka")</f>
        <v>Tali Kiwanuka</v>
      </c>
      <c r="C488" s="3">
        <f>IFERROR(__xludf.DUMMYFUNCTION("""COMPUTED_VALUE"""),1.0)</f>
        <v>1</v>
      </c>
      <c r="D488" s="3">
        <f t="shared" si="1"/>
        <v>0</v>
      </c>
    </row>
    <row r="489">
      <c r="A489" s="10">
        <f>IFERROR(__xludf.DUMMYFUNCTION("""COMPUTED_VALUE"""),45213.0)</f>
        <v>45213</v>
      </c>
      <c r="B489" s="3" t="str">
        <f>IFERROR(__xludf.DUMMYFUNCTION("""COMPUTED_VALUE"""),"Theo Horton")</f>
        <v>Theo Horton</v>
      </c>
      <c r="C489" s="3">
        <f>IFERROR(__xludf.DUMMYFUNCTION("""COMPUTED_VALUE"""),2.0)</f>
        <v>2</v>
      </c>
      <c r="D489" s="3">
        <f t="shared" si="1"/>
        <v>0</v>
      </c>
    </row>
    <row r="490">
      <c r="A490" s="10">
        <f>IFERROR(__xludf.DUMMYFUNCTION("""COMPUTED_VALUE"""),45213.0)</f>
        <v>45213</v>
      </c>
      <c r="B490" s="3" t="str">
        <f>IFERROR(__xludf.DUMMYFUNCTION("""COMPUTED_VALUE"""),"Victor Lemmer")</f>
        <v>Victor Lemmer</v>
      </c>
      <c r="C490" s="3">
        <f>IFERROR(__xludf.DUMMYFUNCTION("""COMPUTED_VALUE"""),2.0)</f>
        <v>2</v>
      </c>
      <c r="D490" s="3">
        <f t="shared" si="1"/>
        <v>0</v>
      </c>
    </row>
    <row r="491">
      <c r="A491" s="10">
        <f>IFERROR(__xludf.DUMMYFUNCTION("""COMPUTED_VALUE"""),45213.0)</f>
        <v>45213</v>
      </c>
      <c r="B491" s="3" t="str">
        <f>IFERROR(__xludf.DUMMYFUNCTION("""COMPUTED_VALUE"""),"Will French")</f>
        <v>Will French</v>
      </c>
      <c r="C491" s="3">
        <f>IFERROR(__xludf.DUMMYFUNCTION("""COMPUTED_VALUE"""),2.0)</f>
        <v>2</v>
      </c>
      <c r="D491" s="3">
        <f t="shared" si="1"/>
        <v>0</v>
      </c>
    </row>
    <row r="492">
      <c r="A492" s="10">
        <f>IFERROR(__xludf.DUMMYFUNCTION("""COMPUTED_VALUE"""),45213.0)</f>
        <v>45213</v>
      </c>
      <c r="B492" s="3" t="str">
        <f>IFERROR(__xludf.DUMMYFUNCTION("""COMPUTED_VALUE"""),"Yemi Oviosu")</f>
        <v>Yemi Oviosu</v>
      </c>
      <c r="C492" s="3">
        <f>IFERROR(__xludf.DUMMYFUNCTION("""COMPUTED_VALUE"""),7.0)</f>
        <v>7</v>
      </c>
      <c r="D492" s="3">
        <f t="shared" si="1"/>
        <v>0</v>
      </c>
    </row>
    <row r="493">
      <c r="A493" s="10">
        <f>IFERROR(__xludf.DUMMYFUNCTION("""COMPUTED_VALUE"""),45220.0)</f>
        <v>45220</v>
      </c>
      <c r="B493" s="3" t="str">
        <f>IFERROR(__xludf.DUMMYFUNCTION("""COMPUTED_VALUE"""),"Abz Marfa")</f>
        <v>Abz Marfa</v>
      </c>
      <c r="C493" s="3">
        <f>IFERROR(__xludf.DUMMYFUNCTION("""COMPUTED_VALUE"""),2.0)</f>
        <v>2</v>
      </c>
      <c r="D493" s="3">
        <f t="shared" si="1"/>
        <v>0</v>
      </c>
    </row>
    <row r="494">
      <c r="A494" s="10">
        <f>IFERROR(__xludf.DUMMYFUNCTION("""COMPUTED_VALUE"""),45220.0)</f>
        <v>45220</v>
      </c>
      <c r="B494" s="3" t="str">
        <f>IFERROR(__xludf.DUMMYFUNCTION("""COMPUTED_VALUE"""),"Ade Lawal")</f>
        <v>Ade Lawal</v>
      </c>
      <c r="C494" s="3">
        <f>IFERROR(__xludf.DUMMYFUNCTION("""COMPUTED_VALUE"""),1.0)</f>
        <v>1</v>
      </c>
      <c r="D494" s="3">
        <f t="shared" si="1"/>
        <v>0</v>
      </c>
    </row>
    <row r="495">
      <c r="A495" s="10">
        <f>IFERROR(__xludf.DUMMYFUNCTION("""COMPUTED_VALUE"""),45220.0)</f>
        <v>45220</v>
      </c>
      <c r="B495" s="3" t="str">
        <f>IFERROR(__xludf.DUMMYFUNCTION("""COMPUTED_VALUE"""),"Alex Dockerill")</f>
        <v>Alex Dockerill</v>
      </c>
      <c r="C495" s="3">
        <f>IFERROR(__xludf.DUMMYFUNCTION("""COMPUTED_VALUE"""),6.0)</f>
        <v>6</v>
      </c>
      <c r="D495" s="3">
        <f t="shared" si="1"/>
        <v>0</v>
      </c>
    </row>
    <row r="496">
      <c r="A496" s="10">
        <f>IFERROR(__xludf.DUMMYFUNCTION("""COMPUTED_VALUE"""),45220.0)</f>
        <v>45220</v>
      </c>
      <c r="B496" s="3" t="str">
        <f>IFERROR(__xludf.DUMMYFUNCTION("""COMPUTED_VALUE"""),"Alex Scott-Ruddock")</f>
        <v>Alex Scott-Ruddock</v>
      </c>
      <c r="C496" s="3">
        <f>IFERROR(__xludf.DUMMYFUNCTION("""COMPUTED_VALUE"""),1.0)</f>
        <v>1</v>
      </c>
      <c r="D496" s="3">
        <f t="shared" si="1"/>
        <v>0</v>
      </c>
    </row>
    <row r="497">
      <c r="A497" s="10">
        <f>IFERROR(__xludf.DUMMYFUNCTION("""COMPUTED_VALUE"""),45220.0)</f>
        <v>45220</v>
      </c>
      <c r="B497" s="3" t="str">
        <f>IFERROR(__xludf.DUMMYFUNCTION("""COMPUTED_VALUE"""),"Alex Stevens")</f>
        <v>Alex Stevens</v>
      </c>
      <c r="C497" s="3">
        <f>IFERROR(__xludf.DUMMYFUNCTION("""COMPUTED_VALUE"""),6.0)</f>
        <v>6</v>
      </c>
      <c r="D497" s="3">
        <f t="shared" si="1"/>
        <v>0</v>
      </c>
    </row>
    <row r="498">
      <c r="A498" s="10">
        <f>IFERROR(__xludf.DUMMYFUNCTION("""COMPUTED_VALUE"""),45220.0)</f>
        <v>45220</v>
      </c>
      <c r="B498" s="3" t="str">
        <f>IFERROR(__xludf.DUMMYFUNCTION("""COMPUTED_VALUE"""),"Andres Ahlgren")</f>
        <v>Andres Ahlgren</v>
      </c>
      <c r="C498" s="3">
        <f>IFERROR(__xludf.DUMMYFUNCTION("""COMPUTED_VALUE"""),2.0)</f>
        <v>2</v>
      </c>
      <c r="D498" s="3">
        <f t="shared" si="1"/>
        <v>0</v>
      </c>
    </row>
    <row r="499">
      <c r="A499" s="10">
        <f>IFERROR(__xludf.DUMMYFUNCTION("""COMPUTED_VALUE"""),45220.0)</f>
        <v>45220</v>
      </c>
      <c r="B499" s="3" t="str">
        <f>IFERROR(__xludf.DUMMYFUNCTION("""COMPUTED_VALUE"""),"Anish Philips")</f>
        <v>Anish Philips</v>
      </c>
      <c r="C499" s="3">
        <f>IFERROR(__xludf.DUMMYFUNCTION("""COMPUTED_VALUE"""),2.0)</f>
        <v>2</v>
      </c>
      <c r="D499" s="3">
        <f t="shared" si="1"/>
        <v>0</v>
      </c>
    </row>
    <row r="500">
      <c r="A500" s="10">
        <f>IFERROR(__xludf.DUMMYFUNCTION("""COMPUTED_VALUE"""),45220.0)</f>
        <v>45220</v>
      </c>
      <c r="B500" s="3" t="str">
        <f>IFERROR(__xludf.DUMMYFUNCTION("""COMPUTED_VALUE"""),"Anthony Ball")</f>
        <v>Anthony Ball</v>
      </c>
      <c r="C500" s="3">
        <f>IFERROR(__xludf.DUMMYFUNCTION("""COMPUTED_VALUE"""),1.0)</f>
        <v>1</v>
      </c>
      <c r="D500" s="3">
        <f t="shared" si="1"/>
        <v>0</v>
      </c>
    </row>
    <row r="501">
      <c r="A501" s="10">
        <f>IFERROR(__xludf.DUMMYFUNCTION("""COMPUTED_VALUE"""),45220.0)</f>
        <v>45220</v>
      </c>
      <c r="B501" s="3" t="str">
        <f>IFERROR(__xludf.DUMMYFUNCTION("""COMPUTED_VALUE"""),"Cameron Hildebrandt-Brooks")</f>
        <v>Cameron Hildebrandt-Brooks</v>
      </c>
      <c r="C501" s="3">
        <f>IFERROR(__xludf.DUMMYFUNCTION("""COMPUTED_VALUE"""),1.0)</f>
        <v>1</v>
      </c>
      <c r="D501" s="3">
        <f t="shared" si="1"/>
        <v>0</v>
      </c>
    </row>
    <row r="502">
      <c r="A502" s="10">
        <f>IFERROR(__xludf.DUMMYFUNCTION("""COMPUTED_VALUE"""),45220.0)</f>
        <v>45220</v>
      </c>
      <c r="B502" s="3" t="str">
        <f>IFERROR(__xludf.DUMMYFUNCTION("""COMPUTED_VALUE"""),"Charlie Doe")</f>
        <v>Charlie Doe</v>
      </c>
      <c r="C502" s="3">
        <f>IFERROR(__xludf.DUMMYFUNCTION("""COMPUTED_VALUE"""),2.0)</f>
        <v>2</v>
      </c>
      <c r="D502" s="3">
        <f t="shared" si="1"/>
        <v>0</v>
      </c>
    </row>
    <row r="503">
      <c r="A503" s="10">
        <f>IFERROR(__xludf.DUMMYFUNCTION("""COMPUTED_VALUE"""),45220.0)</f>
        <v>45220</v>
      </c>
      <c r="B503" s="3" t="str">
        <f>IFERROR(__xludf.DUMMYFUNCTION("""COMPUTED_VALUE"""),"Chris Claeys")</f>
        <v>Chris Claeys</v>
      </c>
      <c r="C503" s="3">
        <f>IFERROR(__xludf.DUMMYFUNCTION("""COMPUTED_VALUE"""),6.0)</f>
        <v>6</v>
      </c>
      <c r="D503" s="3">
        <f t="shared" si="1"/>
        <v>0</v>
      </c>
    </row>
    <row r="504">
      <c r="A504" s="10">
        <f>IFERROR(__xludf.DUMMYFUNCTION("""COMPUTED_VALUE"""),45220.0)</f>
        <v>45220</v>
      </c>
      <c r="B504" s="3" t="str">
        <f>IFERROR(__xludf.DUMMYFUNCTION("""COMPUTED_VALUE"""),"Chris Douthwaite")</f>
        <v>Chris Douthwaite</v>
      </c>
      <c r="C504" s="3">
        <f>IFERROR(__xludf.DUMMYFUNCTION("""COMPUTED_VALUE"""),2.0)</f>
        <v>2</v>
      </c>
      <c r="D504" s="3">
        <f t="shared" si="1"/>
        <v>0</v>
      </c>
    </row>
    <row r="505">
      <c r="A505" s="10">
        <f>IFERROR(__xludf.DUMMYFUNCTION("""COMPUTED_VALUE"""),45220.0)</f>
        <v>45220</v>
      </c>
      <c r="B505" s="3" t="str">
        <f>IFERROR(__xludf.DUMMYFUNCTION("""COMPUTED_VALUE"""),"Christian King")</f>
        <v>Christian King</v>
      </c>
      <c r="C505" s="3">
        <f>IFERROR(__xludf.DUMMYFUNCTION("""COMPUTED_VALUE"""),4.0)</f>
        <v>4</v>
      </c>
      <c r="D505" s="3">
        <f t="shared" si="1"/>
        <v>0</v>
      </c>
    </row>
    <row r="506">
      <c r="A506" s="10">
        <f>IFERROR(__xludf.DUMMYFUNCTION("""COMPUTED_VALUE"""),45220.0)</f>
        <v>45220</v>
      </c>
      <c r="B506" s="3" t="str">
        <f>IFERROR(__xludf.DUMMYFUNCTION("""COMPUTED_VALUE"""),"Ciaran Curran")</f>
        <v>Ciaran Curran</v>
      </c>
      <c r="C506" s="3">
        <f>IFERROR(__xludf.DUMMYFUNCTION("""COMPUTED_VALUE"""),9.0)</f>
        <v>9</v>
      </c>
      <c r="D506" s="3">
        <f t="shared" si="1"/>
        <v>0</v>
      </c>
    </row>
    <row r="507">
      <c r="A507" s="10">
        <f>IFERROR(__xludf.DUMMYFUNCTION("""COMPUTED_VALUE"""),45220.0)</f>
        <v>45220</v>
      </c>
      <c r="B507" s="3" t="str">
        <f>IFERROR(__xludf.DUMMYFUNCTION("""COMPUTED_VALUE"""),"Connor White")</f>
        <v>Connor White</v>
      </c>
      <c r="C507" s="3">
        <f>IFERROR(__xludf.DUMMYFUNCTION("""COMPUTED_VALUE"""),8.0)</f>
        <v>8</v>
      </c>
      <c r="D507" s="3">
        <f t="shared" si="1"/>
        <v>0</v>
      </c>
    </row>
    <row r="508">
      <c r="A508" s="10">
        <f>IFERROR(__xludf.DUMMYFUNCTION("""COMPUTED_VALUE"""),45220.0)</f>
        <v>45220</v>
      </c>
      <c r="B508" s="3" t="str">
        <f>IFERROR(__xludf.DUMMYFUNCTION("""COMPUTED_VALUE"""),"Corey Cleave")</f>
        <v>Corey Cleave</v>
      </c>
      <c r="C508" s="3">
        <f>IFERROR(__xludf.DUMMYFUNCTION("""COMPUTED_VALUE"""),2.0)</f>
        <v>2</v>
      </c>
      <c r="D508" s="3">
        <f t="shared" si="1"/>
        <v>0</v>
      </c>
    </row>
    <row r="509">
      <c r="A509" s="10">
        <f>IFERROR(__xludf.DUMMYFUNCTION("""COMPUTED_VALUE"""),45220.0)</f>
        <v>45220</v>
      </c>
      <c r="B509" s="3" t="str">
        <f>IFERROR(__xludf.DUMMYFUNCTION("""COMPUTED_VALUE"""),"Dan Russell")</f>
        <v>Dan Russell</v>
      </c>
      <c r="C509" s="3">
        <f>IFERROR(__xludf.DUMMYFUNCTION("""COMPUTED_VALUE"""),4.0)</f>
        <v>4</v>
      </c>
      <c r="D509" s="3">
        <f t="shared" si="1"/>
        <v>0</v>
      </c>
    </row>
    <row r="510">
      <c r="A510" s="10">
        <f>IFERROR(__xludf.DUMMYFUNCTION("""COMPUTED_VALUE"""),45220.0)</f>
        <v>45220</v>
      </c>
      <c r="B510" s="3" t="str">
        <f>IFERROR(__xludf.DUMMYFUNCTION("""COMPUTED_VALUE"""),"David Holmes-White")</f>
        <v>David Holmes-White</v>
      </c>
      <c r="C510" s="3">
        <f>IFERROR(__xludf.DUMMYFUNCTION("""COMPUTED_VALUE"""),2.0)</f>
        <v>2</v>
      </c>
      <c r="D510" s="3">
        <f t="shared" si="1"/>
        <v>0</v>
      </c>
    </row>
    <row r="511">
      <c r="A511" s="10">
        <f>IFERROR(__xludf.DUMMYFUNCTION("""COMPUTED_VALUE"""),45220.0)</f>
        <v>45220</v>
      </c>
      <c r="B511" s="3" t="str">
        <f>IFERROR(__xludf.DUMMYFUNCTION("""COMPUTED_VALUE"""),"Dean Wright")</f>
        <v>Dean Wright</v>
      </c>
      <c r="C511" s="3">
        <f>IFERROR(__xludf.DUMMYFUNCTION("""COMPUTED_VALUE"""),1.0)</f>
        <v>1</v>
      </c>
      <c r="D511" s="3">
        <f t="shared" si="1"/>
        <v>0</v>
      </c>
    </row>
    <row r="512">
      <c r="A512" s="10">
        <f>IFERROR(__xludf.DUMMYFUNCTION("""COMPUTED_VALUE"""),45220.0)</f>
        <v>45220</v>
      </c>
      <c r="B512" s="3" t="str">
        <f>IFERROR(__xludf.DUMMYFUNCTION("""COMPUTED_VALUE"""),"Denver Lalonde")</f>
        <v>Denver Lalonde</v>
      </c>
      <c r="C512" s="3">
        <f>IFERROR(__xludf.DUMMYFUNCTION("""COMPUTED_VALUE"""),5.0)</f>
        <v>5</v>
      </c>
      <c r="D512" s="3">
        <f t="shared" si="1"/>
        <v>0</v>
      </c>
    </row>
    <row r="513">
      <c r="A513" s="10">
        <f>IFERROR(__xludf.DUMMYFUNCTION("""COMPUTED_VALUE"""),45220.0)</f>
        <v>45220</v>
      </c>
      <c r="B513" s="3" t="str">
        <f>IFERROR(__xludf.DUMMYFUNCTION("""COMPUTED_VALUE"""),"Emi Muhadri")</f>
        <v>Emi Muhadri</v>
      </c>
      <c r="C513" s="3">
        <f>IFERROR(__xludf.DUMMYFUNCTION("""COMPUTED_VALUE"""),2.0)</f>
        <v>2</v>
      </c>
      <c r="D513" s="3">
        <f t="shared" si="1"/>
        <v>0</v>
      </c>
    </row>
    <row r="514">
      <c r="A514" s="10">
        <f>IFERROR(__xludf.DUMMYFUNCTION("""COMPUTED_VALUE"""),45220.0)</f>
        <v>45220</v>
      </c>
      <c r="B514" s="3" t="str">
        <f>IFERROR(__xludf.DUMMYFUNCTION("""COMPUTED_VALUE"""),"Finn Coolen")</f>
        <v>Finn Coolen</v>
      </c>
      <c r="C514" s="3">
        <f>IFERROR(__xludf.DUMMYFUNCTION("""COMPUTED_VALUE"""),7.0)</f>
        <v>7</v>
      </c>
      <c r="D514" s="3">
        <f t="shared" si="1"/>
        <v>0</v>
      </c>
    </row>
    <row r="515">
      <c r="A515" s="10">
        <f>IFERROR(__xludf.DUMMYFUNCTION("""COMPUTED_VALUE"""),45220.0)</f>
        <v>45220</v>
      </c>
      <c r="B515" s="3" t="str">
        <f>IFERROR(__xludf.DUMMYFUNCTION("""COMPUTED_VALUE"""),"Gus Neill")</f>
        <v>Gus Neill</v>
      </c>
      <c r="C515" s="3">
        <f>IFERROR(__xludf.DUMMYFUNCTION("""COMPUTED_VALUE"""),2.0)</f>
        <v>2</v>
      </c>
      <c r="D515" s="3">
        <f t="shared" si="1"/>
        <v>0</v>
      </c>
    </row>
    <row r="516">
      <c r="A516" s="10">
        <f>IFERROR(__xludf.DUMMYFUNCTION("""COMPUTED_VALUE"""),45220.0)</f>
        <v>45220</v>
      </c>
      <c r="B516" s="3" t="str">
        <f>IFERROR(__xludf.DUMMYFUNCTION("""COMPUTED_VALUE"""),"Hallam Wye")</f>
        <v>Hallam Wye</v>
      </c>
      <c r="C516" s="3">
        <f>IFERROR(__xludf.DUMMYFUNCTION("""COMPUTED_VALUE"""),7.0)</f>
        <v>7</v>
      </c>
      <c r="D516" s="3">
        <f t="shared" si="1"/>
        <v>0</v>
      </c>
    </row>
    <row r="517">
      <c r="A517" s="10">
        <f>IFERROR(__xludf.DUMMYFUNCTION("""COMPUTED_VALUE"""),45220.0)</f>
        <v>45220</v>
      </c>
      <c r="B517" s="3" t="str">
        <f>IFERROR(__xludf.DUMMYFUNCTION("""COMPUTED_VALUE"""),"Harold Kiyingi")</f>
        <v>Harold Kiyingi</v>
      </c>
      <c r="C517" s="3">
        <f>IFERROR(__xludf.DUMMYFUNCTION("""COMPUTED_VALUE"""),5.0)</f>
        <v>5</v>
      </c>
      <c r="D517" s="3">
        <f t="shared" si="1"/>
        <v>0</v>
      </c>
    </row>
    <row r="518">
      <c r="A518" s="10">
        <f>IFERROR(__xludf.DUMMYFUNCTION("""COMPUTED_VALUE"""),45220.0)</f>
        <v>45220</v>
      </c>
      <c r="B518" s="3" t="str">
        <f>IFERROR(__xludf.DUMMYFUNCTION("""COMPUTED_VALUE"""),"Harry Fripp")</f>
        <v>Harry Fripp</v>
      </c>
      <c r="C518" s="3">
        <f>IFERROR(__xludf.DUMMYFUNCTION("""COMPUTED_VALUE"""),10.0)</f>
        <v>10</v>
      </c>
      <c r="D518" s="3">
        <f t="shared" si="1"/>
        <v>0</v>
      </c>
    </row>
    <row r="519">
      <c r="A519" s="10">
        <f>IFERROR(__xludf.DUMMYFUNCTION("""COMPUTED_VALUE"""),45220.0)</f>
        <v>45220</v>
      </c>
      <c r="B519" s="3" t="str">
        <f>IFERROR(__xludf.DUMMYFUNCTION("""COMPUTED_VALUE"""),"Jack Harris")</f>
        <v>Jack Harris</v>
      </c>
      <c r="C519" s="3">
        <f>IFERROR(__xludf.DUMMYFUNCTION("""COMPUTED_VALUE"""),0.0)</f>
        <v>0</v>
      </c>
      <c r="D519" s="3">
        <f t="shared" si="1"/>
        <v>0</v>
      </c>
    </row>
    <row r="520">
      <c r="A520" s="10">
        <f>IFERROR(__xludf.DUMMYFUNCTION("""COMPUTED_VALUE"""),45220.0)</f>
        <v>45220</v>
      </c>
      <c r="B520" s="3" t="str">
        <f>IFERROR(__xludf.DUMMYFUNCTION("""COMPUTED_VALUE"""),"Joel Wright")</f>
        <v>Joel Wright</v>
      </c>
      <c r="C520" s="3">
        <f>IFERROR(__xludf.DUMMYFUNCTION("""COMPUTED_VALUE"""),2.0)</f>
        <v>2</v>
      </c>
      <c r="D520" s="3">
        <f t="shared" si="1"/>
        <v>0</v>
      </c>
    </row>
    <row r="521">
      <c r="A521" s="10">
        <f>IFERROR(__xludf.DUMMYFUNCTION("""COMPUTED_VALUE"""),45220.0)</f>
        <v>45220</v>
      </c>
      <c r="B521" s="3" t="str">
        <f>IFERROR(__xludf.DUMMYFUNCTION("""COMPUTED_VALUE"""),"John Harrison")</f>
        <v>John Harrison</v>
      </c>
      <c r="C521" s="3">
        <f>IFERROR(__xludf.DUMMYFUNCTION("""COMPUTED_VALUE"""),8.0)</f>
        <v>8</v>
      </c>
      <c r="D521" s="3">
        <f t="shared" si="1"/>
        <v>0</v>
      </c>
    </row>
    <row r="522">
      <c r="A522" s="10">
        <f>IFERROR(__xludf.DUMMYFUNCTION("""COMPUTED_VALUE"""),45220.0)</f>
        <v>45220</v>
      </c>
      <c r="B522" s="3" t="str">
        <f>IFERROR(__xludf.DUMMYFUNCTION("""COMPUTED_VALUE"""),"Kevin Gonzalez")</f>
        <v>Kevin Gonzalez</v>
      </c>
      <c r="C522" s="3">
        <f>IFERROR(__xludf.DUMMYFUNCTION("""COMPUTED_VALUE"""),6.0)</f>
        <v>6</v>
      </c>
      <c r="D522" s="3">
        <f t="shared" si="1"/>
        <v>0</v>
      </c>
    </row>
    <row r="523">
      <c r="A523" s="10">
        <f>IFERROR(__xludf.DUMMYFUNCTION("""COMPUTED_VALUE"""),45220.0)</f>
        <v>45220</v>
      </c>
      <c r="B523" s="3" t="str">
        <f>IFERROR(__xludf.DUMMYFUNCTION("""COMPUTED_VALUE"""),"Lee Clark")</f>
        <v>Lee Clark</v>
      </c>
      <c r="C523" s="3">
        <f>IFERROR(__xludf.DUMMYFUNCTION("""COMPUTED_VALUE"""),1.0)</f>
        <v>1</v>
      </c>
      <c r="D523" s="3">
        <f t="shared" si="1"/>
        <v>0</v>
      </c>
    </row>
    <row r="524">
      <c r="A524" s="10">
        <f>IFERROR(__xludf.DUMMYFUNCTION("""COMPUTED_VALUE"""),45220.0)</f>
        <v>45220</v>
      </c>
      <c r="B524" s="3" t="str">
        <f>IFERROR(__xludf.DUMMYFUNCTION("""COMPUTED_VALUE"""),"Lewis Anderson")</f>
        <v>Lewis Anderson</v>
      </c>
      <c r="C524" s="3">
        <f>IFERROR(__xludf.DUMMYFUNCTION("""COMPUTED_VALUE"""),5.0)</f>
        <v>5</v>
      </c>
      <c r="D524" s="3">
        <f t="shared" si="1"/>
        <v>0</v>
      </c>
    </row>
    <row r="525">
      <c r="A525" s="10">
        <f>IFERROR(__xludf.DUMMYFUNCTION("""COMPUTED_VALUE"""),45220.0)</f>
        <v>45220</v>
      </c>
      <c r="B525" s="3" t="str">
        <f>IFERROR(__xludf.DUMMYFUNCTION("""COMPUTED_VALUE"""),"Mark Roberts")</f>
        <v>Mark Roberts</v>
      </c>
      <c r="C525" s="3">
        <f>IFERROR(__xludf.DUMMYFUNCTION("""COMPUTED_VALUE"""),2.0)</f>
        <v>2</v>
      </c>
      <c r="D525" s="3">
        <f t="shared" si="1"/>
        <v>0</v>
      </c>
    </row>
    <row r="526">
      <c r="A526" s="10">
        <f>IFERROR(__xludf.DUMMYFUNCTION("""COMPUTED_VALUE"""),45220.0)</f>
        <v>45220</v>
      </c>
      <c r="B526" s="3" t="str">
        <f>IFERROR(__xludf.DUMMYFUNCTION("""COMPUTED_VALUE"""),"Masood Hamidi")</f>
        <v>Masood Hamidi</v>
      </c>
      <c r="C526" s="3">
        <f>IFERROR(__xludf.DUMMYFUNCTION("""COMPUTED_VALUE"""),2.0)</f>
        <v>2</v>
      </c>
      <c r="D526" s="3">
        <f t="shared" si="1"/>
        <v>0</v>
      </c>
    </row>
    <row r="527">
      <c r="A527" s="10">
        <f>IFERROR(__xludf.DUMMYFUNCTION("""COMPUTED_VALUE"""),45220.0)</f>
        <v>45220</v>
      </c>
      <c r="B527" s="3" t="str">
        <f>IFERROR(__xludf.DUMMYFUNCTION("""COMPUTED_VALUE"""),"Matt Crowe")</f>
        <v>Matt Crowe</v>
      </c>
      <c r="C527" s="3">
        <f>IFERROR(__xludf.DUMMYFUNCTION("""COMPUTED_VALUE"""),7.0)</f>
        <v>7</v>
      </c>
      <c r="D527" s="3">
        <f t="shared" si="1"/>
        <v>0</v>
      </c>
    </row>
    <row r="528">
      <c r="A528" s="10">
        <f>IFERROR(__xludf.DUMMYFUNCTION("""COMPUTED_VALUE"""),45220.0)</f>
        <v>45220</v>
      </c>
      <c r="B528" s="3" t="str">
        <f>IFERROR(__xludf.DUMMYFUNCTION("""COMPUTED_VALUE"""),"Matt Hope")</f>
        <v>Matt Hope</v>
      </c>
      <c r="C528" s="3">
        <f>IFERROR(__xludf.DUMMYFUNCTION("""COMPUTED_VALUE"""),2.0)</f>
        <v>2</v>
      </c>
      <c r="D528" s="3">
        <f t="shared" si="1"/>
        <v>0</v>
      </c>
    </row>
    <row r="529">
      <c r="A529" s="10">
        <f>IFERROR(__xludf.DUMMYFUNCTION("""COMPUTED_VALUE"""),45220.0)</f>
        <v>45220</v>
      </c>
      <c r="B529" s="3" t="str">
        <f>IFERROR(__xludf.DUMMYFUNCTION("""COMPUTED_VALUE"""),"Max Miles")</f>
        <v>Max Miles</v>
      </c>
      <c r="C529" s="3">
        <f>IFERROR(__xludf.DUMMYFUNCTION("""COMPUTED_VALUE"""),1.0)</f>
        <v>1</v>
      </c>
      <c r="D529" s="3">
        <f t="shared" si="1"/>
        <v>0</v>
      </c>
    </row>
    <row r="530">
      <c r="A530" s="10">
        <f>IFERROR(__xludf.DUMMYFUNCTION("""COMPUTED_VALUE"""),45220.0)</f>
        <v>45220</v>
      </c>
      <c r="B530" s="3" t="str">
        <f>IFERROR(__xludf.DUMMYFUNCTION("""COMPUTED_VALUE"""),"Max Watson")</f>
        <v>Max Watson</v>
      </c>
      <c r="C530" s="3">
        <f>IFERROR(__xludf.DUMMYFUNCTION("""COMPUTED_VALUE"""),8.0)</f>
        <v>8</v>
      </c>
      <c r="D530" s="3">
        <f t="shared" si="1"/>
        <v>0</v>
      </c>
    </row>
    <row r="531">
      <c r="A531" s="10">
        <f>IFERROR(__xludf.DUMMYFUNCTION("""COMPUTED_VALUE"""),45220.0)</f>
        <v>45220</v>
      </c>
      <c r="B531" s="3" t="str">
        <f>IFERROR(__xludf.DUMMYFUNCTION("""COMPUTED_VALUE"""),"Nathan Baverstock")</f>
        <v>Nathan Baverstock</v>
      </c>
      <c r="C531" s="3">
        <f>IFERROR(__xludf.DUMMYFUNCTION("""COMPUTED_VALUE"""),10.0)</f>
        <v>10</v>
      </c>
      <c r="D531" s="3">
        <f t="shared" si="1"/>
        <v>0</v>
      </c>
    </row>
    <row r="532">
      <c r="A532" s="10">
        <f>IFERROR(__xludf.DUMMYFUNCTION("""COMPUTED_VALUE"""),45220.0)</f>
        <v>45220</v>
      </c>
      <c r="B532" s="3" t="str">
        <f>IFERROR(__xludf.DUMMYFUNCTION("""COMPUTED_VALUE"""),"Nathan Nzau")</f>
        <v>Nathan Nzau</v>
      </c>
      <c r="C532" s="3">
        <f>IFERROR(__xludf.DUMMYFUNCTION("""COMPUTED_VALUE"""),7.0)</f>
        <v>7</v>
      </c>
      <c r="D532" s="3">
        <f t="shared" si="1"/>
        <v>0</v>
      </c>
    </row>
    <row r="533">
      <c r="A533" s="10">
        <f>IFERROR(__xludf.DUMMYFUNCTION("""COMPUTED_VALUE"""),45220.0)</f>
        <v>45220</v>
      </c>
      <c r="B533" s="3" t="str">
        <f>IFERROR(__xludf.DUMMYFUNCTION("""COMPUTED_VALUE"""),"Nima Naghdi")</f>
        <v>Nima Naghdi</v>
      </c>
      <c r="C533" s="3">
        <f>IFERROR(__xludf.DUMMYFUNCTION("""COMPUTED_VALUE"""),2.0)</f>
        <v>2</v>
      </c>
      <c r="D533" s="3">
        <f t="shared" si="1"/>
        <v>0</v>
      </c>
    </row>
    <row r="534">
      <c r="A534" s="10">
        <f>IFERROR(__xludf.DUMMYFUNCTION("""COMPUTED_VALUE"""),45220.0)</f>
        <v>45220</v>
      </c>
      <c r="B534" s="3" t="str">
        <f>IFERROR(__xludf.DUMMYFUNCTION("""COMPUTED_VALUE"""),"Oli Barton")</f>
        <v>Oli Barton</v>
      </c>
      <c r="C534" s="3">
        <f>IFERROR(__xludf.DUMMYFUNCTION("""COMPUTED_VALUE"""),2.0)</f>
        <v>2</v>
      </c>
      <c r="D534" s="3">
        <f t="shared" si="1"/>
        <v>0</v>
      </c>
    </row>
    <row r="535">
      <c r="A535" s="10">
        <f>IFERROR(__xludf.DUMMYFUNCTION("""COMPUTED_VALUE"""),45220.0)</f>
        <v>45220</v>
      </c>
      <c r="B535" s="3" t="str">
        <f>IFERROR(__xludf.DUMMYFUNCTION("""COMPUTED_VALUE"""),"Oliver Golzari")</f>
        <v>Oliver Golzari</v>
      </c>
      <c r="C535" s="3">
        <f>IFERROR(__xludf.DUMMYFUNCTION("""COMPUTED_VALUE"""),2.0)</f>
        <v>2</v>
      </c>
      <c r="D535" s="3">
        <f t="shared" si="1"/>
        <v>0</v>
      </c>
    </row>
    <row r="536">
      <c r="A536" s="10">
        <f>IFERROR(__xludf.DUMMYFUNCTION("""COMPUTED_VALUE"""),45220.0)</f>
        <v>45220</v>
      </c>
      <c r="B536" s="3" t="str">
        <f>IFERROR(__xludf.DUMMYFUNCTION("""COMPUTED_VALUE"""),"Parimal Patel")</f>
        <v>Parimal Patel</v>
      </c>
      <c r="C536" s="3">
        <f>IFERROR(__xludf.DUMMYFUNCTION("""COMPUTED_VALUE"""),2.0)</f>
        <v>2</v>
      </c>
      <c r="D536" s="3">
        <f t="shared" si="1"/>
        <v>0</v>
      </c>
    </row>
    <row r="537">
      <c r="A537" s="10">
        <f>IFERROR(__xludf.DUMMYFUNCTION("""COMPUTED_VALUE"""),45220.0)</f>
        <v>45220</v>
      </c>
      <c r="B537" s="3" t="str">
        <f>IFERROR(__xludf.DUMMYFUNCTION("""COMPUTED_VALUE"""),"Paul Ball")</f>
        <v>Paul Ball</v>
      </c>
      <c r="C537" s="3">
        <f>IFERROR(__xludf.DUMMYFUNCTION("""COMPUTED_VALUE"""),11.0)</f>
        <v>11</v>
      </c>
      <c r="D537" s="3">
        <f t="shared" si="1"/>
        <v>1</v>
      </c>
    </row>
    <row r="538">
      <c r="A538" s="10">
        <f>IFERROR(__xludf.DUMMYFUNCTION("""COMPUTED_VALUE"""),45220.0)</f>
        <v>45220</v>
      </c>
      <c r="B538" s="3" t="str">
        <f>IFERROR(__xludf.DUMMYFUNCTION("""COMPUTED_VALUE"""),"Rich Robinson")</f>
        <v>Rich Robinson</v>
      </c>
      <c r="C538" s="3">
        <f>IFERROR(__xludf.DUMMYFUNCTION("""COMPUTED_VALUE"""),1.0)</f>
        <v>1</v>
      </c>
      <c r="D538" s="3">
        <f t="shared" si="1"/>
        <v>0</v>
      </c>
    </row>
    <row r="539">
      <c r="A539" s="10">
        <f>IFERROR(__xludf.DUMMYFUNCTION("""COMPUTED_VALUE"""),45220.0)</f>
        <v>45220</v>
      </c>
      <c r="B539" s="3" t="str">
        <f>IFERROR(__xludf.DUMMYFUNCTION("""COMPUTED_VALUE"""),"Rob Edmonds")</f>
        <v>Rob Edmonds</v>
      </c>
      <c r="C539" s="3">
        <f>IFERROR(__xludf.DUMMYFUNCTION("""COMPUTED_VALUE"""),10.0)</f>
        <v>10</v>
      </c>
      <c r="D539" s="3">
        <f t="shared" si="1"/>
        <v>0</v>
      </c>
    </row>
    <row r="540">
      <c r="A540" s="10">
        <f>IFERROR(__xludf.DUMMYFUNCTION("""COMPUTED_VALUE"""),45220.0)</f>
        <v>45220</v>
      </c>
      <c r="B540" s="3" t="str">
        <f>IFERROR(__xludf.DUMMYFUNCTION("""COMPUTED_VALUE"""),"Rob Pritchard-Jones")</f>
        <v>Rob Pritchard-Jones</v>
      </c>
      <c r="C540" s="3">
        <f>IFERROR(__xludf.DUMMYFUNCTION("""COMPUTED_VALUE"""),4.0)</f>
        <v>4</v>
      </c>
      <c r="D540" s="3">
        <f t="shared" si="1"/>
        <v>0</v>
      </c>
    </row>
    <row r="541">
      <c r="A541" s="10">
        <f>IFERROR(__xludf.DUMMYFUNCTION("""COMPUTED_VALUE"""),45220.0)</f>
        <v>45220</v>
      </c>
      <c r="B541" s="3" t="str">
        <f>IFERROR(__xludf.DUMMYFUNCTION("""COMPUTED_VALUE"""),"Sam Bowen")</f>
        <v>Sam Bowen</v>
      </c>
      <c r="C541" s="3">
        <f>IFERROR(__xludf.DUMMYFUNCTION("""COMPUTED_VALUE"""),2.0)</f>
        <v>2</v>
      </c>
      <c r="D541" s="3">
        <f t="shared" si="1"/>
        <v>0</v>
      </c>
    </row>
    <row r="542">
      <c r="A542" s="10">
        <f>IFERROR(__xludf.DUMMYFUNCTION("""COMPUTED_VALUE"""),45220.0)</f>
        <v>45220</v>
      </c>
      <c r="B542" s="3" t="str">
        <f>IFERROR(__xludf.DUMMYFUNCTION("""COMPUTED_VALUE"""),"Sean Rowlett")</f>
        <v>Sean Rowlett</v>
      </c>
      <c r="C542" s="3">
        <f>IFERROR(__xludf.DUMMYFUNCTION("""COMPUTED_VALUE"""),1.0)</f>
        <v>1</v>
      </c>
      <c r="D542" s="3">
        <f t="shared" si="1"/>
        <v>0</v>
      </c>
    </row>
    <row r="543">
      <c r="A543" s="10">
        <f>IFERROR(__xludf.DUMMYFUNCTION("""COMPUTED_VALUE"""),45220.0)</f>
        <v>45220</v>
      </c>
      <c r="B543" s="3" t="str">
        <f>IFERROR(__xludf.DUMMYFUNCTION("""COMPUTED_VALUE"""),"Sean Staunton")</f>
        <v>Sean Staunton</v>
      </c>
      <c r="C543" s="3">
        <f>IFERROR(__xludf.DUMMYFUNCTION("""COMPUTED_VALUE"""),3.0)</f>
        <v>3</v>
      </c>
      <c r="D543" s="3">
        <f t="shared" si="1"/>
        <v>0</v>
      </c>
    </row>
    <row r="544">
      <c r="A544" s="10">
        <f>IFERROR(__xludf.DUMMYFUNCTION("""COMPUTED_VALUE"""),45220.0)</f>
        <v>45220</v>
      </c>
      <c r="B544" s="3" t="str">
        <f>IFERROR(__xludf.DUMMYFUNCTION("""COMPUTED_VALUE"""),"Seb Curle")</f>
        <v>Seb Curle</v>
      </c>
      <c r="C544" s="3">
        <f>IFERROR(__xludf.DUMMYFUNCTION("""COMPUTED_VALUE"""),8.0)</f>
        <v>8</v>
      </c>
      <c r="D544" s="3">
        <f t="shared" si="1"/>
        <v>0</v>
      </c>
    </row>
    <row r="545">
      <c r="A545" s="10">
        <f>IFERROR(__xludf.DUMMYFUNCTION("""COMPUTED_VALUE"""),45220.0)</f>
        <v>45220</v>
      </c>
      <c r="B545" s="3" t="str">
        <f>IFERROR(__xludf.DUMMYFUNCTION("""COMPUTED_VALUE"""),"Shavon Muir")</f>
        <v>Shavon Muir</v>
      </c>
      <c r="C545" s="3">
        <f>IFERROR(__xludf.DUMMYFUNCTION("""COMPUTED_VALUE"""),2.0)</f>
        <v>2</v>
      </c>
      <c r="D545" s="3">
        <f t="shared" si="1"/>
        <v>0</v>
      </c>
    </row>
    <row r="546">
      <c r="A546" s="10">
        <f>IFERROR(__xludf.DUMMYFUNCTION("""COMPUTED_VALUE"""),45220.0)</f>
        <v>45220</v>
      </c>
      <c r="B546" s="3" t="str">
        <f>IFERROR(__xludf.DUMMYFUNCTION("""COMPUTED_VALUE"""),"Ste Calder")</f>
        <v>Ste Calder</v>
      </c>
      <c r="C546" s="3">
        <f>IFERROR(__xludf.DUMMYFUNCTION("""COMPUTED_VALUE"""),7.0)</f>
        <v>7</v>
      </c>
      <c r="D546" s="3">
        <f t="shared" si="1"/>
        <v>0</v>
      </c>
    </row>
    <row r="547">
      <c r="A547" s="10">
        <f>IFERROR(__xludf.DUMMYFUNCTION("""COMPUTED_VALUE"""),45220.0)</f>
        <v>45220</v>
      </c>
      <c r="B547" s="3" t="str">
        <f>IFERROR(__xludf.DUMMYFUNCTION("""COMPUTED_VALUE"""),"Theo Horton")</f>
        <v>Theo Horton</v>
      </c>
      <c r="C547" s="3">
        <f>IFERROR(__xludf.DUMMYFUNCTION("""COMPUTED_VALUE"""),2.0)</f>
        <v>2</v>
      </c>
      <c r="D547" s="3">
        <f t="shared" si="1"/>
        <v>0</v>
      </c>
    </row>
    <row r="548">
      <c r="A548" s="10">
        <f>IFERROR(__xludf.DUMMYFUNCTION("""COMPUTED_VALUE"""),45220.0)</f>
        <v>45220</v>
      </c>
      <c r="B548" s="3" t="str">
        <f>IFERROR(__xludf.DUMMYFUNCTION("""COMPUTED_VALUE"""),"Tom Davidson")</f>
        <v>Tom Davidson</v>
      </c>
      <c r="C548" s="3">
        <f>IFERROR(__xludf.DUMMYFUNCTION("""COMPUTED_VALUE"""),2.0)</f>
        <v>2</v>
      </c>
      <c r="D548" s="3">
        <f t="shared" si="1"/>
        <v>0</v>
      </c>
    </row>
    <row r="549">
      <c r="A549" s="10">
        <f>IFERROR(__xludf.DUMMYFUNCTION("""COMPUTED_VALUE"""),45220.0)</f>
        <v>45220</v>
      </c>
      <c r="B549" s="3" t="str">
        <f>IFERROR(__xludf.DUMMYFUNCTION("""COMPUTED_VALUE"""),"Will Sollory")</f>
        <v>Will Sollory</v>
      </c>
      <c r="C549" s="3">
        <f>IFERROR(__xludf.DUMMYFUNCTION("""COMPUTED_VALUE"""),8.0)</f>
        <v>8</v>
      </c>
      <c r="D549" s="3">
        <f t="shared" si="1"/>
        <v>0</v>
      </c>
    </row>
    <row r="550">
      <c r="A550" s="10">
        <f>IFERROR(__xludf.DUMMYFUNCTION("""COMPUTED_VALUE"""),45227.0)</f>
        <v>45227</v>
      </c>
      <c r="B550" s="3" t="str">
        <f>IFERROR(__xludf.DUMMYFUNCTION("""COMPUTED_VALUE"""),"Aaron Snelling")</f>
        <v>Aaron Snelling</v>
      </c>
      <c r="C550" s="3">
        <f>IFERROR(__xludf.DUMMYFUNCTION("""COMPUTED_VALUE"""),2.0)</f>
        <v>2</v>
      </c>
      <c r="D550" s="3">
        <f t="shared" si="1"/>
        <v>0</v>
      </c>
    </row>
    <row r="551">
      <c r="A551" s="10">
        <f>IFERROR(__xludf.DUMMYFUNCTION("""COMPUTED_VALUE"""),45227.0)</f>
        <v>45227</v>
      </c>
      <c r="B551" s="3" t="str">
        <f>IFERROR(__xludf.DUMMYFUNCTION("""COMPUTED_VALUE"""),"Adam Platten")</f>
        <v>Adam Platten</v>
      </c>
      <c r="C551" s="3">
        <f>IFERROR(__xludf.DUMMYFUNCTION("""COMPUTED_VALUE"""),6.0)</f>
        <v>6</v>
      </c>
      <c r="D551" s="3">
        <f t="shared" si="1"/>
        <v>0</v>
      </c>
    </row>
    <row r="552">
      <c r="A552" s="10">
        <f>IFERROR(__xludf.DUMMYFUNCTION("""COMPUTED_VALUE"""),45227.0)</f>
        <v>45227</v>
      </c>
      <c r="B552" s="3" t="str">
        <f>IFERROR(__xludf.DUMMYFUNCTION("""COMPUTED_VALUE"""),"Ade Lawal")</f>
        <v>Ade Lawal</v>
      </c>
      <c r="C552" s="3">
        <f>IFERROR(__xludf.DUMMYFUNCTION("""COMPUTED_VALUE"""),8.0)</f>
        <v>8</v>
      </c>
      <c r="D552" s="3">
        <f t="shared" si="1"/>
        <v>0</v>
      </c>
    </row>
    <row r="553">
      <c r="A553" s="10">
        <f>IFERROR(__xludf.DUMMYFUNCTION("""COMPUTED_VALUE"""),45227.0)</f>
        <v>45227</v>
      </c>
      <c r="B553" s="3" t="str">
        <f>IFERROR(__xludf.DUMMYFUNCTION("""COMPUTED_VALUE"""),"Afnan Khan")</f>
        <v>Afnan Khan</v>
      </c>
      <c r="C553" s="3">
        <f>IFERROR(__xludf.DUMMYFUNCTION("""COMPUTED_VALUE"""),1.0)</f>
        <v>1</v>
      </c>
      <c r="D553" s="3">
        <f t="shared" si="1"/>
        <v>0</v>
      </c>
    </row>
    <row r="554">
      <c r="A554" s="10">
        <f>IFERROR(__xludf.DUMMYFUNCTION("""COMPUTED_VALUE"""),45227.0)</f>
        <v>45227</v>
      </c>
      <c r="B554" s="3" t="str">
        <f>IFERROR(__xludf.DUMMYFUNCTION("""COMPUTED_VALUE"""),"Alex Dockerill")</f>
        <v>Alex Dockerill</v>
      </c>
      <c r="C554" s="3">
        <f>IFERROR(__xludf.DUMMYFUNCTION("""COMPUTED_VALUE"""),18.0)</f>
        <v>18</v>
      </c>
      <c r="D554" s="3">
        <f t="shared" si="1"/>
        <v>0</v>
      </c>
    </row>
    <row r="555">
      <c r="A555" s="10">
        <f>IFERROR(__xludf.DUMMYFUNCTION("""COMPUTED_VALUE"""),45227.0)</f>
        <v>45227</v>
      </c>
      <c r="B555" s="3" t="str">
        <f>IFERROR(__xludf.DUMMYFUNCTION("""COMPUTED_VALUE"""),"Alex Mansfield")</f>
        <v>Alex Mansfield</v>
      </c>
      <c r="C555" s="3">
        <f>IFERROR(__xludf.DUMMYFUNCTION("""COMPUTED_VALUE"""),7.0)</f>
        <v>7</v>
      </c>
      <c r="D555" s="3">
        <f t="shared" si="1"/>
        <v>0</v>
      </c>
    </row>
    <row r="556">
      <c r="A556" s="10">
        <f>IFERROR(__xludf.DUMMYFUNCTION("""COMPUTED_VALUE"""),45227.0)</f>
        <v>45227</v>
      </c>
      <c r="B556" s="3" t="str">
        <f>IFERROR(__xludf.DUMMYFUNCTION("""COMPUTED_VALUE"""),"Alex Scott-Ruddock")</f>
        <v>Alex Scott-Ruddock</v>
      </c>
      <c r="C556" s="3">
        <f>IFERROR(__xludf.DUMMYFUNCTION("""COMPUTED_VALUE"""),13.0)</f>
        <v>13</v>
      </c>
      <c r="D556" s="3">
        <f t="shared" si="1"/>
        <v>0</v>
      </c>
    </row>
    <row r="557">
      <c r="A557" s="10">
        <f>IFERROR(__xludf.DUMMYFUNCTION("""COMPUTED_VALUE"""),45227.0)</f>
        <v>45227</v>
      </c>
      <c r="B557" s="3" t="str">
        <f>IFERROR(__xludf.DUMMYFUNCTION("""COMPUTED_VALUE"""),"Alex Stevens")</f>
        <v>Alex Stevens</v>
      </c>
      <c r="C557" s="3">
        <f>IFERROR(__xludf.DUMMYFUNCTION("""COMPUTED_VALUE"""),9.0)</f>
        <v>9</v>
      </c>
      <c r="D557" s="3">
        <f t="shared" si="1"/>
        <v>0</v>
      </c>
    </row>
    <row r="558">
      <c r="A558" s="10">
        <f>IFERROR(__xludf.DUMMYFUNCTION("""COMPUTED_VALUE"""),45227.0)</f>
        <v>45227</v>
      </c>
      <c r="B558" s="3" t="str">
        <f>IFERROR(__xludf.DUMMYFUNCTION("""COMPUTED_VALUE"""),"Andres Ahlgren")</f>
        <v>Andres Ahlgren</v>
      </c>
      <c r="C558" s="3">
        <f>IFERROR(__xludf.DUMMYFUNCTION("""COMPUTED_VALUE"""),4.0)</f>
        <v>4</v>
      </c>
      <c r="D558" s="3">
        <f t="shared" si="1"/>
        <v>0</v>
      </c>
    </row>
    <row r="559">
      <c r="A559" s="10">
        <f>IFERROR(__xludf.DUMMYFUNCTION("""COMPUTED_VALUE"""),45227.0)</f>
        <v>45227</v>
      </c>
      <c r="B559" s="3" t="str">
        <f>IFERROR(__xludf.DUMMYFUNCTION("""COMPUTED_VALUE"""),"Andrew Barclay")</f>
        <v>Andrew Barclay</v>
      </c>
      <c r="C559" s="3">
        <f>IFERROR(__xludf.DUMMYFUNCTION("""COMPUTED_VALUE"""),2.0)</f>
        <v>2</v>
      </c>
      <c r="D559" s="3">
        <f t="shared" si="1"/>
        <v>0</v>
      </c>
    </row>
    <row r="560">
      <c r="A560" s="10">
        <f>IFERROR(__xludf.DUMMYFUNCTION("""COMPUTED_VALUE"""),45227.0)</f>
        <v>45227</v>
      </c>
      <c r="B560" s="3" t="str">
        <f>IFERROR(__xludf.DUMMYFUNCTION("""COMPUTED_VALUE"""),"Anthony Ball")</f>
        <v>Anthony Ball</v>
      </c>
      <c r="C560" s="3">
        <f>IFERROR(__xludf.DUMMYFUNCTION("""COMPUTED_VALUE"""),8.0)</f>
        <v>8</v>
      </c>
      <c r="D560" s="3">
        <f t="shared" si="1"/>
        <v>0</v>
      </c>
    </row>
    <row r="561">
      <c r="A561" s="10">
        <f>IFERROR(__xludf.DUMMYFUNCTION("""COMPUTED_VALUE"""),45227.0)</f>
        <v>45227</v>
      </c>
      <c r="B561" s="3" t="str">
        <f>IFERROR(__xludf.DUMMYFUNCTION("""COMPUTED_VALUE"""),"Calum Bennett")</f>
        <v>Calum Bennett</v>
      </c>
      <c r="C561" s="3">
        <f>IFERROR(__xludf.DUMMYFUNCTION("""COMPUTED_VALUE"""),2.0)</f>
        <v>2</v>
      </c>
      <c r="D561" s="3">
        <f t="shared" si="1"/>
        <v>0</v>
      </c>
    </row>
    <row r="562">
      <c r="A562" s="10">
        <f>IFERROR(__xludf.DUMMYFUNCTION("""COMPUTED_VALUE"""),45227.0)</f>
        <v>45227</v>
      </c>
      <c r="B562" s="3" t="str">
        <f>IFERROR(__xludf.DUMMYFUNCTION("""COMPUTED_VALUE"""),"Calum Edwards")</f>
        <v>Calum Edwards</v>
      </c>
      <c r="C562" s="3">
        <f>IFERROR(__xludf.DUMMYFUNCTION("""COMPUTED_VALUE"""),2.0)</f>
        <v>2</v>
      </c>
      <c r="D562" s="3">
        <f t="shared" si="1"/>
        <v>0</v>
      </c>
    </row>
    <row r="563">
      <c r="A563" s="10">
        <f>IFERROR(__xludf.DUMMYFUNCTION("""COMPUTED_VALUE"""),45227.0)</f>
        <v>45227</v>
      </c>
      <c r="B563" s="3" t="str">
        <f>IFERROR(__xludf.DUMMYFUNCTION("""COMPUTED_VALUE"""),"Cameron Hildebrandt-Brooks")</f>
        <v>Cameron Hildebrandt-Brooks</v>
      </c>
      <c r="C563" s="3">
        <f>IFERROR(__xludf.DUMMYFUNCTION("""COMPUTED_VALUE"""),0.0)</f>
        <v>0</v>
      </c>
      <c r="D563" s="3">
        <f t="shared" si="1"/>
        <v>0</v>
      </c>
    </row>
    <row r="564">
      <c r="A564" s="10">
        <f>IFERROR(__xludf.DUMMYFUNCTION("""COMPUTED_VALUE"""),45227.0)</f>
        <v>45227</v>
      </c>
      <c r="B564" s="3" t="str">
        <f>IFERROR(__xludf.DUMMYFUNCTION("""COMPUTED_VALUE"""),"Cameron Pashley")</f>
        <v>Cameron Pashley</v>
      </c>
      <c r="C564" s="3">
        <f>IFERROR(__xludf.DUMMYFUNCTION("""COMPUTED_VALUE"""),5.0)</f>
        <v>5</v>
      </c>
      <c r="D564" s="3">
        <f t="shared" si="1"/>
        <v>0</v>
      </c>
    </row>
    <row r="565">
      <c r="A565" s="10">
        <f>IFERROR(__xludf.DUMMYFUNCTION("""COMPUTED_VALUE"""),45227.0)</f>
        <v>45227</v>
      </c>
      <c r="B565" s="3" t="str">
        <f>IFERROR(__xludf.DUMMYFUNCTION("""COMPUTED_VALUE"""),"Cameron Ward")</f>
        <v>Cameron Ward</v>
      </c>
      <c r="C565" s="3">
        <f>IFERROR(__xludf.DUMMYFUNCTION("""COMPUTED_VALUE"""),0.0)</f>
        <v>0</v>
      </c>
      <c r="D565" s="3">
        <f t="shared" si="1"/>
        <v>0</v>
      </c>
    </row>
    <row r="566">
      <c r="A566" s="10">
        <f>IFERROR(__xludf.DUMMYFUNCTION("""COMPUTED_VALUE"""),45227.0)</f>
        <v>45227</v>
      </c>
      <c r="B566" s="3" t="str">
        <f>IFERROR(__xludf.DUMMYFUNCTION("""COMPUTED_VALUE"""),"Charlie Doe")</f>
        <v>Charlie Doe</v>
      </c>
      <c r="C566" s="3">
        <f>IFERROR(__xludf.DUMMYFUNCTION("""COMPUTED_VALUE"""),1.0)</f>
        <v>1</v>
      </c>
      <c r="D566" s="3">
        <f t="shared" si="1"/>
        <v>0</v>
      </c>
    </row>
    <row r="567">
      <c r="A567" s="10">
        <f>IFERROR(__xludf.DUMMYFUNCTION("""COMPUTED_VALUE"""),45227.0)</f>
        <v>45227</v>
      </c>
      <c r="B567" s="3" t="str">
        <f>IFERROR(__xludf.DUMMYFUNCTION("""COMPUTED_VALUE"""),"Charlie Heptinstall")</f>
        <v>Charlie Heptinstall</v>
      </c>
      <c r="C567" s="3">
        <f>IFERROR(__xludf.DUMMYFUNCTION("""COMPUTED_VALUE"""),1.0)</f>
        <v>1</v>
      </c>
      <c r="D567" s="3">
        <f t="shared" si="1"/>
        <v>0</v>
      </c>
    </row>
    <row r="568">
      <c r="A568" s="10">
        <f>IFERROR(__xludf.DUMMYFUNCTION("""COMPUTED_VALUE"""),45227.0)</f>
        <v>45227</v>
      </c>
      <c r="B568" s="3" t="str">
        <f>IFERROR(__xludf.DUMMYFUNCTION("""COMPUTED_VALUE"""),"Chris Claeys")</f>
        <v>Chris Claeys</v>
      </c>
      <c r="C568" s="3">
        <f>IFERROR(__xludf.DUMMYFUNCTION("""COMPUTED_VALUE"""),2.0)</f>
        <v>2</v>
      </c>
      <c r="D568" s="3">
        <f t="shared" si="1"/>
        <v>0</v>
      </c>
    </row>
    <row r="569">
      <c r="A569" s="10">
        <f>IFERROR(__xludf.DUMMYFUNCTION("""COMPUTED_VALUE"""),45227.0)</f>
        <v>45227</v>
      </c>
      <c r="B569" s="3" t="str">
        <f>IFERROR(__xludf.DUMMYFUNCTION("""COMPUTED_VALUE"""),"Ciaran Curran")</f>
        <v>Ciaran Curran</v>
      </c>
      <c r="C569" s="3">
        <f>IFERROR(__xludf.DUMMYFUNCTION("""COMPUTED_VALUE"""),2.0)</f>
        <v>2</v>
      </c>
      <c r="D569" s="3">
        <f t="shared" si="1"/>
        <v>0</v>
      </c>
    </row>
    <row r="570">
      <c r="A570" s="10">
        <f>IFERROR(__xludf.DUMMYFUNCTION("""COMPUTED_VALUE"""),45227.0)</f>
        <v>45227</v>
      </c>
      <c r="B570" s="3" t="str">
        <f>IFERROR(__xludf.DUMMYFUNCTION("""COMPUTED_VALUE"""),"Connor White")</f>
        <v>Connor White</v>
      </c>
      <c r="C570" s="3">
        <f>IFERROR(__xludf.DUMMYFUNCTION("""COMPUTED_VALUE"""),5.0)</f>
        <v>5</v>
      </c>
      <c r="D570" s="3">
        <f t="shared" si="1"/>
        <v>0</v>
      </c>
    </row>
    <row r="571">
      <c r="A571" s="10">
        <f>IFERROR(__xludf.DUMMYFUNCTION("""COMPUTED_VALUE"""),45227.0)</f>
        <v>45227</v>
      </c>
      <c r="B571" s="3" t="str">
        <f>IFERROR(__xludf.DUMMYFUNCTION("""COMPUTED_VALUE"""),"Dan Russell")</f>
        <v>Dan Russell</v>
      </c>
      <c r="C571" s="3">
        <f>IFERROR(__xludf.DUMMYFUNCTION("""COMPUTED_VALUE"""),2.0)</f>
        <v>2</v>
      </c>
      <c r="D571" s="3">
        <f t="shared" si="1"/>
        <v>0</v>
      </c>
    </row>
    <row r="572">
      <c r="A572" s="10">
        <f>IFERROR(__xludf.DUMMYFUNCTION("""COMPUTED_VALUE"""),45227.0)</f>
        <v>45227</v>
      </c>
      <c r="B572" s="3" t="str">
        <f>IFERROR(__xludf.DUMMYFUNCTION("""COMPUTED_VALUE"""),"David Holmes-White")</f>
        <v>David Holmes-White</v>
      </c>
      <c r="C572" s="3">
        <f>IFERROR(__xludf.DUMMYFUNCTION("""COMPUTED_VALUE"""),2.0)</f>
        <v>2</v>
      </c>
      <c r="D572" s="3">
        <f t="shared" si="1"/>
        <v>0</v>
      </c>
    </row>
    <row r="573">
      <c r="A573" s="10">
        <f>IFERROR(__xludf.DUMMYFUNCTION("""COMPUTED_VALUE"""),45227.0)</f>
        <v>45227</v>
      </c>
      <c r="B573" s="3" t="str">
        <f>IFERROR(__xludf.DUMMYFUNCTION("""COMPUTED_VALUE"""),"Deji Ogunyemi")</f>
        <v>Deji Ogunyemi</v>
      </c>
      <c r="C573" s="3">
        <f>IFERROR(__xludf.DUMMYFUNCTION("""COMPUTED_VALUE"""),5.0)</f>
        <v>5</v>
      </c>
      <c r="D573" s="3">
        <f t="shared" si="1"/>
        <v>0</v>
      </c>
    </row>
    <row r="574">
      <c r="A574" s="10">
        <f>IFERROR(__xludf.DUMMYFUNCTION("""COMPUTED_VALUE"""),45227.0)</f>
        <v>45227</v>
      </c>
      <c r="B574" s="3" t="str">
        <f>IFERROR(__xludf.DUMMYFUNCTION("""COMPUTED_VALUE"""),"Denver Lalonde")</f>
        <v>Denver Lalonde</v>
      </c>
      <c r="C574" s="3">
        <f>IFERROR(__xludf.DUMMYFUNCTION("""COMPUTED_VALUE"""),2.0)</f>
        <v>2</v>
      </c>
      <c r="D574" s="3">
        <f t="shared" si="1"/>
        <v>0</v>
      </c>
    </row>
    <row r="575">
      <c r="A575" s="10">
        <f>IFERROR(__xludf.DUMMYFUNCTION("""COMPUTED_VALUE"""),45227.0)</f>
        <v>45227</v>
      </c>
      <c r="B575" s="3" t="str">
        <f>IFERROR(__xludf.DUMMYFUNCTION("""COMPUTED_VALUE"""),"Ed Wightman")</f>
        <v>Ed Wightman</v>
      </c>
      <c r="C575" s="3">
        <f>IFERROR(__xludf.DUMMYFUNCTION("""COMPUTED_VALUE"""),2.0)</f>
        <v>2</v>
      </c>
      <c r="D575" s="3">
        <f t="shared" si="1"/>
        <v>0</v>
      </c>
    </row>
    <row r="576">
      <c r="A576" s="10">
        <f>IFERROR(__xludf.DUMMYFUNCTION("""COMPUTED_VALUE"""),45227.0)</f>
        <v>45227</v>
      </c>
      <c r="B576" s="3" t="str">
        <f>IFERROR(__xludf.DUMMYFUNCTION("""COMPUTED_VALUE"""),"Ellis Forrester")</f>
        <v>Ellis Forrester</v>
      </c>
      <c r="C576" s="3">
        <f>IFERROR(__xludf.DUMMYFUNCTION("""COMPUTED_VALUE"""),8.0)</f>
        <v>8</v>
      </c>
      <c r="D576" s="3">
        <f t="shared" si="1"/>
        <v>0</v>
      </c>
    </row>
    <row r="577">
      <c r="A577" s="10">
        <f>IFERROR(__xludf.DUMMYFUNCTION("""COMPUTED_VALUE"""),45227.0)</f>
        <v>45227</v>
      </c>
      <c r="B577" s="3" t="str">
        <f>IFERROR(__xludf.DUMMYFUNCTION("""COMPUTED_VALUE"""),"Emi Muhadri")</f>
        <v>Emi Muhadri</v>
      </c>
      <c r="C577" s="3">
        <f>IFERROR(__xludf.DUMMYFUNCTION("""COMPUTED_VALUE"""),2.0)</f>
        <v>2</v>
      </c>
      <c r="D577" s="3">
        <f t="shared" si="1"/>
        <v>0</v>
      </c>
    </row>
    <row r="578">
      <c r="A578" s="10">
        <f>IFERROR(__xludf.DUMMYFUNCTION("""COMPUTED_VALUE"""),45227.0)</f>
        <v>45227</v>
      </c>
      <c r="B578" s="3" t="str">
        <f>IFERROR(__xludf.DUMMYFUNCTION("""COMPUTED_VALUE"""),"Finn Coolen")</f>
        <v>Finn Coolen</v>
      </c>
      <c r="C578" s="3">
        <f>IFERROR(__xludf.DUMMYFUNCTION("""COMPUTED_VALUE"""),2.0)</f>
        <v>2</v>
      </c>
      <c r="D578" s="3">
        <f t="shared" si="1"/>
        <v>0</v>
      </c>
    </row>
    <row r="579">
      <c r="A579" s="10">
        <f>IFERROR(__xludf.DUMMYFUNCTION("""COMPUTED_VALUE"""),45227.0)</f>
        <v>45227</v>
      </c>
      <c r="B579" s="3" t="str">
        <f>IFERROR(__xludf.DUMMYFUNCTION("""COMPUTED_VALUE"""),"Gaz Wheldale")</f>
        <v>Gaz Wheldale</v>
      </c>
      <c r="C579" s="3">
        <f>IFERROR(__xludf.DUMMYFUNCTION("""COMPUTED_VALUE"""),1.0)</f>
        <v>1</v>
      </c>
      <c r="D579" s="3">
        <f t="shared" si="1"/>
        <v>0</v>
      </c>
    </row>
    <row r="580">
      <c r="A580" s="10">
        <f>IFERROR(__xludf.DUMMYFUNCTION("""COMPUTED_VALUE"""),45227.0)</f>
        <v>45227</v>
      </c>
      <c r="B580" s="3" t="str">
        <f>IFERROR(__xludf.DUMMYFUNCTION("""COMPUTED_VALUE"""),"George Havord")</f>
        <v>George Havord</v>
      </c>
      <c r="C580" s="3">
        <f>IFERROR(__xludf.DUMMYFUNCTION("""COMPUTED_VALUE"""),4.0)</f>
        <v>4</v>
      </c>
      <c r="D580" s="3">
        <f t="shared" si="1"/>
        <v>0</v>
      </c>
    </row>
    <row r="581">
      <c r="A581" s="10">
        <f>IFERROR(__xludf.DUMMYFUNCTION("""COMPUTED_VALUE"""),45227.0)</f>
        <v>45227</v>
      </c>
      <c r="B581" s="3" t="str">
        <f>IFERROR(__xludf.DUMMYFUNCTION("""COMPUTED_VALUE"""),"Harold Kiyingi")</f>
        <v>Harold Kiyingi</v>
      </c>
      <c r="C581" s="3">
        <f>IFERROR(__xludf.DUMMYFUNCTION("""COMPUTED_VALUE"""),2.0)</f>
        <v>2</v>
      </c>
      <c r="D581" s="3">
        <f t="shared" si="1"/>
        <v>0</v>
      </c>
    </row>
    <row r="582">
      <c r="A582" s="10">
        <f>IFERROR(__xludf.DUMMYFUNCTION("""COMPUTED_VALUE"""),45227.0)</f>
        <v>45227</v>
      </c>
      <c r="B582" s="3" t="str">
        <f>IFERROR(__xludf.DUMMYFUNCTION("""COMPUTED_VALUE"""),"Harry Fripp")</f>
        <v>Harry Fripp</v>
      </c>
      <c r="C582" s="3">
        <f>IFERROR(__xludf.DUMMYFUNCTION("""COMPUTED_VALUE"""),8.0)</f>
        <v>8</v>
      </c>
      <c r="D582" s="3">
        <f t="shared" si="1"/>
        <v>0</v>
      </c>
    </row>
    <row r="583">
      <c r="A583" s="10">
        <f>IFERROR(__xludf.DUMMYFUNCTION("""COMPUTED_VALUE"""),45227.0)</f>
        <v>45227</v>
      </c>
      <c r="B583" s="3" t="str">
        <f>IFERROR(__xludf.DUMMYFUNCTION("""COMPUTED_VALUE"""),"Ismail Wall")</f>
        <v>Ismail Wall</v>
      </c>
      <c r="C583" s="3">
        <f>IFERROR(__xludf.DUMMYFUNCTION("""COMPUTED_VALUE"""),1.0)</f>
        <v>1</v>
      </c>
      <c r="D583" s="3">
        <f t="shared" si="1"/>
        <v>0</v>
      </c>
    </row>
    <row r="584">
      <c r="A584" s="10">
        <f>IFERROR(__xludf.DUMMYFUNCTION("""COMPUTED_VALUE"""),45227.0)</f>
        <v>45227</v>
      </c>
      <c r="B584" s="3" t="str">
        <f>IFERROR(__xludf.DUMMYFUNCTION("""COMPUTED_VALUE"""),"Jack Harris")</f>
        <v>Jack Harris</v>
      </c>
      <c r="C584" s="3">
        <f>IFERROR(__xludf.DUMMYFUNCTION("""COMPUTED_VALUE"""),8.0)</f>
        <v>8</v>
      </c>
      <c r="D584" s="3">
        <f t="shared" si="1"/>
        <v>0</v>
      </c>
    </row>
    <row r="585">
      <c r="A585" s="10">
        <f>IFERROR(__xludf.DUMMYFUNCTION("""COMPUTED_VALUE"""),45227.0)</f>
        <v>45227</v>
      </c>
      <c r="B585" s="3" t="str">
        <f>IFERROR(__xludf.DUMMYFUNCTION("""COMPUTED_VALUE"""),"Jack Hind")</f>
        <v>Jack Hind</v>
      </c>
      <c r="C585" s="3">
        <f>IFERROR(__xludf.DUMMYFUNCTION("""COMPUTED_VALUE"""),5.0)</f>
        <v>5</v>
      </c>
      <c r="D585" s="3">
        <f t="shared" si="1"/>
        <v>0</v>
      </c>
    </row>
    <row r="586">
      <c r="A586" s="10">
        <f>IFERROR(__xludf.DUMMYFUNCTION("""COMPUTED_VALUE"""),45227.0)</f>
        <v>45227</v>
      </c>
      <c r="B586" s="3" t="str">
        <f>IFERROR(__xludf.DUMMYFUNCTION("""COMPUTED_VALUE"""),"James Rodriguez")</f>
        <v>James Rodriguez</v>
      </c>
      <c r="C586" s="3">
        <f>IFERROR(__xludf.DUMMYFUNCTION("""COMPUTED_VALUE"""),5.0)</f>
        <v>5</v>
      </c>
      <c r="D586" s="3">
        <f t="shared" si="1"/>
        <v>0</v>
      </c>
    </row>
    <row r="587">
      <c r="A587" s="10">
        <f>IFERROR(__xludf.DUMMYFUNCTION("""COMPUTED_VALUE"""),45227.0)</f>
        <v>45227</v>
      </c>
      <c r="B587" s="3" t="str">
        <f>IFERROR(__xludf.DUMMYFUNCTION("""COMPUTED_VALUE"""),"James Timmins")</f>
        <v>James Timmins</v>
      </c>
      <c r="C587" s="3">
        <f>IFERROR(__xludf.DUMMYFUNCTION("""COMPUTED_VALUE"""),1.0)</f>
        <v>1</v>
      </c>
      <c r="D587" s="3">
        <f t="shared" si="1"/>
        <v>0</v>
      </c>
    </row>
    <row r="588">
      <c r="A588" s="10">
        <f>IFERROR(__xludf.DUMMYFUNCTION("""COMPUTED_VALUE"""),45227.0)</f>
        <v>45227</v>
      </c>
      <c r="B588" s="3" t="str">
        <f>IFERROR(__xludf.DUMMYFUNCTION("""COMPUTED_VALUE"""),"Jamie Wood")</f>
        <v>Jamie Wood</v>
      </c>
      <c r="C588" s="3">
        <f>IFERROR(__xludf.DUMMYFUNCTION("""COMPUTED_VALUE"""),2.0)</f>
        <v>2</v>
      </c>
      <c r="D588" s="3">
        <f t="shared" si="1"/>
        <v>0</v>
      </c>
    </row>
    <row r="589">
      <c r="A589" s="10">
        <f>IFERROR(__xludf.DUMMYFUNCTION("""COMPUTED_VALUE"""),45227.0)</f>
        <v>45227</v>
      </c>
      <c r="B589" s="3" t="str">
        <f>IFERROR(__xludf.DUMMYFUNCTION("""COMPUTED_VALUE"""),"Janam Satra")</f>
        <v>Janam Satra</v>
      </c>
      <c r="C589" s="3">
        <f>IFERROR(__xludf.DUMMYFUNCTION("""COMPUTED_VALUE"""),2.0)</f>
        <v>2</v>
      </c>
      <c r="D589" s="3">
        <f t="shared" si="1"/>
        <v>0</v>
      </c>
    </row>
    <row r="590">
      <c r="A590" s="10">
        <f>IFERROR(__xludf.DUMMYFUNCTION("""COMPUTED_VALUE"""),45227.0)</f>
        <v>45227</v>
      </c>
      <c r="B590" s="3" t="str">
        <f>IFERROR(__xludf.DUMMYFUNCTION("""COMPUTED_VALUE"""),"Jarvis Cheek")</f>
        <v>Jarvis Cheek</v>
      </c>
      <c r="C590" s="3">
        <f>IFERROR(__xludf.DUMMYFUNCTION("""COMPUTED_VALUE"""),5.0)</f>
        <v>5</v>
      </c>
      <c r="D590" s="3">
        <f t="shared" si="1"/>
        <v>0</v>
      </c>
    </row>
    <row r="591">
      <c r="A591" s="10">
        <f>IFERROR(__xludf.DUMMYFUNCTION("""COMPUTED_VALUE"""),45227.0)</f>
        <v>45227</v>
      </c>
      <c r="B591" s="3" t="str">
        <f>IFERROR(__xludf.DUMMYFUNCTION("""COMPUTED_VALUE"""),"Jason Heath")</f>
        <v>Jason Heath</v>
      </c>
      <c r="C591" s="3">
        <f>IFERROR(__xludf.DUMMYFUNCTION("""COMPUTED_VALUE"""),2.0)</f>
        <v>2</v>
      </c>
      <c r="D591" s="3">
        <f t="shared" si="1"/>
        <v>0</v>
      </c>
    </row>
    <row r="592">
      <c r="A592" s="10">
        <f>IFERROR(__xludf.DUMMYFUNCTION("""COMPUTED_VALUE"""),45227.0)</f>
        <v>45227</v>
      </c>
      <c r="B592" s="3" t="str">
        <f>IFERROR(__xludf.DUMMYFUNCTION("""COMPUTED_VALUE"""),"Jay Mair")</f>
        <v>Jay Mair</v>
      </c>
      <c r="C592" s="3">
        <f>IFERROR(__xludf.DUMMYFUNCTION("""COMPUTED_VALUE"""),0.0)</f>
        <v>0</v>
      </c>
      <c r="D592" s="3">
        <f t="shared" si="1"/>
        <v>0</v>
      </c>
    </row>
    <row r="593">
      <c r="A593" s="10">
        <f>IFERROR(__xludf.DUMMYFUNCTION("""COMPUTED_VALUE"""),45227.0)</f>
        <v>45227</v>
      </c>
      <c r="B593" s="3" t="str">
        <f>IFERROR(__xludf.DUMMYFUNCTION("""COMPUTED_VALUE"""),"Jerome Goncalves")</f>
        <v>Jerome Goncalves</v>
      </c>
      <c r="C593" s="3">
        <f>IFERROR(__xludf.DUMMYFUNCTION("""COMPUTED_VALUE"""),4.0)</f>
        <v>4</v>
      </c>
      <c r="D593" s="3">
        <f t="shared" si="1"/>
        <v>0</v>
      </c>
    </row>
    <row r="594">
      <c r="A594" s="10">
        <f>IFERROR(__xludf.DUMMYFUNCTION("""COMPUTED_VALUE"""),45227.0)</f>
        <v>45227</v>
      </c>
      <c r="B594" s="3" t="str">
        <f>IFERROR(__xludf.DUMMYFUNCTION("""COMPUTED_VALUE"""),"Joe France")</f>
        <v>Joe France</v>
      </c>
      <c r="C594" s="3">
        <f>IFERROR(__xludf.DUMMYFUNCTION("""COMPUTED_VALUE"""),1.0)</f>
        <v>1</v>
      </c>
      <c r="D594" s="3">
        <f t="shared" si="1"/>
        <v>0</v>
      </c>
    </row>
    <row r="595">
      <c r="A595" s="10">
        <f>IFERROR(__xludf.DUMMYFUNCTION("""COMPUTED_VALUE"""),45227.0)</f>
        <v>45227</v>
      </c>
      <c r="B595" s="3" t="str">
        <f>IFERROR(__xludf.DUMMYFUNCTION("""COMPUTED_VALUE"""),"John Harrison")</f>
        <v>John Harrison</v>
      </c>
      <c r="C595" s="3">
        <f>IFERROR(__xludf.DUMMYFUNCTION("""COMPUTED_VALUE"""),2.0)</f>
        <v>2</v>
      </c>
      <c r="D595" s="3">
        <f t="shared" si="1"/>
        <v>0</v>
      </c>
    </row>
    <row r="596">
      <c r="A596" s="10">
        <f>IFERROR(__xludf.DUMMYFUNCTION("""COMPUTED_VALUE"""),45227.0)</f>
        <v>45227</v>
      </c>
      <c r="B596" s="3" t="str">
        <f>IFERROR(__xludf.DUMMYFUNCTION("""COMPUTED_VALUE"""),"Jonny Simmons")</f>
        <v>Jonny Simmons</v>
      </c>
      <c r="C596" s="3">
        <f>IFERROR(__xludf.DUMMYFUNCTION("""COMPUTED_VALUE"""),2.0)</f>
        <v>2</v>
      </c>
      <c r="D596" s="3">
        <f t="shared" si="1"/>
        <v>0</v>
      </c>
    </row>
    <row r="597">
      <c r="A597" s="10">
        <f>IFERROR(__xludf.DUMMYFUNCTION("""COMPUTED_VALUE"""),45227.0)</f>
        <v>45227</v>
      </c>
      <c r="B597" s="3" t="str">
        <f>IFERROR(__xludf.DUMMYFUNCTION("""COMPUTED_VALUE"""),"Josh Sherriff-Jolly")</f>
        <v>Josh Sherriff-Jolly</v>
      </c>
      <c r="C597" s="3">
        <f>IFERROR(__xludf.DUMMYFUNCTION("""COMPUTED_VALUE"""),10.0)</f>
        <v>10</v>
      </c>
      <c r="D597" s="3">
        <f t="shared" si="1"/>
        <v>0</v>
      </c>
    </row>
    <row r="598">
      <c r="A598" s="10">
        <f>IFERROR(__xludf.DUMMYFUNCTION("""COMPUTED_VALUE"""),45227.0)</f>
        <v>45227</v>
      </c>
      <c r="B598" s="3" t="str">
        <f>IFERROR(__xludf.DUMMYFUNCTION("""COMPUTED_VALUE"""),"Keaton Cohen")</f>
        <v>Keaton Cohen</v>
      </c>
      <c r="C598" s="3">
        <f>IFERROR(__xludf.DUMMYFUNCTION("""COMPUTED_VALUE"""),5.0)</f>
        <v>5</v>
      </c>
      <c r="D598" s="3">
        <f t="shared" si="1"/>
        <v>0</v>
      </c>
    </row>
    <row r="599">
      <c r="A599" s="10">
        <f>IFERROR(__xludf.DUMMYFUNCTION("""COMPUTED_VALUE"""),45227.0)</f>
        <v>45227</v>
      </c>
      <c r="B599" s="3" t="str">
        <f>IFERROR(__xludf.DUMMYFUNCTION("""COMPUTED_VALUE"""),"Kevin Gonzalez")</f>
        <v>Kevin Gonzalez</v>
      </c>
      <c r="C599" s="3">
        <f>IFERROR(__xludf.DUMMYFUNCTION("""COMPUTED_VALUE"""),1.0)</f>
        <v>1</v>
      </c>
      <c r="D599" s="3">
        <f t="shared" si="1"/>
        <v>0</v>
      </c>
    </row>
    <row r="600">
      <c r="A600" s="10">
        <f>IFERROR(__xludf.DUMMYFUNCTION("""COMPUTED_VALUE"""),45227.0)</f>
        <v>45227</v>
      </c>
      <c r="B600" s="3" t="str">
        <f>IFERROR(__xludf.DUMMYFUNCTION("""COMPUTED_VALUE"""),"Lee Clark")</f>
        <v>Lee Clark</v>
      </c>
      <c r="C600" s="3">
        <f>IFERROR(__xludf.DUMMYFUNCTION("""COMPUTED_VALUE"""),8.0)</f>
        <v>8</v>
      </c>
      <c r="D600" s="3">
        <f t="shared" si="1"/>
        <v>0</v>
      </c>
    </row>
    <row r="601">
      <c r="A601" s="10">
        <f>IFERROR(__xludf.DUMMYFUNCTION("""COMPUTED_VALUE"""),45227.0)</f>
        <v>45227</v>
      </c>
      <c r="B601" s="3" t="str">
        <f>IFERROR(__xludf.DUMMYFUNCTION("""COMPUTED_VALUE"""),"Luke Dyges")</f>
        <v>Luke Dyges</v>
      </c>
      <c r="C601" s="3">
        <f>IFERROR(__xludf.DUMMYFUNCTION("""COMPUTED_VALUE"""),1.0)</f>
        <v>1</v>
      </c>
      <c r="D601" s="3">
        <f t="shared" si="1"/>
        <v>0</v>
      </c>
    </row>
    <row r="602">
      <c r="A602" s="10">
        <f>IFERROR(__xludf.DUMMYFUNCTION("""COMPUTED_VALUE"""),45227.0)</f>
        <v>45227</v>
      </c>
      <c r="B602" s="3" t="str">
        <f>IFERROR(__xludf.DUMMYFUNCTION("""COMPUTED_VALUE"""),"Martin Goodson")</f>
        <v>Martin Goodson</v>
      </c>
      <c r="C602" s="3">
        <f>IFERROR(__xludf.DUMMYFUNCTION("""COMPUTED_VALUE"""),6.0)</f>
        <v>6</v>
      </c>
      <c r="D602" s="3">
        <f t="shared" si="1"/>
        <v>0</v>
      </c>
    </row>
    <row r="603">
      <c r="A603" s="10">
        <f>IFERROR(__xludf.DUMMYFUNCTION("""COMPUTED_VALUE"""),45227.0)</f>
        <v>45227</v>
      </c>
      <c r="B603" s="3" t="str">
        <f>IFERROR(__xludf.DUMMYFUNCTION("""COMPUTED_VALUE"""),"Masood Hamidi")</f>
        <v>Masood Hamidi</v>
      </c>
      <c r="C603" s="3">
        <f>IFERROR(__xludf.DUMMYFUNCTION("""COMPUTED_VALUE"""),8.0)</f>
        <v>8</v>
      </c>
      <c r="D603" s="3">
        <f t="shared" si="1"/>
        <v>0</v>
      </c>
    </row>
    <row r="604">
      <c r="A604" s="10">
        <f>IFERROR(__xludf.DUMMYFUNCTION("""COMPUTED_VALUE"""),45227.0)</f>
        <v>45227</v>
      </c>
      <c r="B604" s="3" t="str">
        <f>IFERROR(__xludf.DUMMYFUNCTION("""COMPUTED_VALUE"""),"Matt Crowe")</f>
        <v>Matt Crowe</v>
      </c>
      <c r="C604" s="3">
        <f>IFERROR(__xludf.DUMMYFUNCTION("""COMPUTED_VALUE"""),19.0)</f>
        <v>19</v>
      </c>
      <c r="D604" s="3">
        <f t="shared" si="1"/>
        <v>1</v>
      </c>
    </row>
    <row r="605">
      <c r="A605" s="10">
        <f>IFERROR(__xludf.DUMMYFUNCTION("""COMPUTED_VALUE"""),45227.0)</f>
        <v>45227</v>
      </c>
      <c r="B605" s="3" t="str">
        <f>IFERROR(__xludf.DUMMYFUNCTION("""COMPUTED_VALUE"""),"Matt Hope")</f>
        <v>Matt Hope</v>
      </c>
      <c r="C605" s="3">
        <f>IFERROR(__xludf.DUMMYFUNCTION("""COMPUTED_VALUE"""),2.0)</f>
        <v>2</v>
      </c>
      <c r="D605" s="3">
        <f t="shared" si="1"/>
        <v>0</v>
      </c>
    </row>
    <row r="606">
      <c r="A606" s="10">
        <f>IFERROR(__xludf.DUMMYFUNCTION("""COMPUTED_VALUE"""),45227.0)</f>
        <v>45227</v>
      </c>
      <c r="B606" s="3" t="str">
        <f>IFERROR(__xludf.DUMMYFUNCTION("""COMPUTED_VALUE"""),"Max Watson")</f>
        <v>Max Watson</v>
      </c>
      <c r="C606" s="3">
        <f>IFERROR(__xludf.DUMMYFUNCTION("""COMPUTED_VALUE"""),2.0)</f>
        <v>2</v>
      </c>
      <c r="D606" s="3">
        <f t="shared" si="1"/>
        <v>0</v>
      </c>
    </row>
    <row r="607">
      <c r="A607" s="10">
        <f>IFERROR(__xludf.DUMMYFUNCTION("""COMPUTED_VALUE"""),45227.0)</f>
        <v>45227</v>
      </c>
      <c r="B607" s="3" t="str">
        <f>IFERROR(__xludf.DUMMYFUNCTION("""COMPUTED_VALUE"""),"Nima Naghdi")</f>
        <v>Nima Naghdi</v>
      </c>
      <c r="C607" s="3">
        <f>IFERROR(__xludf.DUMMYFUNCTION("""COMPUTED_VALUE"""),2.0)</f>
        <v>2</v>
      </c>
      <c r="D607" s="3">
        <f t="shared" si="1"/>
        <v>0</v>
      </c>
    </row>
    <row r="608">
      <c r="A608" s="10">
        <f>IFERROR(__xludf.DUMMYFUNCTION("""COMPUTED_VALUE"""),45227.0)</f>
        <v>45227</v>
      </c>
      <c r="B608" s="3" t="str">
        <f>IFERROR(__xludf.DUMMYFUNCTION("""COMPUTED_VALUE"""),"Oli Barton")</f>
        <v>Oli Barton</v>
      </c>
      <c r="C608" s="3">
        <f>IFERROR(__xludf.DUMMYFUNCTION("""COMPUTED_VALUE"""),6.0)</f>
        <v>6</v>
      </c>
      <c r="D608" s="3">
        <f t="shared" si="1"/>
        <v>0</v>
      </c>
    </row>
    <row r="609">
      <c r="A609" s="10">
        <f>IFERROR(__xludf.DUMMYFUNCTION("""COMPUTED_VALUE"""),45227.0)</f>
        <v>45227</v>
      </c>
      <c r="B609" s="3" t="str">
        <f>IFERROR(__xludf.DUMMYFUNCTION("""COMPUTED_VALUE"""),"Ollie Sewell")</f>
        <v>Ollie Sewell</v>
      </c>
      <c r="C609" s="3">
        <f>IFERROR(__xludf.DUMMYFUNCTION("""COMPUTED_VALUE"""),2.0)</f>
        <v>2</v>
      </c>
      <c r="D609" s="3">
        <f t="shared" si="1"/>
        <v>0</v>
      </c>
    </row>
    <row r="610">
      <c r="A610" s="10">
        <f>IFERROR(__xludf.DUMMYFUNCTION("""COMPUTED_VALUE"""),45227.0)</f>
        <v>45227</v>
      </c>
      <c r="B610" s="3" t="str">
        <f>IFERROR(__xludf.DUMMYFUNCTION("""COMPUTED_VALUE"""),"Olly Mason")</f>
        <v>Olly Mason</v>
      </c>
      <c r="C610" s="3">
        <f>IFERROR(__xludf.DUMMYFUNCTION("""COMPUTED_VALUE"""),2.0)</f>
        <v>2</v>
      </c>
      <c r="D610" s="3">
        <f t="shared" si="1"/>
        <v>0</v>
      </c>
    </row>
    <row r="611">
      <c r="A611" s="10">
        <f>IFERROR(__xludf.DUMMYFUNCTION("""COMPUTED_VALUE"""),45227.0)</f>
        <v>45227</v>
      </c>
      <c r="B611" s="3" t="str">
        <f>IFERROR(__xludf.DUMMYFUNCTION("""COMPUTED_VALUE"""),"Paul Ball")</f>
        <v>Paul Ball</v>
      </c>
      <c r="C611" s="3">
        <f>IFERROR(__xludf.DUMMYFUNCTION("""COMPUTED_VALUE"""),5.0)</f>
        <v>5</v>
      </c>
      <c r="D611" s="3">
        <f t="shared" si="1"/>
        <v>0</v>
      </c>
    </row>
    <row r="612">
      <c r="A612" s="10">
        <f>IFERROR(__xludf.DUMMYFUNCTION("""COMPUTED_VALUE"""),45227.0)</f>
        <v>45227</v>
      </c>
      <c r="B612" s="3" t="str">
        <f>IFERROR(__xludf.DUMMYFUNCTION("""COMPUTED_VALUE"""),"Pearl Bakengela")</f>
        <v>Pearl Bakengela</v>
      </c>
      <c r="C612" s="3">
        <f>IFERROR(__xludf.DUMMYFUNCTION("""COMPUTED_VALUE"""),6.0)</f>
        <v>6</v>
      </c>
      <c r="D612" s="3">
        <f t="shared" si="1"/>
        <v>0</v>
      </c>
    </row>
    <row r="613">
      <c r="A613" s="10">
        <f>IFERROR(__xludf.DUMMYFUNCTION("""COMPUTED_VALUE"""),45227.0)</f>
        <v>45227</v>
      </c>
      <c r="B613" s="3" t="str">
        <f>IFERROR(__xludf.DUMMYFUNCTION("""COMPUTED_VALUE"""),"Peter Green")</f>
        <v>Peter Green</v>
      </c>
      <c r="C613" s="3">
        <f>IFERROR(__xludf.DUMMYFUNCTION("""COMPUTED_VALUE"""),1.0)</f>
        <v>1</v>
      </c>
      <c r="D613" s="3">
        <f t="shared" si="1"/>
        <v>0</v>
      </c>
    </row>
    <row r="614">
      <c r="A614" s="10">
        <f>IFERROR(__xludf.DUMMYFUNCTION("""COMPUTED_VALUE"""),45227.0)</f>
        <v>45227</v>
      </c>
      <c r="B614" s="3" t="str">
        <f>IFERROR(__xludf.DUMMYFUNCTION("""COMPUTED_VALUE"""),"Reiss Hutton")</f>
        <v>Reiss Hutton</v>
      </c>
      <c r="C614" s="3">
        <f>IFERROR(__xludf.DUMMYFUNCTION("""COMPUTED_VALUE"""),7.0)</f>
        <v>7</v>
      </c>
      <c r="D614" s="3">
        <f t="shared" si="1"/>
        <v>0</v>
      </c>
    </row>
    <row r="615">
      <c r="A615" s="10">
        <f>IFERROR(__xludf.DUMMYFUNCTION("""COMPUTED_VALUE"""),45227.0)</f>
        <v>45227</v>
      </c>
      <c r="B615" s="3" t="str">
        <f>IFERROR(__xludf.DUMMYFUNCTION("""COMPUTED_VALUE"""),"Richard Jones")</f>
        <v>Richard Jones</v>
      </c>
      <c r="C615" s="3">
        <f>IFERROR(__xludf.DUMMYFUNCTION("""COMPUTED_VALUE"""),14.0)</f>
        <v>14</v>
      </c>
      <c r="D615" s="3">
        <f t="shared" si="1"/>
        <v>0</v>
      </c>
    </row>
    <row r="616">
      <c r="A616" s="10">
        <f>IFERROR(__xludf.DUMMYFUNCTION("""COMPUTED_VALUE"""),45227.0)</f>
        <v>45227</v>
      </c>
      <c r="B616" s="3" t="str">
        <f>IFERROR(__xludf.DUMMYFUNCTION("""COMPUTED_VALUE"""),"Richard Scott")</f>
        <v>Richard Scott</v>
      </c>
      <c r="C616" s="3">
        <f>IFERROR(__xludf.DUMMYFUNCTION("""COMPUTED_VALUE"""),2.0)</f>
        <v>2</v>
      </c>
      <c r="D616" s="3">
        <f t="shared" si="1"/>
        <v>0</v>
      </c>
    </row>
    <row r="617">
      <c r="A617" s="10">
        <f>IFERROR(__xludf.DUMMYFUNCTION("""COMPUTED_VALUE"""),45227.0)</f>
        <v>45227</v>
      </c>
      <c r="B617" s="3" t="str">
        <f>IFERROR(__xludf.DUMMYFUNCTION("""COMPUTED_VALUE"""),"Rob Edmonds")</f>
        <v>Rob Edmonds</v>
      </c>
      <c r="C617" s="3">
        <f>IFERROR(__xludf.DUMMYFUNCTION("""COMPUTED_VALUE"""),2.0)</f>
        <v>2</v>
      </c>
      <c r="D617" s="3">
        <f t="shared" si="1"/>
        <v>0</v>
      </c>
    </row>
    <row r="618">
      <c r="A618" s="10">
        <f>IFERROR(__xludf.DUMMYFUNCTION("""COMPUTED_VALUE"""),45227.0)</f>
        <v>45227</v>
      </c>
      <c r="B618" s="3" t="str">
        <f>IFERROR(__xludf.DUMMYFUNCTION("""COMPUTED_VALUE"""),"Sam A'Court")</f>
        <v>Sam A'Court</v>
      </c>
      <c r="C618" s="3">
        <f>IFERROR(__xludf.DUMMYFUNCTION("""COMPUTED_VALUE"""),4.0)</f>
        <v>4</v>
      </c>
      <c r="D618" s="3">
        <f t="shared" si="1"/>
        <v>0</v>
      </c>
    </row>
    <row r="619">
      <c r="A619" s="10">
        <f>IFERROR(__xludf.DUMMYFUNCTION("""COMPUTED_VALUE"""),45227.0)</f>
        <v>45227</v>
      </c>
      <c r="B619" s="3" t="str">
        <f>IFERROR(__xludf.DUMMYFUNCTION("""COMPUTED_VALUE"""),"Sam Bowen")</f>
        <v>Sam Bowen</v>
      </c>
      <c r="C619" s="3">
        <f>IFERROR(__xludf.DUMMYFUNCTION("""COMPUTED_VALUE"""),2.0)</f>
        <v>2</v>
      </c>
      <c r="D619" s="3">
        <f t="shared" si="1"/>
        <v>0</v>
      </c>
    </row>
    <row r="620">
      <c r="A620" s="10">
        <f>IFERROR(__xludf.DUMMYFUNCTION("""COMPUTED_VALUE"""),45227.0)</f>
        <v>45227</v>
      </c>
      <c r="B620" s="3" t="str">
        <f>IFERROR(__xludf.DUMMYFUNCTION("""COMPUTED_VALUE"""),"Sean Rowlett")</f>
        <v>Sean Rowlett</v>
      </c>
      <c r="C620" s="3">
        <f>IFERROR(__xludf.DUMMYFUNCTION("""COMPUTED_VALUE"""),12.0)</f>
        <v>12</v>
      </c>
      <c r="D620" s="3">
        <f t="shared" si="1"/>
        <v>0</v>
      </c>
    </row>
    <row r="621">
      <c r="A621" s="10">
        <f>IFERROR(__xludf.DUMMYFUNCTION("""COMPUTED_VALUE"""),45227.0)</f>
        <v>45227</v>
      </c>
      <c r="B621" s="3" t="str">
        <f>IFERROR(__xludf.DUMMYFUNCTION("""COMPUTED_VALUE"""),"Sidney Hopper-Kelly")</f>
        <v>Sidney Hopper-Kelly</v>
      </c>
      <c r="C621" s="3">
        <f>IFERROR(__xludf.DUMMYFUNCTION("""COMPUTED_VALUE"""),1.0)</f>
        <v>1</v>
      </c>
      <c r="D621" s="3">
        <f t="shared" si="1"/>
        <v>0</v>
      </c>
    </row>
    <row r="622">
      <c r="A622" s="10">
        <f>IFERROR(__xludf.DUMMYFUNCTION("""COMPUTED_VALUE"""),45227.0)</f>
        <v>45227</v>
      </c>
      <c r="B622" s="3" t="str">
        <f>IFERROR(__xludf.DUMMYFUNCTION("""COMPUTED_VALUE"""),"Stanley Timms")</f>
        <v>Stanley Timms</v>
      </c>
      <c r="C622" s="3">
        <f>IFERROR(__xludf.DUMMYFUNCTION("""COMPUTED_VALUE"""),2.0)</f>
        <v>2</v>
      </c>
      <c r="D622" s="3">
        <f t="shared" si="1"/>
        <v>0</v>
      </c>
    </row>
    <row r="623">
      <c r="A623" s="10">
        <f>IFERROR(__xludf.DUMMYFUNCTION("""COMPUTED_VALUE"""),45227.0)</f>
        <v>45227</v>
      </c>
      <c r="B623" s="3" t="str">
        <f>IFERROR(__xludf.DUMMYFUNCTION("""COMPUTED_VALUE"""),"Tali Kiwanuka")</f>
        <v>Tali Kiwanuka</v>
      </c>
      <c r="C623" s="3">
        <f>IFERROR(__xludf.DUMMYFUNCTION("""COMPUTED_VALUE"""),2.0)</f>
        <v>2</v>
      </c>
      <c r="D623" s="3">
        <f t="shared" si="1"/>
        <v>0</v>
      </c>
    </row>
    <row r="624">
      <c r="A624" s="10">
        <f>IFERROR(__xludf.DUMMYFUNCTION("""COMPUTED_VALUE"""),45227.0)</f>
        <v>45227</v>
      </c>
      <c r="B624" s="3" t="str">
        <f>IFERROR(__xludf.DUMMYFUNCTION("""COMPUTED_VALUE"""),"Theo Horton")</f>
        <v>Theo Horton</v>
      </c>
      <c r="C624" s="3">
        <f>IFERROR(__xludf.DUMMYFUNCTION("""COMPUTED_VALUE"""),2.0)</f>
        <v>2</v>
      </c>
      <c r="D624" s="3">
        <f t="shared" si="1"/>
        <v>0</v>
      </c>
    </row>
    <row r="625">
      <c r="A625" s="10">
        <f>IFERROR(__xludf.DUMMYFUNCTION("""COMPUTED_VALUE"""),45227.0)</f>
        <v>45227</v>
      </c>
      <c r="B625" s="3" t="str">
        <f>IFERROR(__xludf.DUMMYFUNCTION("""COMPUTED_VALUE"""),"Tom Davidson")</f>
        <v>Tom Davidson</v>
      </c>
      <c r="C625" s="3">
        <f>IFERROR(__xludf.DUMMYFUNCTION("""COMPUTED_VALUE"""),1.0)</f>
        <v>1</v>
      </c>
      <c r="D625" s="3">
        <f t="shared" si="1"/>
        <v>0</v>
      </c>
    </row>
    <row r="626">
      <c r="A626" s="10">
        <f>IFERROR(__xludf.DUMMYFUNCTION("""COMPUTED_VALUE"""),45227.0)</f>
        <v>45227</v>
      </c>
      <c r="B626" s="3" t="str">
        <f>IFERROR(__xludf.DUMMYFUNCTION("""COMPUTED_VALUE"""),"Victor Lemmer")</f>
        <v>Victor Lemmer</v>
      </c>
      <c r="C626" s="3">
        <f>IFERROR(__xludf.DUMMYFUNCTION("""COMPUTED_VALUE"""),2.0)</f>
        <v>2</v>
      </c>
      <c r="D626" s="3">
        <f t="shared" si="1"/>
        <v>0</v>
      </c>
    </row>
    <row r="627">
      <c r="A627" s="10">
        <f>IFERROR(__xludf.DUMMYFUNCTION("""COMPUTED_VALUE"""),45227.0)</f>
        <v>45227</v>
      </c>
      <c r="B627" s="3" t="str">
        <f>IFERROR(__xludf.DUMMYFUNCTION("""COMPUTED_VALUE"""),"Will French")</f>
        <v>Will French</v>
      </c>
      <c r="C627" s="3">
        <f>IFERROR(__xludf.DUMMYFUNCTION("""COMPUTED_VALUE"""),5.0)</f>
        <v>5</v>
      </c>
      <c r="D627" s="3">
        <f t="shared" si="1"/>
        <v>0</v>
      </c>
    </row>
    <row r="628">
      <c r="A628" s="10">
        <f>IFERROR(__xludf.DUMMYFUNCTION("""COMPUTED_VALUE"""),45227.0)</f>
        <v>45227</v>
      </c>
      <c r="B628" s="3" t="str">
        <f>IFERROR(__xludf.DUMMYFUNCTION("""COMPUTED_VALUE"""),"Will Sollory")</f>
        <v>Will Sollory</v>
      </c>
      <c r="C628" s="3">
        <f>IFERROR(__xludf.DUMMYFUNCTION("""COMPUTED_VALUE"""),2.0)</f>
        <v>2</v>
      </c>
      <c r="D628" s="3">
        <f t="shared" si="1"/>
        <v>0</v>
      </c>
    </row>
    <row r="629">
      <c r="A629" s="10">
        <f>IFERROR(__xludf.DUMMYFUNCTION("""COMPUTED_VALUE"""),45227.0)</f>
        <v>45227</v>
      </c>
      <c r="B629" s="3" t="str">
        <f>IFERROR(__xludf.DUMMYFUNCTION("""COMPUTED_VALUE"""),"Yemi Oviosu")</f>
        <v>Yemi Oviosu</v>
      </c>
      <c r="C629" s="3">
        <f>IFERROR(__xludf.DUMMYFUNCTION("""COMPUTED_VALUE"""),2.0)</f>
        <v>2</v>
      </c>
      <c r="D629" s="3">
        <f t="shared" si="1"/>
        <v>0</v>
      </c>
    </row>
    <row r="630">
      <c r="A630" s="10">
        <f>IFERROR(__xludf.DUMMYFUNCTION("""COMPUTED_VALUE"""),45241.0)</f>
        <v>45241</v>
      </c>
      <c r="B630" s="3" t="str">
        <f>IFERROR(__xludf.DUMMYFUNCTION("""COMPUTED_VALUE"""),"Adam Platten")</f>
        <v>Adam Platten</v>
      </c>
      <c r="C630" s="3">
        <f>IFERROR(__xludf.DUMMYFUNCTION("""COMPUTED_VALUE"""),9.0)</f>
        <v>9</v>
      </c>
      <c r="D630" s="3">
        <f t="shared" si="1"/>
        <v>0</v>
      </c>
    </row>
    <row r="631">
      <c r="A631" s="10">
        <f>IFERROR(__xludf.DUMMYFUNCTION("""COMPUTED_VALUE"""),45241.0)</f>
        <v>45241</v>
      </c>
      <c r="B631" s="3" t="str">
        <f>IFERROR(__xludf.DUMMYFUNCTION("""COMPUTED_VALUE"""),"Ade Lawal")</f>
        <v>Ade Lawal</v>
      </c>
      <c r="C631" s="3">
        <f>IFERROR(__xludf.DUMMYFUNCTION("""COMPUTED_VALUE"""),1.0)</f>
        <v>1</v>
      </c>
      <c r="D631" s="3">
        <f t="shared" si="1"/>
        <v>0</v>
      </c>
    </row>
    <row r="632">
      <c r="A632" s="10">
        <f>IFERROR(__xludf.DUMMYFUNCTION("""COMPUTED_VALUE"""),45241.0)</f>
        <v>45241</v>
      </c>
      <c r="B632" s="3" t="str">
        <f>IFERROR(__xludf.DUMMYFUNCTION("""COMPUTED_VALUE"""),"Alex Dockerill")</f>
        <v>Alex Dockerill</v>
      </c>
      <c r="C632" s="3">
        <f>IFERROR(__xludf.DUMMYFUNCTION("""COMPUTED_VALUE"""),2.0)</f>
        <v>2</v>
      </c>
      <c r="D632" s="3">
        <f t="shared" si="1"/>
        <v>0</v>
      </c>
    </row>
    <row r="633">
      <c r="A633" s="10">
        <f>IFERROR(__xludf.DUMMYFUNCTION("""COMPUTED_VALUE"""),45241.0)</f>
        <v>45241</v>
      </c>
      <c r="B633" s="3" t="str">
        <f>IFERROR(__xludf.DUMMYFUNCTION("""COMPUTED_VALUE"""),"Alex Mansfield")</f>
        <v>Alex Mansfield</v>
      </c>
      <c r="C633" s="3">
        <f>IFERROR(__xludf.DUMMYFUNCTION("""COMPUTED_VALUE"""),4.0)</f>
        <v>4</v>
      </c>
      <c r="D633" s="3">
        <f t="shared" si="1"/>
        <v>0</v>
      </c>
    </row>
    <row r="634">
      <c r="A634" s="10">
        <f>IFERROR(__xludf.DUMMYFUNCTION("""COMPUTED_VALUE"""),45241.0)</f>
        <v>45241</v>
      </c>
      <c r="B634" s="3" t="str">
        <f>IFERROR(__xludf.DUMMYFUNCTION("""COMPUTED_VALUE"""),"Alex Scott-Ruddock")</f>
        <v>Alex Scott-Ruddock</v>
      </c>
      <c r="C634" s="3">
        <f>IFERROR(__xludf.DUMMYFUNCTION("""COMPUTED_VALUE"""),1.0)</f>
        <v>1</v>
      </c>
      <c r="D634" s="3">
        <f t="shared" si="1"/>
        <v>0</v>
      </c>
    </row>
    <row r="635">
      <c r="A635" s="10">
        <f>IFERROR(__xludf.DUMMYFUNCTION("""COMPUTED_VALUE"""),45241.0)</f>
        <v>45241</v>
      </c>
      <c r="B635" s="3" t="str">
        <f>IFERROR(__xludf.DUMMYFUNCTION("""COMPUTED_VALUE"""),"Alex Stevens")</f>
        <v>Alex Stevens</v>
      </c>
      <c r="C635" s="3">
        <f>IFERROR(__xludf.DUMMYFUNCTION("""COMPUTED_VALUE"""),12.0)</f>
        <v>12</v>
      </c>
      <c r="D635" s="3">
        <f t="shared" si="1"/>
        <v>0</v>
      </c>
    </row>
    <row r="636">
      <c r="A636" s="10">
        <f>IFERROR(__xludf.DUMMYFUNCTION("""COMPUTED_VALUE"""),45241.0)</f>
        <v>45241</v>
      </c>
      <c r="B636" s="3" t="str">
        <f>IFERROR(__xludf.DUMMYFUNCTION("""COMPUTED_VALUE"""),"Andres Ahlgren")</f>
        <v>Andres Ahlgren</v>
      </c>
      <c r="C636" s="3">
        <f>IFERROR(__xludf.DUMMYFUNCTION("""COMPUTED_VALUE"""),7.0)</f>
        <v>7</v>
      </c>
      <c r="D636" s="3">
        <f t="shared" si="1"/>
        <v>0</v>
      </c>
    </row>
    <row r="637">
      <c r="A637" s="10">
        <f>IFERROR(__xludf.DUMMYFUNCTION("""COMPUTED_VALUE"""),45241.0)</f>
        <v>45241</v>
      </c>
      <c r="B637" s="3" t="str">
        <f>IFERROR(__xludf.DUMMYFUNCTION("""COMPUTED_VALUE"""),"Andrew Barclay")</f>
        <v>Andrew Barclay</v>
      </c>
      <c r="C637" s="3">
        <f>IFERROR(__xludf.DUMMYFUNCTION("""COMPUTED_VALUE"""),12.0)</f>
        <v>12</v>
      </c>
      <c r="D637" s="3">
        <f t="shared" si="1"/>
        <v>0</v>
      </c>
    </row>
    <row r="638">
      <c r="A638" s="10">
        <f>IFERROR(__xludf.DUMMYFUNCTION("""COMPUTED_VALUE"""),45241.0)</f>
        <v>45241</v>
      </c>
      <c r="B638" s="3" t="str">
        <f>IFERROR(__xludf.DUMMYFUNCTION("""COMPUTED_VALUE"""),"Anish Philips")</f>
        <v>Anish Philips</v>
      </c>
      <c r="C638" s="3">
        <f>IFERROR(__xludf.DUMMYFUNCTION("""COMPUTED_VALUE"""),8.0)</f>
        <v>8</v>
      </c>
      <c r="D638" s="3">
        <f t="shared" si="1"/>
        <v>0</v>
      </c>
    </row>
    <row r="639">
      <c r="A639" s="10">
        <f>IFERROR(__xludf.DUMMYFUNCTION("""COMPUTED_VALUE"""),45241.0)</f>
        <v>45241</v>
      </c>
      <c r="B639" s="3" t="str">
        <f>IFERROR(__xludf.DUMMYFUNCTION("""COMPUTED_VALUE"""),"Anthony Ball")</f>
        <v>Anthony Ball</v>
      </c>
      <c r="C639" s="3">
        <f>IFERROR(__xludf.DUMMYFUNCTION("""COMPUTED_VALUE"""),1.0)</f>
        <v>1</v>
      </c>
      <c r="D639" s="3">
        <f t="shared" si="1"/>
        <v>0</v>
      </c>
    </row>
    <row r="640">
      <c r="A640" s="10">
        <f>IFERROR(__xludf.DUMMYFUNCTION("""COMPUTED_VALUE"""),45241.0)</f>
        <v>45241</v>
      </c>
      <c r="B640" s="3" t="str">
        <f>IFERROR(__xludf.DUMMYFUNCTION("""COMPUTED_VALUE"""),"Ben Dockerill")</f>
        <v>Ben Dockerill</v>
      </c>
      <c r="C640" s="3">
        <f>IFERROR(__xludf.DUMMYFUNCTION("""COMPUTED_VALUE"""),1.0)</f>
        <v>1</v>
      </c>
      <c r="D640" s="3">
        <f t="shared" si="1"/>
        <v>0</v>
      </c>
    </row>
    <row r="641">
      <c r="A641" s="10">
        <f>IFERROR(__xludf.DUMMYFUNCTION("""COMPUTED_VALUE"""),45241.0)</f>
        <v>45241</v>
      </c>
      <c r="B641" s="3" t="str">
        <f>IFERROR(__xludf.DUMMYFUNCTION("""COMPUTED_VALUE"""),"Billy Mclean")</f>
        <v>Billy Mclean</v>
      </c>
      <c r="C641" s="3">
        <f>IFERROR(__xludf.DUMMYFUNCTION("""COMPUTED_VALUE"""),2.0)</f>
        <v>2</v>
      </c>
      <c r="D641" s="3">
        <f t="shared" si="1"/>
        <v>0</v>
      </c>
    </row>
    <row r="642">
      <c r="A642" s="10">
        <f>IFERROR(__xludf.DUMMYFUNCTION("""COMPUTED_VALUE"""),45241.0)</f>
        <v>45241</v>
      </c>
      <c r="B642" s="3" t="str">
        <f>IFERROR(__xludf.DUMMYFUNCTION("""COMPUTED_VALUE"""),"Cameron Hildebrandt-Brooks")</f>
        <v>Cameron Hildebrandt-Brooks</v>
      </c>
      <c r="C642" s="3">
        <f>IFERROR(__xludf.DUMMYFUNCTION("""COMPUTED_VALUE"""),1.0)</f>
        <v>1</v>
      </c>
      <c r="D642" s="3">
        <f t="shared" si="1"/>
        <v>0</v>
      </c>
    </row>
    <row r="643">
      <c r="A643" s="10">
        <f>IFERROR(__xludf.DUMMYFUNCTION("""COMPUTED_VALUE"""),45241.0)</f>
        <v>45241</v>
      </c>
      <c r="B643" s="3" t="str">
        <f>IFERROR(__xludf.DUMMYFUNCTION("""COMPUTED_VALUE"""),"Cameron Ward")</f>
        <v>Cameron Ward</v>
      </c>
      <c r="C643" s="3">
        <f>IFERROR(__xludf.DUMMYFUNCTION("""COMPUTED_VALUE"""),8.0)</f>
        <v>8</v>
      </c>
      <c r="D643" s="3">
        <f t="shared" si="1"/>
        <v>0</v>
      </c>
    </row>
    <row r="644">
      <c r="A644" s="10">
        <f>IFERROR(__xludf.DUMMYFUNCTION("""COMPUTED_VALUE"""),45241.0)</f>
        <v>45241</v>
      </c>
      <c r="B644" s="3" t="str">
        <f>IFERROR(__xludf.DUMMYFUNCTION("""COMPUTED_VALUE"""),"Charlie Doe")</f>
        <v>Charlie Doe</v>
      </c>
      <c r="C644" s="3">
        <f>IFERROR(__xludf.DUMMYFUNCTION("""COMPUTED_VALUE"""),2.0)</f>
        <v>2</v>
      </c>
      <c r="D644" s="3">
        <f t="shared" si="1"/>
        <v>0</v>
      </c>
    </row>
    <row r="645">
      <c r="A645" s="10">
        <f>IFERROR(__xludf.DUMMYFUNCTION("""COMPUTED_VALUE"""),45241.0)</f>
        <v>45241</v>
      </c>
      <c r="B645" s="3" t="str">
        <f>IFERROR(__xludf.DUMMYFUNCTION("""COMPUTED_VALUE"""),"Chris Claeys")</f>
        <v>Chris Claeys</v>
      </c>
      <c r="C645" s="3">
        <f>IFERROR(__xludf.DUMMYFUNCTION("""COMPUTED_VALUE"""),2.0)</f>
        <v>2</v>
      </c>
      <c r="D645" s="3">
        <f t="shared" si="1"/>
        <v>0</v>
      </c>
    </row>
    <row r="646">
      <c r="A646" s="10">
        <f>IFERROR(__xludf.DUMMYFUNCTION("""COMPUTED_VALUE"""),45241.0)</f>
        <v>45241</v>
      </c>
      <c r="B646" s="3" t="str">
        <f>IFERROR(__xludf.DUMMYFUNCTION("""COMPUTED_VALUE"""),"Chris Douthwaite")</f>
        <v>Chris Douthwaite</v>
      </c>
      <c r="C646" s="3">
        <f>IFERROR(__xludf.DUMMYFUNCTION("""COMPUTED_VALUE"""),8.0)</f>
        <v>8</v>
      </c>
      <c r="D646" s="3">
        <f t="shared" si="1"/>
        <v>0</v>
      </c>
    </row>
    <row r="647">
      <c r="A647" s="10">
        <f>IFERROR(__xludf.DUMMYFUNCTION("""COMPUTED_VALUE"""),45241.0)</f>
        <v>45241</v>
      </c>
      <c r="B647" s="3" t="str">
        <f>IFERROR(__xludf.DUMMYFUNCTION("""COMPUTED_VALUE"""),"Chris Weir")</f>
        <v>Chris Weir</v>
      </c>
      <c r="C647" s="3">
        <f>IFERROR(__xludf.DUMMYFUNCTION("""COMPUTED_VALUE"""),2.0)</f>
        <v>2</v>
      </c>
      <c r="D647" s="3">
        <f t="shared" si="1"/>
        <v>0</v>
      </c>
    </row>
    <row r="648">
      <c r="A648" s="10">
        <f>IFERROR(__xludf.DUMMYFUNCTION("""COMPUTED_VALUE"""),45241.0)</f>
        <v>45241</v>
      </c>
      <c r="B648" s="3" t="str">
        <f>IFERROR(__xludf.DUMMYFUNCTION("""COMPUTED_VALUE"""),"Christian King")</f>
        <v>Christian King</v>
      </c>
      <c r="C648" s="3">
        <f>IFERROR(__xludf.DUMMYFUNCTION("""COMPUTED_VALUE"""),7.0)</f>
        <v>7</v>
      </c>
      <c r="D648" s="3">
        <f t="shared" si="1"/>
        <v>0</v>
      </c>
    </row>
    <row r="649">
      <c r="A649" s="10">
        <f>IFERROR(__xludf.DUMMYFUNCTION("""COMPUTED_VALUE"""),45241.0)</f>
        <v>45241</v>
      </c>
      <c r="B649" s="3" t="str">
        <f>IFERROR(__xludf.DUMMYFUNCTION("""COMPUTED_VALUE"""),"Ciaran Curran")</f>
        <v>Ciaran Curran</v>
      </c>
      <c r="C649" s="3">
        <f>IFERROR(__xludf.DUMMYFUNCTION("""COMPUTED_VALUE"""),5.0)</f>
        <v>5</v>
      </c>
      <c r="D649" s="3">
        <f t="shared" si="1"/>
        <v>0</v>
      </c>
    </row>
    <row r="650">
      <c r="A650" s="10">
        <f>IFERROR(__xludf.DUMMYFUNCTION("""COMPUTED_VALUE"""),45241.0)</f>
        <v>45241</v>
      </c>
      <c r="B650" s="3" t="str">
        <f>IFERROR(__xludf.DUMMYFUNCTION("""COMPUTED_VALUE"""),"Dan Klin")</f>
        <v>Dan Klin</v>
      </c>
      <c r="C650" s="3">
        <f>IFERROR(__xludf.DUMMYFUNCTION("""COMPUTED_VALUE"""),2.0)</f>
        <v>2</v>
      </c>
      <c r="D650" s="3">
        <f t="shared" si="1"/>
        <v>0</v>
      </c>
    </row>
    <row r="651">
      <c r="A651" s="10">
        <f>IFERROR(__xludf.DUMMYFUNCTION("""COMPUTED_VALUE"""),45241.0)</f>
        <v>45241</v>
      </c>
      <c r="B651" s="3" t="str">
        <f>IFERROR(__xludf.DUMMYFUNCTION("""COMPUTED_VALUE"""),"David Holmes-White")</f>
        <v>David Holmes-White</v>
      </c>
      <c r="C651" s="3">
        <f>IFERROR(__xludf.DUMMYFUNCTION("""COMPUTED_VALUE"""),2.0)</f>
        <v>2</v>
      </c>
      <c r="D651" s="3">
        <f t="shared" si="1"/>
        <v>0</v>
      </c>
    </row>
    <row r="652">
      <c r="A652" s="10">
        <f>IFERROR(__xludf.DUMMYFUNCTION("""COMPUTED_VALUE"""),45241.0)</f>
        <v>45241</v>
      </c>
      <c r="B652" s="3" t="str">
        <f>IFERROR(__xludf.DUMMYFUNCTION("""COMPUTED_VALUE"""),"Denver Lalonde")</f>
        <v>Denver Lalonde</v>
      </c>
      <c r="C652" s="3">
        <f>IFERROR(__xludf.DUMMYFUNCTION("""COMPUTED_VALUE"""),5.0)</f>
        <v>5</v>
      </c>
      <c r="D652" s="3">
        <f t="shared" si="1"/>
        <v>0</v>
      </c>
    </row>
    <row r="653">
      <c r="A653" s="10">
        <f>IFERROR(__xludf.DUMMYFUNCTION("""COMPUTED_VALUE"""),45241.0)</f>
        <v>45241</v>
      </c>
      <c r="B653" s="3" t="str">
        <f>IFERROR(__xludf.DUMMYFUNCTION("""COMPUTED_VALUE"""),"Ed Wightman")</f>
        <v>Ed Wightman</v>
      </c>
      <c r="C653" s="3">
        <f>IFERROR(__xludf.DUMMYFUNCTION("""COMPUTED_VALUE"""),2.0)</f>
        <v>2</v>
      </c>
      <c r="D653" s="3">
        <f t="shared" si="1"/>
        <v>0</v>
      </c>
    </row>
    <row r="654">
      <c r="A654" s="10">
        <f>IFERROR(__xludf.DUMMYFUNCTION("""COMPUTED_VALUE"""),45241.0)</f>
        <v>45241</v>
      </c>
      <c r="B654" s="3" t="str">
        <f>IFERROR(__xludf.DUMMYFUNCTION("""COMPUTED_VALUE"""),"Ellis Forrester")</f>
        <v>Ellis Forrester</v>
      </c>
      <c r="C654" s="3">
        <f>IFERROR(__xludf.DUMMYFUNCTION("""COMPUTED_VALUE"""),5.0)</f>
        <v>5</v>
      </c>
      <c r="D654" s="3">
        <f t="shared" si="1"/>
        <v>0</v>
      </c>
    </row>
    <row r="655">
      <c r="A655" s="10">
        <f>IFERROR(__xludf.DUMMYFUNCTION("""COMPUTED_VALUE"""),45241.0)</f>
        <v>45241</v>
      </c>
      <c r="B655" s="3" t="str">
        <f>IFERROR(__xludf.DUMMYFUNCTION("""COMPUTED_VALUE"""),"Emi Muhadri")</f>
        <v>Emi Muhadri</v>
      </c>
      <c r="C655" s="3">
        <f>IFERROR(__xludf.DUMMYFUNCTION("""COMPUTED_VALUE"""),2.0)</f>
        <v>2</v>
      </c>
      <c r="D655" s="3">
        <f t="shared" si="1"/>
        <v>0</v>
      </c>
    </row>
    <row r="656">
      <c r="A656" s="10">
        <f>IFERROR(__xludf.DUMMYFUNCTION("""COMPUTED_VALUE"""),45241.0)</f>
        <v>45241</v>
      </c>
      <c r="B656" s="3" t="str">
        <f>IFERROR(__xludf.DUMMYFUNCTION("""COMPUTED_VALUE"""),"Finn Coolen")</f>
        <v>Finn Coolen</v>
      </c>
      <c r="C656" s="3">
        <f>IFERROR(__xludf.DUMMYFUNCTION("""COMPUTED_VALUE"""),5.0)</f>
        <v>5</v>
      </c>
      <c r="D656" s="3">
        <f t="shared" si="1"/>
        <v>0</v>
      </c>
    </row>
    <row r="657">
      <c r="A657" s="10">
        <f>IFERROR(__xludf.DUMMYFUNCTION("""COMPUTED_VALUE"""),45241.0)</f>
        <v>45241</v>
      </c>
      <c r="B657" s="3" t="str">
        <f>IFERROR(__xludf.DUMMYFUNCTION("""COMPUTED_VALUE"""),"George Connolly")</f>
        <v>George Connolly</v>
      </c>
      <c r="C657" s="3">
        <f>IFERROR(__xludf.DUMMYFUNCTION("""COMPUTED_VALUE"""),9.0)</f>
        <v>9</v>
      </c>
      <c r="D657" s="3">
        <f t="shared" si="1"/>
        <v>0</v>
      </c>
    </row>
    <row r="658">
      <c r="A658" s="10">
        <f>IFERROR(__xludf.DUMMYFUNCTION("""COMPUTED_VALUE"""),45241.0)</f>
        <v>45241</v>
      </c>
      <c r="B658" s="3" t="str">
        <f>IFERROR(__xludf.DUMMYFUNCTION("""COMPUTED_VALUE"""),"Hallam Wye")</f>
        <v>Hallam Wye</v>
      </c>
      <c r="C658" s="3">
        <f>IFERROR(__xludf.DUMMYFUNCTION("""COMPUTED_VALUE"""),2.0)</f>
        <v>2</v>
      </c>
      <c r="D658" s="3">
        <f t="shared" si="1"/>
        <v>0</v>
      </c>
    </row>
    <row r="659">
      <c r="A659" s="10">
        <f>IFERROR(__xludf.DUMMYFUNCTION("""COMPUTED_VALUE"""),45241.0)</f>
        <v>45241</v>
      </c>
      <c r="B659" s="3" t="str">
        <f>IFERROR(__xludf.DUMMYFUNCTION("""COMPUTED_VALUE"""),"Harold Kiyingi")</f>
        <v>Harold Kiyingi</v>
      </c>
      <c r="C659" s="3">
        <f>IFERROR(__xludf.DUMMYFUNCTION("""COMPUTED_VALUE"""),10.0)</f>
        <v>10</v>
      </c>
      <c r="D659" s="3">
        <f t="shared" si="1"/>
        <v>0</v>
      </c>
    </row>
    <row r="660">
      <c r="A660" s="10">
        <f>IFERROR(__xludf.DUMMYFUNCTION("""COMPUTED_VALUE"""),45241.0)</f>
        <v>45241</v>
      </c>
      <c r="B660" s="3" t="str">
        <f>IFERROR(__xludf.DUMMYFUNCTION("""COMPUTED_VALUE"""),"Harry Fripp")</f>
        <v>Harry Fripp</v>
      </c>
      <c r="C660" s="3">
        <f>IFERROR(__xludf.DUMMYFUNCTION("""COMPUTED_VALUE"""),2.0)</f>
        <v>2</v>
      </c>
      <c r="D660" s="3">
        <f t="shared" si="1"/>
        <v>0</v>
      </c>
    </row>
    <row r="661">
      <c r="A661" s="10">
        <f>IFERROR(__xludf.DUMMYFUNCTION("""COMPUTED_VALUE"""),45241.0)</f>
        <v>45241</v>
      </c>
      <c r="B661" s="3" t="str">
        <f>IFERROR(__xludf.DUMMYFUNCTION("""COMPUTED_VALUE"""),"Henry Pepperell")</f>
        <v>Henry Pepperell</v>
      </c>
      <c r="C661" s="3">
        <f>IFERROR(__xludf.DUMMYFUNCTION("""COMPUTED_VALUE"""),11.0)</f>
        <v>11</v>
      </c>
      <c r="D661" s="3">
        <f t="shared" si="1"/>
        <v>0</v>
      </c>
    </row>
    <row r="662">
      <c r="A662" s="10">
        <f>IFERROR(__xludf.DUMMYFUNCTION("""COMPUTED_VALUE"""),45241.0)</f>
        <v>45241</v>
      </c>
      <c r="B662" s="3" t="str">
        <f>IFERROR(__xludf.DUMMYFUNCTION("""COMPUTED_VALUE"""),"Jabari Dixon")</f>
        <v>Jabari Dixon</v>
      </c>
      <c r="C662" s="3">
        <f>IFERROR(__xludf.DUMMYFUNCTION("""COMPUTED_VALUE"""),2.0)</f>
        <v>2</v>
      </c>
      <c r="D662" s="3">
        <f t="shared" si="1"/>
        <v>0</v>
      </c>
    </row>
    <row r="663">
      <c r="A663" s="10">
        <f>IFERROR(__xludf.DUMMYFUNCTION("""COMPUTED_VALUE"""),45241.0)</f>
        <v>45241</v>
      </c>
      <c r="B663" s="3" t="str">
        <f>IFERROR(__xludf.DUMMYFUNCTION("""COMPUTED_VALUE"""),"Jack Harris")</f>
        <v>Jack Harris</v>
      </c>
      <c r="C663" s="3">
        <f>IFERROR(__xludf.DUMMYFUNCTION("""COMPUTED_VALUE"""),1.0)</f>
        <v>1</v>
      </c>
      <c r="D663" s="3">
        <f t="shared" si="1"/>
        <v>0</v>
      </c>
    </row>
    <row r="664">
      <c r="A664" s="10">
        <f>IFERROR(__xludf.DUMMYFUNCTION("""COMPUTED_VALUE"""),45241.0)</f>
        <v>45241</v>
      </c>
      <c r="B664" s="3" t="str">
        <f>IFERROR(__xludf.DUMMYFUNCTION("""COMPUTED_VALUE"""),"Jack Hind")</f>
        <v>Jack Hind</v>
      </c>
      <c r="C664" s="3">
        <f>IFERROR(__xludf.DUMMYFUNCTION("""COMPUTED_VALUE"""),2.0)</f>
        <v>2</v>
      </c>
      <c r="D664" s="3">
        <f t="shared" si="1"/>
        <v>0</v>
      </c>
    </row>
    <row r="665">
      <c r="A665" s="10">
        <f>IFERROR(__xludf.DUMMYFUNCTION("""COMPUTED_VALUE"""),45241.0)</f>
        <v>45241</v>
      </c>
      <c r="B665" s="3" t="str">
        <f>IFERROR(__xludf.DUMMYFUNCTION("""COMPUTED_VALUE"""),"James Rodriguez")</f>
        <v>James Rodriguez</v>
      </c>
      <c r="C665" s="3">
        <f>IFERROR(__xludf.DUMMYFUNCTION("""COMPUTED_VALUE"""),2.0)</f>
        <v>2</v>
      </c>
      <c r="D665" s="3">
        <f t="shared" si="1"/>
        <v>0</v>
      </c>
    </row>
    <row r="666">
      <c r="A666" s="10">
        <f>IFERROR(__xludf.DUMMYFUNCTION("""COMPUTED_VALUE"""),45241.0)</f>
        <v>45241</v>
      </c>
      <c r="B666" s="3" t="str">
        <f>IFERROR(__xludf.DUMMYFUNCTION("""COMPUTED_VALUE"""),"Jamie Wood")</f>
        <v>Jamie Wood</v>
      </c>
      <c r="C666" s="3">
        <f>IFERROR(__xludf.DUMMYFUNCTION("""COMPUTED_VALUE"""),1.0)</f>
        <v>1</v>
      </c>
      <c r="D666" s="3">
        <f t="shared" si="1"/>
        <v>0</v>
      </c>
    </row>
    <row r="667">
      <c r="A667" s="10">
        <f>IFERROR(__xludf.DUMMYFUNCTION("""COMPUTED_VALUE"""),45241.0)</f>
        <v>45241</v>
      </c>
      <c r="B667" s="3" t="str">
        <f>IFERROR(__xludf.DUMMYFUNCTION("""COMPUTED_VALUE"""),"Janam Satra")</f>
        <v>Janam Satra</v>
      </c>
      <c r="C667" s="3">
        <f>IFERROR(__xludf.DUMMYFUNCTION("""COMPUTED_VALUE"""),2.0)</f>
        <v>2</v>
      </c>
      <c r="D667" s="3">
        <f t="shared" si="1"/>
        <v>0</v>
      </c>
    </row>
    <row r="668">
      <c r="A668" s="10">
        <f>IFERROR(__xludf.DUMMYFUNCTION("""COMPUTED_VALUE"""),45241.0)</f>
        <v>45241</v>
      </c>
      <c r="B668" s="3" t="str">
        <f>IFERROR(__xludf.DUMMYFUNCTION("""COMPUTED_VALUE"""),"Jarvis Cheek")</f>
        <v>Jarvis Cheek</v>
      </c>
      <c r="C668" s="3">
        <f>IFERROR(__xludf.DUMMYFUNCTION("""COMPUTED_VALUE"""),16.0)</f>
        <v>16</v>
      </c>
      <c r="D668" s="3">
        <f t="shared" si="1"/>
        <v>0</v>
      </c>
    </row>
    <row r="669">
      <c r="A669" s="10">
        <f>IFERROR(__xludf.DUMMYFUNCTION("""COMPUTED_VALUE"""),45241.0)</f>
        <v>45241</v>
      </c>
      <c r="B669" s="3" t="str">
        <f>IFERROR(__xludf.DUMMYFUNCTION("""COMPUTED_VALUE"""),"Jason Heath")</f>
        <v>Jason Heath</v>
      </c>
      <c r="C669" s="3">
        <f>IFERROR(__xludf.DUMMYFUNCTION("""COMPUTED_VALUE"""),2.0)</f>
        <v>2</v>
      </c>
      <c r="D669" s="3">
        <f t="shared" si="1"/>
        <v>0</v>
      </c>
    </row>
    <row r="670">
      <c r="A670" s="10">
        <f>IFERROR(__xludf.DUMMYFUNCTION("""COMPUTED_VALUE"""),45241.0)</f>
        <v>45241</v>
      </c>
      <c r="B670" s="3" t="str">
        <f>IFERROR(__xludf.DUMMYFUNCTION("""COMPUTED_VALUE"""),"Jay Mair")</f>
        <v>Jay Mair</v>
      </c>
      <c r="C670" s="3">
        <f>IFERROR(__xludf.DUMMYFUNCTION("""COMPUTED_VALUE"""),2.0)</f>
        <v>2</v>
      </c>
      <c r="D670" s="3">
        <f t="shared" si="1"/>
        <v>0</v>
      </c>
    </row>
    <row r="671">
      <c r="A671" s="10">
        <f>IFERROR(__xludf.DUMMYFUNCTION("""COMPUTED_VALUE"""),45241.0)</f>
        <v>45241</v>
      </c>
      <c r="B671" s="3" t="str">
        <f>IFERROR(__xludf.DUMMYFUNCTION("""COMPUTED_VALUE"""),"Jed Evamy")</f>
        <v>Jed Evamy</v>
      </c>
      <c r="C671" s="3">
        <f>IFERROR(__xludf.DUMMYFUNCTION("""COMPUTED_VALUE"""),1.0)</f>
        <v>1</v>
      </c>
      <c r="D671" s="3">
        <f t="shared" si="1"/>
        <v>0</v>
      </c>
    </row>
    <row r="672">
      <c r="A672" s="10">
        <f>IFERROR(__xludf.DUMMYFUNCTION("""COMPUTED_VALUE"""),45241.0)</f>
        <v>45241</v>
      </c>
      <c r="B672" s="3" t="str">
        <f>IFERROR(__xludf.DUMMYFUNCTION("""COMPUTED_VALUE"""),"Jerome Goncalves")</f>
        <v>Jerome Goncalves</v>
      </c>
      <c r="C672" s="3">
        <f>IFERROR(__xludf.DUMMYFUNCTION("""COMPUTED_VALUE"""),2.0)</f>
        <v>2</v>
      </c>
      <c r="D672" s="3">
        <f t="shared" si="1"/>
        <v>0</v>
      </c>
    </row>
    <row r="673">
      <c r="A673" s="10">
        <f>IFERROR(__xludf.DUMMYFUNCTION("""COMPUTED_VALUE"""),45241.0)</f>
        <v>45241</v>
      </c>
      <c r="B673" s="3" t="str">
        <f>IFERROR(__xludf.DUMMYFUNCTION("""COMPUTED_VALUE"""),"Joel Wright")</f>
        <v>Joel Wright</v>
      </c>
      <c r="C673" s="3">
        <f>IFERROR(__xludf.DUMMYFUNCTION("""COMPUTED_VALUE"""),2.0)</f>
        <v>2</v>
      </c>
      <c r="D673" s="3">
        <f t="shared" si="1"/>
        <v>0</v>
      </c>
    </row>
    <row r="674">
      <c r="A674" s="10">
        <f>IFERROR(__xludf.DUMMYFUNCTION("""COMPUTED_VALUE"""),45241.0)</f>
        <v>45241</v>
      </c>
      <c r="B674" s="3" t="str">
        <f>IFERROR(__xludf.DUMMYFUNCTION("""COMPUTED_VALUE"""),"John Harrison")</f>
        <v>John Harrison</v>
      </c>
      <c r="C674" s="3">
        <f>IFERROR(__xludf.DUMMYFUNCTION("""COMPUTED_VALUE"""),6.0)</f>
        <v>6</v>
      </c>
      <c r="D674" s="3">
        <f t="shared" si="1"/>
        <v>0</v>
      </c>
    </row>
    <row r="675">
      <c r="A675" s="10">
        <f>IFERROR(__xludf.DUMMYFUNCTION("""COMPUTED_VALUE"""),45241.0)</f>
        <v>45241</v>
      </c>
      <c r="B675" s="3" t="str">
        <f>IFERROR(__xludf.DUMMYFUNCTION("""COMPUTED_VALUE"""),"Jonny Simmons")</f>
        <v>Jonny Simmons</v>
      </c>
      <c r="C675" s="3">
        <f>IFERROR(__xludf.DUMMYFUNCTION("""COMPUTED_VALUE"""),2.0)</f>
        <v>2</v>
      </c>
      <c r="D675" s="3">
        <f t="shared" si="1"/>
        <v>0</v>
      </c>
    </row>
    <row r="676">
      <c r="A676" s="10">
        <f>IFERROR(__xludf.DUMMYFUNCTION("""COMPUTED_VALUE"""),45241.0)</f>
        <v>45241</v>
      </c>
      <c r="B676" s="3" t="str">
        <f>IFERROR(__xludf.DUMMYFUNCTION("""COMPUTED_VALUE"""),"Josh Sherriff-Jolly")</f>
        <v>Josh Sherriff-Jolly</v>
      </c>
      <c r="C676" s="3">
        <f>IFERROR(__xludf.DUMMYFUNCTION("""COMPUTED_VALUE"""),9.0)</f>
        <v>9</v>
      </c>
      <c r="D676" s="3">
        <f t="shared" si="1"/>
        <v>0</v>
      </c>
    </row>
    <row r="677">
      <c r="A677" s="10">
        <f>IFERROR(__xludf.DUMMYFUNCTION("""COMPUTED_VALUE"""),45241.0)</f>
        <v>45241</v>
      </c>
      <c r="B677" s="3" t="str">
        <f>IFERROR(__xludf.DUMMYFUNCTION("""COMPUTED_VALUE"""),"Keaton Cohen")</f>
        <v>Keaton Cohen</v>
      </c>
      <c r="C677" s="3">
        <f>IFERROR(__xludf.DUMMYFUNCTION("""COMPUTED_VALUE"""),2.0)</f>
        <v>2</v>
      </c>
      <c r="D677" s="3">
        <f t="shared" si="1"/>
        <v>0</v>
      </c>
    </row>
    <row r="678">
      <c r="A678" s="10">
        <f>IFERROR(__xludf.DUMMYFUNCTION("""COMPUTED_VALUE"""),45241.0)</f>
        <v>45241</v>
      </c>
      <c r="B678" s="3" t="str">
        <f>IFERROR(__xludf.DUMMYFUNCTION("""COMPUTED_VALUE"""),"Kevin Gonzalez")</f>
        <v>Kevin Gonzalez</v>
      </c>
      <c r="C678" s="3">
        <f>IFERROR(__xludf.DUMMYFUNCTION("""COMPUTED_VALUE"""),7.0)</f>
        <v>7</v>
      </c>
      <c r="D678" s="3">
        <f t="shared" si="1"/>
        <v>0</v>
      </c>
    </row>
    <row r="679">
      <c r="A679" s="10">
        <f>IFERROR(__xludf.DUMMYFUNCTION("""COMPUTED_VALUE"""),45241.0)</f>
        <v>45241</v>
      </c>
      <c r="B679" s="3" t="str">
        <f>IFERROR(__xludf.DUMMYFUNCTION("""COMPUTED_VALUE"""),"Lee Clark")</f>
        <v>Lee Clark</v>
      </c>
      <c r="C679" s="3">
        <f>IFERROR(__xludf.DUMMYFUNCTION("""COMPUTED_VALUE"""),1.0)</f>
        <v>1</v>
      </c>
      <c r="D679" s="3">
        <f t="shared" si="1"/>
        <v>0</v>
      </c>
    </row>
    <row r="680">
      <c r="A680" s="10">
        <f>IFERROR(__xludf.DUMMYFUNCTION("""COMPUTED_VALUE"""),45241.0)</f>
        <v>45241</v>
      </c>
      <c r="B680" s="3" t="str">
        <f>IFERROR(__xludf.DUMMYFUNCTION("""COMPUTED_VALUE"""),"Lewis Anderson")</f>
        <v>Lewis Anderson</v>
      </c>
      <c r="C680" s="3">
        <f>IFERROR(__xludf.DUMMYFUNCTION("""COMPUTED_VALUE"""),8.0)</f>
        <v>8</v>
      </c>
      <c r="D680" s="3">
        <f t="shared" si="1"/>
        <v>0</v>
      </c>
    </row>
    <row r="681">
      <c r="A681" s="10">
        <f>IFERROR(__xludf.DUMMYFUNCTION("""COMPUTED_VALUE"""),45241.0)</f>
        <v>45241</v>
      </c>
      <c r="B681" s="3" t="str">
        <f>IFERROR(__xludf.DUMMYFUNCTION("""COMPUTED_VALUE"""),"Luke Dyges")</f>
        <v>Luke Dyges</v>
      </c>
      <c r="C681" s="3">
        <f>IFERROR(__xludf.DUMMYFUNCTION("""COMPUTED_VALUE"""),0.0)</f>
        <v>0</v>
      </c>
      <c r="D681" s="3">
        <f t="shared" si="1"/>
        <v>0</v>
      </c>
    </row>
    <row r="682">
      <c r="A682" s="10">
        <f>IFERROR(__xludf.DUMMYFUNCTION("""COMPUTED_VALUE"""),45241.0)</f>
        <v>45241</v>
      </c>
      <c r="B682" s="3" t="str">
        <f>IFERROR(__xludf.DUMMYFUNCTION("""COMPUTED_VALUE"""),"Mark Roberts")</f>
        <v>Mark Roberts</v>
      </c>
      <c r="C682" s="3">
        <f>IFERROR(__xludf.DUMMYFUNCTION("""COMPUTED_VALUE"""),2.0)</f>
        <v>2</v>
      </c>
      <c r="D682" s="3">
        <f t="shared" si="1"/>
        <v>0</v>
      </c>
    </row>
    <row r="683">
      <c r="A683" s="10">
        <f>IFERROR(__xludf.DUMMYFUNCTION("""COMPUTED_VALUE"""),45241.0)</f>
        <v>45241</v>
      </c>
      <c r="B683" s="3" t="str">
        <f>IFERROR(__xludf.DUMMYFUNCTION("""COMPUTED_VALUE"""),"Martin Goodson")</f>
        <v>Martin Goodson</v>
      </c>
      <c r="C683" s="3">
        <f>IFERROR(__xludf.DUMMYFUNCTION("""COMPUTED_VALUE"""),2.0)</f>
        <v>2</v>
      </c>
      <c r="D683" s="3">
        <f t="shared" si="1"/>
        <v>0</v>
      </c>
    </row>
    <row r="684">
      <c r="A684" s="10">
        <f>IFERROR(__xludf.DUMMYFUNCTION("""COMPUTED_VALUE"""),45241.0)</f>
        <v>45241</v>
      </c>
      <c r="B684" s="3" t="str">
        <f>IFERROR(__xludf.DUMMYFUNCTION("""COMPUTED_VALUE"""),"Masood Hamidi")</f>
        <v>Masood Hamidi</v>
      </c>
      <c r="C684" s="3">
        <f>IFERROR(__xludf.DUMMYFUNCTION("""COMPUTED_VALUE"""),5.0)</f>
        <v>5</v>
      </c>
      <c r="D684" s="3">
        <f t="shared" si="1"/>
        <v>0</v>
      </c>
    </row>
    <row r="685">
      <c r="A685" s="10">
        <f>IFERROR(__xludf.DUMMYFUNCTION("""COMPUTED_VALUE"""),45241.0)</f>
        <v>45241</v>
      </c>
      <c r="B685" s="3" t="str">
        <f>IFERROR(__xludf.DUMMYFUNCTION("""COMPUTED_VALUE"""),"Matt Crowe")</f>
        <v>Matt Crowe</v>
      </c>
      <c r="C685" s="3">
        <f>IFERROR(__xludf.DUMMYFUNCTION("""COMPUTED_VALUE"""),1.0)</f>
        <v>1</v>
      </c>
      <c r="D685" s="3">
        <f t="shared" si="1"/>
        <v>0</v>
      </c>
    </row>
    <row r="686">
      <c r="A686" s="10">
        <f>IFERROR(__xludf.DUMMYFUNCTION("""COMPUTED_VALUE"""),45241.0)</f>
        <v>45241</v>
      </c>
      <c r="B686" s="3" t="str">
        <f>IFERROR(__xludf.DUMMYFUNCTION("""COMPUTED_VALUE"""),"Matt Hope")</f>
        <v>Matt Hope</v>
      </c>
      <c r="C686" s="3">
        <f>IFERROR(__xludf.DUMMYFUNCTION("""COMPUTED_VALUE"""),2.0)</f>
        <v>2</v>
      </c>
      <c r="D686" s="3">
        <f t="shared" si="1"/>
        <v>0</v>
      </c>
    </row>
    <row r="687">
      <c r="A687" s="10">
        <f>IFERROR(__xludf.DUMMYFUNCTION("""COMPUTED_VALUE"""),45241.0)</f>
        <v>45241</v>
      </c>
      <c r="B687" s="3" t="str">
        <f>IFERROR(__xludf.DUMMYFUNCTION("""COMPUTED_VALUE"""),"Matthew Thomas")</f>
        <v>Matthew Thomas</v>
      </c>
      <c r="C687" s="3">
        <f>IFERROR(__xludf.DUMMYFUNCTION("""COMPUTED_VALUE"""),2.0)</f>
        <v>2</v>
      </c>
      <c r="D687" s="3">
        <f t="shared" si="1"/>
        <v>0</v>
      </c>
    </row>
    <row r="688">
      <c r="A688" s="10">
        <f>IFERROR(__xludf.DUMMYFUNCTION("""COMPUTED_VALUE"""),45241.0)</f>
        <v>45241</v>
      </c>
      <c r="B688" s="3" t="str">
        <f>IFERROR(__xludf.DUMMYFUNCTION("""COMPUTED_VALUE"""),"Max Miles")</f>
        <v>Max Miles</v>
      </c>
      <c r="C688" s="3">
        <f>IFERROR(__xludf.DUMMYFUNCTION("""COMPUTED_VALUE"""),12.0)</f>
        <v>12</v>
      </c>
      <c r="D688" s="3">
        <f t="shared" si="1"/>
        <v>0</v>
      </c>
    </row>
    <row r="689">
      <c r="A689" s="10">
        <f>IFERROR(__xludf.DUMMYFUNCTION("""COMPUTED_VALUE"""),45241.0)</f>
        <v>45241</v>
      </c>
      <c r="B689" s="3" t="str">
        <f>IFERROR(__xludf.DUMMYFUNCTION("""COMPUTED_VALUE"""),"Max Watson")</f>
        <v>Max Watson</v>
      </c>
      <c r="C689" s="3">
        <f>IFERROR(__xludf.DUMMYFUNCTION("""COMPUTED_VALUE"""),2.0)</f>
        <v>2</v>
      </c>
      <c r="D689" s="3">
        <f t="shared" si="1"/>
        <v>0</v>
      </c>
    </row>
    <row r="690">
      <c r="A690" s="10">
        <f>IFERROR(__xludf.DUMMYFUNCTION("""COMPUTED_VALUE"""),45241.0)</f>
        <v>45241</v>
      </c>
      <c r="B690" s="3" t="str">
        <f>IFERROR(__xludf.DUMMYFUNCTION("""COMPUTED_VALUE"""),"Micah Pinnock")</f>
        <v>Micah Pinnock</v>
      </c>
      <c r="C690" s="3">
        <f>IFERROR(__xludf.DUMMYFUNCTION("""COMPUTED_VALUE"""),6.0)</f>
        <v>6</v>
      </c>
      <c r="D690" s="3">
        <f t="shared" si="1"/>
        <v>0</v>
      </c>
    </row>
    <row r="691">
      <c r="A691" s="10">
        <f>IFERROR(__xludf.DUMMYFUNCTION("""COMPUTED_VALUE"""),45241.0)</f>
        <v>45241</v>
      </c>
      <c r="B691" s="3" t="str">
        <f>IFERROR(__xludf.DUMMYFUNCTION("""COMPUTED_VALUE"""),"Nathan Baverstock")</f>
        <v>Nathan Baverstock</v>
      </c>
      <c r="C691" s="3">
        <f>IFERROR(__xludf.DUMMYFUNCTION("""COMPUTED_VALUE"""),19.0)</f>
        <v>19</v>
      </c>
      <c r="D691" s="3">
        <f t="shared" si="1"/>
        <v>1</v>
      </c>
    </row>
    <row r="692">
      <c r="A692" s="10">
        <f>IFERROR(__xludf.DUMMYFUNCTION("""COMPUTED_VALUE"""),45241.0)</f>
        <v>45241</v>
      </c>
      <c r="B692" s="3" t="str">
        <f>IFERROR(__xludf.DUMMYFUNCTION("""COMPUTED_VALUE"""),"Nima Naghdi")</f>
        <v>Nima Naghdi</v>
      </c>
      <c r="C692" s="3">
        <f>IFERROR(__xludf.DUMMYFUNCTION("""COMPUTED_VALUE"""),7.0)</f>
        <v>7</v>
      </c>
      <c r="D692" s="3">
        <f t="shared" si="1"/>
        <v>0</v>
      </c>
    </row>
    <row r="693">
      <c r="A693" s="10">
        <f>IFERROR(__xludf.DUMMYFUNCTION("""COMPUTED_VALUE"""),45241.0)</f>
        <v>45241</v>
      </c>
      <c r="B693" s="3" t="str">
        <f>IFERROR(__xludf.DUMMYFUNCTION("""COMPUTED_VALUE"""),"Oli Barton")</f>
        <v>Oli Barton</v>
      </c>
      <c r="C693" s="3">
        <f>IFERROR(__xludf.DUMMYFUNCTION("""COMPUTED_VALUE"""),14.0)</f>
        <v>14</v>
      </c>
      <c r="D693" s="3">
        <f t="shared" si="1"/>
        <v>0</v>
      </c>
    </row>
    <row r="694">
      <c r="A694" s="10">
        <f>IFERROR(__xludf.DUMMYFUNCTION("""COMPUTED_VALUE"""),45241.0)</f>
        <v>45241</v>
      </c>
      <c r="B694" s="3" t="str">
        <f>IFERROR(__xludf.DUMMYFUNCTION("""COMPUTED_VALUE"""),"Ollie Sewell")</f>
        <v>Ollie Sewell</v>
      </c>
      <c r="C694" s="3">
        <f>IFERROR(__xludf.DUMMYFUNCTION("""COMPUTED_VALUE"""),1.0)</f>
        <v>1</v>
      </c>
      <c r="D694" s="3">
        <f t="shared" si="1"/>
        <v>0</v>
      </c>
    </row>
    <row r="695">
      <c r="A695" s="10">
        <f>IFERROR(__xludf.DUMMYFUNCTION("""COMPUTED_VALUE"""),45241.0)</f>
        <v>45241</v>
      </c>
      <c r="B695" s="3" t="str">
        <f>IFERROR(__xludf.DUMMYFUNCTION("""COMPUTED_VALUE"""),"Olly Mason")</f>
        <v>Olly Mason</v>
      </c>
      <c r="C695" s="3">
        <f>IFERROR(__xludf.DUMMYFUNCTION("""COMPUTED_VALUE"""),2.0)</f>
        <v>2</v>
      </c>
      <c r="D695" s="3">
        <f t="shared" si="1"/>
        <v>0</v>
      </c>
    </row>
    <row r="696">
      <c r="A696" s="10">
        <f>IFERROR(__xludf.DUMMYFUNCTION("""COMPUTED_VALUE"""),45241.0)</f>
        <v>45241</v>
      </c>
      <c r="B696" s="3" t="str">
        <f>IFERROR(__xludf.DUMMYFUNCTION("""COMPUTED_VALUE"""),"Parimal Patel")</f>
        <v>Parimal Patel</v>
      </c>
      <c r="C696" s="3">
        <f>IFERROR(__xludf.DUMMYFUNCTION("""COMPUTED_VALUE"""),2.0)</f>
        <v>2</v>
      </c>
      <c r="D696" s="3">
        <f t="shared" si="1"/>
        <v>0</v>
      </c>
    </row>
    <row r="697">
      <c r="A697" s="10">
        <f>IFERROR(__xludf.DUMMYFUNCTION("""COMPUTED_VALUE"""),45241.0)</f>
        <v>45241</v>
      </c>
      <c r="B697" s="3" t="str">
        <f>IFERROR(__xludf.DUMMYFUNCTION("""COMPUTED_VALUE"""),"Paul Ball")</f>
        <v>Paul Ball</v>
      </c>
      <c r="C697" s="3">
        <f>IFERROR(__xludf.DUMMYFUNCTION("""COMPUTED_VALUE"""),2.0)</f>
        <v>2</v>
      </c>
      <c r="D697" s="3">
        <f t="shared" si="1"/>
        <v>0</v>
      </c>
    </row>
    <row r="698">
      <c r="A698" s="10">
        <f>IFERROR(__xludf.DUMMYFUNCTION("""COMPUTED_VALUE"""),45241.0)</f>
        <v>45241</v>
      </c>
      <c r="B698" s="3" t="str">
        <f>IFERROR(__xludf.DUMMYFUNCTION("""COMPUTED_VALUE"""),"Pearl Bakengela")</f>
        <v>Pearl Bakengela</v>
      </c>
      <c r="C698" s="3">
        <f>IFERROR(__xludf.DUMMYFUNCTION("""COMPUTED_VALUE"""),2.0)</f>
        <v>2</v>
      </c>
      <c r="D698" s="3">
        <f t="shared" si="1"/>
        <v>0</v>
      </c>
    </row>
    <row r="699">
      <c r="A699" s="10">
        <f>IFERROR(__xludf.DUMMYFUNCTION("""COMPUTED_VALUE"""),45241.0)</f>
        <v>45241</v>
      </c>
      <c r="B699" s="3" t="str">
        <f>IFERROR(__xludf.DUMMYFUNCTION("""COMPUTED_VALUE"""),"Peter Green")</f>
        <v>Peter Green</v>
      </c>
      <c r="C699" s="3">
        <f>IFERROR(__xludf.DUMMYFUNCTION("""COMPUTED_VALUE"""),2.0)</f>
        <v>2</v>
      </c>
      <c r="D699" s="3">
        <f t="shared" si="1"/>
        <v>0</v>
      </c>
    </row>
    <row r="700">
      <c r="A700" s="10">
        <f>IFERROR(__xludf.DUMMYFUNCTION("""COMPUTED_VALUE"""),45241.0)</f>
        <v>45241</v>
      </c>
      <c r="B700" s="3" t="str">
        <f>IFERROR(__xludf.DUMMYFUNCTION("""COMPUTED_VALUE"""),"Rich Lundie")</f>
        <v>Rich Lundie</v>
      </c>
      <c r="C700" s="3">
        <f>IFERROR(__xludf.DUMMYFUNCTION("""COMPUTED_VALUE"""),8.0)</f>
        <v>8</v>
      </c>
      <c r="D700" s="3">
        <f t="shared" si="1"/>
        <v>0</v>
      </c>
    </row>
    <row r="701">
      <c r="A701" s="10">
        <f>IFERROR(__xludf.DUMMYFUNCTION("""COMPUTED_VALUE"""),45241.0)</f>
        <v>45241</v>
      </c>
      <c r="B701" s="3" t="str">
        <f>IFERROR(__xludf.DUMMYFUNCTION("""COMPUTED_VALUE"""),"Rob Pritchard-Jones")</f>
        <v>Rob Pritchard-Jones</v>
      </c>
      <c r="C701" s="3">
        <f>IFERROR(__xludf.DUMMYFUNCTION("""COMPUTED_VALUE"""),5.0)</f>
        <v>5</v>
      </c>
      <c r="D701" s="3">
        <f t="shared" si="1"/>
        <v>0</v>
      </c>
    </row>
    <row r="702">
      <c r="A702" s="10">
        <f>IFERROR(__xludf.DUMMYFUNCTION("""COMPUTED_VALUE"""),45241.0)</f>
        <v>45241</v>
      </c>
      <c r="B702" s="3" t="str">
        <f>IFERROR(__xludf.DUMMYFUNCTION("""COMPUTED_VALUE"""),"Sean Rowlett")</f>
        <v>Sean Rowlett</v>
      </c>
      <c r="C702" s="3">
        <f>IFERROR(__xludf.DUMMYFUNCTION("""COMPUTED_VALUE"""),2.0)</f>
        <v>2</v>
      </c>
      <c r="D702" s="3">
        <f t="shared" si="1"/>
        <v>0</v>
      </c>
    </row>
    <row r="703">
      <c r="A703" s="10">
        <f>IFERROR(__xludf.DUMMYFUNCTION("""COMPUTED_VALUE"""),45241.0)</f>
        <v>45241</v>
      </c>
      <c r="B703" s="3" t="str">
        <f>IFERROR(__xludf.DUMMYFUNCTION("""COMPUTED_VALUE"""),"Seb Curle")</f>
        <v>Seb Curle</v>
      </c>
      <c r="C703" s="3">
        <f>IFERROR(__xludf.DUMMYFUNCTION("""COMPUTED_VALUE"""),2.0)</f>
        <v>2</v>
      </c>
      <c r="D703" s="3">
        <f t="shared" si="1"/>
        <v>0</v>
      </c>
    </row>
    <row r="704">
      <c r="A704" s="10">
        <f>IFERROR(__xludf.DUMMYFUNCTION("""COMPUTED_VALUE"""),45241.0)</f>
        <v>45241</v>
      </c>
      <c r="B704" s="3" t="str">
        <f>IFERROR(__xludf.DUMMYFUNCTION("""COMPUTED_VALUE"""),"Sidney Hopper-Kelly")</f>
        <v>Sidney Hopper-Kelly</v>
      </c>
      <c r="C704" s="3">
        <f>IFERROR(__xludf.DUMMYFUNCTION("""COMPUTED_VALUE"""),2.0)</f>
        <v>2</v>
      </c>
      <c r="D704" s="3">
        <f t="shared" si="1"/>
        <v>0</v>
      </c>
    </row>
    <row r="705">
      <c r="A705" s="10">
        <f>IFERROR(__xludf.DUMMYFUNCTION("""COMPUTED_VALUE"""),45241.0)</f>
        <v>45241</v>
      </c>
      <c r="B705" s="3" t="str">
        <f>IFERROR(__xludf.DUMMYFUNCTION("""COMPUTED_VALUE"""),"Stanley Timms")</f>
        <v>Stanley Timms</v>
      </c>
      <c r="C705" s="3">
        <f>IFERROR(__xludf.DUMMYFUNCTION("""COMPUTED_VALUE"""),4.0)</f>
        <v>4</v>
      </c>
      <c r="D705" s="3">
        <f t="shared" si="1"/>
        <v>0</v>
      </c>
    </row>
    <row r="706">
      <c r="A706" s="10">
        <f>IFERROR(__xludf.DUMMYFUNCTION("""COMPUTED_VALUE"""),45241.0)</f>
        <v>45241</v>
      </c>
      <c r="B706" s="3" t="str">
        <f>IFERROR(__xludf.DUMMYFUNCTION("""COMPUTED_VALUE"""),"Tali Kiwanuka")</f>
        <v>Tali Kiwanuka</v>
      </c>
      <c r="C706" s="3">
        <f>IFERROR(__xludf.DUMMYFUNCTION("""COMPUTED_VALUE"""),2.0)</f>
        <v>2</v>
      </c>
      <c r="D706" s="3">
        <f t="shared" si="1"/>
        <v>0</v>
      </c>
    </row>
    <row r="707">
      <c r="A707" s="10">
        <f>IFERROR(__xludf.DUMMYFUNCTION("""COMPUTED_VALUE"""),45241.0)</f>
        <v>45241</v>
      </c>
      <c r="B707" s="3" t="str">
        <f>IFERROR(__xludf.DUMMYFUNCTION("""COMPUTED_VALUE"""),"Tam de Lacey")</f>
        <v>Tam de Lacey</v>
      </c>
      <c r="C707" s="3">
        <f>IFERROR(__xludf.DUMMYFUNCTION("""COMPUTED_VALUE"""),2.0)</f>
        <v>2</v>
      </c>
      <c r="D707" s="3">
        <f t="shared" si="1"/>
        <v>0</v>
      </c>
    </row>
    <row r="708">
      <c r="A708" s="10">
        <f>IFERROR(__xludf.DUMMYFUNCTION("""COMPUTED_VALUE"""),45241.0)</f>
        <v>45241</v>
      </c>
      <c r="B708" s="3" t="str">
        <f>IFERROR(__xludf.DUMMYFUNCTION("""COMPUTED_VALUE"""),"Theo Horton")</f>
        <v>Theo Horton</v>
      </c>
      <c r="C708" s="3">
        <f>IFERROR(__xludf.DUMMYFUNCTION("""COMPUTED_VALUE"""),1.0)</f>
        <v>1</v>
      </c>
      <c r="D708" s="3">
        <f t="shared" si="1"/>
        <v>0</v>
      </c>
    </row>
    <row r="709">
      <c r="A709" s="10">
        <f>IFERROR(__xludf.DUMMYFUNCTION("""COMPUTED_VALUE"""),45241.0)</f>
        <v>45241</v>
      </c>
      <c r="B709" s="3" t="str">
        <f>IFERROR(__xludf.DUMMYFUNCTION("""COMPUTED_VALUE"""),"Tom Love")</f>
        <v>Tom Love</v>
      </c>
      <c r="C709" s="3">
        <f>IFERROR(__xludf.DUMMYFUNCTION("""COMPUTED_VALUE"""),2.0)</f>
        <v>2</v>
      </c>
      <c r="D709" s="3">
        <f t="shared" si="1"/>
        <v>0</v>
      </c>
    </row>
    <row r="710">
      <c r="A710" s="10">
        <f>IFERROR(__xludf.DUMMYFUNCTION("""COMPUTED_VALUE"""),45241.0)</f>
        <v>45241</v>
      </c>
      <c r="B710" s="3" t="str">
        <f>IFERROR(__xludf.DUMMYFUNCTION("""COMPUTED_VALUE"""),"Tom Riley")</f>
        <v>Tom Riley</v>
      </c>
      <c r="C710" s="3">
        <f>IFERROR(__xludf.DUMMYFUNCTION("""COMPUTED_VALUE"""),2.0)</f>
        <v>2</v>
      </c>
      <c r="D710" s="3">
        <f t="shared" si="1"/>
        <v>0</v>
      </c>
    </row>
    <row r="711">
      <c r="A711" s="10">
        <f>IFERROR(__xludf.DUMMYFUNCTION("""COMPUTED_VALUE"""),45241.0)</f>
        <v>45241</v>
      </c>
      <c r="B711" s="3" t="str">
        <f>IFERROR(__xludf.DUMMYFUNCTION("""COMPUTED_VALUE"""),"Will French")</f>
        <v>Will French</v>
      </c>
      <c r="C711" s="3">
        <f>IFERROR(__xludf.DUMMYFUNCTION("""COMPUTED_VALUE"""),5.0)</f>
        <v>5</v>
      </c>
      <c r="D711" s="3">
        <f t="shared" si="1"/>
        <v>0</v>
      </c>
    </row>
    <row r="712">
      <c r="A712" s="10">
        <f>IFERROR(__xludf.DUMMYFUNCTION("""COMPUTED_VALUE"""),45241.0)</f>
        <v>45241</v>
      </c>
      <c r="B712" s="3" t="str">
        <f>IFERROR(__xludf.DUMMYFUNCTION("""COMPUTED_VALUE"""),"Yemi Oviosu")</f>
        <v>Yemi Oviosu</v>
      </c>
      <c r="C712" s="3">
        <f>IFERROR(__xludf.DUMMYFUNCTION("""COMPUTED_VALUE"""),2.0)</f>
        <v>2</v>
      </c>
      <c r="D712" s="3">
        <f t="shared" si="1"/>
        <v>0</v>
      </c>
    </row>
    <row r="713">
      <c r="A713" s="10">
        <f>IFERROR(__xludf.DUMMYFUNCTION("""COMPUTED_VALUE"""),45248.0)</f>
        <v>45248</v>
      </c>
      <c r="B713" s="3" t="str">
        <f>IFERROR(__xludf.DUMMYFUNCTION("""COMPUTED_VALUE"""),"Adam Platten")</f>
        <v>Adam Platten</v>
      </c>
      <c r="C713" s="3">
        <f>IFERROR(__xludf.DUMMYFUNCTION("""COMPUTED_VALUE"""),9.0)</f>
        <v>9</v>
      </c>
      <c r="D713" s="3">
        <f t="shared" si="1"/>
        <v>0</v>
      </c>
    </row>
    <row r="714">
      <c r="A714" s="10">
        <f>IFERROR(__xludf.DUMMYFUNCTION("""COMPUTED_VALUE"""),45248.0)</f>
        <v>45248</v>
      </c>
      <c r="B714" s="3" t="str">
        <f>IFERROR(__xludf.DUMMYFUNCTION("""COMPUTED_VALUE"""),"Alex Dockerill")</f>
        <v>Alex Dockerill</v>
      </c>
      <c r="C714" s="3">
        <f>IFERROR(__xludf.DUMMYFUNCTION("""COMPUTED_VALUE"""),18.0)</f>
        <v>18</v>
      </c>
      <c r="D714" s="3">
        <f t="shared" si="1"/>
        <v>1</v>
      </c>
    </row>
    <row r="715">
      <c r="A715" s="10">
        <f>IFERROR(__xludf.DUMMYFUNCTION("""COMPUTED_VALUE"""),45248.0)</f>
        <v>45248</v>
      </c>
      <c r="B715" s="3" t="str">
        <f>IFERROR(__xludf.DUMMYFUNCTION("""COMPUTED_VALUE"""),"Alex Mansfield")</f>
        <v>Alex Mansfield</v>
      </c>
      <c r="C715" s="3">
        <f>IFERROR(__xludf.DUMMYFUNCTION("""COMPUTED_VALUE"""),2.0)</f>
        <v>2</v>
      </c>
      <c r="D715" s="3">
        <f t="shared" si="1"/>
        <v>0</v>
      </c>
    </row>
    <row r="716">
      <c r="A716" s="10">
        <f>IFERROR(__xludf.DUMMYFUNCTION("""COMPUTED_VALUE"""),45248.0)</f>
        <v>45248</v>
      </c>
      <c r="B716" s="3" t="str">
        <f>IFERROR(__xludf.DUMMYFUNCTION("""COMPUTED_VALUE"""),"Alex Scott-Ruddock")</f>
        <v>Alex Scott-Ruddock</v>
      </c>
      <c r="C716" s="3">
        <f>IFERROR(__xludf.DUMMYFUNCTION("""COMPUTED_VALUE"""),2.0)</f>
        <v>2</v>
      </c>
      <c r="D716" s="3">
        <f t="shared" si="1"/>
        <v>0</v>
      </c>
    </row>
    <row r="717">
      <c r="A717" s="10">
        <f>IFERROR(__xludf.DUMMYFUNCTION("""COMPUTED_VALUE"""),45248.0)</f>
        <v>45248</v>
      </c>
      <c r="B717" s="3" t="str">
        <f>IFERROR(__xludf.DUMMYFUNCTION("""COMPUTED_VALUE"""),"Alex Stevens")</f>
        <v>Alex Stevens</v>
      </c>
      <c r="C717" s="3">
        <f>IFERROR(__xludf.DUMMYFUNCTION("""COMPUTED_VALUE"""),6.0)</f>
        <v>6</v>
      </c>
      <c r="D717" s="3">
        <f t="shared" si="1"/>
        <v>0</v>
      </c>
    </row>
    <row r="718">
      <c r="A718" s="10">
        <f>IFERROR(__xludf.DUMMYFUNCTION("""COMPUTED_VALUE"""),45248.0)</f>
        <v>45248</v>
      </c>
      <c r="B718" s="3" t="str">
        <f>IFERROR(__xludf.DUMMYFUNCTION("""COMPUTED_VALUE"""),"Andres Ahlgren")</f>
        <v>Andres Ahlgren</v>
      </c>
      <c r="C718" s="3">
        <f>IFERROR(__xludf.DUMMYFUNCTION("""COMPUTED_VALUE"""),2.0)</f>
        <v>2</v>
      </c>
      <c r="D718" s="3">
        <f t="shared" si="1"/>
        <v>0</v>
      </c>
    </row>
    <row r="719">
      <c r="A719" s="10">
        <f>IFERROR(__xludf.DUMMYFUNCTION("""COMPUTED_VALUE"""),45248.0)</f>
        <v>45248</v>
      </c>
      <c r="B719" s="3" t="str">
        <f>IFERROR(__xludf.DUMMYFUNCTION("""COMPUTED_VALUE"""),"Anish Philips")</f>
        <v>Anish Philips</v>
      </c>
      <c r="C719" s="3">
        <f>IFERROR(__xludf.DUMMYFUNCTION("""COMPUTED_VALUE"""),5.0)</f>
        <v>5</v>
      </c>
      <c r="D719" s="3">
        <f t="shared" si="1"/>
        <v>0</v>
      </c>
    </row>
    <row r="720">
      <c r="A720" s="10">
        <f>IFERROR(__xludf.DUMMYFUNCTION("""COMPUTED_VALUE"""),45248.0)</f>
        <v>45248</v>
      </c>
      <c r="B720" s="3" t="str">
        <f>IFERROR(__xludf.DUMMYFUNCTION("""COMPUTED_VALUE"""),"Anthony Ball")</f>
        <v>Anthony Ball</v>
      </c>
      <c r="C720" s="3">
        <f>IFERROR(__xludf.DUMMYFUNCTION("""COMPUTED_VALUE"""),2.0)</f>
        <v>2</v>
      </c>
      <c r="D720" s="3">
        <f t="shared" si="1"/>
        <v>0</v>
      </c>
    </row>
    <row r="721">
      <c r="A721" s="10">
        <f>IFERROR(__xludf.DUMMYFUNCTION("""COMPUTED_VALUE"""),45248.0)</f>
        <v>45248</v>
      </c>
      <c r="B721" s="3" t="str">
        <f>IFERROR(__xludf.DUMMYFUNCTION("""COMPUTED_VALUE"""),"Ben Dockerill")</f>
        <v>Ben Dockerill</v>
      </c>
      <c r="C721" s="3">
        <f>IFERROR(__xludf.DUMMYFUNCTION("""COMPUTED_VALUE"""),1.0)</f>
        <v>1</v>
      </c>
      <c r="D721" s="3">
        <f t="shared" si="1"/>
        <v>0</v>
      </c>
    </row>
    <row r="722">
      <c r="A722" s="10">
        <f>IFERROR(__xludf.DUMMYFUNCTION("""COMPUTED_VALUE"""),45248.0)</f>
        <v>45248</v>
      </c>
      <c r="B722" s="3" t="str">
        <f>IFERROR(__xludf.DUMMYFUNCTION("""COMPUTED_VALUE"""),"Billy Mclean")</f>
        <v>Billy Mclean</v>
      </c>
      <c r="C722" s="3">
        <f>IFERROR(__xludf.DUMMYFUNCTION("""COMPUTED_VALUE"""),2.0)</f>
        <v>2</v>
      </c>
      <c r="D722" s="3">
        <f t="shared" si="1"/>
        <v>0</v>
      </c>
    </row>
    <row r="723">
      <c r="A723" s="10">
        <f>IFERROR(__xludf.DUMMYFUNCTION("""COMPUTED_VALUE"""),45248.0)</f>
        <v>45248</v>
      </c>
      <c r="B723" s="3" t="str">
        <f>IFERROR(__xludf.DUMMYFUNCTION("""COMPUTED_VALUE"""),"Calum Bennett")</f>
        <v>Calum Bennett</v>
      </c>
      <c r="C723" s="3">
        <f>IFERROR(__xludf.DUMMYFUNCTION("""COMPUTED_VALUE"""),6.0)</f>
        <v>6</v>
      </c>
      <c r="D723" s="3">
        <f t="shared" si="1"/>
        <v>0</v>
      </c>
    </row>
    <row r="724">
      <c r="A724" s="10">
        <f>IFERROR(__xludf.DUMMYFUNCTION("""COMPUTED_VALUE"""),45248.0)</f>
        <v>45248</v>
      </c>
      <c r="B724" s="3" t="str">
        <f>IFERROR(__xludf.DUMMYFUNCTION("""COMPUTED_VALUE"""),"Calum Edwards")</f>
        <v>Calum Edwards</v>
      </c>
      <c r="C724" s="3">
        <f>IFERROR(__xludf.DUMMYFUNCTION("""COMPUTED_VALUE"""),4.0)</f>
        <v>4</v>
      </c>
      <c r="D724" s="3">
        <f t="shared" si="1"/>
        <v>0</v>
      </c>
    </row>
    <row r="725">
      <c r="A725" s="10">
        <f>IFERROR(__xludf.DUMMYFUNCTION("""COMPUTED_VALUE"""),45248.0)</f>
        <v>45248</v>
      </c>
      <c r="B725" s="3" t="str">
        <f>IFERROR(__xludf.DUMMYFUNCTION("""COMPUTED_VALUE"""),"Cameron Pashley")</f>
        <v>Cameron Pashley</v>
      </c>
      <c r="C725" s="3">
        <f>IFERROR(__xludf.DUMMYFUNCTION("""COMPUTED_VALUE"""),7.0)</f>
        <v>7</v>
      </c>
      <c r="D725" s="3">
        <f t="shared" si="1"/>
        <v>0</v>
      </c>
    </row>
    <row r="726">
      <c r="A726" s="10">
        <f>IFERROR(__xludf.DUMMYFUNCTION("""COMPUTED_VALUE"""),45248.0)</f>
        <v>45248</v>
      </c>
      <c r="B726" s="3" t="str">
        <f>IFERROR(__xludf.DUMMYFUNCTION("""COMPUTED_VALUE"""),"Charlie Doe")</f>
        <v>Charlie Doe</v>
      </c>
      <c r="C726" s="3">
        <f>IFERROR(__xludf.DUMMYFUNCTION("""COMPUTED_VALUE"""),8.0)</f>
        <v>8</v>
      </c>
      <c r="D726" s="3">
        <f t="shared" si="1"/>
        <v>0</v>
      </c>
    </row>
    <row r="727">
      <c r="A727" s="10">
        <f>IFERROR(__xludf.DUMMYFUNCTION("""COMPUTED_VALUE"""),45248.0)</f>
        <v>45248</v>
      </c>
      <c r="B727" s="3" t="str">
        <f>IFERROR(__xludf.DUMMYFUNCTION("""COMPUTED_VALUE"""),"Charlie Heptinstall")</f>
        <v>Charlie Heptinstall</v>
      </c>
      <c r="C727" s="3">
        <f>IFERROR(__xludf.DUMMYFUNCTION("""COMPUTED_VALUE"""),1.0)</f>
        <v>1</v>
      </c>
      <c r="D727" s="3">
        <f t="shared" si="1"/>
        <v>0</v>
      </c>
    </row>
    <row r="728">
      <c r="A728" s="10">
        <f>IFERROR(__xludf.DUMMYFUNCTION("""COMPUTED_VALUE"""),45248.0)</f>
        <v>45248</v>
      </c>
      <c r="B728" s="3" t="str">
        <f>IFERROR(__xludf.DUMMYFUNCTION("""COMPUTED_VALUE"""),"Chris Claeys")</f>
        <v>Chris Claeys</v>
      </c>
      <c r="C728" s="3">
        <f>IFERROR(__xludf.DUMMYFUNCTION("""COMPUTED_VALUE"""),2.0)</f>
        <v>2</v>
      </c>
      <c r="D728" s="3">
        <f t="shared" si="1"/>
        <v>0</v>
      </c>
    </row>
    <row r="729">
      <c r="A729" s="10">
        <f>IFERROR(__xludf.DUMMYFUNCTION("""COMPUTED_VALUE"""),45248.0)</f>
        <v>45248</v>
      </c>
      <c r="B729" s="3" t="str">
        <f>IFERROR(__xludf.DUMMYFUNCTION("""COMPUTED_VALUE"""),"Ciaran Curran")</f>
        <v>Ciaran Curran</v>
      </c>
      <c r="C729" s="3">
        <f>IFERROR(__xludf.DUMMYFUNCTION("""COMPUTED_VALUE"""),2.0)</f>
        <v>2</v>
      </c>
      <c r="D729" s="3">
        <f t="shared" si="1"/>
        <v>0</v>
      </c>
    </row>
    <row r="730">
      <c r="A730" s="10">
        <f>IFERROR(__xludf.DUMMYFUNCTION("""COMPUTED_VALUE"""),45248.0)</f>
        <v>45248</v>
      </c>
      <c r="B730" s="3" t="str">
        <f>IFERROR(__xludf.DUMMYFUNCTION("""COMPUTED_VALUE"""),"Corey Cleave")</f>
        <v>Corey Cleave</v>
      </c>
      <c r="C730" s="3">
        <f>IFERROR(__xludf.DUMMYFUNCTION("""COMPUTED_VALUE"""),6.0)</f>
        <v>6</v>
      </c>
      <c r="D730" s="3">
        <f t="shared" si="1"/>
        <v>0</v>
      </c>
    </row>
    <row r="731">
      <c r="A731" s="10">
        <f>IFERROR(__xludf.DUMMYFUNCTION("""COMPUTED_VALUE"""),45248.0)</f>
        <v>45248</v>
      </c>
      <c r="B731" s="3" t="str">
        <f>IFERROR(__xludf.DUMMYFUNCTION("""COMPUTED_VALUE"""),"David Holmes-White")</f>
        <v>David Holmes-White</v>
      </c>
      <c r="C731" s="3">
        <f>IFERROR(__xludf.DUMMYFUNCTION("""COMPUTED_VALUE"""),2.0)</f>
        <v>2</v>
      </c>
      <c r="D731" s="3">
        <f t="shared" si="1"/>
        <v>0</v>
      </c>
    </row>
    <row r="732">
      <c r="A732" s="10">
        <f>IFERROR(__xludf.DUMMYFUNCTION("""COMPUTED_VALUE"""),45248.0)</f>
        <v>45248</v>
      </c>
      <c r="B732" s="3" t="str">
        <f>IFERROR(__xludf.DUMMYFUNCTION("""COMPUTED_VALUE"""),"Denver Lalonde")</f>
        <v>Denver Lalonde</v>
      </c>
      <c r="C732" s="3">
        <f>IFERROR(__xludf.DUMMYFUNCTION("""COMPUTED_VALUE"""),2.0)</f>
        <v>2</v>
      </c>
      <c r="D732" s="3">
        <f t="shared" si="1"/>
        <v>0</v>
      </c>
    </row>
    <row r="733">
      <c r="A733" s="10">
        <f>IFERROR(__xludf.DUMMYFUNCTION("""COMPUTED_VALUE"""),45248.0)</f>
        <v>45248</v>
      </c>
      <c r="B733" s="3" t="str">
        <f>IFERROR(__xludf.DUMMYFUNCTION("""COMPUTED_VALUE"""),"Emi Muhadri")</f>
        <v>Emi Muhadri</v>
      </c>
      <c r="C733" s="3">
        <f>IFERROR(__xludf.DUMMYFUNCTION("""COMPUTED_VALUE"""),5.0)</f>
        <v>5</v>
      </c>
      <c r="D733" s="3">
        <f t="shared" si="1"/>
        <v>0</v>
      </c>
    </row>
    <row r="734">
      <c r="A734" s="10">
        <f>IFERROR(__xludf.DUMMYFUNCTION("""COMPUTED_VALUE"""),45248.0)</f>
        <v>45248</v>
      </c>
      <c r="B734" s="3" t="str">
        <f>IFERROR(__xludf.DUMMYFUNCTION("""COMPUTED_VALUE"""),"Finn Coolen")</f>
        <v>Finn Coolen</v>
      </c>
      <c r="C734" s="3">
        <f>IFERROR(__xludf.DUMMYFUNCTION("""COMPUTED_VALUE"""),2.0)</f>
        <v>2</v>
      </c>
      <c r="D734" s="3">
        <f t="shared" si="1"/>
        <v>0</v>
      </c>
    </row>
    <row r="735">
      <c r="A735" s="10">
        <f>IFERROR(__xludf.DUMMYFUNCTION("""COMPUTED_VALUE"""),45248.0)</f>
        <v>45248</v>
      </c>
      <c r="B735" s="3" t="str">
        <f>IFERROR(__xludf.DUMMYFUNCTION("""COMPUTED_VALUE"""),"George Connolly")</f>
        <v>George Connolly</v>
      </c>
      <c r="C735" s="3">
        <f>IFERROR(__xludf.DUMMYFUNCTION("""COMPUTED_VALUE"""),6.0)</f>
        <v>6</v>
      </c>
      <c r="D735" s="3">
        <f t="shared" si="1"/>
        <v>0</v>
      </c>
    </row>
    <row r="736">
      <c r="A736" s="10">
        <f>IFERROR(__xludf.DUMMYFUNCTION("""COMPUTED_VALUE"""),45248.0)</f>
        <v>45248</v>
      </c>
      <c r="B736" s="3" t="str">
        <f>IFERROR(__xludf.DUMMYFUNCTION("""COMPUTED_VALUE"""),"George Havord")</f>
        <v>George Havord</v>
      </c>
      <c r="C736" s="3">
        <f>IFERROR(__xludf.DUMMYFUNCTION("""COMPUTED_VALUE"""),2.0)</f>
        <v>2</v>
      </c>
      <c r="D736" s="3">
        <f t="shared" si="1"/>
        <v>0</v>
      </c>
    </row>
    <row r="737">
      <c r="A737" s="10">
        <f>IFERROR(__xludf.DUMMYFUNCTION("""COMPUTED_VALUE"""),45248.0)</f>
        <v>45248</v>
      </c>
      <c r="B737" s="3" t="str">
        <f>IFERROR(__xludf.DUMMYFUNCTION("""COMPUTED_VALUE"""),"Hallam Wye")</f>
        <v>Hallam Wye</v>
      </c>
      <c r="C737" s="3">
        <f>IFERROR(__xludf.DUMMYFUNCTION("""COMPUTED_VALUE"""),2.0)</f>
        <v>2</v>
      </c>
      <c r="D737" s="3">
        <f t="shared" si="1"/>
        <v>0</v>
      </c>
    </row>
    <row r="738">
      <c r="A738" s="10">
        <f>IFERROR(__xludf.DUMMYFUNCTION("""COMPUTED_VALUE"""),45248.0)</f>
        <v>45248</v>
      </c>
      <c r="B738" s="3" t="str">
        <f>IFERROR(__xludf.DUMMYFUNCTION("""COMPUTED_VALUE"""),"Harold Kiyingi")</f>
        <v>Harold Kiyingi</v>
      </c>
      <c r="C738" s="3">
        <f>IFERROR(__xludf.DUMMYFUNCTION("""COMPUTED_VALUE"""),2.0)</f>
        <v>2</v>
      </c>
      <c r="D738" s="3">
        <f t="shared" si="1"/>
        <v>0</v>
      </c>
    </row>
    <row r="739">
      <c r="A739" s="10">
        <f>IFERROR(__xludf.DUMMYFUNCTION("""COMPUTED_VALUE"""),45248.0)</f>
        <v>45248</v>
      </c>
      <c r="B739" s="3" t="str">
        <f>IFERROR(__xludf.DUMMYFUNCTION("""COMPUTED_VALUE"""),"Harry Fripp")</f>
        <v>Harry Fripp</v>
      </c>
      <c r="C739" s="3">
        <f>IFERROR(__xludf.DUMMYFUNCTION("""COMPUTED_VALUE"""),2.0)</f>
        <v>2</v>
      </c>
      <c r="D739" s="3">
        <f t="shared" si="1"/>
        <v>0</v>
      </c>
    </row>
    <row r="740">
      <c r="A740" s="10">
        <f>IFERROR(__xludf.DUMMYFUNCTION("""COMPUTED_VALUE"""),45248.0)</f>
        <v>45248</v>
      </c>
      <c r="B740" s="3" t="str">
        <f>IFERROR(__xludf.DUMMYFUNCTION("""COMPUTED_VALUE"""),"Jack Harris")</f>
        <v>Jack Harris</v>
      </c>
      <c r="C740" s="3">
        <f>IFERROR(__xludf.DUMMYFUNCTION("""COMPUTED_VALUE"""),5.0)</f>
        <v>5</v>
      </c>
      <c r="D740" s="3">
        <f t="shared" si="1"/>
        <v>0</v>
      </c>
    </row>
    <row r="741">
      <c r="A741" s="10">
        <f>IFERROR(__xludf.DUMMYFUNCTION("""COMPUTED_VALUE"""),45248.0)</f>
        <v>45248</v>
      </c>
      <c r="B741" s="3" t="str">
        <f>IFERROR(__xludf.DUMMYFUNCTION("""COMPUTED_VALUE"""),"James Rodriguez")</f>
        <v>James Rodriguez</v>
      </c>
      <c r="C741" s="3">
        <f>IFERROR(__xludf.DUMMYFUNCTION("""COMPUTED_VALUE"""),8.0)</f>
        <v>8</v>
      </c>
      <c r="D741" s="3">
        <f t="shared" si="1"/>
        <v>0</v>
      </c>
    </row>
    <row r="742">
      <c r="A742" s="10">
        <f>IFERROR(__xludf.DUMMYFUNCTION("""COMPUTED_VALUE"""),45248.0)</f>
        <v>45248</v>
      </c>
      <c r="B742" s="3" t="str">
        <f>IFERROR(__xludf.DUMMYFUNCTION("""COMPUTED_VALUE"""),"Jarvis Cheek")</f>
        <v>Jarvis Cheek</v>
      </c>
      <c r="C742" s="3">
        <f>IFERROR(__xludf.DUMMYFUNCTION("""COMPUTED_VALUE"""),17.0)</f>
        <v>17</v>
      </c>
      <c r="D742" s="3">
        <f t="shared" si="1"/>
        <v>0</v>
      </c>
    </row>
    <row r="743">
      <c r="A743" s="10">
        <f>IFERROR(__xludf.DUMMYFUNCTION("""COMPUTED_VALUE"""),45248.0)</f>
        <v>45248</v>
      </c>
      <c r="B743" s="3" t="str">
        <f>IFERROR(__xludf.DUMMYFUNCTION("""COMPUTED_VALUE"""),"Joe France")</f>
        <v>Joe France</v>
      </c>
      <c r="C743" s="3">
        <f>IFERROR(__xludf.DUMMYFUNCTION("""COMPUTED_VALUE"""),8.0)</f>
        <v>8</v>
      </c>
      <c r="D743" s="3">
        <f t="shared" si="1"/>
        <v>0</v>
      </c>
    </row>
    <row r="744">
      <c r="A744" s="10">
        <f>IFERROR(__xludf.DUMMYFUNCTION("""COMPUTED_VALUE"""),45248.0)</f>
        <v>45248</v>
      </c>
      <c r="B744" s="3" t="str">
        <f>IFERROR(__xludf.DUMMYFUNCTION("""COMPUTED_VALUE"""),"Joe Vincent")</f>
        <v>Joe Vincent</v>
      </c>
      <c r="C744" s="3">
        <f>IFERROR(__xludf.DUMMYFUNCTION("""COMPUTED_VALUE"""),1.0)</f>
        <v>1</v>
      </c>
      <c r="D744" s="3">
        <f t="shared" si="1"/>
        <v>0</v>
      </c>
    </row>
    <row r="745">
      <c r="A745" s="10">
        <f>IFERROR(__xludf.DUMMYFUNCTION("""COMPUTED_VALUE"""),45248.0)</f>
        <v>45248</v>
      </c>
      <c r="B745" s="3" t="str">
        <f>IFERROR(__xludf.DUMMYFUNCTION("""COMPUTED_VALUE"""),"Joel Wright")</f>
        <v>Joel Wright</v>
      </c>
      <c r="C745" s="3">
        <f>IFERROR(__xludf.DUMMYFUNCTION("""COMPUTED_VALUE"""),1.0)</f>
        <v>1</v>
      </c>
      <c r="D745" s="3">
        <f t="shared" si="1"/>
        <v>0</v>
      </c>
    </row>
    <row r="746">
      <c r="A746" s="10">
        <f>IFERROR(__xludf.DUMMYFUNCTION("""COMPUTED_VALUE"""),45248.0)</f>
        <v>45248</v>
      </c>
      <c r="B746" s="3" t="str">
        <f>IFERROR(__xludf.DUMMYFUNCTION("""COMPUTED_VALUE"""),"John Harrison")</f>
        <v>John Harrison</v>
      </c>
      <c r="C746" s="3">
        <f>IFERROR(__xludf.DUMMYFUNCTION("""COMPUTED_VALUE"""),1.0)</f>
        <v>1</v>
      </c>
      <c r="D746" s="3">
        <f t="shared" si="1"/>
        <v>0</v>
      </c>
    </row>
    <row r="747">
      <c r="A747" s="10">
        <f>IFERROR(__xludf.DUMMYFUNCTION("""COMPUTED_VALUE"""),45248.0)</f>
        <v>45248</v>
      </c>
      <c r="B747" s="3" t="str">
        <f>IFERROR(__xludf.DUMMYFUNCTION("""COMPUTED_VALUE"""),"Jonny Simmons")</f>
        <v>Jonny Simmons</v>
      </c>
      <c r="C747" s="3">
        <f>IFERROR(__xludf.DUMMYFUNCTION("""COMPUTED_VALUE"""),2.0)</f>
        <v>2</v>
      </c>
      <c r="D747" s="3">
        <f t="shared" si="1"/>
        <v>0</v>
      </c>
    </row>
    <row r="748">
      <c r="A748" s="10">
        <f>IFERROR(__xludf.DUMMYFUNCTION("""COMPUTED_VALUE"""),45248.0)</f>
        <v>45248</v>
      </c>
      <c r="B748" s="3" t="str">
        <f>IFERROR(__xludf.DUMMYFUNCTION("""COMPUTED_VALUE"""),"Jordan Davis")</f>
        <v>Jordan Davis</v>
      </c>
      <c r="C748" s="3">
        <f>IFERROR(__xludf.DUMMYFUNCTION("""COMPUTED_VALUE"""),2.0)</f>
        <v>2</v>
      </c>
      <c r="D748" s="3">
        <f t="shared" si="1"/>
        <v>0</v>
      </c>
    </row>
    <row r="749">
      <c r="A749" s="10">
        <f>IFERROR(__xludf.DUMMYFUNCTION("""COMPUTED_VALUE"""),45248.0)</f>
        <v>45248</v>
      </c>
      <c r="B749" s="3" t="str">
        <f>IFERROR(__xludf.DUMMYFUNCTION("""COMPUTED_VALUE"""),"Josh Sherriff-Jolly")</f>
        <v>Josh Sherriff-Jolly</v>
      </c>
      <c r="C749" s="3">
        <f>IFERROR(__xludf.DUMMYFUNCTION("""COMPUTED_VALUE"""),7.0)</f>
        <v>7</v>
      </c>
      <c r="D749" s="3">
        <f t="shared" si="1"/>
        <v>0</v>
      </c>
    </row>
    <row r="750">
      <c r="A750" s="10">
        <f>IFERROR(__xludf.DUMMYFUNCTION("""COMPUTED_VALUE"""),45248.0)</f>
        <v>45248</v>
      </c>
      <c r="B750" s="3" t="str">
        <f>IFERROR(__xludf.DUMMYFUNCTION("""COMPUTED_VALUE"""),"Kai Clack")</f>
        <v>Kai Clack</v>
      </c>
      <c r="C750" s="3">
        <f>IFERROR(__xludf.DUMMYFUNCTION("""COMPUTED_VALUE"""),2.0)</f>
        <v>2</v>
      </c>
      <c r="D750" s="3">
        <f t="shared" si="1"/>
        <v>0</v>
      </c>
    </row>
    <row r="751">
      <c r="A751" s="10">
        <f>IFERROR(__xludf.DUMMYFUNCTION("""COMPUTED_VALUE"""),45248.0)</f>
        <v>45248</v>
      </c>
      <c r="B751" s="3" t="str">
        <f>IFERROR(__xludf.DUMMYFUNCTION("""COMPUTED_VALUE"""),"Kevin Gonzalez")</f>
        <v>Kevin Gonzalez</v>
      </c>
      <c r="C751" s="3">
        <f>IFERROR(__xludf.DUMMYFUNCTION("""COMPUTED_VALUE"""),8.0)</f>
        <v>8</v>
      </c>
      <c r="D751" s="3">
        <f t="shared" si="1"/>
        <v>0</v>
      </c>
    </row>
    <row r="752">
      <c r="A752" s="10">
        <f>IFERROR(__xludf.DUMMYFUNCTION("""COMPUTED_VALUE"""),45248.0)</f>
        <v>45248</v>
      </c>
      <c r="B752" s="3" t="str">
        <f>IFERROR(__xludf.DUMMYFUNCTION("""COMPUTED_VALUE"""),"Lee Clark")</f>
        <v>Lee Clark</v>
      </c>
      <c r="C752" s="3">
        <f>IFERROR(__xludf.DUMMYFUNCTION("""COMPUTED_VALUE"""),2.0)</f>
        <v>2</v>
      </c>
      <c r="D752" s="3">
        <f t="shared" si="1"/>
        <v>0</v>
      </c>
    </row>
    <row r="753">
      <c r="A753" s="10">
        <f>IFERROR(__xludf.DUMMYFUNCTION("""COMPUTED_VALUE"""),45248.0)</f>
        <v>45248</v>
      </c>
      <c r="B753" s="3" t="str">
        <f>IFERROR(__xludf.DUMMYFUNCTION("""COMPUTED_VALUE"""),"Lewis Anderson")</f>
        <v>Lewis Anderson</v>
      </c>
      <c r="C753" s="3">
        <f>IFERROR(__xludf.DUMMYFUNCTION("""COMPUTED_VALUE"""),1.0)</f>
        <v>1</v>
      </c>
      <c r="D753" s="3">
        <f t="shared" si="1"/>
        <v>0</v>
      </c>
    </row>
    <row r="754">
      <c r="A754" s="10">
        <f>IFERROR(__xludf.DUMMYFUNCTION("""COMPUTED_VALUE"""),45248.0)</f>
        <v>45248</v>
      </c>
      <c r="B754" s="3" t="str">
        <f>IFERROR(__xludf.DUMMYFUNCTION("""COMPUTED_VALUE"""),"Luke Dyges")</f>
        <v>Luke Dyges</v>
      </c>
      <c r="C754" s="3">
        <f>IFERROR(__xludf.DUMMYFUNCTION("""COMPUTED_VALUE"""),2.0)</f>
        <v>2</v>
      </c>
      <c r="D754" s="3">
        <f t="shared" si="1"/>
        <v>0</v>
      </c>
    </row>
    <row r="755">
      <c r="A755" s="10">
        <f>IFERROR(__xludf.DUMMYFUNCTION("""COMPUTED_VALUE"""),45248.0)</f>
        <v>45248</v>
      </c>
      <c r="B755" s="3" t="str">
        <f>IFERROR(__xludf.DUMMYFUNCTION("""COMPUTED_VALUE"""),"Masood Hamidi")</f>
        <v>Masood Hamidi</v>
      </c>
      <c r="C755" s="3">
        <f>IFERROR(__xludf.DUMMYFUNCTION("""COMPUTED_VALUE"""),5.0)</f>
        <v>5</v>
      </c>
      <c r="D755" s="3">
        <f t="shared" si="1"/>
        <v>0</v>
      </c>
    </row>
    <row r="756">
      <c r="A756" s="10">
        <f>IFERROR(__xludf.DUMMYFUNCTION("""COMPUTED_VALUE"""),45248.0)</f>
        <v>45248</v>
      </c>
      <c r="B756" s="3" t="str">
        <f>IFERROR(__xludf.DUMMYFUNCTION("""COMPUTED_VALUE"""),"Matt Crowe")</f>
        <v>Matt Crowe</v>
      </c>
      <c r="C756" s="3">
        <f>IFERROR(__xludf.DUMMYFUNCTION("""COMPUTED_VALUE"""),1.0)</f>
        <v>1</v>
      </c>
      <c r="D756" s="3">
        <f t="shared" si="1"/>
        <v>0</v>
      </c>
    </row>
    <row r="757">
      <c r="A757" s="10">
        <f>IFERROR(__xludf.DUMMYFUNCTION("""COMPUTED_VALUE"""),45248.0)</f>
        <v>45248</v>
      </c>
      <c r="B757" s="3" t="str">
        <f>IFERROR(__xludf.DUMMYFUNCTION("""COMPUTED_VALUE"""),"Matthew Thomas")</f>
        <v>Matthew Thomas</v>
      </c>
      <c r="C757" s="3">
        <f>IFERROR(__xludf.DUMMYFUNCTION("""COMPUTED_VALUE"""),1.0)</f>
        <v>1</v>
      </c>
      <c r="D757" s="3">
        <f t="shared" si="1"/>
        <v>0</v>
      </c>
    </row>
    <row r="758">
      <c r="A758" s="10">
        <f>IFERROR(__xludf.DUMMYFUNCTION("""COMPUTED_VALUE"""),45248.0)</f>
        <v>45248</v>
      </c>
      <c r="B758" s="3" t="str">
        <f>IFERROR(__xludf.DUMMYFUNCTION("""COMPUTED_VALUE"""),"Max Miles")</f>
        <v>Max Miles</v>
      </c>
      <c r="C758" s="3">
        <f>IFERROR(__xludf.DUMMYFUNCTION("""COMPUTED_VALUE"""),4.0)</f>
        <v>4</v>
      </c>
      <c r="D758" s="3">
        <f t="shared" si="1"/>
        <v>0</v>
      </c>
    </row>
    <row r="759">
      <c r="A759" s="10">
        <f>IFERROR(__xludf.DUMMYFUNCTION("""COMPUTED_VALUE"""),45248.0)</f>
        <v>45248</v>
      </c>
      <c r="B759" s="3" t="str">
        <f>IFERROR(__xludf.DUMMYFUNCTION("""COMPUTED_VALUE"""),"Micah Pinnock")</f>
        <v>Micah Pinnock</v>
      </c>
      <c r="C759" s="3">
        <f>IFERROR(__xludf.DUMMYFUNCTION("""COMPUTED_VALUE"""),2.0)</f>
        <v>2</v>
      </c>
      <c r="D759" s="3">
        <f t="shared" si="1"/>
        <v>0</v>
      </c>
    </row>
    <row r="760">
      <c r="A760" s="10">
        <f>IFERROR(__xludf.DUMMYFUNCTION("""COMPUTED_VALUE"""),45248.0)</f>
        <v>45248</v>
      </c>
      <c r="B760" s="3" t="str">
        <f>IFERROR(__xludf.DUMMYFUNCTION("""COMPUTED_VALUE"""),"Nathan Baverstock")</f>
        <v>Nathan Baverstock</v>
      </c>
      <c r="C760" s="3">
        <f>IFERROR(__xludf.DUMMYFUNCTION("""COMPUTED_VALUE"""),2.0)</f>
        <v>2</v>
      </c>
      <c r="D760" s="3">
        <f t="shared" si="1"/>
        <v>0</v>
      </c>
    </row>
    <row r="761">
      <c r="A761" s="10">
        <f>IFERROR(__xludf.DUMMYFUNCTION("""COMPUTED_VALUE"""),45248.0)</f>
        <v>45248</v>
      </c>
      <c r="B761" s="3" t="str">
        <f>IFERROR(__xludf.DUMMYFUNCTION("""COMPUTED_VALUE"""),"Nick Chimonides")</f>
        <v>Nick Chimonides</v>
      </c>
      <c r="C761" s="3">
        <f>IFERROR(__xludf.DUMMYFUNCTION("""COMPUTED_VALUE"""),5.0)</f>
        <v>5</v>
      </c>
      <c r="D761" s="3">
        <f t="shared" si="1"/>
        <v>0</v>
      </c>
    </row>
    <row r="762">
      <c r="A762" s="10">
        <f>IFERROR(__xludf.DUMMYFUNCTION("""COMPUTED_VALUE"""),45248.0)</f>
        <v>45248</v>
      </c>
      <c r="B762" s="3" t="str">
        <f>IFERROR(__xludf.DUMMYFUNCTION("""COMPUTED_VALUE"""),"Nima Naghdi")</f>
        <v>Nima Naghdi</v>
      </c>
      <c r="C762" s="3">
        <f>IFERROR(__xludf.DUMMYFUNCTION("""COMPUTED_VALUE"""),4.0)</f>
        <v>4</v>
      </c>
      <c r="D762" s="3">
        <f t="shared" si="1"/>
        <v>0</v>
      </c>
    </row>
    <row r="763">
      <c r="A763" s="10">
        <f>IFERROR(__xludf.DUMMYFUNCTION("""COMPUTED_VALUE"""),45248.0)</f>
        <v>45248</v>
      </c>
      <c r="B763" s="3" t="str">
        <f>IFERROR(__xludf.DUMMYFUNCTION("""COMPUTED_VALUE"""),"Oli Barton")</f>
        <v>Oli Barton</v>
      </c>
      <c r="C763" s="3">
        <f>IFERROR(__xludf.DUMMYFUNCTION("""COMPUTED_VALUE"""),1.0)</f>
        <v>1</v>
      </c>
      <c r="D763" s="3">
        <f t="shared" si="1"/>
        <v>0</v>
      </c>
    </row>
    <row r="764">
      <c r="A764" s="10">
        <f>IFERROR(__xludf.DUMMYFUNCTION("""COMPUTED_VALUE"""),45248.0)</f>
        <v>45248</v>
      </c>
      <c r="B764" s="3" t="str">
        <f>IFERROR(__xludf.DUMMYFUNCTION("""COMPUTED_VALUE"""),"Ollie Sewell")</f>
        <v>Ollie Sewell</v>
      </c>
      <c r="C764" s="3">
        <f>IFERROR(__xludf.DUMMYFUNCTION("""COMPUTED_VALUE"""),4.0)</f>
        <v>4</v>
      </c>
      <c r="D764" s="3">
        <f t="shared" si="1"/>
        <v>0</v>
      </c>
    </row>
    <row r="765">
      <c r="A765" s="10">
        <f>IFERROR(__xludf.DUMMYFUNCTION("""COMPUTED_VALUE"""),45248.0)</f>
        <v>45248</v>
      </c>
      <c r="B765" s="3" t="str">
        <f>IFERROR(__xludf.DUMMYFUNCTION("""COMPUTED_VALUE"""),"Olly Mason")</f>
        <v>Olly Mason</v>
      </c>
      <c r="C765" s="3">
        <f>IFERROR(__xludf.DUMMYFUNCTION("""COMPUTED_VALUE"""),2.0)</f>
        <v>2</v>
      </c>
      <c r="D765" s="3">
        <f t="shared" si="1"/>
        <v>0</v>
      </c>
    </row>
    <row r="766">
      <c r="A766" s="10">
        <f>IFERROR(__xludf.DUMMYFUNCTION("""COMPUTED_VALUE"""),45248.0)</f>
        <v>45248</v>
      </c>
      <c r="B766" s="3" t="str">
        <f>IFERROR(__xludf.DUMMYFUNCTION("""COMPUTED_VALUE"""),"Parimal Patel")</f>
        <v>Parimal Patel</v>
      </c>
      <c r="C766" s="3">
        <f>IFERROR(__xludf.DUMMYFUNCTION("""COMPUTED_VALUE"""),2.0)</f>
        <v>2</v>
      </c>
      <c r="D766" s="3">
        <f t="shared" si="1"/>
        <v>0</v>
      </c>
    </row>
    <row r="767">
      <c r="A767" s="10">
        <f>IFERROR(__xludf.DUMMYFUNCTION("""COMPUTED_VALUE"""),45248.0)</f>
        <v>45248</v>
      </c>
      <c r="B767" s="3" t="str">
        <f>IFERROR(__xludf.DUMMYFUNCTION("""COMPUTED_VALUE"""),"Paul Ball")</f>
        <v>Paul Ball</v>
      </c>
      <c r="C767" s="3">
        <f>IFERROR(__xludf.DUMMYFUNCTION("""COMPUTED_VALUE"""),2.0)</f>
        <v>2</v>
      </c>
      <c r="D767" s="3">
        <f t="shared" si="1"/>
        <v>0</v>
      </c>
    </row>
    <row r="768">
      <c r="A768" s="10">
        <f>IFERROR(__xludf.DUMMYFUNCTION("""COMPUTED_VALUE"""),45248.0)</f>
        <v>45248</v>
      </c>
      <c r="B768" s="3" t="str">
        <f>IFERROR(__xludf.DUMMYFUNCTION("""COMPUTED_VALUE"""),"Paul Jalil")</f>
        <v>Paul Jalil</v>
      </c>
      <c r="C768" s="3">
        <f>IFERROR(__xludf.DUMMYFUNCTION("""COMPUTED_VALUE"""),2.0)</f>
        <v>2</v>
      </c>
      <c r="D768" s="3">
        <f t="shared" si="1"/>
        <v>0</v>
      </c>
    </row>
    <row r="769">
      <c r="A769" s="10">
        <f>IFERROR(__xludf.DUMMYFUNCTION("""COMPUTED_VALUE"""),45248.0)</f>
        <v>45248</v>
      </c>
      <c r="B769" s="3" t="str">
        <f>IFERROR(__xludf.DUMMYFUNCTION("""COMPUTED_VALUE"""),"Pearl Bakengela")</f>
        <v>Pearl Bakengela</v>
      </c>
      <c r="C769" s="3">
        <f>IFERROR(__xludf.DUMMYFUNCTION("""COMPUTED_VALUE"""),8.0)</f>
        <v>8</v>
      </c>
      <c r="D769" s="3">
        <f t="shared" si="1"/>
        <v>0</v>
      </c>
    </row>
    <row r="770">
      <c r="A770" s="10">
        <f>IFERROR(__xludf.DUMMYFUNCTION("""COMPUTED_VALUE"""),45248.0)</f>
        <v>45248</v>
      </c>
      <c r="B770" s="3" t="str">
        <f>IFERROR(__xludf.DUMMYFUNCTION("""COMPUTED_VALUE"""),"Rich Lundie")</f>
        <v>Rich Lundie</v>
      </c>
      <c r="C770" s="3">
        <f>IFERROR(__xludf.DUMMYFUNCTION("""COMPUTED_VALUE"""),1.0)</f>
        <v>1</v>
      </c>
      <c r="D770" s="3">
        <f t="shared" si="1"/>
        <v>0</v>
      </c>
    </row>
    <row r="771">
      <c r="A771" s="10">
        <f>IFERROR(__xludf.DUMMYFUNCTION("""COMPUTED_VALUE"""),45248.0)</f>
        <v>45248</v>
      </c>
      <c r="B771" s="3" t="str">
        <f>IFERROR(__xludf.DUMMYFUNCTION("""COMPUTED_VALUE"""),"Rob Edmonds")</f>
        <v>Rob Edmonds</v>
      </c>
      <c r="C771" s="3">
        <f>IFERROR(__xludf.DUMMYFUNCTION("""COMPUTED_VALUE"""),10.0)</f>
        <v>10</v>
      </c>
      <c r="D771" s="3">
        <f t="shared" si="1"/>
        <v>0</v>
      </c>
    </row>
    <row r="772">
      <c r="A772" s="10">
        <f>IFERROR(__xludf.DUMMYFUNCTION("""COMPUTED_VALUE"""),45248.0)</f>
        <v>45248</v>
      </c>
      <c r="B772" s="3" t="str">
        <f>IFERROR(__xludf.DUMMYFUNCTION("""COMPUTED_VALUE"""),"Sam A'Court")</f>
        <v>Sam A'Court</v>
      </c>
      <c r="C772" s="3">
        <f>IFERROR(__xludf.DUMMYFUNCTION("""COMPUTED_VALUE"""),2.0)</f>
        <v>2</v>
      </c>
      <c r="D772" s="3">
        <f t="shared" si="1"/>
        <v>0</v>
      </c>
    </row>
    <row r="773">
      <c r="A773" s="10">
        <f>IFERROR(__xludf.DUMMYFUNCTION("""COMPUTED_VALUE"""),45248.0)</f>
        <v>45248</v>
      </c>
      <c r="B773" s="3" t="str">
        <f>IFERROR(__xludf.DUMMYFUNCTION("""COMPUTED_VALUE"""),"Samuel Osewa")</f>
        <v>Samuel Osewa</v>
      </c>
      <c r="C773" s="3">
        <f>IFERROR(__xludf.DUMMYFUNCTION("""COMPUTED_VALUE"""),1.0)</f>
        <v>1</v>
      </c>
      <c r="D773" s="3">
        <f t="shared" si="1"/>
        <v>0</v>
      </c>
    </row>
    <row r="774">
      <c r="A774" s="10">
        <f>IFERROR(__xludf.DUMMYFUNCTION("""COMPUTED_VALUE"""),45248.0)</f>
        <v>45248</v>
      </c>
      <c r="B774" s="3" t="str">
        <f>IFERROR(__xludf.DUMMYFUNCTION("""COMPUTED_VALUE"""),"Sean Rowlett")</f>
        <v>Sean Rowlett</v>
      </c>
      <c r="C774" s="3">
        <f>IFERROR(__xludf.DUMMYFUNCTION("""COMPUTED_VALUE"""),3.0)</f>
        <v>3</v>
      </c>
      <c r="D774" s="3">
        <f t="shared" si="1"/>
        <v>0</v>
      </c>
    </row>
    <row r="775">
      <c r="A775" s="10">
        <f>IFERROR(__xludf.DUMMYFUNCTION("""COMPUTED_VALUE"""),45248.0)</f>
        <v>45248</v>
      </c>
      <c r="B775" s="3" t="str">
        <f>IFERROR(__xludf.DUMMYFUNCTION("""COMPUTED_VALUE"""),"Sidney Hopper-Kelly")</f>
        <v>Sidney Hopper-Kelly</v>
      </c>
      <c r="C775" s="3">
        <f>IFERROR(__xludf.DUMMYFUNCTION("""COMPUTED_VALUE"""),8.0)</f>
        <v>8</v>
      </c>
      <c r="D775" s="3">
        <f t="shared" si="1"/>
        <v>0</v>
      </c>
    </row>
    <row r="776">
      <c r="A776" s="10">
        <f>IFERROR(__xludf.DUMMYFUNCTION("""COMPUTED_VALUE"""),45248.0)</f>
        <v>45248</v>
      </c>
      <c r="B776" s="3" t="str">
        <f>IFERROR(__xludf.DUMMYFUNCTION("""COMPUTED_VALUE"""),"Stu Jordan")</f>
        <v>Stu Jordan</v>
      </c>
      <c r="C776" s="3">
        <f>IFERROR(__xludf.DUMMYFUNCTION("""COMPUTED_VALUE"""),2.0)</f>
        <v>2</v>
      </c>
      <c r="D776" s="3">
        <f t="shared" si="1"/>
        <v>0</v>
      </c>
    </row>
    <row r="777">
      <c r="A777" s="10">
        <f>IFERROR(__xludf.DUMMYFUNCTION("""COMPUTED_VALUE"""),45248.0)</f>
        <v>45248</v>
      </c>
      <c r="B777" s="3" t="str">
        <f>IFERROR(__xludf.DUMMYFUNCTION("""COMPUTED_VALUE"""),"Tali Kiwanuka")</f>
        <v>Tali Kiwanuka</v>
      </c>
      <c r="C777" s="3">
        <f>IFERROR(__xludf.DUMMYFUNCTION("""COMPUTED_VALUE"""),15.0)</f>
        <v>15</v>
      </c>
      <c r="D777" s="3">
        <f t="shared" si="1"/>
        <v>0</v>
      </c>
    </row>
    <row r="778">
      <c r="A778" s="10">
        <f>IFERROR(__xludf.DUMMYFUNCTION("""COMPUTED_VALUE"""),45248.0)</f>
        <v>45248</v>
      </c>
      <c r="B778" s="3" t="str">
        <f>IFERROR(__xludf.DUMMYFUNCTION("""COMPUTED_VALUE"""),"Tam de Lacey")</f>
        <v>Tam de Lacey</v>
      </c>
      <c r="C778" s="3">
        <f>IFERROR(__xludf.DUMMYFUNCTION("""COMPUTED_VALUE"""),1.0)</f>
        <v>1</v>
      </c>
      <c r="D778" s="3">
        <f t="shared" si="1"/>
        <v>0</v>
      </c>
    </row>
    <row r="779">
      <c r="A779" s="10">
        <f>IFERROR(__xludf.DUMMYFUNCTION("""COMPUTED_VALUE"""),45248.0)</f>
        <v>45248</v>
      </c>
      <c r="B779" s="3" t="str">
        <f>IFERROR(__xludf.DUMMYFUNCTION("""COMPUTED_VALUE"""),"Theo Horton")</f>
        <v>Theo Horton</v>
      </c>
      <c r="C779" s="3">
        <f>IFERROR(__xludf.DUMMYFUNCTION("""COMPUTED_VALUE"""),1.0)</f>
        <v>1</v>
      </c>
      <c r="D779" s="3">
        <f t="shared" si="1"/>
        <v>0</v>
      </c>
    </row>
    <row r="780">
      <c r="A780" s="10">
        <f>IFERROR(__xludf.DUMMYFUNCTION("""COMPUTED_VALUE"""),45248.0)</f>
        <v>45248</v>
      </c>
      <c r="B780" s="3" t="str">
        <f>IFERROR(__xludf.DUMMYFUNCTION("""COMPUTED_VALUE"""),"Tom Love")</f>
        <v>Tom Love</v>
      </c>
      <c r="C780" s="3">
        <f>IFERROR(__xludf.DUMMYFUNCTION("""COMPUTED_VALUE"""),13.0)</f>
        <v>13</v>
      </c>
      <c r="D780" s="3">
        <f t="shared" si="1"/>
        <v>0</v>
      </c>
    </row>
    <row r="781">
      <c r="A781" s="10">
        <f>IFERROR(__xludf.DUMMYFUNCTION("""COMPUTED_VALUE"""),45248.0)</f>
        <v>45248</v>
      </c>
      <c r="B781" s="3" t="str">
        <f>IFERROR(__xludf.DUMMYFUNCTION("""COMPUTED_VALUE"""),"Tom Riley")</f>
        <v>Tom Riley</v>
      </c>
      <c r="C781" s="3">
        <f>IFERROR(__xludf.DUMMYFUNCTION("""COMPUTED_VALUE"""),5.0)</f>
        <v>5</v>
      </c>
      <c r="D781" s="3">
        <f t="shared" si="1"/>
        <v>0</v>
      </c>
    </row>
    <row r="782">
      <c r="A782" s="10">
        <f>IFERROR(__xludf.DUMMYFUNCTION("""COMPUTED_VALUE"""),45248.0)</f>
        <v>45248</v>
      </c>
      <c r="B782" s="3" t="str">
        <f>IFERROR(__xludf.DUMMYFUNCTION("""COMPUTED_VALUE"""),"Will French")</f>
        <v>Will French</v>
      </c>
      <c r="C782" s="3">
        <f>IFERROR(__xludf.DUMMYFUNCTION("""COMPUTED_VALUE"""),5.0)</f>
        <v>5</v>
      </c>
      <c r="D782" s="3">
        <f t="shared" si="1"/>
        <v>0</v>
      </c>
    </row>
    <row r="783">
      <c r="A783" s="10">
        <f>IFERROR(__xludf.DUMMYFUNCTION("""COMPUTED_VALUE"""),45248.0)</f>
        <v>45248</v>
      </c>
      <c r="B783" s="3" t="str">
        <f>IFERROR(__xludf.DUMMYFUNCTION("""COMPUTED_VALUE"""),"Will Sollory")</f>
        <v>Will Sollory</v>
      </c>
      <c r="C783" s="3">
        <f>IFERROR(__xludf.DUMMYFUNCTION("""COMPUTED_VALUE"""),2.0)</f>
        <v>2</v>
      </c>
      <c r="D783" s="3">
        <f t="shared" si="1"/>
        <v>0</v>
      </c>
    </row>
    <row r="784">
      <c r="A784" s="10">
        <f>IFERROR(__xludf.DUMMYFUNCTION("""COMPUTED_VALUE"""),45255.0)</f>
        <v>45255</v>
      </c>
      <c r="B784" s="3" t="str">
        <f>IFERROR(__xludf.DUMMYFUNCTION("""COMPUTED_VALUE"""),"Ade Lawal")</f>
        <v>Ade Lawal</v>
      </c>
      <c r="C784" s="3">
        <f>IFERROR(__xludf.DUMMYFUNCTION("""COMPUTED_VALUE"""),2.0)</f>
        <v>2</v>
      </c>
      <c r="D784" s="3">
        <f t="shared" si="1"/>
        <v>0</v>
      </c>
    </row>
    <row r="785">
      <c r="A785" s="10">
        <f>IFERROR(__xludf.DUMMYFUNCTION("""COMPUTED_VALUE"""),45255.0)</f>
        <v>45255</v>
      </c>
      <c r="B785" s="3" t="str">
        <f>IFERROR(__xludf.DUMMYFUNCTION("""COMPUTED_VALUE"""),"Afnan Khan")</f>
        <v>Afnan Khan</v>
      </c>
      <c r="C785" s="3">
        <f>IFERROR(__xludf.DUMMYFUNCTION("""COMPUTED_VALUE"""),2.0)</f>
        <v>2</v>
      </c>
      <c r="D785" s="3">
        <f t="shared" si="1"/>
        <v>0</v>
      </c>
    </row>
    <row r="786">
      <c r="A786" s="10">
        <f>IFERROR(__xludf.DUMMYFUNCTION("""COMPUTED_VALUE"""),45255.0)</f>
        <v>45255</v>
      </c>
      <c r="B786" s="3" t="str">
        <f>IFERROR(__xludf.DUMMYFUNCTION("""COMPUTED_VALUE"""),"Alex Clark")</f>
        <v>Alex Clark</v>
      </c>
      <c r="C786" s="3">
        <f>IFERROR(__xludf.DUMMYFUNCTION("""COMPUTED_VALUE"""),2.0)</f>
        <v>2</v>
      </c>
      <c r="D786" s="3">
        <f t="shared" si="1"/>
        <v>0</v>
      </c>
    </row>
    <row r="787">
      <c r="A787" s="10">
        <f>IFERROR(__xludf.DUMMYFUNCTION("""COMPUTED_VALUE"""),45255.0)</f>
        <v>45255</v>
      </c>
      <c r="B787" s="3" t="str">
        <f>IFERROR(__xludf.DUMMYFUNCTION("""COMPUTED_VALUE"""),"Alex Dockerill")</f>
        <v>Alex Dockerill</v>
      </c>
      <c r="C787" s="3">
        <f>IFERROR(__xludf.DUMMYFUNCTION("""COMPUTED_VALUE"""),2.0)</f>
        <v>2</v>
      </c>
      <c r="D787" s="3">
        <f t="shared" si="1"/>
        <v>0</v>
      </c>
    </row>
    <row r="788">
      <c r="A788" s="10">
        <f>IFERROR(__xludf.DUMMYFUNCTION("""COMPUTED_VALUE"""),45255.0)</f>
        <v>45255</v>
      </c>
      <c r="B788" s="3" t="str">
        <f>IFERROR(__xludf.DUMMYFUNCTION("""COMPUTED_VALUE"""),"Alex Mansfield")</f>
        <v>Alex Mansfield</v>
      </c>
      <c r="C788" s="3">
        <f>IFERROR(__xludf.DUMMYFUNCTION("""COMPUTED_VALUE"""),7.0)</f>
        <v>7</v>
      </c>
      <c r="D788" s="3">
        <f t="shared" si="1"/>
        <v>0</v>
      </c>
    </row>
    <row r="789">
      <c r="A789" s="10">
        <f>IFERROR(__xludf.DUMMYFUNCTION("""COMPUTED_VALUE"""),45255.0)</f>
        <v>45255</v>
      </c>
      <c r="B789" s="3" t="str">
        <f>IFERROR(__xludf.DUMMYFUNCTION("""COMPUTED_VALUE"""),"Alex Scott-Ruddock")</f>
        <v>Alex Scott-Ruddock</v>
      </c>
      <c r="C789" s="3">
        <f>IFERROR(__xludf.DUMMYFUNCTION("""COMPUTED_VALUE"""),2.0)</f>
        <v>2</v>
      </c>
      <c r="D789" s="3">
        <f t="shared" si="1"/>
        <v>0</v>
      </c>
    </row>
    <row r="790">
      <c r="A790" s="10">
        <f>IFERROR(__xludf.DUMMYFUNCTION("""COMPUTED_VALUE"""),45255.0)</f>
        <v>45255</v>
      </c>
      <c r="B790" s="3" t="str">
        <f>IFERROR(__xludf.DUMMYFUNCTION("""COMPUTED_VALUE"""),"Alex Stevens")</f>
        <v>Alex Stevens</v>
      </c>
      <c r="C790" s="3">
        <f>IFERROR(__xludf.DUMMYFUNCTION("""COMPUTED_VALUE"""),2.0)</f>
        <v>2</v>
      </c>
      <c r="D790" s="3">
        <f t="shared" si="1"/>
        <v>0</v>
      </c>
    </row>
    <row r="791">
      <c r="A791" s="10">
        <f>IFERROR(__xludf.DUMMYFUNCTION("""COMPUTED_VALUE"""),45255.0)</f>
        <v>45255</v>
      </c>
      <c r="B791" s="3" t="str">
        <f>IFERROR(__xludf.DUMMYFUNCTION("""COMPUTED_VALUE"""),"Andres Ahlgren")</f>
        <v>Andres Ahlgren</v>
      </c>
      <c r="C791" s="3">
        <f>IFERROR(__xludf.DUMMYFUNCTION("""COMPUTED_VALUE"""),2.0)</f>
        <v>2</v>
      </c>
      <c r="D791" s="3">
        <f t="shared" si="1"/>
        <v>0</v>
      </c>
    </row>
    <row r="792">
      <c r="A792" s="10">
        <f>IFERROR(__xludf.DUMMYFUNCTION("""COMPUTED_VALUE"""),45255.0)</f>
        <v>45255</v>
      </c>
      <c r="B792" s="3" t="str">
        <f>IFERROR(__xludf.DUMMYFUNCTION("""COMPUTED_VALUE"""),"Andrew Barclay")</f>
        <v>Andrew Barclay</v>
      </c>
      <c r="C792" s="3">
        <f>IFERROR(__xludf.DUMMYFUNCTION("""COMPUTED_VALUE"""),5.0)</f>
        <v>5</v>
      </c>
      <c r="D792" s="3">
        <f t="shared" si="1"/>
        <v>0</v>
      </c>
    </row>
    <row r="793">
      <c r="A793" s="10">
        <f>IFERROR(__xludf.DUMMYFUNCTION("""COMPUTED_VALUE"""),45255.0)</f>
        <v>45255</v>
      </c>
      <c r="B793" s="3" t="str">
        <f>IFERROR(__xludf.DUMMYFUNCTION("""COMPUTED_VALUE"""),"Anish Philips")</f>
        <v>Anish Philips</v>
      </c>
      <c r="C793" s="3">
        <f>IFERROR(__xludf.DUMMYFUNCTION("""COMPUTED_VALUE"""),2.0)</f>
        <v>2</v>
      </c>
      <c r="D793" s="3">
        <f t="shared" si="1"/>
        <v>0</v>
      </c>
    </row>
    <row r="794">
      <c r="A794" s="10">
        <f>IFERROR(__xludf.DUMMYFUNCTION("""COMPUTED_VALUE"""),45255.0)</f>
        <v>45255</v>
      </c>
      <c r="B794" s="3" t="str">
        <f>IFERROR(__xludf.DUMMYFUNCTION("""COMPUTED_VALUE"""),"Anthony Ball")</f>
        <v>Anthony Ball</v>
      </c>
      <c r="C794" s="3">
        <f>IFERROR(__xludf.DUMMYFUNCTION("""COMPUTED_VALUE"""),5.0)</f>
        <v>5</v>
      </c>
      <c r="D794" s="3">
        <f t="shared" si="1"/>
        <v>0</v>
      </c>
    </row>
    <row r="795">
      <c r="A795" s="10">
        <f>IFERROR(__xludf.DUMMYFUNCTION("""COMPUTED_VALUE"""),45255.0)</f>
        <v>45255</v>
      </c>
      <c r="B795" s="3" t="str">
        <f>IFERROR(__xludf.DUMMYFUNCTION("""COMPUTED_VALUE"""),"Ash Mayers")</f>
        <v>Ash Mayers</v>
      </c>
      <c r="C795" s="3">
        <f>IFERROR(__xludf.DUMMYFUNCTION("""COMPUTED_VALUE"""),8.0)</f>
        <v>8</v>
      </c>
      <c r="D795" s="3">
        <f t="shared" si="1"/>
        <v>0</v>
      </c>
    </row>
    <row r="796">
      <c r="A796" s="10">
        <f>IFERROR(__xludf.DUMMYFUNCTION("""COMPUTED_VALUE"""),45255.0)</f>
        <v>45255</v>
      </c>
      <c r="B796" s="3" t="str">
        <f>IFERROR(__xludf.DUMMYFUNCTION("""COMPUTED_VALUE"""),"Ben Dockerill")</f>
        <v>Ben Dockerill</v>
      </c>
      <c r="C796" s="3">
        <f>IFERROR(__xludf.DUMMYFUNCTION("""COMPUTED_VALUE"""),5.0)</f>
        <v>5</v>
      </c>
      <c r="D796" s="3">
        <f t="shared" si="1"/>
        <v>0</v>
      </c>
    </row>
    <row r="797">
      <c r="A797" s="10">
        <f>IFERROR(__xludf.DUMMYFUNCTION("""COMPUTED_VALUE"""),45255.0)</f>
        <v>45255</v>
      </c>
      <c r="B797" s="3" t="str">
        <f>IFERROR(__xludf.DUMMYFUNCTION("""COMPUTED_VALUE"""),"Billy Mclean")</f>
        <v>Billy Mclean</v>
      </c>
      <c r="C797" s="3">
        <f>IFERROR(__xludf.DUMMYFUNCTION("""COMPUTED_VALUE"""),2.0)</f>
        <v>2</v>
      </c>
      <c r="D797" s="3">
        <f t="shared" si="1"/>
        <v>0</v>
      </c>
    </row>
    <row r="798">
      <c r="A798" s="10">
        <f>IFERROR(__xludf.DUMMYFUNCTION("""COMPUTED_VALUE"""),45255.0)</f>
        <v>45255</v>
      </c>
      <c r="B798" s="3" t="str">
        <f>IFERROR(__xludf.DUMMYFUNCTION("""COMPUTED_VALUE"""),"Calum Edwards")</f>
        <v>Calum Edwards</v>
      </c>
      <c r="C798" s="3">
        <f>IFERROR(__xludf.DUMMYFUNCTION("""COMPUTED_VALUE"""),6.0)</f>
        <v>6</v>
      </c>
      <c r="D798" s="3">
        <f t="shared" si="1"/>
        <v>0</v>
      </c>
    </row>
    <row r="799">
      <c r="A799" s="10">
        <f>IFERROR(__xludf.DUMMYFUNCTION("""COMPUTED_VALUE"""),45255.0)</f>
        <v>45255</v>
      </c>
      <c r="B799" s="3" t="str">
        <f>IFERROR(__xludf.DUMMYFUNCTION("""COMPUTED_VALUE"""),"Cameron Divine")</f>
        <v>Cameron Divine</v>
      </c>
      <c r="C799" s="3">
        <f>IFERROR(__xludf.DUMMYFUNCTION("""COMPUTED_VALUE"""),2.0)</f>
        <v>2</v>
      </c>
      <c r="D799" s="3">
        <f t="shared" si="1"/>
        <v>0</v>
      </c>
    </row>
    <row r="800">
      <c r="A800" s="10">
        <f>IFERROR(__xludf.DUMMYFUNCTION("""COMPUTED_VALUE"""),45255.0)</f>
        <v>45255</v>
      </c>
      <c r="B800" s="3" t="str">
        <f>IFERROR(__xludf.DUMMYFUNCTION("""COMPUTED_VALUE"""),"Cameron Hildebrandt-Brooks")</f>
        <v>Cameron Hildebrandt-Brooks</v>
      </c>
      <c r="C800" s="3">
        <f>IFERROR(__xludf.DUMMYFUNCTION("""COMPUTED_VALUE"""),2.0)</f>
        <v>2</v>
      </c>
      <c r="D800" s="3">
        <f t="shared" si="1"/>
        <v>0</v>
      </c>
    </row>
    <row r="801">
      <c r="A801" s="10">
        <f>IFERROR(__xludf.DUMMYFUNCTION("""COMPUTED_VALUE"""),45255.0)</f>
        <v>45255</v>
      </c>
      <c r="B801" s="3" t="str">
        <f>IFERROR(__xludf.DUMMYFUNCTION("""COMPUTED_VALUE"""),"Cameron Ward")</f>
        <v>Cameron Ward</v>
      </c>
      <c r="C801" s="3">
        <f>IFERROR(__xludf.DUMMYFUNCTION("""COMPUTED_VALUE"""),2.0)</f>
        <v>2</v>
      </c>
      <c r="D801" s="3">
        <f t="shared" si="1"/>
        <v>0</v>
      </c>
    </row>
    <row r="802">
      <c r="A802" s="10">
        <f>IFERROR(__xludf.DUMMYFUNCTION("""COMPUTED_VALUE"""),45255.0)</f>
        <v>45255</v>
      </c>
      <c r="B802" s="3" t="str">
        <f>IFERROR(__xludf.DUMMYFUNCTION("""COMPUTED_VALUE"""),"Charlie Heptinstall")</f>
        <v>Charlie Heptinstall</v>
      </c>
      <c r="C802" s="3">
        <f>IFERROR(__xludf.DUMMYFUNCTION("""COMPUTED_VALUE"""),2.0)</f>
        <v>2</v>
      </c>
      <c r="D802" s="3">
        <f t="shared" si="1"/>
        <v>0</v>
      </c>
    </row>
    <row r="803">
      <c r="A803" s="10">
        <f>IFERROR(__xludf.DUMMYFUNCTION("""COMPUTED_VALUE"""),45255.0)</f>
        <v>45255</v>
      </c>
      <c r="B803" s="3" t="str">
        <f>IFERROR(__xludf.DUMMYFUNCTION("""COMPUTED_VALUE"""),"Chris Claeys")</f>
        <v>Chris Claeys</v>
      </c>
      <c r="C803" s="3">
        <f>IFERROR(__xludf.DUMMYFUNCTION("""COMPUTED_VALUE"""),2.0)</f>
        <v>2</v>
      </c>
      <c r="D803" s="3">
        <f t="shared" si="1"/>
        <v>0</v>
      </c>
    </row>
    <row r="804">
      <c r="A804" s="10">
        <f>IFERROR(__xludf.DUMMYFUNCTION("""COMPUTED_VALUE"""),45255.0)</f>
        <v>45255</v>
      </c>
      <c r="B804" s="3" t="str">
        <f>IFERROR(__xludf.DUMMYFUNCTION("""COMPUTED_VALUE"""),"Chris Douthwaite")</f>
        <v>Chris Douthwaite</v>
      </c>
      <c r="C804" s="3">
        <f>IFERROR(__xludf.DUMMYFUNCTION("""COMPUTED_VALUE"""),2.0)</f>
        <v>2</v>
      </c>
      <c r="D804" s="3">
        <f t="shared" si="1"/>
        <v>0</v>
      </c>
    </row>
    <row r="805">
      <c r="A805" s="10">
        <f>IFERROR(__xludf.DUMMYFUNCTION("""COMPUTED_VALUE"""),45255.0)</f>
        <v>45255</v>
      </c>
      <c r="B805" s="3" t="str">
        <f>IFERROR(__xludf.DUMMYFUNCTION("""COMPUTED_VALUE"""),"Chris Lang")</f>
        <v>Chris Lang</v>
      </c>
      <c r="C805" s="3">
        <f>IFERROR(__xludf.DUMMYFUNCTION("""COMPUTED_VALUE"""),5.0)</f>
        <v>5</v>
      </c>
      <c r="D805" s="3">
        <f t="shared" si="1"/>
        <v>0</v>
      </c>
    </row>
    <row r="806">
      <c r="A806" s="10">
        <f>IFERROR(__xludf.DUMMYFUNCTION("""COMPUTED_VALUE"""),45255.0)</f>
        <v>45255</v>
      </c>
      <c r="B806" s="3" t="str">
        <f>IFERROR(__xludf.DUMMYFUNCTION("""COMPUTED_VALUE"""),"Christian King")</f>
        <v>Christian King</v>
      </c>
      <c r="C806" s="3">
        <f>IFERROR(__xludf.DUMMYFUNCTION("""COMPUTED_VALUE"""),2.0)</f>
        <v>2</v>
      </c>
      <c r="D806" s="3">
        <f t="shared" si="1"/>
        <v>0</v>
      </c>
    </row>
    <row r="807">
      <c r="A807" s="10">
        <f>IFERROR(__xludf.DUMMYFUNCTION("""COMPUTED_VALUE"""),45255.0)</f>
        <v>45255</v>
      </c>
      <c r="B807" s="3" t="str">
        <f>IFERROR(__xludf.DUMMYFUNCTION("""COMPUTED_VALUE"""),"Ciaran Curran")</f>
        <v>Ciaran Curran</v>
      </c>
      <c r="C807" s="3">
        <f>IFERROR(__xludf.DUMMYFUNCTION("""COMPUTED_VALUE"""),2.0)</f>
        <v>2</v>
      </c>
      <c r="D807" s="3">
        <f t="shared" si="1"/>
        <v>0</v>
      </c>
    </row>
    <row r="808">
      <c r="A808" s="10">
        <f>IFERROR(__xludf.DUMMYFUNCTION("""COMPUTED_VALUE"""),45255.0)</f>
        <v>45255</v>
      </c>
      <c r="B808" s="3" t="str">
        <f>IFERROR(__xludf.DUMMYFUNCTION("""COMPUTED_VALUE"""),"Claudien Mwalimu")</f>
        <v>Claudien Mwalimu</v>
      </c>
      <c r="C808" s="3">
        <f>IFERROR(__xludf.DUMMYFUNCTION("""COMPUTED_VALUE"""),6.0)</f>
        <v>6</v>
      </c>
      <c r="D808" s="3">
        <f t="shared" si="1"/>
        <v>0</v>
      </c>
    </row>
    <row r="809">
      <c r="A809" s="10">
        <f>IFERROR(__xludf.DUMMYFUNCTION("""COMPUTED_VALUE"""),45255.0)</f>
        <v>45255</v>
      </c>
      <c r="B809" s="3" t="str">
        <f>IFERROR(__xludf.DUMMYFUNCTION("""COMPUTED_VALUE"""),"Dan Russell")</f>
        <v>Dan Russell</v>
      </c>
      <c r="C809" s="3">
        <f>IFERROR(__xludf.DUMMYFUNCTION("""COMPUTED_VALUE"""),5.0)</f>
        <v>5</v>
      </c>
      <c r="D809" s="3">
        <f t="shared" si="1"/>
        <v>0</v>
      </c>
    </row>
    <row r="810">
      <c r="A810" s="10">
        <f>IFERROR(__xludf.DUMMYFUNCTION("""COMPUTED_VALUE"""),45255.0)</f>
        <v>45255</v>
      </c>
      <c r="B810" s="3" t="str">
        <f>IFERROR(__xludf.DUMMYFUNCTION("""COMPUTED_VALUE"""),"Deji Ogunyemi")</f>
        <v>Deji Ogunyemi</v>
      </c>
      <c r="C810" s="3">
        <f>IFERROR(__xludf.DUMMYFUNCTION("""COMPUTED_VALUE"""),2.0)</f>
        <v>2</v>
      </c>
      <c r="D810" s="3">
        <f t="shared" si="1"/>
        <v>0</v>
      </c>
    </row>
    <row r="811">
      <c r="A811" s="10">
        <f>IFERROR(__xludf.DUMMYFUNCTION("""COMPUTED_VALUE"""),45255.0)</f>
        <v>45255</v>
      </c>
      <c r="B811" s="3" t="str">
        <f>IFERROR(__xludf.DUMMYFUNCTION("""COMPUTED_VALUE"""),"Denver Lalonde")</f>
        <v>Denver Lalonde</v>
      </c>
      <c r="C811" s="3">
        <f>IFERROR(__xludf.DUMMYFUNCTION("""COMPUTED_VALUE"""),2.0)</f>
        <v>2</v>
      </c>
      <c r="D811" s="3">
        <f t="shared" si="1"/>
        <v>0</v>
      </c>
    </row>
    <row r="812">
      <c r="A812" s="10">
        <f>IFERROR(__xludf.DUMMYFUNCTION("""COMPUTED_VALUE"""),45255.0)</f>
        <v>45255</v>
      </c>
      <c r="B812" s="3" t="str">
        <f>IFERROR(__xludf.DUMMYFUNCTION("""COMPUTED_VALUE"""),"Dom Robbins")</f>
        <v>Dom Robbins</v>
      </c>
      <c r="C812" s="3">
        <f>IFERROR(__xludf.DUMMYFUNCTION("""COMPUTED_VALUE"""),2.0)</f>
        <v>2</v>
      </c>
      <c r="D812" s="3">
        <f t="shared" si="1"/>
        <v>0</v>
      </c>
    </row>
    <row r="813">
      <c r="A813" s="10">
        <f>IFERROR(__xludf.DUMMYFUNCTION("""COMPUTED_VALUE"""),45255.0)</f>
        <v>45255</v>
      </c>
      <c r="B813" s="3" t="str">
        <f>IFERROR(__xludf.DUMMYFUNCTION("""COMPUTED_VALUE"""),"Ed Wightman")</f>
        <v>Ed Wightman</v>
      </c>
      <c r="C813" s="3">
        <f>IFERROR(__xludf.DUMMYFUNCTION("""COMPUTED_VALUE"""),11.0)</f>
        <v>11</v>
      </c>
      <c r="D813" s="3">
        <f t="shared" si="1"/>
        <v>0</v>
      </c>
    </row>
    <row r="814">
      <c r="A814" s="10">
        <f>IFERROR(__xludf.DUMMYFUNCTION("""COMPUTED_VALUE"""),45255.0)</f>
        <v>45255</v>
      </c>
      <c r="B814" s="3" t="str">
        <f>IFERROR(__xludf.DUMMYFUNCTION("""COMPUTED_VALUE"""),"Ellis Forrester")</f>
        <v>Ellis Forrester</v>
      </c>
      <c r="C814" s="3">
        <f>IFERROR(__xludf.DUMMYFUNCTION("""COMPUTED_VALUE"""),1.0)</f>
        <v>1</v>
      </c>
      <c r="D814" s="3">
        <f t="shared" si="1"/>
        <v>0</v>
      </c>
    </row>
    <row r="815">
      <c r="A815" s="10">
        <f>IFERROR(__xludf.DUMMYFUNCTION("""COMPUTED_VALUE"""),45255.0)</f>
        <v>45255</v>
      </c>
      <c r="B815" s="3" t="str">
        <f>IFERROR(__xludf.DUMMYFUNCTION("""COMPUTED_VALUE"""),"Emi Muhadri")</f>
        <v>Emi Muhadri</v>
      </c>
      <c r="C815" s="3">
        <f>IFERROR(__xludf.DUMMYFUNCTION("""COMPUTED_VALUE"""),2.0)</f>
        <v>2</v>
      </c>
      <c r="D815" s="3">
        <f t="shared" si="1"/>
        <v>0</v>
      </c>
    </row>
    <row r="816">
      <c r="A816" s="10">
        <f>IFERROR(__xludf.DUMMYFUNCTION("""COMPUTED_VALUE"""),45255.0)</f>
        <v>45255</v>
      </c>
      <c r="B816" s="3" t="str">
        <f>IFERROR(__xludf.DUMMYFUNCTION("""COMPUTED_VALUE"""),"Finn Coolen")</f>
        <v>Finn Coolen</v>
      </c>
      <c r="C816" s="3">
        <f>IFERROR(__xludf.DUMMYFUNCTION("""COMPUTED_VALUE"""),2.0)</f>
        <v>2</v>
      </c>
      <c r="D816" s="3">
        <f t="shared" si="1"/>
        <v>0</v>
      </c>
    </row>
    <row r="817">
      <c r="A817" s="10">
        <f>IFERROR(__xludf.DUMMYFUNCTION("""COMPUTED_VALUE"""),45255.0)</f>
        <v>45255</v>
      </c>
      <c r="B817" s="3" t="str">
        <f>IFERROR(__xludf.DUMMYFUNCTION("""COMPUTED_VALUE"""),"George Connolly")</f>
        <v>George Connolly</v>
      </c>
      <c r="C817" s="3">
        <f>IFERROR(__xludf.DUMMYFUNCTION("""COMPUTED_VALUE"""),2.0)</f>
        <v>2</v>
      </c>
      <c r="D817" s="3">
        <f t="shared" si="1"/>
        <v>0</v>
      </c>
    </row>
    <row r="818">
      <c r="A818" s="10">
        <f>IFERROR(__xludf.DUMMYFUNCTION("""COMPUTED_VALUE"""),45255.0)</f>
        <v>45255</v>
      </c>
      <c r="B818" s="3" t="str">
        <f>IFERROR(__xludf.DUMMYFUNCTION("""COMPUTED_VALUE"""),"George Havord")</f>
        <v>George Havord</v>
      </c>
      <c r="C818" s="3">
        <f>IFERROR(__xludf.DUMMYFUNCTION("""COMPUTED_VALUE"""),12.0)</f>
        <v>12</v>
      </c>
      <c r="D818" s="3">
        <f t="shared" si="1"/>
        <v>0</v>
      </c>
    </row>
    <row r="819">
      <c r="A819" s="10">
        <f>IFERROR(__xludf.DUMMYFUNCTION("""COMPUTED_VALUE"""),45255.0)</f>
        <v>45255</v>
      </c>
      <c r="B819" s="3" t="str">
        <f>IFERROR(__xludf.DUMMYFUNCTION("""COMPUTED_VALUE"""),"Harold Kiyingi")</f>
        <v>Harold Kiyingi</v>
      </c>
      <c r="C819" s="3">
        <f>IFERROR(__xludf.DUMMYFUNCTION("""COMPUTED_VALUE"""),2.0)</f>
        <v>2</v>
      </c>
      <c r="D819" s="3">
        <f t="shared" si="1"/>
        <v>0</v>
      </c>
    </row>
    <row r="820">
      <c r="A820" s="10">
        <f>IFERROR(__xludf.DUMMYFUNCTION("""COMPUTED_VALUE"""),45255.0)</f>
        <v>45255</v>
      </c>
      <c r="B820" s="3" t="str">
        <f>IFERROR(__xludf.DUMMYFUNCTION("""COMPUTED_VALUE"""),"Harry Fripp")</f>
        <v>Harry Fripp</v>
      </c>
      <c r="C820" s="3">
        <f>IFERROR(__xludf.DUMMYFUNCTION("""COMPUTED_VALUE"""),2.0)</f>
        <v>2</v>
      </c>
      <c r="D820" s="3">
        <f t="shared" si="1"/>
        <v>0</v>
      </c>
    </row>
    <row r="821">
      <c r="A821" s="10">
        <f>IFERROR(__xludf.DUMMYFUNCTION("""COMPUTED_VALUE"""),45255.0)</f>
        <v>45255</v>
      </c>
      <c r="B821" s="3" t="str">
        <f>IFERROR(__xludf.DUMMYFUNCTION("""COMPUTED_VALUE"""),"Isaac Adepegba")</f>
        <v>Isaac Adepegba</v>
      </c>
      <c r="C821" s="3">
        <f>IFERROR(__xludf.DUMMYFUNCTION("""COMPUTED_VALUE"""),2.0)</f>
        <v>2</v>
      </c>
      <c r="D821" s="3">
        <f t="shared" si="1"/>
        <v>0</v>
      </c>
    </row>
    <row r="822">
      <c r="A822" s="10">
        <f>IFERROR(__xludf.DUMMYFUNCTION("""COMPUTED_VALUE"""),45255.0)</f>
        <v>45255</v>
      </c>
      <c r="B822" s="3" t="str">
        <f>IFERROR(__xludf.DUMMYFUNCTION("""COMPUTED_VALUE"""),"Jack Butcher")</f>
        <v>Jack Butcher</v>
      </c>
      <c r="C822" s="3">
        <f>IFERROR(__xludf.DUMMYFUNCTION("""COMPUTED_VALUE"""),2.0)</f>
        <v>2</v>
      </c>
      <c r="D822" s="3">
        <f t="shared" si="1"/>
        <v>0</v>
      </c>
    </row>
    <row r="823">
      <c r="A823" s="10">
        <f>IFERROR(__xludf.DUMMYFUNCTION("""COMPUTED_VALUE"""),45255.0)</f>
        <v>45255</v>
      </c>
      <c r="B823" s="3" t="str">
        <f>IFERROR(__xludf.DUMMYFUNCTION("""COMPUTED_VALUE"""),"Jack Harris")</f>
        <v>Jack Harris</v>
      </c>
      <c r="C823" s="3">
        <f>IFERROR(__xludf.DUMMYFUNCTION("""COMPUTED_VALUE"""),2.0)</f>
        <v>2</v>
      </c>
      <c r="D823" s="3">
        <f t="shared" si="1"/>
        <v>0</v>
      </c>
    </row>
    <row r="824">
      <c r="A824" s="10">
        <f>IFERROR(__xludf.DUMMYFUNCTION("""COMPUTED_VALUE"""),45255.0)</f>
        <v>45255</v>
      </c>
      <c r="B824" s="3" t="str">
        <f>IFERROR(__xludf.DUMMYFUNCTION("""COMPUTED_VALUE"""),"James Rodriguez")</f>
        <v>James Rodriguez</v>
      </c>
      <c r="C824" s="3">
        <f>IFERROR(__xludf.DUMMYFUNCTION("""COMPUTED_VALUE"""),2.0)</f>
        <v>2</v>
      </c>
      <c r="D824" s="3">
        <f t="shared" si="1"/>
        <v>0</v>
      </c>
    </row>
    <row r="825">
      <c r="A825" s="10">
        <f>IFERROR(__xludf.DUMMYFUNCTION("""COMPUTED_VALUE"""),45255.0)</f>
        <v>45255</v>
      </c>
      <c r="B825" s="3" t="str">
        <f>IFERROR(__xludf.DUMMYFUNCTION("""COMPUTED_VALUE"""),"Jamie Wood")</f>
        <v>Jamie Wood</v>
      </c>
      <c r="C825" s="3">
        <f>IFERROR(__xludf.DUMMYFUNCTION("""COMPUTED_VALUE"""),2.0)</f>
        <v>2</v>
      </c>
      <c r="D825" s="3">
        <f t="shared" si="1"/>
        <v>0</v>
      </c>
    </row>
    <row r="826">
      <c r="A826" s="10">
        <f>IFERROR(__xludf.DUMMYFUNCTION("""COMPUTED_VALUE"""),45255.0)</f>
        <v>45255</v>
      </c>
      <c r="B826" s="3" t="str">
        <f>IFERROR(__xludf.DUMMYFUNCTION("""COMPUTED_VALUE"""),"Jarvis Cheek")</f>
        <v>Jarvis Cheek</v>
      </c>
      <c r="C826" s="3">
        <f>IFERROR(__xludf.DUMMYFUNCTION("""COMPUTED_VALUE"""),10.0)</f>
        <v>10</v>
      </c>
      <c r="D826" s="3">
        <f t="shared" si="1"/>
        <v>0</v>
      </c>
    </row>
    <row r="827">
      <c r="A827" s="10">
        <f>IFERROR(__xludf.DUMMYFUNCTION("""COMPUTED_VALUE"""),45255.0)</f>
        <v>45255</v>
      </c>
      <c r="B827" s="3" t="str">
        <f>IFERROR(__xludf.DUMMYFUNCTION("""COMPUTED_VALUE"""),"Jason Heath")</f>
        <v>Jason Heath</v>
      </c>
      <c r="C827" s="3">
        <f>IFERROR(__xludf.DUMMYFUNCTION("""COMPUTED_VALUE"""),2.0)</f>
        <v>2</v>
      </c>
      <c r="D827" s="3">
        <f t="shared" si="1"/>
        <v>0</v>
      </c>
    </row>
    <row r="828">
      <c r="A828" s="10">
        <f>IFERROR(__xludf.DUMMYFUNCTION("""COMPUTED_VALUE"""),45255.0)</f>
        <v>45255</v>
      </c>
      <c r="B828" s="3" t="str">
        <f>IFERROR(__xludf.DUMMYFUNCTION("""COMPUTED_VALUE"""),"Joe France")</f>
        <v>Joe France</v>
      </c>
      <c r="C828" s="3">
        <f>IFERROR(__xludf.DUMMYFUNCTION("""COMPUTED_VALUE"""),1.0)</f>
        <v>1</v>
      </c>
      <c r="D828" s="3">
        <f t="shared" si="1"/>
        <v>0</v>
      </c>
    </row>
    <row r="829">
      <c r="A829" s="10">
        <f>IFERROR(__xludf.DUMMYFUNCTION("""COMPUTED_VALUE"""),45255.0)</f>
        <v>45255</v>
      </c>
      <c r="B829" s="3" t="str">
        <f>IFERROR(__xludf.DUMMYFUNCTION("""COMPUTED_VALUE"""),"Joe Vincent")</f>
        <v>Joe Vincent</v>
      </c>
      <c r="C829" s="3">
        <f>IFERROR(__xludf.DUMMYFUNCTION("""COMPUTED_VALUE"""),2.0)</f>
        <v>2</v>
      </c>
      <c r="D829" s="3">
        <f t="shared" si="1"/>
        <v>0</v>
      </c>
    </row>
    <row r="830">
      <c r="A830" s="10">
        <f>IFERROR(__xludf.DUMMYFUNCTION("""COMPUTED_VALUE"""),45255.0)</f>
        <v>45255</v>
      </c>
      <c r="B830" s="3" t="str">
        <f>IFERROR(__xludf.DUMMYFUNCTION("""COMPUTED_VALUE"""),"Joel Wright")</f>
        <v>Joel Wright</v>
      </c>
      <c r="C830" s="3">
        <f>IFERROR(__xludf.DUMMYFUNCTION("""COMPUTED_VALUE"""),1.0)</f>
        <v>1</v>
      </c>
      <c r="D830" s="3">
        <f t="shared" si="1"/>
        <v>0</v>
      </c>
    </row>
    <row r="831">
      <c r="A831" s="10">
        <f>IFERROR(__xludf.DUMMYFUNCTION("""COMPUTED_VALUE"""),45255.0)</f>
        <v>45255</v>
      </c>
      <c r="B831" s="3" t="str">
        <f>IFERROR(__xludf.DUMMYFUNCTION("""COMPUTED_VALUE"""),"Jonny Simmons")</f>
        <v>Jonny Simmons</v>
      </c>
      <c r="C831" s="3">
        <f>IFERROR(__xludf.DUMMYFUNCTION("""COMPUTED_VALUE"""),1.0)</f>
        <v>1</v>
      </c>
      <c r="D831" s="3">
        <f t="shared" si="1"/>
        <v>0</v>
      </c>
    </row>
    <row r="832">
      <c r="A832" s="10">
        <f>IFERROR(__xludf.DUMMYFUNCTION("""COMPUTED_VALUE"""),45255.0)</f>
        <v>45255</v>
      </c>
      <c r="B832" s="3" t="str">
        <f>IFERROR(__xludf.DUMMYFUNCTION("""COMPUTED_VALUE"""),"Jordan Davis")</f>
        <v>Jordan Davis</v>
      </c>
      <c r="C832" s="3">
        <f>IFERROR(__xludf.DUMMYFUNCTION("""COMPUTED_VALUE"""),1.0)</f>
        <v>1</v>
      </c>
      <c r="D832" s="3">
        <f t="shared" si="1"/>
        <v>0</v>
      </c>
    </row>
    <row r="833">
      <c r="A833" s="10">
        <f>IFERROR(__xludf.DUMMYFUNCTION("""COMPUTED_VALUE"""),45255.0)</f>
        <v>45255</v>
      </c>
      <c r="B833" s="3" t="str">
        <f>IFERROR(__xludf.DUMMYFUNCTION("""COMPUTED_VALUE"""),"Joseph Smith")</f>
        <v>Joseph Smith</v>
      </c>
      <c r="C833" s="3">
        <f>IFERROR(__xludf.DUMMYFUNCTION("""COMPUTED_VALUE"""),2.0)</f>
        <v>2</v>
      </c>
      <c r="D833" s="3">
        <f t="shared" si="1"/>
        <v>0</v>
      </c>
    </row>
    <row r="834">
      <c r="A834" s="10">
        <f>IFERROR(__xludf.DUMMYFUNCTION("""COMPUTED_VALUE"""),45255.0)</f>
        <v>45255</v>
      </c>
      <c r="B834" s="3" t="str">
        <f>IFERROR(__xludf.DUMMYFUNCTION("""COMPUTED_VALUE"""),"Josh Sherriff-Jolly")</f>
        <v>Josh Sherriff-Jolly</v>
      </c>
      <c r="C834" s="3">
        <f>IFERROR(__xludf.DUMMYFUNCTION("""COMPUTED_VALUE"""),7.0)</f>
        <v>7</v>
      </c>
      <c r="D834" s="3">
        <f t="shared" si="1"/>
        <v>0</v>
      </c>
    </row>
    <row r="835">
      <c r="A835" s="10">
        <f>IFERROR(__xludf.DUMMYFUNCTION("""COMPUTED_VALUE"""),45255.0)</f>
        <v>45255</v>
      </c>
      <c r="B835" s="3" t="str">
        <f>IFERROR(__xludf.DUMMYFUNCTION("""COMPUTED_VALUE"""),"Kai Clack")</f>
        <v>Kai Clack</v>
      </c>
      <c r="C835" s="3">
        <f>IFERROR(__xludf.DUMMYFUNCTION("""COMPUTED_VALUE"""),2.0)</f>
        <v>2</v>
      </c>
      <c r="D835" s="3">
        <f t="shared" si="1"/>
        <v>0</v>
      </c>
    </row>
    <row r="836">
      <c r="A836" s="10">
        <f>IFERROR(__xludf.DUMMYFUNCTION("""COMPUTED_VALUE"""),45255.0)</f>
        <v>45255</v>
      </c>
      <c r="B836" s="3" t="str">
        <f>IFERROR(__xludf.DUMMYFUNCTION("""COMPUTED_VALUE"""),"Keaton Cohen")</f>
        <v>Keaton Cohen</v>
      </c>
      <c r="C836" s="3">
        <f>IFERROR(__xludf.DUMMYFUNCTION("""COMPUTED_VALUE"""),2.0)</f>
        <v>2</v>
      </c>
      <c r="D836" s="3">
        <f t="shared" si="1"/>
        <v>0</v>
      </c>
    </row>
    <row r="837">
      <c r="A837" s="10">
        <f>IFERROR(__xludf.DUMMYFUNCTION("""COMPUTED_VALUE"""),45255.0)</f>
        <v>45255</v>
      </c>
      <c r="B837" s="3" t="str">
        <f>IFERROR(__xludf.DUMMYFUNCTION("""COMPUTED_VALUE"""),"Kevin Gonzalez")</f>
        <v>Kevin Gonzalez</v>
      </c>
      <c r="C837" s="3">
        <f>IFERROR(__xludf.DUMMYFUNCTION("""COMPUTED_VALUE"""),4.0)</f>
        <v>4</v>
      </c>
      <c r="D837" s="3">
        <f t="shared" si="1"/>
        <v>0</v>
      </c>
    </row>
    <row r="838">
      <c r="A838" s="10">
        <f>IFERROR(__xludf.DUMMYFUNCTION("""COMPUTED_VALUE"""),45255.0)</f>
        <v>45255</v>
      </c>
      <c r="B838" s="3" t="str">
        <f>IFERROR(__xludf.DUMMYFUNCTION("""COMPUTED_VALUE"""),"Kolawole Kehinde")</f>
        <v>Kolawole Kehinde</v>
      </c>
      <c r="C838" s="3">
        <f>IFERROR(__xludf.DUMMYFUNCTION("""COMPUTED_VALUE"""),2.0)</f>
        <v>2</v>
      </c>
      <c r="D838" s="3">
        <f t="shared" si="1"/>
        <v>0</v>
      </c>
    </row>
    <row r="839">
      <c r="A839" s="10">
        <f>IFERROR(__xludf.DUMMYFUNCTION("""COMPUTED_VALUE"""),45255.0)</f>
        <v>45255</v>
      </c>
      <c r="B839" s="3" t="str">
        <f>IFERROR(__xludf.DUMMYFUNCTION("""COMPUTED_VALUE"""),"Lee Clark")</f>
        <v>Lee Clark</v>
      </c>
      <c r="C839" s="3">
        <f>IFERROR(__xludf.DUMMYFUNCTION("""COMPUTED_VALUE"""),2.0)</f>
        <v>2</v>
      </c>
      <c r="D839" s="3">
        <f t="shared" si="1"/>
        <v>0</v>
      </c>
    </row>
    <row r="840">
      <c r="A840" s="10">
        <f>IFERROR(__xludf.DUMMYFUNCTION("""COMPUTED_VALUE"""),45255.0)</f>
        <v>45255</v>
      </c>
      <c r="B840" s="3" t="str">
        <f>IFERROR(__xludf.DUMMYFUNCTION("""COMPUTED_VALUE"""),"Leuman Coronado")</f>
        <v>Leuman Coronado</v>
      </c>
      <c r="C840" s="3">
        <f>IFERROR(__xludf.DUMMYFUNCTION("""COMPUTED_VALUE"""),2.0)</f>
        <v>2</v>
      </c>
      <c r="D840" s="3">
        <f t="shared" si="1"/>
        <v>0</v>
      </c>
    </row>
    <row r="841">
      <c r="A841" s="10">
        <f>IFERROR(__xludf.DUMMYFUNCTION("""COMPUTED_VALUE"""),45255.0)</f>
        <v>45255</v>
      </c>
      <c r="B841" s="3" t="str">
        <f>IFERROR(__xludf.DUMMYFUNCTION("""COMPUTED_VALUE"""),"Lewis Anderson")</f>
        <v>Lewis Anderson</v>
      </c>
      <c r="C841" s="3">
        <f>IFERROR(__xludf.DUMMYFUNCTION("""COMPUTED_VALUE"""),5.0)</f>
        <v>5</v>
      </c>
      <c r="D841" s="3">
        <f t="shared" si="1"/>
        <v>0</v>
      </c>
    </row>
    <row r="842">
      <c r="A842" s="10">
        <f>IFERROR(__xludf.DUMMYFUNCTION("""COMPUTED_VALUE"""),45255.0)</f>
        <v>45255</v>
      </c>
      <c r="B842" s="3" t="str">
        <f>IFERROR(__xludf.DUMMYFUNCTION("""COMPUTED_VALUE"""),"Luke Dyges")</f>
        <v>Luke Dyges</v>
      </c>
      <c r="C842" s="3">
        <f>IFERROR(__xludf.DUMMYFUNCTION("""COMPUTED_VALUE"""),9.0)</f>
        <v>9</v>
      </c>
      <c r="D842" s="3">
        <f t="shared" si="1"/>
        <v>0</v>
      </c>
    </row>
    <row r="843">
      <c r="A843" s="10">
        <f>IFERROR(__xludf.DUMMYFUNCTION("""COMPUTED_VALUE"""),45255.0)</f>
        <v>45255</v>
      </c>
      <c r="B843" s="3" t="str">
        <f>IFERROR(__xludf.DUMMYFUNCTION("""COMPUTED_VALUE"""),"Martin Goodson")</f>
        <v>Martin Goodson</v>
      </c>
      <c r="C843" s="3">
        <f>IFERROR(__xludf.DUMMYFUNCTION("""COMPUTED_VALUE"""),1.0)</f>
        <v>1</v>
      </c>
      <c r="D843" s="3">
        <f t="shared" si="1"/>
        <v>0</v>
      </c>
    </row>
    <row r="844">
      <c r="A844" s="10">
        <f>IFERROR(__xludf.DUMMYFUNCTION("""COMPUTED_VALUE"""),45255.0)</f>
        <v>45255</v>
      </c>
      <c r="B844" s="3" t="str">
        <f>IFERROR(__xludf.DUMMYFUNCTION("""COMPUTED_VALUE"""),"Masood Hamidi")</f>
        <v>Masood Hamidi</v>
      </c>
      <c r="C844" s="3">
        <f>IFERROR(__xludf.DUMMYFUNCTION("""COMPUTED_VALUE"""),2.0)</f>
        <v>2</v>
      </c>
      <c r="D844" s="3">
        <f t="shared" si="1"/>
        <v>0</v>
      </c>
    </row>
    <row r="845">
      <c r="A845" s="10">
        <f>IFERROR(__xludf.DUMMYFUNCTION("""COMPUTED_VALUE"""),45255.0)</f>
        <v>45255</v>
      </c>
      <c r="B845" s="3" t="str">
        <f>IFERROR(__xludf.DUMMYFUNCTION("""COMPUTED_VALUE"""),"Matt Crowe")</f>
        <v>Matt Crowe</v>
      </c>
      <c r="C845" s="3">
        <f>IFERROR(__xludf.DUMMYFUNCTION("""COMPUTED_VALUE"""),8.0)</f>
        <v>8</v>
      </c>
      <c r="D845" s="3">
        <f t="shared" si="1"/>
        <v>0</v>
      </c>
    </row>
    <row r="846">
      <c r="A846" s="10">
        <f>IFERROR(__xludf.DUMMYFUNCTION("""COMPUTED_VALUE"""),45255.0)</f>
        <v>45255</v>
      </c>
      <c r="B846" s="3" t="str">
        <f>IFERROR(__xludf.DUMMYFUNCTION("""COMPUTED_VALUE"""),"Matt Hope")</f>
        <v>Matt Hope</v>
      </c>
      <c r="C846" s="3">
        <f>IFERROR(__xludf.DUMMYFUNCTION("""COMPUTED_VALUE"""),2.0)</f>
        <v>2</v>
      </c>
      <c r="D846" s="3">
        <f t="shared" si="1"/>
        <v>0</v>
      </c>
    </row>
    <row r="847">
      <c r="A847" s="10">
        <f>IFERROR(__xludf.DUMMYFUNCTION("""COMPUTED_VALUE"""),45255.0)</f>
        <v>45255</v>
      </c>
      <c r="B847" s="3" t="str">
        <f>IFERROR(__xludf.DUMMYFUNCTION("""COMPUTED_VALUE"""),"Matthew Thomas")</f>
        <v>Matthew Thomas</v>
      </c>
      <c r="C847" s="3">
        <f>IFERROR(__xludf.DUMMYFUNCTION("""COMPUTED_VALUE"""),2.0)</f>
        <v>2</v>
      </c>
      <c r="D847" s="3">
        <f t="shared" si="1"/>
        <v>0</v>
      </c>
    </row>
    <row r="848">
      <c r="A848" s="10">
        <f>IFERROR(__xludf.DUMMYFUNCTION("""COMPUTED_VALUE"""),45255.0)</f>
        <v>45255</v>
      </c>
      <c r="B848" s="3" t="str">
        <f>IFERROR(__xludf.DUMMYFUNCTION("""COMPUTED_VALUE"""),"Miles Shirtcliffe")</f>
        <v>Miles Shirtcliffe</v>
      </c>
      <c r="C848" s="3">
        <f>IFERROR(__xludf.DUMMYFUNCTION("""COMPUTED_VALUE"""),2.0)</f>
        <v>2</v>
      </c>
      <c r="D848" s="3">
        <f t="shared" si="1"/>
        <v>0</v>
      </c>
    </row>
    <row r="849">
      <c r="A849" s="10">
        <f>IFERROR(__xludf.DUMMYFUNCTION("""COMPUTED_VALUE"""),45255.0)</f>
        <v>45255</v>
      </c>
      <c r="B849" s="3" t="str">
        <f>IFERROR(__xludf.DUMMYFUNCTION("""COMPUTED_VALUE"""),"Nick Chimonides")</f>
        <v>Nick Chimonides</v>
      </c>
      <c r="C849" s="3">
        <f>IFERROR(__xludf.DUMMYFUNCTION("""COMPUTED_VALUE"""),2.0)</f>
        <v>2</v>
      </c>
      <c r="D849" s="3">
        <f t="shared" si="1"/>
        <v>0</v>
      </c>
    </row>
    <row r="850">
      <c r="A850" s="10">
        <f>IFERROR(__xludf.DUMMYFUNCTION("""COMPUTED_VALUE"""),45255.0)</f>
        <v>45255</v>
      </c>
      <c r="B850" s="3" t="str">
        <f>IFERROR(__xludf.DUMMYFUNCTION("""COMPUTED_VALUE"""),"Nima Naghdi")</f>
        <v>Nima Naghdi</v>
      </c>
      <c r="C850" s="3">
        <f>IFERROR(__xludf.DUMMYFUNCTION("""COMPUTED_VALUE"""),2.0)</f>
        <v>2</v>
      </c>
      <c r="D850" s="3">
        <f t="shared" si="1"/>
        <v>0</v>
      </c>
    </row>
    <row r="851">
      <c r="A851" s="10">
        <f>IFERROR(__xludf.DUMMYFUNCTION("""COMPUTED_VALUE"""),45255.0)</f>
        <v>45255</v>
      </c>
      <c r="B851" s="3" t="str">
        <f>IFERROR(__xludf.DUMMYFUNCTION("""COMPUTED_VALUE"""),"Parimal Patel")</f>
        <v>Parimal Patel</v>
      </c>
      <c r="C851" s="3">
        <f>IFERROR(__xludf.DUMMYFUNCTION("""COMPUTED_VALUE"""),2.0)</f>
        <v>2</v>
      </c>
      <c r="D851" s="3">
        <f t="shared" si="1"/>
        <v>0</v>
      </c>
    </row>
    <row r="852">
      <c r="A852" s="10">
        <f>IFERROR(__xludf.DUMMYFUNCTION("""COMPUTED_VALUE"""),45255.0)</f>
        <v>45255</v>
      </c>
      <c r="B852" s="3" t="str">
        <f>IFERROR(__xludf.DUMMYFUNCTION("""COMPUTED_VALUE"""),"Paul Ball")</f>
        <v>Paul Ball</v>
      </c>
      <c r="C852" s="3">
        <f>IFERROR(__xludf.DUMMYFUNCTION("""COMPUTED_VALUE"""),2.0)</f>
        <v>2</v>
      </c>
      <c r="D852" s="3">
        <f t="shared" si="1"/>
        <v>0</v>
      </c>
    </row>
    <row r="853">
      <c r="A853" s="10">
        <f>IFERROR(__xludf.DUMMYFUNCTION("""COMPUTED_VALUE"""),45255.0)</f>
        <v>45255</v>
      </c>
      <c r="B853" s="3" t="str">
        <f>IFERROR(__xludf.DUMMYFUNCTION("""COMPUTED_VALUE"""),"Paul Jalil")</f>
        <v>Paul Jalil</v>
      </c>
      <c r="C853" s="3">
        <f>IFERROR(__xludf.DUMMYFUNCTION("""COMPUTED_VALUE"""),2.0)</f>
        <v>2</v>
      </c>
      <c r="D853" s="3">
        <f t="shared" si="1"/>
        <v>0</v>
      </c>
    </row>
    <row r="854">
      <c r="A854" s="10">
        <f>IFERROR(__xludf.DUMMYFUNCTION("""COMPUTED_VALUE"""),45255.0)</f>
        <v>45255</v>
      </c>
      <c r="B854" s="3" t="str">
        <f>IFERROR(__xludf.DUMMYFUNCTION("""COMPUTED_VALUE"""),"Pearl Bakengela")</f>
        <v>Pearl Bakengela</v>
      </c>
      <c r="C854" s="3">
        <f>IFERROR(__xludf.DUMMYFUNCTION("""COMPUTED_VALUE"""),1.0)</f>
        <v>1</v>
      </c>
      <c r="D854" s="3">
        <f t="shared" si="1"/>
        <v>0</v>
      </c>
    </row>
    <row r="855">
      <c r="A855" s="10">
        <f>IFERROR(__xludf.DUMMYFUNCTION("""COMPUTED_VALUE"""),45255.0)</f>
        <v>45255</v>
      </c>
      <c r="B855" s="3" t="str">
        <f>IFERROR(__xludf.DUMMYFUNCTION("""COMPUTED_VALUE"""),"Phil Boden")</f>
        <v>Phil Boden</v>
      </c>
      <c r="C855" s="3">
        <f>IFERROR(__xludf.DUMMYFUNCTION("""COMPUTED_VALUE"""),2.0)</f>
        <v>2</v>
      </c>
      <c r="D855" s="3">
        <f t="shared" si="1"/>
        <v>0</v>
      </c>
    </row>
    <row r="856">
      <c r="A856" s="10">
        <f>IFERROR(__xludf.DUMMYFUNCTION("""COMPUTED_VALUE"""),45255.0)</f>
        <v>45255</v>
      </c>
      <c r="B856" s="3" t="str">
        <f>IFERROR(__xludf.DUMMYFUNCTION("""COMPUTED_VALUE"""),"Raj Ramful")</f>
        <v>Raj Ramful</v>
      </c>
      <c r="C856" s="3">
        <f>IFERROR(__xludf.DUMMYFUNCTION("""COMPUTED_VALUE"""),1.0)</f>
        <v>1</v>
      </c>
      <c r="D856" s="3">
        <f t="shared" si="1"/>
        <v>0</v>
      </c>
    </row>
    <row r="857">
      <c r="A857" s="10">
        <f>IFERROR(__xludf.DUMMYFUNCTION("""COMPUTED_VALUE"""),45255.0)</f>
        <v>45255</v>
      </c>
      <c r="B857" s="3" t="str">
        <f>IFERROR(__xludf.DUMMYFUNCTION("""COMPUTED_VALUE"""),"Rich Lundie")</f>
        <v>Rich Lundie</v>
      </c>
      <c r="C857" s="3">
        <f>IFERROR(__xludf.DUMMYFUNCTION("""COMPUTED_VALUE"""),5.0)</f>
        <v>5</v>
      </c>
      <c r="D857" s="3">
        <f t="shared" si="1"/>
        <v>0</v>
      </c>
    </row>
    <row r="858">
      <c r="A858" s="10">
        <f>IFERROR(__xludf.DUMMYFUNCTION("""COMPUTED_VALUE"""),45255.0)</f>
        <v>45255</v>
      </c>
      <c r="B858" s="3" t="str">
        <f>IFERROR(__xludf.DUMMYFUNCTION("""COMPUTED_VALUE"""),"Richard Scott")</f>
        <v>Richard Scott</v>
      </c>
      <c r="C858" s="3">
        <f>IFERROR(__xludf.DUMMYFUNCTION("""COMPUTED_VALUE"""),27.0)</f>
        <v>27</v>
      </c>
      <c r="D858" s="3">
        <f t="shared" si="1"/>
        <v>1</v>
      </c>
    </row>
    <row r="859">
      <c r="A859" s="10">
        <f>IFERROR(__xludf.DUMMYFUNCTION("""COMPUTED_VALUE"""),45255.0)</f>
        <v>45255</v>
      </c>
      <c r="B859" s="3" t="str">
        <f>IFERROR(__xludf.DUMMYFUNCTION("""COMPUTED_VALUE"""),"Rob Edmonds")</f>
        <v>Rob Edmonds</v>
      </c>
      <c r="C859" s="3">
        <f>IFERROR(__xludf.DUMMYFUNCTION("""COMPUTED_VALUE"""),5.0)</f>
        <v>5</v>
      </c>
      <c r="D859" s="3">
        <f t="shared" si="1"/>
        <v>0</v>
      </c>
    </row>
    <row r="860">
      <c r="A860" s="10">
        <f>IFERROR(__xludf.DUMMYFUNCTION("""COMPUTED_VALUE"""),45255.0)</f>
        <v>45255</v>
      </c>
      <c r="B860" s="3" t="str">
        <f>IFERROR(__xludf.DUMMYFUNCTION("""COMPUTED_VALUE"""),"Samuel Osewa")</f>
        <v>Samuel Osewa</v>
      </c>
      <c r="C860" s="3">
        <f>IFERROR(__xludf.DUMMYFUNCTION("""COMPUTED_VALUE"""),1.0)</f>
        <v>1</v>
      </c>
      <c r="D860" s="3">
        <f t="shared" si="1"/>
        <v>0</v>
      </c>
    </row>
    <row r="861">
      <c r="A861" s="10">
        <f>IFERROR(__xludf.DUMMYFUNCTION("""COMPUTED_VALUE"""),45255.0)</f>
        <v>45255</v>
      </c>
      <c r="B861" s="3" t="str">
        <f>IFERROR(__xludf.DUMMYFUNCTION("""COMPUTED_VALUE"""),"Sean Rowlett")</f>
        <v>Sean Rowlett</v>
      </c>
      <c r="C861" s="3">
        <f>IFERROR(__xludf.DUMMYFUNCTION("""COMPUTED_VALUE"""),2.0)</f>
        <v>2</v>
      </c>
      <c r="D861" s="3">
        <f t="shared" si="1"/>
        <v>0</v>
      </c>
    </row>
    <row r="862">
      <c r="A862" s="10">
        <f>IFERROR(__xludf.DUMMYFUNCTION("""COMPUTED_VALUE"""),45255.0)</f>
        <v>45255</v>
      </c>
      <c r="B862" s="3" t="str">
        <f>IFERROR(__xludf.DUMMYFUNCTION("""COMPUTED_VALUE"""),"Seb Curle")</f>
        <v>Seb Curle</v>
      </c>
      <c r="C862" s="3">
        <f>IFERROR(__xludf.DUMMYFUNCTION("""COMPUTED_VALUE"""),1.0)</f>
        <v>1</v>
      </c>
      <c r="D862" s="3">
        <f t="shared" si="1"/>
        <v>0</v>
      </c>
    </row>
    <row r="863">
      <c r="A863" s="10">
        <f>IFERROR(__xludf.DUMMYFUNCTION("""COMPUTED_VALUE"""),45255.0)</f>
        <v>45255</v>
      </c>
      <c r="B863" s="3" t="str">
        <f>IFERROR(__xludf.DUMMYFUNCTION("""COMPUTED_VALUE"""),"Sid Nayaar")</f>
        <v>Sid Nayaar</v>
      </c>
      <c r="C863" s="3">
        <f>IFERROR(__xludf.DUMMYFUNCTION("""COMPUTED_VALUE"""),1.0)</f>
        <v>1</v>
      </c>
      <c r="D863" s="3">
        <f t="shared" si="1"/>
        <v>0</v>
      </c>
    </row>
    <row r="864">
      <c r="A864" s="10">
        <f>IFERROR(__xludf.DUMMYFUNCTION("""COMPUTED_VALUE"""),45255.0)</f>
        <v>45255</v>
      </c>
      <c r="B864" s="3" t="str">
        <f>IFERROR(__xludf.DUMMYFUNCTION("""COMPUTED_VALUE"""),"Sonny Kombo")</f>
        <v>Sonny Kombo</v>
      </c>
      <c r="C864" s="3">
        <f>IFERROR(__xludf.DUMMYFUNCTION("""COMPUTED_VALUE"""),2.0)</f>
        <v>2</v>
      </c>
      <c r="D864" s="3">
        <f t="shared" si="1"/>
        <v>0</v>
      </c>
    </row>
    <row r="865">
      <c r="A865" s="10">
        <f>IFERROR(__xludf.DUMMYFUNCTION("""COMPUTED_VALUE"""),45255.0)</f>
        <v>45255</v>
      </c>
      <c r="B865" s="3" t="str">
        <f>IFERROR(__xludf.DUMMYFUNCTION("""COMPUTED_VALUE"""),"Stanley Timms")</f>
        <v>Stanley Timms</v>
      </c>
      <c r="C865" s="3">
        <f>IFERROR(__xludf.DUMMYFUNCTION("""COMPUTED_VALUE"""),2.0)</f>
        <v>2</v>
      </c>
      <c r="D865" s="3">
        <f t="shared" si="1"/>
        <v>0</v>
      </c>
    </row>
    <row r="866">
      <c r="A866" s="10">
        <f>IFERROR(__xludf.DUMMYFUNCTION("""COMPUTED_VALUE"""),45255.0)</f>
        <v>45255</v>
      </c>
      <c r="B866" s="3" t="str">
        <f>IFERROR(__xludf.DUMMYFUNCTION("""COMPUTED_VALUE"""),"Ste Calder")</f>
        <v>Ste Calder</v>
      </c>
      <c r="C866" s="3">
        <f>IFERROR(__xludf.DUMMYFUNCTION("""COMPUTED_VALUE"""),13.0)</f>
        <v>13</v>
      </c>
      <c r="D866" s="3">
        <f t="shared" si="1"/>
        <v>0</v>
      </c>
    </row>
    <row r="867">
      <c r="A867" s="10">
        <f>IFERROR(__xludf.DUMMYFUNCTION("""COMPUTED_VALUE"""),45255.0)</f>
        <v>45255</v>
      </c>
      <c r="B867" s="3" t="str">
        <f>IFERROR(__xludf.DUMMYFUNCTION("""COMPUTED_VALUE"""),"Steve Francis")</f>
        <v>Steve Francis</v>
      </c>
      <c r="C867" s="3">
        <f>IFERROR(__xludf.DUMMYFUNCTION("""COMPUTED_VALUE"""),6.0)</f>
        <v>6</v>
      </c>
      <c r="D867" s="3">
        <f t="shared" si="1"/>
        <v>0</v>
      </c>
    </row>
    <row r="868">
      <c r="A868" s="10">
        <f>IFERROR(__xludf.DUMMYFUNCTION("""COMPUTED_VALUE"""),45255.0)</f>
        <v>45255</v>
      </c>
      <c r="B868" s="3" t="str">
        <f>IFERROR(__xludf.DUMMYFUNCTION("""COMPUTED_VALUE"""),"Stevie Wood")</f>
        <v>Stevie Wood</v>
      </c>
      <c r="C868" s="3">
        <f>IFERROR(__xludf.DUMMYFUNCTION("""COMPUTED_VALUE"""),2.0)</f>
        <v>2</v>
      </c>
      <c r="D868" s="3">
        <f t="shared" si="1"/>
        <v>0</v>
      </c>
    </row>
    <row r="869">
      <c r="A869" s="10">
        <f>IFERROR(__xludf.DUMMYFUNCTION("""COMPUTED_VALUE"""),45255.0)</f>
        <v>45255</v>
      </c>
      <c r="B869" s="3" t="str">
        <f>IFERROR(__xludf.DUMMYFUNCTION("""COMPUTED_VALUE"""),"Stu Jordan")</f>
        <v>Stu Jordan</v>
      </c>
      <c r="C869" s="3">
        <f>IFERROR(__xludf.DUMMYFUNCTION("""COMPUTED_VALUE"""),2.0)</f>
        <v>2</v>
      </c>
      <c r="D869" s="3">
        <f t="shared" si="1"/>
        <v>0</v>
      </c>
    </row>
    <row r="870">
      <c r="A870" s="10">
        <f>IFERROR(__xludf.DUMMYFUNCTION("""COMPUTED_VALUE"""),45255.0)</f>
        <v>45255</v>
      </c>
      <c r="B870" s="3" t="str">
        <f>IFERROR(__xludf.DUMMYFUNCTION("""COMPUTED_VALUE"""),"Tam de Lacey")</f>
        <v>Tam de Lacey</v>
      </c>
      <c r="C870" s="3">
        <f>IFERROR(__xludf.DUMMYFUNCTION("""COMPUTED_VALUE"""),1.0)</f>
        <v>1</v>
      </c>
      <c r="D870" s="3">
        <f t="shared" si="1"/>
        <v>0</v>
      </c>
    </row>
    <row r="871">
      <c r="A871" s="10">
        <f>IFERROR(__xludf.DUMMYFUNCTION("""COMPUTED_VALUE"""),45255.0)</f>
        <v>45255</v>
      </c>
      <c r="B871" s="3" t="str">
        <f>IFERROR(__xludf.DUMMYFUNCTION("""COMPUTED_VALUE"""),"Theo Horton")</f>
        <v>Theo Horton</v>
      </c>
      <c r="C871" s="3">
        <f>IFERROR(__xludf.DUMMYFUNCTION("""COMPUTED_VALUE"""),2.0)</f>
        <v>2</v>
      </c>
      <c r="D871" s="3">
        <f t="shared" si="1"/>
        <v>0</v>
      </c>
    </row>
    <row r="872">
      <c r="A872" s="10">
        <f>IFERROR(__xludf.DUMMYFUNCTION("""COMPUTED_VALUE"""),45255.0)</f>
        <v>45255</v>
      </c>
      <c r="B872" s="3" t="str">
        <f>IFERROR(__xludf.DUMMYFUNCTION("""COMPUTED_VALUE"""),"Tom Davidson")</f>
        <v>Tom Davidson</v>
      </c>
      <c r="C872" s="3">
        <f>IFERROR(__xludf.DUMMYFUNCTION("""COMPUTED_VALUE"""),1.0)</f>
        <v>1</v>
      </c>
      <c r="D872" s="3">
        <f t="shared" si="1"/>
        <v>0</v>
      </c>
    </row>
    <row r="873">
      <c r="A873" s="10">
        <f>IFERROR(__xludf.DUMMYFUNCTION("""COMPUTED_VALUE"""),45255.0)</f>
        <v>45255</v>
      </c>
      <c r="B873" s="3" t="str">
        <f>IFERROR(__xludf.DUMMYFUNCTION("""COMPUTED_VALUE"""),"Tom Love")</f>
        <v>Tom Love</v>
      </c>
      <c r="C873" s="3">
        <f>IFERROR(__xludf.DUMMYFUNCTION("""COMPUTED_VALUE"""),15.0)</f>
        <v>15</v>
      </c>
      <c r="D873" s="3">
        <f t="shared" si="1"/>
        <v>0</v>
      </c>
    </row>
    <row r="874">
      <c r="A874" s="10">
        <f>IFERROR(__xludf.DUMMYFUNCTION("""COMPUTED_VALUE"""),45255.0)</f>
        <v>45255</v>
      </c>
      <c r="B874" s="3" t="str">
        <f>IFERROR(__xludf.DUMMYFUNCTION("""COMPUTED_VALUE"""),"Tom Riley")</f>
        <v>Tom Riley</v>
      </c>
      <c r="C874" s="3">
        <f>IFERROR(__xludf.DUMMYFUNCTION("""COMPUTED_VALUE"""),2.0)</f>
        <v>2</v>
      </c>
      <c r="D874" s="3">
        <f t="shared" si="1"/>
        <v>0</v>
      </c>
    </row>
    <row r="875">
      <c r="A875" s="10">
        <f>IFERROR(__xludf.DUMMYFUNCTION("""COMPUTED_VALUE"""),45255.0)</f>
        <v>45255</v>
      </c>
      <c r="B875" s="3" t="str">
        <f>IFERROR(__xludf.DUMMYFUNCTION("""COMPUTED_VALUE"""),"Victor Lemmer")</f>
        <v>Victor Lemmer</v>
      </c>
      <c r="C875" s="3">
        <f>IFERROR(__xludf.DUMMYFUNCTION("""COMPUTED_VALUE"""),2.0)</f>
        <v>2</v>
      </c>
      <c r="D875" s="3">
        <f t="shared" si="1"/>
        <v>0</v>
      </c>
    </row>
    <row r="876">
      <c r="A876" s="10">
        <f>IFERROR(__xludf.DUMMYFUNCTION("""COMPUTED_VALUE"""),45255.0)</f>
        <v>45255</v>
      </c>
      <c r="B876" s="3" t="str">
        <f>IFERROR(__xludf.DUMMYFUNCTION("""COMPUTED_VALUE"""),"Will French")</f>
        <v>Will French</v>
      </c>
      <c r="C876" s="3">
        <f>IFERROR(__xludf.DUMMYFUNCTION("""COMPUTED_VALUE"""),12.0)</f>
        <v>12</v>
      </c>
      <c r="D876" s="3">
        <f t="shared" si="1"/>
        <v>0</v>
      </c>
    </row>
    <row r="877">
      <c r="A877" s="10">
        <f>IFERROR(__xludf.DUMMYFUNCTION("""COMPUTED_VALUE"""),45255.0)</f>
        <v>45255</v>
      </c>
      <c r="B877" s="3" t="str">
        <f>IFERROR(__xludf.DUMMYFUNCTION("""COMPUTED_VALUE"""),"Will Sollory")</f>
        <v>Will Sollory</v>
      </c>
      <c r="C877" s="3">
        <f>IFERROR(__xludf.DUMMYFUNCTION("""COMPUTED_VALUE"""),2.0)</f>
        <v>2</v>
      </c>
      <c r="D877" s="3">
        <f t="shared" si="1"/>
        <v>0</v>
      </c>
    </row>
    <row r="878">
      <c r="A878" s="10">
        <f>IFERROR(__xludf.DUMMYFUNCTION("""COMPUTED_VALUE"""),45262.0)</f>
        <v>45262</v>
      </c>
      <c r="B878" s="3" t="str">
        <f>IFERROR(__xludf.DUMMYFUNCTION("""COMPUTED_VALUE"""),"Aaron Snelling")</f>
        <v>Aaron Snelling</v>
      </c>
      <c r="C878" s="3">
        <f>IFERROR(__xludf.DUMMYFUNCTION("""COMPUTED_VALUE"""),2.0)</f>
        <v>2</v>
      </c>
      <c r="D878" s="3">
        <f t="shared" si="1"/>
        <v>0</v>
      </c>
    </row>
    <row r="879">
      <c r="A879" s="10">
        <f>IFERROR(__xludf.DUMMYFUNCTION("""COMPUTED_VALUE"""),45262.0)</f>
        <v>45262</v>
      </c>
      <c r="B879" s="3" t="str">
        <f>IFERROR(__xludf.DUMMYFUNCTION("""COMPUTED_VALUE"""),"Ade Lawal")</f>
        <v>Ade Lawal</v>
      </c>
      <c r="C879" s="3">
        <f>IFERROR(__xludf.DUMMYFUNCTION("""COMPUTED_VALUE"""),8.0)</f>
        <v>8</v>
      </c>
      <c r="D879" s="3">
        <f t="shared" si="1"/>
        <v>0</v>
      </c>
    </row>
    <row r="880">
      <c r="A880" s="10">
        <f>IFERROR(__xludf.DUMMYFUNCTION("""COMPUTED_VALUE"""),45262.0)</f>
        <v>45262</v>
      </c>
      <c r="B880" s="3" t="str">
        <f>IFERROR(__xludf.DUMMYFUNCTION("""COMPUTED_VALUE"""),"Aidan Byrne")</f>
        <v>Aidan Byrne</v>
      </c>
      <c r="C880" s="3">
        <f>IFERROR(__xludf.DUMMYFUNCTION("""COMPUTED_VALUE"""),13.0)</f>
        <v>13</v>
      </c>
      <c r="D880" s="3">
        <f t="shared" si="1"/>
        <v>0</v>
      </c>
    </row>
    <row r="881">
      <c r="A881" s="10">
        <f>IFERROR(__xludf.DUMMYFUNCTION("""COMPUTED_VALUE"""),45262.0)</f>
        <v>45262</v>
      </c>
      <c r="B881" s="3" t="str">
        <f>IFERROR(__xludf.DUMMYFUNCTION("""COMPUTED_VALUE"""),"Alex Dockerill")</f>
        <v>Alex Dockerill</v>
      </c>
      <c r="C881" s="3"/>
      <c r="D881" s="3">
        <f t="shared" si="1"/>
        <v>0</v>
      </c>
    </row>
    <row r="882">
      <c r="A882" s="10">
        <f>IFERROR(__xludf.DUMMYFUNCTION("""COMPUTED_VALUE"""),45262.0)</f>
        <v>45262</v>
      </c>
      <c r="B882" s="3" t="str">
        <f>IFERROR(__xludf.DUMMYFUNCTION("""COMPUTED_VALUE"""),"Alex Scott-Ruddock")</f>
        <v>Alex Scott-Ruddock</v>
      </c>
      <c r="C882" s="3">
        <f>IFERROR(__xludf.DUMMYFUNCTION("""COMPUTED_VALUE"""),8.0)</f>
        <v>8</v>
      </c>
      <c r="D882" s="3">
        <f t="shared" si="1"/>
        <v>0</v>
      </c>
    </row>
    <row r="883">
      <c r="A883" s="10">
        <f>IFERROR(__xludf.DUMMYFUNCTION("""COMPUTED_VALUE"""),45262.0)</f>
        <v>45262</v>
      </c>
      <c r="B883" s="3" t="str">
        <f>IFERROR(__xludf.DUMMYFUNCTION("""COMPUTED_VALUE"""),"Alex Stevens")</f>
        <v>Alex Stevens</v>
      </c>
      <c r="C883" s="3">
        <f>IFERROR(__xludf.DUMMYFUNCTION("""COMPUTED_VALUE"""),17.0)</f>
        <v>17</v>
      </c>
      <c r="D883" s="3">
        <f t="shared" si="1"/>
        <v>0</v>
      </c>
    </row>
    <row r="884">
      <c r="A884" s="10">
        <f>IFERROR(__xludf.DUMMYFUNCTION("""COMPUTED_VALUE"""),45262.0)</f>
        <v>45262</v>
      </c>
      <c r="B884" s="3" t="str">
        <f>IFERROR(__xludf.DUMMYFUNCTION("""COMPUTED_VALUE"""),"Andres Ahlgren")</f>
        <v>Andres Ahlgren</v>
      </c>
      <c r="C884" s="3">
        <f>IFERROR(__xludf.DUMMYFUNCTION("""COMPUTED_VALUE"""),7.0)</f>
        <v>7</v>
      </c>
      <c r="D884" s="3">
        <f t="shared" si="1"/>
        <v>0</v>
      </c>
    </row>
    <row r="885">
      <c r="A885" s="10">
        <f>IFERROR(__xludf.DUMMYFUNCTION("""COMPUTED_VALUE"""),45262.0)</f>
        <v>45262</v>
      </c>
      <c r="B885" s="3" t="str">
        <f>IFERROR(__xludf.DUMMYFUNCTION("""COMPUTED_VALUE"""),"Billy King")</f>
        <v>Billy King</v>
      </c>
      <c r="C885" s="3">
        <f>IFERROR(__xludf.DUMMYFUNCTION("""COMPUTED_VALUE"""),1.0)</f>
        <v>1</v>
      </c>
      <c r="D885" s="3">
        <f t="shared" si="1"/>
        <v>0</v>
      </c>
    </row>
    <row r="886">
      <c r="A886" s="10">
        <f>IFERROR(__xludf.DUMMYFUNCTION("""COMPUTED_VALUE"""),45262.0)</f>
        <v>45262</v>
      </c>
      <c r="B886" s="3" t="str">
        <f>IFERROR(__xludf.DUMMYFUNCTION("""COMPUTED_VALUE"""),"Billy Mclean")</f>
        <v>Billy Mclean</v>
      </c>
      <c r="C886" s="3">
        <f>IFERROR(__xludf.DUMMYFUNCTION("""COMPUTED_VALUE"""),2.0)</f>
        <v>2</v>
      </c>
      <c r="D886" s="3">
        <f t="shared" si="1"/>
        <v>0</v>
      </c>
    </row>
    <row r="887">
      <c r="A887" s="10">
        <f>IFERROR(__xludf.DUMMYFUNCTION("""COMPUTED_VALUE"""),45262.0)</f>
        <v>45262</v>
      </c>
      <c r="B887" s="3" t="str">
        <f>IFERROR(__xludf.DUMMYFUNCTION("""COMPUTED_VALUE"""),"Charlie Doe")</f>
        <v>Charlie Doe</v>
      </c>
      <c r="C887" s="3">
        <f>IFERROR(__xludf.DUMMYFUNCTION("""COMPUTED_VALUE"""),7.0)</f>
        <v>7</v>
      </c>
      <c r="D887" s="3">
        <f t="shared" si="1"/>
        <v>0</v>
      </c>
    </row>
    <row r="888">
      <c r="A888" s="10">
        <f>IFERROR(__xludf.DUMMYFUNCTION("""COMPUTED_VALUE"""),45262.0)</f>
        <v>45262</v>
      </c>
      <c r="B888" s="3" t="str">
        <f>IFERROR(__xludf.DUMMYFUNCTION("""COMPUTED_VALUE"""),"Chris Claeys")</f>
        <v>Chris Claeys</v>
      </c>
      <c r="C888" s="3">
        <f>IFERROR(__xludf.DUMMYFUNCTION("""COMPUTED_VALUE"""),2.0)</f>
        <v>2</v>
      </c>
      <c r="D888" s="3">
        <f t="shared" si="1"/>
        <v>0</v>
      </c>
    </row>
    <row r="889">
      <c r="A889" s="10">
        <f>IFERROR(__xludf.DUMMYFUNCTION("""COMPUTED_VALUE"""),45262.0)</f>
        <v>45262</v>
      </c>
      <c r="B889" s="3" t="str">
        <f>IFERROR(__xludf.DUMMYFUNCTION("""COMPUTED_VALUE"""),"Chris Tong")</f>
        <v>Chris Tong</v>
      </c>
      <c r="C889" s="3">
        <f>IFERROR(__xludf.DUMMYFUNCTION("""COMPUTED_VALUE"""),2.0)</f>
        <v>2</v>
      </c>
      <c r="D889" s="3">
        <f t="shared" si="1"/>
        <v>0</v>
      </c>
    </row>
    <row r="890">
      <c r="A890" s="10">
        <f>IFERROR(__xludf.DUMMYFUNCTION("""COMPUTED_VALUE"""),45262.0)</f>
        <v>45262</v>
      </c>
      <c r="B890" s="3" t="str">
        <f>IFERROR(__xludf.DUMMYFUNCTION("""COMPUTED_VALUE"""),"Chris Weir")</f>
        <v>Chris Weir</v>
      </c>
      <c r="C890" s="3">
        <f>IFERROR(__xludf.DUMMYFUNCTION("""COMPUTED_VALUE"""),2.0)</f>
        <v>2</v>
      </c>
      <c r="D890" s="3">
        <f t="shared" si="1"/>
        <v>0</v>
      </c>
    </row>
    <row r="891">
      <c r="A891" s="10">
        <f>IFERROR(__xludf.DUMMYFUNCTION("""COMPUTED_VALUE"""),45262.0)</f>
        <v>45262</v>
      </c>
      <c r="B891" s="3" t="str">
        <f>IFERROR(__xludf.DUMMYFUNCTION("""COMPUTED_VALUE"""),"Ciaran Curran")</f>
        <v>Ciaran Curran</v>
      </c>
      <c r="C891" s="3">
        <f>IFERROR(__xludf.DUMMYFUNCTION("""COMPUTED_VALUE"""),8.0)</f>
        <v>8</v>
      </c>
      <c r="D891" s="3">
        <f t="shared" si="1"/>
        <v>0</v>
      </c>
    </row>
    <row r="892">
      <c r="A892" s="10">
        <f>IFERROR(__xludf.DUMMYFUNCTION("""COMPUTED_VALUE"""),45262.0)</f>
        <v>45262</v>
      </c>
      <c r="B892" s="3" t="str">
        <f>IFERROR(__xludf.DUMMYFUNCTION("""COMPUTED_VALUE"""),"Claudien Mwalimu")</f>
        <v>Claudien Mwalimu</v>
      </c>
      <c r="C892" s="3">
        <f>IFERROR(__xludf.DUMMYFUNCTION("""COMPUTED_VALUE"""),2.0)</f>
        <v>2</v>
      </c>
      <c r="D892" s="3">
        <f t="shared" si="1"/>
        <v>0</v>
      </c>
    </row>
    <row r="893">
      <c r="A893" s="10">
        <f>IFERROR(__xludf.DUMMYFUNCTION("""COMPUTED_VALUE"""),45262.0)</f>
        <v>45262</v>
      </c>
      <c r="B893" s="3" t="str">
        <f>IFERROR(__xludf.DUMMYFUNCTION("""COMPUTED_VALUE"""),"Corey Cleave")</f>
        <v>Corey Cleave</v>
      </c>
      <c r="C893" s="3">
        <f>IFERROR(__xludf.DUMMYFUNCTION("""COMPUTED_VALUE"""),1.0)</f>
        <v>1</v>
      </c>
      <c r="D893" s="3">
        <f t="shared" si="1"/>
        <v>0</v>
      </c>
    </row>
    <row r="894">
      <c r="A894" s="10">
        <f>IFERROR(__xludf.DUMMYFUNCTION("""COMPUTED_VALUE"""),45262.0)</f>
        <v>45262</v>
      </c>
      <c r="B894" s="3" t="str">
        <f>IFERROR(__xludf.DUMMYFUNCTION("""COMPUTED_VALUE"""),"Dan Russell")</f>
        <v>Dan Russell</v>
      </c>
      <c r="C894" s="3">
        <f>IFERROR(__xludf.DUMMYFUNCTION("""COMPUTED_VALUE"""),0.0)</f>
        <v>0</v>
      </c>
      <c r="D894" s="3">
        <f t="shared" si="1"/>
        <v>0</v>
      </c>
    </row>
    <row r="895">
      <c r="A895" s="10">
        <f>IFERROR(__xludf.DUMMYFUNCTION("""COMPUTED_VALUE"""),45262.0)</f>
        <v>45262</v>
      </c>
      <c r="B895" s="3" t="str">
        <f>IFERROR(__xludf.DUMMYFUNCTION("""COMPUTED_VALUE"""),"Daniel Sheehan")</f>
        <v>Daniel Sheehan</v>
      </c>
      <c r="C895" s="3">
        <f>IFERROR(__xludf.DUMMYFUNCTION("""COMPUTED_VALUE"""),2.0)</f>
        <v>2</v>
      </c>
      <c r="D895" s="3">
        <f t="shared" si="1"/>
        <v>0</v>
      </c>
    </row>
    <row r="896">
      <c r="A896" s="10">
        <f>IFERROR(__xludf.DUMMYFUNCTION("""COMPUTED_VALUE"""),45262.0)</f>
        <v>45262</v>
      </c>
      <c r="B896" s="3" t="str">
        <f>IFERROR(__xludf.DUMMYFUNCTION("""COMPUTED_VALUE"""),"David Holmes-White")</f>
        <v>David Holmes-White</v>
      </c>
      <c r="C896" s="3">
        <f>IFERROR(__xludf.DUMMYFUNCTION("""COMPUTED_VALUE"""),7.0)</f>
        <v>7</v>
      </c>
      <c r="D896" s="3">
        <f t="shared" si="1"/>
        <v>0</v>
      </c>
    </row>
    <row r="897">
      <c r="A897" s="10">
        <f>IFERROR(__xludf.DUMMYFUNCTION("""COMPUTED_VALUE"""),45262.0)</f>
        <v>45262</v>
      </c>
      <c r="B897" s="3" t="str">
        <f>IFERROR(__xludf.DUMMYFUNCTION("""COMPUTED_VALUE"""),"Deji Ogunyemi")</f>
        <v>Deji Ogunyemi</v>
      </c>
      <c r="C897" s="3">
        <f>IFERROR(__xludf.DUMMYFUNCTION("""COMPUTED_VALUE"""),2.0)</f>
        <v>2</v>
      </c>
      <c r="D897" s="3">
        <f t="shared" si="1"/>
        <v>0</v>
      </c>
    </row>
    <row r="898">
      <c r="A898" s="10">
        <f>IFERROR(__xludf.DUMMYFUNCTION("""COMPUTED_VALUE"""),45262.0)</f>
        <v>45262</v>
      </c>
      <c r="B898" s="3" t="str">
        <f>IFERROR(__xludf.DUMMYFUNCTION("""COMPUTED_VALUE"""),"Denver Lalonde")</f>
        <v>Denver Lalonde</v>
      </c>
      <c r="C898" s="3">
        <f>IFERROR(__xludf.DUMMYFUNCTION("""COMPUTED_VALUE"""),6.0)</f>
        <v>6</v>
      </c>
      <c r="D898" s="3">
        <f t="shared" si="1"/>
        <v>0</v>
      </c>
    </row>
    <row r="899">
      <c r="A899" s="10">
        <f>IFERROR(__xludf.DUMMYFUNCTION("""COMPUTED_VALUE"""),45262.0)</f>
        <v>45262</v>
      </c>
      <c r="B899" s="3" t="str">
        <f>IFERROR(__xludf.DUMMYFUNCTION("""COMPUTED_VALUE"""),"Dom Robbins")</f>
        <v>Dom Robbins</v>
      </c>
      <c r="C899" s="3">
        <f>IFERROR(__xludf.DUMMYFUNCTION("""COMPUTED_VALUE"""),2.0)</f>
        <v>2</v>
      </c>
      <c r="D899" s="3">
        <f t="shared" si="1"/>
        <v>0</v>
      </c>
    </row>
    <row r="900">
      <c r="A900" s="10">
        <f>IFERROR(__xludf.DUMMYFUNCTION("""COMPUTED_VALUE"""),45262.0)</f>
        <v>45262</v>
      </c>
      <c r="B900" s="3" t="str">
        <f>IFERROR(__xludf.DUMMYFUNCTION("""COMPUTED_VALUE"""),"Ed Wightman")</f>
        <v>Ed Wightman</v>
      </c>
      <c r="C900" s="3">
        <f>IFERROR(__xludf.DUMMYFUNCTION("""COMPUTED_VALUE"""),6.0)</f>
        <v>6</v>
      </c>
      <c r="D900" s="3">
        <f t="shared" si="1"/>
        <v>0</v>
      </c>
    </row>
    <row r="901">
      <c r="A901" s="10">
        <f>IFERROR(__xludf.DUMMYFUNCTION("""COMPUTED_VALUE"""),45262.0)</f>
        <v>45262</v>
      </c>
      <c r="B901" s="3" t="str">
        <f>IFERROR(__xludf.DUMMYFUNCTION("""COMPUTED_VALUE"""),"Ellis Forrester")</f>
        <v>Ellis Forrester</v>
      </c>
      <c r="C901" s="3">
        <f>IFERROR(__xludf.DUMMYFUNCTION("""COMPUTED_VALUE"""),2.0)</f>
        <v>2</v>
      </c>
      <c r="D901" s="3">
        <f t="shared" si="1"/>
        <v>0</v>
      </c>
    </row>
    <row r="902">
      <c r="A902" s="10">
        <f>IFERROR(__xludf.DUMMYFUNCTION("""COMPUTED_VALUE"""),45262.0)</f>
        <v>45262</v>
      </c>
      <c r="B902" s="3" t="str">
        <f>IFERROR(__xludf.DUMMYFUNCTION("""COMPUTED_VALUE"""),"Emi Muhadri")</f>
        <v>Emi Muhadri</v>
      </c>
      <c r="C902" s="3">
        <f>IFERROR(__xludf.DUMMYFUNCTION("""COMPUTED_VALUE"""),2.0)</f>
        <v>2</v>
      </c>
      <c r="D902" s="3">
        <f t="shared" si="1"/>
        <v>0</v>
      </c>
    </row>
    <row r="903">
      <c r="A903" s="10">
        <f>IFERROR(__xludf.DUMMYFUNCTION("""COMPUTED_VALUE"""),45262.0)</f>
        <v>45262</v>
      </c>
      <c r="B903" s="3" t="str">
        <f>IFERROR(__xludf.DUMMYFUNCTION("""COMPUTED_VALUE"""),"Ewan Harris")</f>
        <v>Ewan Harris</v>
      </c>
      <c r="C903" s="3">
        <f>IFERROR(__xludf.DUMMYFUNCTION("""COMPUTED_VALUE"""),2.0)</f>
        <v>2</v>
      </c>
      <c r="D903" s="3">
        <f t="shared" si="1"/>
        <v>0</v>
      </c>
    </row>
    <row r="904">
      <c r="A904" s="10">
        <f>IFERROR(__xludf.DUMMYFUNCTION("""COMPUTED_VALUE"""),45262.0)</f>
        <v>45262</v>
      </c>
      <c r="B904" s="3" t="str">
        <f>IFERROR(__xludf.DUMMYFUNCTION("""COMPUTED_VALUE"""),"Finn Coolen")</f>
        <v>Finn Coolen</v>
      </c>
      <c r="C904" s="3">
        <f>IFERROR(__xludf.DUMMYFUNCTION("""COMPUTED_VALUE"""),2.0)</f>
        <v>2</v>
      </c>
      <c r="D904" s="3">
        <f t="shared" si="1"/>
        <v>0</v>
      </c>
    </row>
    <row r="905">
      <c r="A905" s="10">
        <f>IFERROR(__xludf.DUMMYFUNCTION("""COMPUTED_VALUE"""),45262.0)</f>
        <v>45262</v>
      </c>
      <c r="B905" s="3" t="str">
        <f>IFERROR(__xludf.DUMMYFUNCTION("""COMPUTED_VALUE"""),"George Connolly")</f>
        <v>George Connolly</v>
      </c>
      <c r="C905" s="3">
        <f>IFERROR(__xludf.DUMMYFUNCTION("""COMPUTED_VALUE"""),7.0)</f>
        <v>7</v>
      </c>
      <c r="D905" s="3">
        <f t="shared" si="1"/>
        <v>0</v>
      </c>
    </row>
    <row r="906">
      <c r="A906" s="10">
        <f>IFERROR(__xludf.DUMMYFUNCTION("""COMPUTED_VALUE"""),45262.0)</f>
        <v>45262</v>
      </c>
      <c r="B906" s="3" t="str">
        <f>IFERROR(__xludf.DUMMYFUNCTION("""COMPUTED_VALUE"""),"Harold Kiyingi")</f>
        <v>Harold Kiyingi</v>
      </c>
      <c r="C906" s="3">
        <f>IFERROR(__xludf.DUMMYFUNCTION("""COMPUTED_VALUE"""),6.0)</f>
        <v>6</v>
      </c>
      <c r="D906" s="3">
        <f t="shared" si="1"/>
        <v>0</v>
      </c>
    </row>
    <row r="907">
      <c r="A907" s="10">
        <f>IFERROR(__xludf.DUMMYFUNCTION("""COMPUTED_VALUE"""),45262.0)</f>
        <v>45262</v>
      </c>
      <c r="B907" s="3" t="str">
        <f>IFERROR(__xludf.DUMMYFUNCTION("""COMPUTED_VALUE"""),"Harry Calvesbert")</f>
        <v>Harry Calvesbert</v>
      </c>
      <c r="C907" s="3">
        <f>IFERROR(__xludf.DUMMYFUNCTION("""COMPUTED_VALUE"""),2.0)</f>
        <v>2</v>
      </c>
      <c r="D907" s="3">
        <f t="shared" si="1"/>
        <v>0</v>
      </c>
    </row>
    <row r="908">
      <c r="A908" s="10">
        <f>IFERROR(__xludf.DUMMYFUNCTION("""COMPUTED_VALUE"""),45262.0)</f>
        <v>45262</v>
      </c>
      <c r="B908" s="3" t="str">
        <f>IFERROR(__xludf.DUMMYFUNCTION("""COMPUTED_VALUE"""),"Harry Fripp")</f>
        <v>Harry Fripp</v>
      </c>
      <c r="C908" s="3">
        <f>IFERROR(__xludf.DUMMYFUNCTION("""COMPUTED_VALUE"""),4.0)</f>
        <v>4</v>
      </c>
      <c r="D908" s="3">
        <f t="shared" si="1"/>
        <v>0</v>
      </c>
    </row>
    <row r="909">
      <c r="A909" s="10">
        <f>IFERROR(__xludf.DUMMYFUNCTION("""COMPUTED_VALUE"""),45262.0)</f>
        <v>45262</v>
      </c>
      <c r="B909" s="3" t="str">
        <f>IFERROR(__xludf.DUMMYFUNCTION("""COMPUTED_VALUE"""),"Henry Pepperell")</f>
        <v>Henry Pepperell</v>
      </c>
      <c r="C909" s="3">
        <f>IFERROR(__xludf.DUMMYFUNCTION("""COMPUTED_VALUE"""),6.0)</f>
        <v>6</v>
      </c>
      <c r="D909" s="3">
        <f t="shared" si="1"/>
        <v>0</v>
      </c>
    </row>
    <row r="910">
      <c r="A910" s="10">
        <f>IFERROR(__xludf.DUMMYFUNCTION("""COMPUTED_VALUE"""),45262.0)</f>
        <v>45262</v>
      </c>
      <c r="B910" s="3" t="str">
        <f>IFERROR(__xludf.DUMMYFUNCTION("""COMPUTED_VALUE"""),"Jabari Dixon")</f>
        <v>Jabari Dixon</v>
      </c>
      <c r="C910" s="3">
        <f>IFERROR(__xludf.DUMMYFUNCTION("""COMPUTED_VALUE"""),2.0)</f>
        <v>2</v>
      </c>
      <c r="D910" s="3">
        <f t="shared" si="1"/>
        <v>0</v>
      </c>
    </row>
    <row r="911">
      <c r="A911" s="10">
        <f>IFERROR(__xludf.DUMMYFUNCTION("""COMPUTED_VALUE"""),45262.0)</f>
        <v>45262</v>
      </c>
      <c r="B911" s="3" t="str">
        <f>IFERROR(__xludf.DUMMYFUNCTION("""COMPUTED_VALUE"""),"Jack Butcher")</f>
        <v>Jack Butcher</v>
      </c>
      <c r="C911" s="3">
        <f>IFERROR(__xludf.DUMMYFUNCTION("""COMPUTED_VALUE"""),5.0)</f>
        <v>5</v>
      </c>
      <c r="D911" s="3">
        <f t="shared" si="1"/>
        <v>0</v>
      </c>
    </row>
    <row r="912">
      <c r="A912" s="10">
        <f>IFERROR(__xludf.DUMMYFUNCTION("""COMPUTED_VALUE"""),45262.0)</f>
        <v>45262</v>
      </c>
      <c r="B912" s="3" t="str">
        <f>IFERROR(__xludf.DUMMYFUNCTION("""COMPUTED_VALUE"""),"Jack Harris")</f>
        <v>Jack Harris</v>
      </c>
      <c r="C912" s="3">
        <f>IFERROR(__xludf.DUMMYFUNCTION("""COMPUTED_VALUE"""),19.0)</f>
        <v>19</v>
      </c>
      <c r="D912" s="3">
        <f t="shared" si="1"/>
        <v>1</v>
      </c>
    </row>
    <row r="913">
      <c r="A913" s="10">
        <f>IFERROR(__xludf.DUMMYFUNCTION("""COMPUTED_VALUE"""),45262.0)</f>
        <v>45262</v>
      </c>
      <c r="B913" s="3" t="str">
        <f>IFERROR(__xludf.DUMMYFUNCTION("""COMPUTED_VALUE"""),"Jack Hind")</f>
        <v>Jack Hind</v>
      </c>
      <c r="C913" s="3">
        <f>IFERROR(__xludf.DUMMYFUNCTION("""COMPUTED_VALUE"""),4.0)</f>
        <v>4</v>
      </c>
      <c r="D913" s="3">
        <f t="shared" si="1"/>
        <v>0</v>
      </c>
    </row>
    <row r="914">
      <c r="A914" s="10">
        <f>IFERROR(__xludf.DUMMYFUNCTION("""COMPUTED_VALUE"""),45262.0)</f>
        <v>45262</v>
      </c>
      <c r="B914" s="3" t="str">
        <f>IFERROR(__xludf.DUMMYFUNCTION("""COMPUTED_VALUE"""),"James Rodriguez")</f>
        <v>James Rodriguez</v>
      </c>
      <c r="C914" s="3">
        <f>IFERROR(__xludf.DUMMYFUNCTION("""COMPUTED_VALUE"""),1.0)</f>
        <v>1</v>
      </c>
      <c r="D914" s="3">
        <f t="shared" si="1"/>
        <v>0</v>
      </c>
    </row>
    <row r="915">
      <c r="A915" s="10">
        <f>IFERROR(__xludf.DUMMYFUNCTION("""COMPUTED_VALUE"""),45262.0)</f>
        <v>45262</v>
      </c>
      <c r="B915" s="3" t="str">
        <f>IFERROR(__xludf.DUMMYFUNCTION("""COMPUTED_VALUE"""),"Jamie Wood")</f>
        <v>Jamie Wood</v>
      </c>
      <c r="C915" s="3">
        <f>IFERROR(__xludf.DUMMYFUNCTION("""COMPUTED_VALUE"""),7.0)</f>
        <v>7</v>
      </c>
      <c r="D915" s="3">
        <f t="shared" si="1"/>
        <v>0</v>
      </c>
    </row>
    <row r="916">
      <c r="A916" s="10">
        <f>IFERROR(__xludf.DUMMYFUNCTION("""COMPUTED_VALUE"""),45262.0)</f>
        <v>45262</v>
      </c>
      <c r="B916" s="3" t="str">
        <f>IFERROR(__xludf.DUMMYFUNCTION("""COMPUTED_VALUE"""),"Jarvis Cheek")</f>
        <v>Jarvis Cheek</v>
      </c>
      <c r="C916" s="3">
        <f>IFERROR(__xludf.DUMMYFUNCTION("""COMPUTED_VALUE"""),9.0)</f>
        <v>9</v>
      </c>
      <c r="D916" s="3">
        <f t="shared" si="1"/>
        <v>0</v>
      </c>
    </row>
    <row r="917">
      <c r="A917" s="10">
        <f>IFERROR(__xludf.DUMMYFUNCTION("""COMPUTED_VALUE"""),45262.0)</f>
        <v>45262</v>
      </c>
      <c r="B917" s="3" t="str">
        <f>IFERROR(__xludf.DUMMYFUNCTION("""COMPUTED_VALUE"""),"Jason Heath")</f>
        <v>Jason Heath</v>
      </c>
      <c r="C917" s="3">
        <f>IFERROR(__xludf.DUMMYFUNCTION("""COMPUTED_VALUE"""),2.0)</f>
        <v>2</v>
      </c>
      <c r="D917" s="3">
        <f t="shared" si="1"/>
        <v>0</v>
      </c>
    </row>
    <row r="918">
      <c r="A918" s="10">
        <f>IFERROR(__xludf.DUMMYFUNCTION("""COMPUTED_VALUE"""),45262.0)</f>
        <v>45262</v>
      </c>
      <c r="B918" s="3" t="str">
        <f>IFERROR(__xludf.DUMMYFUNCTION("""COMPUTED_VALUE"""),"Joe France")</f>
        <v>Joe France</v>
      </c>
      <c r="C918" s="3">
        <f>IFERROR(__xludf.DUMMYFUNCTION("""COMPUTED_VALUE"""),1.0)</f>
        <v>1</v>
      </c>
      <c r="D918" s="3">
        <f t="shared" si="1"/>
        <v>0</v>
      </c>
    </row>
    <row r="919">
      <c r="A919" s="10">
        <f>IFERROR(__xludf.DUMMYFUNCTION("""COMPUTED_VALUE"""),45262.0)</f>
        <v>45262</v>
      </c>
      <c r="B919" s="3" t="str">
        <f>IFERROR(__xludf.DUMMYFUNCTION("""COMPUTED_VALUE"""),"John Harrison")</f>
        <v>John Harrison</v>
      </c>
      <c r="C919" s="3">
        <f>IFERROR(__xludf.DUMMYFUNCTION("""COMPUTED_VALUE"""),2.0)</f>
        <v>2</v>
      </c>
      <c r="D919" s="3">
        <f t="shared" si="1"/>
        <v>0</v>
      </c>
    </row>
    <row r="920">
      <c r="A920" s="10">
        <f>IFERROR(__xludf.DUMMYFUNCTION("""COMPUTED_VALUE"""),45262.0)</f>
        <v>45262</v>
      </c>
      <c r="B920" s="3" t="str">
        <f>IFERROR(__xludf.DUMMYFUNCTION("""COMPUTED_VALUE"""),"Jonny Simmons")</f>
        <v>Jonny Simmons</v>
      </c>
      <c r="C920" s="3">
        <f>IFERROR(__xludf.DUMMYFUNCTION("""COMPUTED_VALUE"""),1.0)</f>
        <v>1</v>
      </c>
      <c r="D920" s="3">
        <f t="shared" si="1"/>
        <v>0</v>
      </c>
    </row>
    <row r="921">
      <c r="A921" s="10">
        <f>IFERROR(__xludf.DUMMYFUNCTION("""COMPUTED_VALUE"""),45262.0)</f>
        <v>45262</v>
      </c>
      <c r="B921" s="3" t="str">
        <f>IFERROR(__xludf.DUMMYFUNCTION("""COMPUTED_VALUE"""),"Josh Sherriff-Jolly")</f>
        <v>Josh Sherriff-Jolly</v>
      </c>
      <c r="C921" s="3">
        <f>IFERROR(__xludf.DUMMYFUNCTION("""COMPUTED_VALUE"""),10.0)</f>
        <v>10</v>
      </c>
      <c r="D921" s="3">
        <f t="shared" si="1"/>
        <v>0</v>
      </c>
    </row>
    <row r="922">
      <c r="A922" s="10">
        <f>IFERROR(__xludf.DUMMYFUNCTION("""COMPUTED_VALUE"""),45262.0)</f>
        <v>45262</v>
      </c>
      <c r="B922" s="3" t="str">
        <f>IFERROR(__xludf.DUMMYFUNCTION("""COMPUTED_VALUE"""),"Kai Clack")</f>
        <v>Kai Clack</v>
      </c>
      <c r="C922" s="3">
        <f>IFERROR(__xludf.DUMMYFUNCTION("""COMPUTED_VALUE"""),8.0)</f>
        <v>8</v>
      </c>
      <c r="D922" s="3">
        <f t="shared" si="1"/>
        <v>0</v>
      </c>
    </row>
    <row r="923">
      <c r="A923" s="10">
        <f>IFERROR(__xludf.DUMMYFUNCTION("""COMPUTED_VALUE"""),45262.0)</f>
        <v>45262</v>
      </c>
      <c r="B923" s="3" t="str">
        <f>IFERROR(__xludf.DUMMYFUNCTION("""COMPUTED_VALUE"""),"Kevin Gonzalez")</f>
        <v>Kevin Gonzalez</v>
      </c>
      <c r="C923" s="3">
        <f>IFERROR(__xludf.DUMMYFUNCTION("""COMPUTED_VALUE"""),2.0)</f>
        <v>2</v>
      </c>
      <c r="D923" s="3">
        <f t="shared" si="1"/>
        <v>0</v>
      </c>
    </row>
    <row r="924">
      <c r="A924" s="10">
        <f>IFERROR(__xludf.DUMMYFUNCTION("""COMPUTED_VALUE"""),45262.0)</f>
        <v>45262</v>
      </c>
      <c r="B924" s="3" t="str">
        <f>IFERROR(__xludf.DUMMYFUNCTION("""COMPUTED_VALUE"""),"Lawrence Asante")</f>
        <v>Lawrence Asante</v>
      </c>
      <c r="C924" s="3">
        <f>IFERROR(__xludf.DUMMYFUNCTION("""COMPUTED_VALUE"""),2.0)</f>
        <v>2</v>
      </c>
      <c r="D924" s="3">
        <f t="shared" si="1"/>
        <v>0</v>
      </c>
    </row>
    <row r="925">
      <c r="A925" s="10">
        <f>IFERROR(__xludf.DUMMYFUNCTION("""COMPUTED_VALUE"""),45262.0)</f>
        <v>45262</v>
      </c>
      <c r="B925" s="3" t="str">
        <f>IFERROR(__xludf.DUMMYFUNCTION("""COMPUTED_VALUE"""),"Lee Clark")</f>
        <v>Lee Clark</v>
      </c>
      <c r="C925" s="3">
        <f>IFERROR(__xludf.DUMMYFUNCTION("""COMPUTED_VALUE"""),2.0)</f>
        <v>2</v>
      </c>
      <c r="D925" s="3">
        <f t="shared" si="1"/>
        <v>0</v>
      </c>
    </row>
    <row r="926">
      <c r="A926" s="10">
        <f>IFERROR(__xludf.DUMMYFUNCTION("""COMPUTED_VALUE"""),45262.0)</f>
        <v>45262</v>
      </c>
      <c r="B926" s="3" t="str">
        <f>IFERROR(__xludf.DUMMYFUNCTION("""COMPUTED_VALUE"""),"Leuman Coronado")</f>
        <v>Leuman Coronado</v>
      </c>
      <c r="C926" s="3">
        <f>IFERROR(__xludf.DUMMYFUNCTION("""COMPUTED_VALUE"""),2.0)</f>
        <v>2</v>
      </c>
      <c r="D926" s="3">
        <f t="shared" si="1"/>
        <v>0</v>
      </c>
    </row>
    <row r="927">
      <c r="A927" s="10">
        <f>IFERROR(__xludf.DUMMYFUNCTION("""COMPUTED_VALUE"""),45262.0)</f>
        <v>45262</v>
      </c>
      <c r="B927" s="3" t="str">
        <f>IFERROR(__xludf.DUMMYFUNCTION("""COMPUTED_VALUE"""),"Luke Dyges")</f>
        <v>Luke Dyges</v>
      </c>
      <c r="C927" s="3">
        <f>IFERROR(__xludf.DUMMYFUNCTION("""COMPUTED_VALUE"""),9.0)</f>
        <v>9</v>
      </c>
      <c r="D927" s="3">
        <f t="shared" si="1"/>
        <v>0</v>
      </c>
    </row>
    <row r="928">
      <c r="A928" s="10">
        <f>IFERROR(__xludf.DUMMYFUNCTION("""COMPUTED_VALUE"""),45262.0)</f>
        <v>45262</v>
      </c>
      <c r="B928" s="3" t="str">
        <f>IFERROR(__xludf.DUMMYFUNCTION("""COMPUTED_VALUE"""),"Mark Roberts")</f>
        <v>Mark Roberts</v>
      </c>
      <c r="C928" s="3">
        <f>IFERROR(__xludf.DUMMYFUNCTION("""COMPUTED_VALUE"""),7.0)</f>
        <v>7</v>
      </c>
      <c r="D928" s="3">
        <f t="shared" si="1"/>
        <v>0</v>
      </c>
    </row>
    <row r="929">
      <c r="A929" s="10">
        <f>IFERROR(__xludf.DUMMYFUNCTION("""COMPUTED_VALUE"""),45262.0)</f>
        <v>45262</v>
      </c>
      <c r="B929" s="3" t="str">
        <f>IFERROR(__xludf.DUMMYFUNCTION("""COMPUTED_VALUE"""),"Martin Goodson")</f>
        <v>Martin Goodson</v>
      </c>
      <c r="C929" s="3">
        <f>IFERROR(__xludf.DUMMYFUNCTION("""COMPUTED_VALUE"""),2.0)</f>
        <v>2</v>
      </c>
      <c r="D929" s="3">
        <f t="shared" si="1"/>
        <v>0</v>
      </c>
    </row>
    <row r="930">
      <c r="A930" s="10">
        <f>IFERROR(__xludf.DUMMYFUNCTION("""COMPUTED_VALUE"""),45262.0)</f>
        <v>45262</v>
      </c>
      <c r="B930" s="3" t="str">
        <f>IFERROR(__xludf.DUMMYFUNCTION("""COMPUTED_VALUE"""),"Masood Hamidi")</f>
        <v>Masood Hamidi</v>
      </c>
      <c r="C930" s="3">
        <f>IFERROR(__xludf.DUMMYFUNCTION("""COMPUTED_VALUE"""),2.0)</f>
        <v>2</v>
      </c>
      <c r="D930" s="3">
        <f t="shared" si="1"/>
        <v>0</v>
      </c>
    </row>
    <row r="931">
      <c r="A931" s="10">
        <f>IFERROR(__xludf.DUMMYFUNCTION("""COMPUTED_VALUE"""),45262.0)</f>
        <v>45262</v>
      </c>
      <c r="B931" s="3" t="str">
        <f>IFERROR(__xludf.DUMMYFUNCTION("""COMPUTED_VALUE"""),"Matt Crowe")</f>
        <v>Matt Crowe</v>
      </c>
      <c r="C931" s="3">
        <f>IFERROR(__xludf.DUMMYFUNCTION("""COMPUTED_VALUE"""),5.0)</f>
        <v>5</v>
      </c>
      <c r="D931" s="3">
        <f t="shared" si="1"/>
        <v>0</v>
      </c>
    </row>
    <row r="932">
      <c r="A932" s="10">
        <f>IFERROR(__xludf.DUMMYFUNCTION("""COMPUTED_VALUE"""),45262.0)</f>
        <v>45262</v>
      </c>
      <c r="B932" s="3" t="str">
        <f>IFERROR(__xludf.DUMMYFUNCTION("""COMPUTED_VALUE"""),"Matthew Thomas")</f>
        <v>Matthew Thomas</v>
      </c>
      <c r="C932" s="3">
        <f>IFERROR(__xludf.DUMMYFUNCTION("""COMPUTED_VALUE"""),1.0)</f>
        <v>1</v>
      </c>
      <c r="D932" s="3">
        <f t="shared" si="1"/>
        <v>0</v>
      </c>
    </row>
    <row r="933">
      <c r="A933" s="10">
        <f>IFERROR(__xludf.DUMMYFUNCTION("""COMPUTED_VALUE"""),45262.0)</f>
        <v>45262</v>
      </c>
      <c r="B933" s="3" t="str">
        <f>IFERROR(__xludf.DUMMYFUNCTION("""COMPUTED_VALUE"""),"Max Miles")</f>
        <v>Max Miles</v>
      </c>
      <c r="C933" s="3">
        <f>IFERROR(__xludf.DUMMYFUNCTION("""COMPUTED_VALUE"""),2.0)</f>
        <v>2</v>
      </c>
      <c r="D933" s="3">
        <f t="shared" si="1"/>
        <v>0</v>
      </c>
    </row>
    <row r="934">
      <c r="A934" s="10">
        <f>IFERROR(__xludf.DUMMYFUNCTION("""COMPUTED_VALUE"""),45262.0)</f>
        <v>45262</v>
      </c>
      <c r="B934" s="3" t="str">
        <f>IFERROR(__xludf.DUMMYFUNCTION("""COMPUTED_VALUE"""),"Nathan Baverstock")</f>
        <v>Nathan Baverstock</v>
      </c>
      <c r="C934" s="3">
        <f>IFERROR(__xludf.DUMMYFUNCTION("""COMPUTED_VALUE"""),5.0)</f>
        <v>5</v>
      </c>
      <c r="D934" s="3">
        <f t="shared" si="1"/>
        <v>0</v>
      </c>
    </row>
    <row r="935">
      <c r="A935" s="10">
        <f>IFERROR(__xludf.DUMMYFUNCTION("""COMPUTED_VALUE"""),45262.0)</f>
        <v>45262</v>
      </c>
      <c r="B935" s="3" t="str">
        <f>IFERROR(__xludf.DUMMYFUNCTION("""COMPUTED_VALUE"""),"Nick Chimonides")</f>
        <v>Nick Chimonides</v>
      </c>
      <c r="C935" s="3">
        <f>IFERROR(__xludf.DUMMYFUNCTION("""COMPUTED_VALUE"""),1.0)</f>
        <v>1</v>
      </c>
      <c r="D935" s="3">
        <f t="shared" si="1"/>
        <v>0</v>
      </c>
    </row>
    <row r="936">
      <c r="A936" s="10">
        <f>IFERROR(__xludf.DUMMYFUNCTION("""COMPUTED_VALUE"""),45262.0)</f>
        <v>45262</v>
      </c>
      <c r="B936" s="3" t="str">
        <f>IFERROR(__xludf.DUMMYFUNCTION("""COMPUTED_VALUE"""),"Nima Naghdi")</f>
        <v>Nima Naghdi</v>
      </c>
      <c r="C936" s="3">
        <f>IFERROR(__xludf.DUMMYFUNCTION("""COMPUTED_VALUE"""),10.0)</f>
        <v>10</v>
      </c>
      <c r="D936" s="3">
        <f t="shared" si="1"/>
        <v>0</v>
      </c>
    </row>
    <row r="937">
      <c r="A937" s="10">
        <f>IFERROR(__xludf.DUMMYFUNCTION("""COMPUTED_VALUE"""),45262.0)</f>
        <v>45262</v>
      </c>
      <c r="B937" s="3" t="str">
        <f>IFERROR(__xludf.DUMMYFUNCTION("""COMPUTED_VALUE"""),"Oli Barton")</f>
        <v>Oli Barton</v>
      </c>
      <c r="C937" s="3">
        <f>IFERROR(__xludf.DUMMYFUNCTION("""COMPUTED_VALUE"""),2.0)</f>
        <v>2</v>
      </c>
      <c r="D937" s="3">
        <f t="shared" si="1"/>
        <v>0</v>
      </c>
    </row>
    <row r="938">
      <c r="A938" s="10">
        <f>IFERROR(__xludf.DUMMYFUNCTION("""COMPUTED_VALUE"""),45262.0)</f>
        <v>45262</v>
      </c>
      <c r="B938" s="3" t="str">
        <f>IFERROR(__xludf.DUMMYFUNCTION("""COMPUTED_VALUE"""),"Ollie Sewell")</f>
        <v>Ollie Sewell</v>
      </c>
      <c r="C938" s="3">
        <f>IFERROR(__xludf.DUMMYFUNCTION("""COMPUTED_VALUE"""),8.0)</f>
        <v>8</v>
      </c>
      <c r="D938" s="3">
        <f t="shared" si="1"/>
        <v>0</v>
      </c>
    </row>
    <row r="939">
      <c r="A939" s="10">
        <f>IFERROR(__xludf.DUMMYFUNCTION("""COMPUTED_VALUE"""),45262.0)</f>
        <v>45262</v>
      </c>
      <c r="B939" s="3" t="str">
        <f>IFERROR(__xludf.DUMMYFUNCTION("""COMPUTED_VALUE"""),"Parimal Patel")</f>
        <v>Parimal Patel</v>
      </c>
      <c r="C939" s="3">
        <f>IFERROR(__xludf.DUMMYFUNCTION("""COMPUTED_VALUE"""),2.0)</f>
        <v>2</v>
      </c>
      <c r="D939" s="3">
        <f t="shared" si="1"/>
        <v>0</v>
      </c>
    </row>
    <row r="940">
      <c r="A940" s="10">
        <f>IFERROR(__xludf.DUMMYFUNCTION("""COMPUTED_VALUE"""),45262.0)</f>
        <v>45262</v>
      </c>
      <c r="B940" s="3" t="str">
        <f>IFERROR(__xludf.DUMMYFUNCTION("""COMPUTED_VALUE"""),"Paul Ball")</f>
        <v>Paul Ball</v>
      </c>
      <c r="C940" s="3">
        <f>IFERROR(__xludf.DUMMYFUNCTION("""COMPUTED_VALUE"""),6.0)</f>
        <v>6</v>
      </c>
      <c r="D940" s="3">
        <f t="shared" si="1"/>
        <v>0</v>
      </c>
    </row>
    <row r="941">
      <c r="A941" s="10">
        <f>IFERROR(__xludf.DUMMYFUNCTION("""COMPUTED_VALUE"""),45262.0)</f>
        <v>45262</v>
      </c>
      <c r="B941" s="3" t="str">
        <f>IFERROR(__xludf.DUMMYFUNCTION("""COMPUTED_VALUE"""),"Pearl Bakengela")</f>
        <v>Pearl Bakengela</v>
      </c>
      <c r="C941" s="3">
        <f>IFERROR(__xludf.DUMMYFUNCTION("""COMPUTED_VALUE"""),5.0)</f>
        <v>5</v>
      </c>
      <c r="D941" s="3">
        <f t="shared" si="1"/>
        <v>0</v>
      </c>
    </row>
    <row r="942">
      <c r="A942" s="10">
        <f>IFERROR(__xludf.DUMMYFUNCTION("""COMPUTED_VALUE"""),45262.0)</f>
        <v>45262</v>
      </c>
      <c r="B942" s="3" t="str">
        <f>IFERROR(__xludf.DUMMYFUNCTION("""COMPUTED_VALUE"""),"Peter Green")</f>
        <v>Peter Green</v>
      </c>
      <c r="C942" s="3">
        <f>IFERROR(__xludf.DUMMYFUNCTION("""COMPUTED_VALUE"""),2.0)</f>
        <v>2</v>
      </c>
      <c r="D942" s="3">
        <f t="shared" si="1"/>
        <v>0</v>
      </c>
    </row>
    <row r="943">
      <c r="A943" s="10">
        <f>IFERROR(__xludf.DUMMYFUNCTION("""COMPUTED_VALUE"""),45262.0)</f>
        <v>45262</v>
      </c>
      <c r="B943" s="3" t="str">
        <f>IFERROR(__xludf.DUMMYFUNCTION("""COMPUTED_VALUE"""),"Rich Lundie")</f>
        <v>Rich Lundie</v>
      </c>
      <c r="C943" s="3">
        <f>IFERROR(__xludf.DUMMYFUNCTION("""COMPUTED_VALUE"""),5.0)</f>
        <v>5</v>
      </c>
      <c r="D943" s="3">
        <f t="shared" si="1"/>
        <v>0</v>
      </c>
    </row>
    <row r="944">
      <c r="A944" s="10">
        <f>IFERROR(__xludf.DUMMYFUNCTION("""COMPUTED_VALUE"""),45262.0)</f>
        <v>45262</v>
      </c>
      <c r="B944" s="3" t="str">
        <f>IFERROR(__xludf.DUMMYFUNCTION("""COMPUTED_VALUE"""),"Richard Scott")</f>
        <v>Richard Scott</v>
      </c>
      <c r="C944" s="3">
        <f>IFERROR(__xludf.DUMMYFUNCTION("""COMPUTED_VALUE"""),1.0)</f>
        <v>1</v>
      </c>
      <c r="D944" s="3">
        <f t="shared" si="1"/>
        <v>0</v>
      </c>
    </row>
    <row r="945">
      <c r="A945" s="10">
        <f>IFERROR(__xludf.DUMMYFUNCTION("""COMPUTED_VALUE"""),45262.0)</f>
        <v>45262</v>
      </c>
      <c r="B945" s="3" t="str">
        <f>IFERROR(__xludf.DUMMYFUNCTION("""COMPUTED_VALUE"""),"Sam A'Court")</f>
        <v>Sam A'Court</v>
      </c>
      <c r="C945" s="3">
        <f>IFERROR(__xludf.DUMMYFUNCTION("""COMPUTED_VALUE"""),4.0)</f>
        <v>4</v>
      </c>
      <c r="D945" s="3">
        <f t="shared" si="1"/>
        <v>0</v>
      </c>
    </row>
    <row r="946">
      <c r="A946" s="10">
        <f>IFERROR(__xludf.DUMMYFUNCTION("""COMPUTED_VALUE"""),45262.0)</f>
        <v>45262</v>
      </c>
      <c r="B946" s="3" t="str">
        <f>IFERROR(__xludf.DUMMYFUNCTION("""COMPUTED_VALUE"""),"Samuel Osewa")</f>
        <v>Samuel Osewa</v>
      </c>
      <c r="C946" s="3">
        <f>IFERROR(__xludf.DUMMYFUNCTION("""COMPUTED_VALUE"""),1.0)</f>
        <v>1</v>
      </c>
      <c r="D946" s="3">
        <f t="shared" si="1"/>
        <v>0</v>
      </c>
    </row>
    <row r="947">
      <c r="A947" s="10">
        <f>IFERROR(__xludf.DUMMYFUNCTION("""COMPUTED_VALUE"""),45262.0)</f>
        <v>45262</v>
      </c>
      <c r="B947" s="3" t="str">
        <f>IFERROR(__xludf.DUMMYFUNCTION("""COMPUTED_VALUE"""),"Sean Rowlett")</f>
        <v>Sean Rowlett</v>
      </c>
      <c r="C947" s="3">
        <f>IFERROR(__xludf.DUMMYFUNCTION("""COMPUTED_VALUE"""),1.0)</f>
        <v>1</v>
      </c>
      <c r="D947" s="3">
        <f t="shared" si="1"/>
        <v>0</v>
      </c>
    </row>
    <row r="948">
      <c r="A948" s="10">
        <f>IFERROR(__xludf.DUMMYFUNCTION("""COMPUTED_VALUE"""),45262.0)</f>
        <v>45262</v>
      </c>
      <c r="B948" s="3" t="str">
        <f>IFERROR(__xludf.DUMMYFUNCTION("""COMPUTED_VALUE"""),"Sean Staunton")</f>
        <v>Sean Staunton</v>
      </c>
      <c r="C948" s="3">
        <f>IFERROR(__xludf.DUMMYFUNCTION("""COMPUTED_VALUE"""),2.0)</f>
        <v>2</v>
      </c>
      <c r="D948" s="3">
        <f t="shared" si="1"/>
        <v>0</v>
      </c>
    </row>
    <row r="949">
      <c r="A949" s="10">
        <f>IFERROR(__xludf.DUMMYFUNCTION("""COMPUTED_VALUE"""),45262.0)</f>
        <v>45262</v>
      </c>
      <c r="B949" s="3" t="str">
        <f>IFERROR(__xludf.DUMMYFUNCTION("""COMPUTED_VALUE"""),"Seb Curle")</f>
        <v>Seb Curle</v>
      </c>
      <c r="C949" s="3">
        <f>IFERROR(__xludf.DUMMYFUNCTION("""COMPUTED_VALUE"""),4.0)</f>
        <v>4</v>
      </c>
      <c r="D949" s="3">
        <f t="shared" si="1"/>
        <v>0</v>
      </c>
    </row>
    <row r="950">
      <c r="A950" s="10">
        <f>IFERROR(__xludf.DUMMYFUNCTION("""COMPUTED_VALUE"""),45262.0)</f>
        <v>45262</v>
      </c>
      <c r="B950" s="3" t="str">
        <f>IFERROR(__xludf.DUMMYFUNCTION("""COMPUTED_VALUE"""),"Sid Nayaar")</f>
        <v>Sid Nayaar</v>
      </c>
      <c r="C950" s="3">
        <f>IFERROR(__xludf.DUMMYFUNCTION("""COMPUTED_VALUE"""),2.0)</f>
        <v>2</v>
      </c>
      <c r="D950" s="3">
        <f t="shared" si="1"/>
        <v>0</v>
      </c>
    </row>
    <row r="951">
      <c r="A951" s="10">
        <f>IFERROR(__xludf.DUMMYFUNCTION("""COMPUTED_VALUE"""),45262.0)</f>
        <v>45262</v>
      </c>
      <c r="B951" s="3" t="str">
        <f>IFERROR(__xludf.DUMMYFUNCTION("""COMPUTED_VALUE"""),"Stanley Timms")</f>
        <v>Stanley Timms</v>
      </c>
      <c r="C951" s="3">
        <f>IFERROR(__xludf.DUMMYFUNCTION("""COMPUTED_VALUE"""),2.0)</f>
        <v>2</v>
      </c>
      <c r="D951" s="3">
        <f t="shared" si="1"/>
        <v>0</v>
      </c>
    </row>
    <row r="952">
      <c r="A952" s="10">
        <f>IFERROR(__xludf.DUMMYFUNCTION("""COMPUTED_VALUE"""),45262.0)</f>
        <v>45262</v>
      </c>
      <c r="B952" s="3" t="str">
        <f>IFERROR(__xludf.DUMMYFUNCTION("""COMPUTED_VALUE"""),"Stu Jordan")</f>
        <v>Stu Jordan</v>
      </c>
      <c r="C952" s="3">
        <f>IFERROR(__xludf.DUMMYFUNCTION("""COMPUTED_VALUE"""),8.0)</f>
        <v>8</v>
      </c>
      <c r="D952" s="3">
        <f t="shared" si="1"/>
        <v>0</v>
      </c>
    </row>
    <row r="953">
      <c r="A953" s="10">
        <f>IFERROR(__xludf.DUMMYFUNCTION("""COMPUTED_VALUE"""),45262.0)</f>
        <v>45262</v>
      </c>
      <c r="B953" s="3" t="str">
        <f>IFERROR(__xludf.DUMMYFUNCTION("""COMPUTED_VALUE"""),"Tam de Lacey")</f>
        <v>Tam de Lacey</v>
      </c>
      <c r="C953" s="3">
        <f>IFERROR(__xludf.DUMMYFUNCTION("""COMPUTED_VALUE"""),1.0)</f>
        <v>1</v>
      </c>
      <c r="D953" s="3">
        <f t="shared" si="1"/>
        <v>0</v>
      </c>
    </row>
    <row r="954">
      <c r="A954" s="10">
        <f>IFERROR(__xludf.DUMMYFUNCTION("""COMPUTED_VALUE"""),45262.0)</f>
        <v>45262</v>
      </c>
      <c r="B954" s="3" t="str">
        <f>IFERROR(__xludf.DUMMYFUNCTION("""COMPUTED_VALUE"""),"Theo Horton")</f>
        <v>Theo Horton</v>
      </c>
      <c r="C954" s="3">
        <f>IFERROR(__xludf.DUMMYFUNCTION("""COMPUTED_VALUE"""),-3.0)</f>
        <v>-3</v>
      </c>
      <c r="D954" s="3">
        <f t="shared" si="1"/>
        <v>0</v>
      </c>
    </row>
    <row r="955">
      <c r="A955" s="10">
        <f>IFERROR(__xludf.DUMMYFUNCTION("""COMPUTED_VALUE"""),45262.0)</f>
        <v>45262</v>
      </c>
      <c r="B955" s="3" t="str">
        <f>IFERROR(__xludf.DUMMYFUNCTION("""COMPUTED_VALUE"""),"Tom Davidson")</f>
        <v>Tom Davidson</v>
      </c>
      <c r="C955" s="3">
        <f>IFERROR(__xludf.DUMMYFUNCTION("""COMPUTED_VALUE"""),2.0)</f>
        <v>2</v>
      </c>
      <c r="D955" s="3">
        <f t="shared" si="1"/>
        <v>0</v>
      </c>
    </row>
    <row r="956">
      <c r="A956" s="10">
        <f>IFERROR(__xludf.DUMMYFUNCTION("""COMPUTED_VALUE"""),45262.0)</f>
        <v>45262</v>
      </c>
      <c r="B956" s="3" t="str">
        <f>IFERROR(__xludf.DUMMYFUNCTION("""COMPUTED_VALUE"""),"Tom Love")</f>
        <v>Tom Love</v>
      </c>
      <c r="C956" s="3">
        <f>IFERROR(__xludf.DUMMYFUNCTION("""COMPUTED_VALUE"""),7.0)</f>
        <v>7</v>
      </c>
      <c r="D956" s="3">
        <f t="shared" si="1"/>
        <v>0</v>
      </c>
    </row>
    <row r="957">
      <c r="A957" s="10">
        <f>IFERROR(__xludf.DUMMYFUNCTION("""COMPUTED_VALUE"""),45262.0)</f>
        <v>45262</v>
      </c>
      <c r="B957" s="3" t="str">
        <f>IFERROR(__xludf.DUMMYFUNCTION("""COMPUTED_VALUE"""),"Tom Riley")</f>
        <v>Tom Riley</v>
      </c>
      <c r="C957" s="3">
        <f>IFERROR(__xludf.DUMMYFUNCTION("""COMPUTED_VALUE"""),2.0)</f>
        <v>2</v>
      </c>
      <c r="D957" s="3">
        <f t="shared" si="1"/>
        <v>0</v>
      </c>
    </row>
    <row r="958">
      <c r="A958" s="10">
        <f>IFERROR(__xludf.DUMMYFUNCTION("""COMPUTED_VALUE"""),45262.0)</f>
        <v>45262</v>
      </c>
      <c r="B958" s="3" t="str">
        <f>IFERROR(__xludf.DUMMYFUNCTION("""COMPUTED_VALUE"""),"Will Sollory")</f>
        <v>Will Sollory</v>
      </c>
      <c r="C958" s="3">
        <f>IFERROR(__xludf.DUMMYFUNCTION("""COMPUTED_VALUE"""),2.0)</f>
        <v>2</v>
      </c>
      <c r="D958" s="3">
        <f t="shared" si="1"/>
        <v>0</v>
      </c>
    </row>
    <row r="959">
      <c r="A959" s="10">
        <f>IFERROR(__xludf.DUMMYFUNCTION("""COMPUTED_VALUE"""),45276.0)</f>
        <v>45276</v>
      </c>
      <c r="B959" s="3" t="str">
        <f>IFERROR(__xludf.DUMMYFUNCTION("""COMPUTED_VALUE"""),"Abz Marfa")</f>
        <v>Abz Marfa</v>
      </c>
      <c r="C959" s="3">
        <f>IFERROR(__xludf.DUMMYFUNCTION("""COMPUTED_VALUE"""),5.0)</f>
        <v>5</v>
      </c>
      <c r="D959" s="3">
        <f t="shared" si="1"/>
        <v>0</v>
      </c>
    </row>
    <row r="960">
      <c r="A960" s="10">
        <f>IFERROR(__xludf.DUMMYFUNCTION("""COMPUTED_VALUE"""),45276.0)</f>
        <v>45276</v>
      </c>
      <c r="B960" s="3" t="str">
        <f>IFERROR(__xludf.DUMMYFUNCTION("""COMPUTED_VALUE"""),"Adam Platten")</f>
        <v>Adam Platten</v>
      </c>
      <c r="C960" s="3">
        <f>IFERROR(__xludf.DUMMYFUNCTION("""COMPUTED_VALUE"""),6.0)</f>
        <v>6</v>
      </c>
      <c r="D960" s="3">
        <f t="shared" si="1"/>
        <v>0</v>
      </c>
    </row>
    <row r="961">
      <c r="A961" s="10">
        <f>IFERROR(__xludf.DUMMYFUNCTION("""COMPUTED_VALUE"""),45276.0)</f>
        <v>45276</v>
      </c>
      <c r="B961" s="3" t="str">
        <f>IFERROR(__xludf.DUMMYFUNCTION("""COMPUTED_VALUE"""),"Ade Lawal")</f>
        <v>Ade Lawal</v>
      </c>
      <c r="C961" s="3">
        <f>IFERROR(__xludf.DUMMYFUNCTION("""COMPUTED_VALUE"""),8.0)</f>
        <v>8</v>
      </c>
      <c r="D961" s="3">
        <f t="shared" si="1"/>
        <v>0</v>
      </c>
    </row>
    <row r="962">
      <c r="A962" s="10">
        <f>IFERROR(__xludf.DUMMYFUNCTION("""COMPUTED_VALUE"""),45276.0)</f>
        <v>45276</v>
      </c>
      <c r="B962" s="3" t="str">
        <f>IFERROR(__xludf.DUMMYFUNCTION("""COMPUTED_VALUE"""),"Aidan Byrne")</f>
        <v>Aidan Byrne</v>
      </c>
      <c r="C962" s="3">
        <f>IFERROR(__xludf.DUMMYFUNCTION("""COMPUTED_VALUE"""),8.0)</f>
        <v>8</v>
      </c>
      <c r="D962" s="3">
        <f t="shared" si="1"/>
        <v>0</v>
      </c>
    </row>
    <row r="963">
      <c r="A963" s="10">
        <f>IFERROR(__xludf.DUMMYFUNCTION("""COMPUTED_VALUE"""),45276.0)</f>
        <v>45276</v>
      </c>
      <c r="B963" s="3" t="str">
        <f>IFERROR(__xludf.DUMMYFUNCTION("""COMPUTED_VALUE"""),"Alex Clark")</f>
        <v>Alex Clark</v>
      </c>
      <c r="C963" s="3">
        <f>IFERROR(__xludf.DUMMYFUNCTION("""COMPUTED_VALUE"""),2.0)</f>
        <v>2</v>
      </c>
      <c r="D963" s="3">
        <f t="shared" si="1"/>
        <v>0</v>
      </c>
    </row>
    <row r="964">
      <c r="A964" s="10">
        <f>IFERROR(__xludf.DUMMYFUNCTION("""COMPUTED_VALUE"""),45276.0)</f>
        <v>45276</v>
      </c>
      <c r="B964" s="3" t="str">
        <f>IFERROR(__xludf.DUMMYFUNCTION("""COMPUTED_VALUE"""),"Alex Dockerill")</f>
        <v>Alex Dockerill</v>
      </c>
      <c r="C964" s="3">
        <f>IFERROR(__xludf.DUMMYFUNCTION("""COMPUTED_VALUE"""),19.0)</f>
        <v>19</v>
      </c>
      <c r="D964" s="3">
        <f t="shared" si="1"/>
        <v>1</v>
      </c>
    </row>
    <row r="965">
      <c r="A965" s="10">
        <f>IFERROR(__xludf.DUMMYFUNCTION("""COMPUTED_VALUE"""),45276.0)</f>
        <v>45276</v>
      </c>
      <c r="B965" s="3" t="str">
        <f>IFERROR(__xludf.DUMMYFUNCTION("""COMPUTED_VALUE"""),"Alex Mansfield")</f>
        <v>Alex Mansfield</v>
      </c>
      <c r="C965" s="3">
        <f>IFERROR(__xludf.DUMMYFUNCTION("""COMPUTED_VALUE"""),17.0)</f>
        <v>17</v>
      </c>
      <c r="D965" s="3">
        <f t="shared" si="1"/>
        <v>0</v>
      </c>
    </row>
    <row r="966">
      <c r="A966" s="10">
        <f>IFERROR(__xludf.DUMMYFUNCTION("""COMPUTED_VALUE"""),45276.0)</f>
        <v>45276</v>
      </c>
      <c r="B966" s="3" t="str">
        <f>IFERROR(__xludf.DUMMYFUNCTION("""COMPUTED_VALUE"""),"Alex Scott-Ruddock")</f>
        <v>Alex Scott-Ruddock</v>
      </c>
      <c r="C966" s="3">
        <f>IFERROR(__xludf.DUMMYFUNCTION("""COMPUTED_VALUE"""),13.0)</f>
        <v>13</v>
      </c>
      <c r="D966" s="3">
        <f t="shared" si="1"/>
        <v>0</v>
      </c>
    </row>
    <row r="967">
      <c r="A967" s="10">
        <f>IFERROR(__xludf.DUMMYFUNCTION("""COMPUTED_VALUE"""),45276.0)</f>
        <v>45276</v>
      </c>
      <c r="B967" s="3" t="str">
        <f>IFERROR(__xludf.DUMMYFUNCTION("""COMPUTED_VALUE"""),"Alex Stevens")</f>
        <v>Alex Stevens</v>
      </c>
      <c r="C967" s="3">
        <f>IFERROR(__xludf.DUMMYFUNCTION("""COMPUTED_VALUE"""),9.0)</f>
        <v>9</v>
      </c>
      <c r="D967" s="3">
        <f t="shared" si="1"/>
        <v>0</v>
      </c>
    </row>
    <row r="968">
      <c r="A968" s="10">
        <f>IFERROR(__xludf.DUMMYFUNCTION("""COMPUTED_VALUE"""),45276.0)</f>
        <v>45276</v>
      </c>
      <c r="B968" s="3" t="str">
        <f>IFERROR(__xludf.DUMMYFUNCTION("""COMPUTED_VALUE"""),"Andres Ahlgren")</f>
        <v>Andres Ahlgren</v>
      </c>
      <c r="C968" s="3">
        <f>IFERROR(__xludf.DUMMYFUNCTION("""COMPUTED_VALUE"""),6.0)</f>
        <v>6</v>
      </c>
      <c r="D968" s="3">
        <f t="shared" si="1"/>
        <v>0</v>
      </c>
    </row>
    <row r="969">
      <c r="A969" s="10">
        <f>IFERROR(__xludf.DUMMYFUNCTION("""COMPUTED_VALUE"""),45276.0)</f>
        <v>45276</v>
      </c>
      <c r="B969" s="3" t="str">
        <f>IFERROR(__xludf.DUMMYFUNCTION("""COMPUTED_VALUE"""),"Billy Mclean")</f>
        <v>Billy Mclean</v>
      </c>
      <c r="C969" s="3">
        <f>IFERROR(__xludf.DUMMYFUNCTION("""COMPUTED_VALUE"""),2.0)</f>
        <v>2</v>
      </c>
      <c r="D969" s="3">
        <f t="shared" si="1"/>
        <v>0</v>
      </c>
    </row>
    <row r="970">
      <c r="A970" s="10">
        <f>IFERROR(__xludf.DUMMYFUNCTION("""COMPUTED_VALUE"""),45276.0)</f>
        <v>45276</v>
      </c>
      <c r="B970" s="3" t="str">
        <f>IFERROR(__xludf.DUMMYFUNCTION("""COMPUTED_VALUE"""),"Calum Bennett")</f>
        <v>Calum Bennett</v>
      </c>
      <c r="C970" s="3">
        <f>IFERROR(__xludf.DUMMYFUNCTION("""COMPUTED_VALUE"""),2.0)</f>
        <v>2</v>
      </c>
      <c r="D970" s="3">
        <f t="shared" si="1"/>
        <v>0</v>
      </c>
    </row>
    <row r="971">
      <c r="A971" s="10">
        <f>IFERROR(__xludf.DUMMYFUNCTION("""COMPUTED_VALUE"""),45276.0)</f>
        <v>45276</v>
      </c>
      <c r="B971" s="3" t="str">
        <f>IFERROR(__xludf.DUMMYFUNCTION("""COMPUTED_VALUE"""),"Charlie Doe")</f>
        <v>Charlie Doe</v>
      </c>
      <c r="C971" s="3">
        <f>IFERROR(__xludf.DUMMYFUNCTION("""COMPUTED_VALUE"""),6.0)</f>
        <v>6</v>
      </c>
      <c r="D971" s="3">
        <f t="shared" si="1"/>
        <v>0</v>
      </c>
    </row>
    <row r="972">
      <c r="A972" s="10">
        <f>IFERROR(__xludf.DUMMYFUNCTION("""COMPUTED_VALUE"""),45276.0)</f>
        <v>45276</v>
      </c>
      <c r="B972" s="3" t="str">
        <f>IFERROR(__xludf.DUMMYFUNCTION("""COMPUTED_VALUE"""),"Chris Claeys")</f>
        <v>Chris Claeys</v>
      </c>
      <c r="C972" s="3">
        <f>IFERROR(__xludf.DUMMYFUNCTION("""COMPUTED_VALUE"""),10.0)</f>
        <v>10</v>
      </c>
      <c r="D972" s="3">
        <f t="shared" si="1"/>
        <v>0</v>
      </c>
    </row>
    <row r="973">
      <c r="A973" s="10">
        <f>IFERROR(__xludf.DUMMYFUNCTION("""COMPUTED_VALUE"""),45276.0)</f>
        <v>45276</v>
      </c>
      <c r="B973" s="3" t="str">
        <f>IFERROR(__xludf.DUMMYFUNCTION("""COMPUTED_VALUE"""),"Ciaran Curran")</f>
        <v>Ciaran Curran</v>
      </c>
      <c r="C973" s="3">
        <f>IFERROR(__xludf.DUMMYFUNCTION("""COMPUTED_VALUE"""),8.0)</f>
        <v>8</v>
      </c>
      <c r="D973" s="3">
        <f t="shared" si="1"/>
        <v>0</v>
      </c>
    </row>
    <row r="974">
      <c r="A974" s="10">
        <f>IFERROR(__xludf.DUMMYFUNCTION("""COMPUTED_VALUE"""),45276.0)</f>
        <v>45276</v>
      </c>
      <c r="B974" s="3" t="str">
        <f>IFERROR(__xludf.DUMMYFUNCTION("""COMPUTED_VALUE"""),"Connor White")</f>
        <v>Connor White</v>
      </c>
      <c r="C974" s="3">
        <f>IFERROR(__xludf.DUMMYFUNCTION("""COMPUTED_VALUE"""),2.0)</f>
        <v>2</v>
      </c>
      <c r="D974" s="3">
        <f t="shared" si="1"/>
        <v>0</v>
      </c>
    </row>
    <row r="975">
      <c r="A975" s="10">
        <f>IFERROR(__xludf.DUMMYFUNCTION("""COMPUTED_VALUE"""),45276.0)</f>
        <v>45276</v>
      </c>
      <c r="B975" s="3" t="str">
        <f>IFERROR(__xludf.DUMMYFUNCTION("""COMPUTED_VALUE"""),"Daniel Sheehan")</f>
        <v>Daniel Sheehan</v>
      </c>
      <c r="C975" s="3">
        <f>IFERROR(__xludf.DUMMYFUNCTION("""COMPUTED_VALUE"""),2.0)</f>
        <v>2</v>
      </c>
      <c r="D975" s="3">
        <f t="shared" si="1"/>
        <v>0</v>
      </c>
    </row>
    <row r="976">
      <c r="A976" s="10">
        <f>IFERROR(__xludf.DUMMYFUNCTION("""COMPUTED_VALUE"""),45276.0)</f>
        <v>45276</v>
      </c>
      <c r="B976" s="3" t="str">
        <f>IFERROR(__xludf.DUMMYFUNCTION("""COMPUTED_VALUE"""),"David Holmes-White")</f>
        <v>David Holmes-White</v>
      </c>
      <c r="C976" s="3">
        <f>IFERROR(__xludf.DUMMYFUNCTION("""COMPUTED_VALUE"""),4.0)</f>
        <v>4</v>
      </c>
      <c r="D976" s="3">
        <f t="shared" si="1"/>
        <v>0</v>
      </c>
    </row>
    <row r="977">
      <c r="A977" s="10">
        <f>IFERROR(__xludf.DUMMYFUNCTION("""COMPUTED_VALUE"""),45276.0)</f>
        <v>45276</v>
      </c>
      <c r="B977" s="3" t="str">
        <f>IFERROR(__xludf.DUMMYFUNCTION("""COMPUTED_VALUE"""),"Dean Wright")</f>
        <v>Dean Wright</v>
      </c>
      <c r="C977" s="3">
        <f>IFERROR(__xludf.DUMMYFUNCTION("""COMPUTED_VALUE"""),0.0)</f>
        <v>0</v>
      </c>
      <c r="D977" s="3">
        <f t="shared" si="1"/>
        <v>0</v>
      </c>
    </row>
    <row r="978">
      <c r="A978" s="10">
        <f>IFERROR(__xludf.DUMMYFUNCTION("""COMPUTED_VALUE"""),45276.0)</f>
        <v>45276</v>
      </c>
      <c r="B978" s="3" t="str">
        <f>IFERROR(__xludf.DUMMYFUNCTION("""COMPUTED_VALUE"""),"Deji Ogunyemi")</f>
        <v>Deji Ogunyemi</v>
      </c>
      <c r="C978" s="3">
        <f>IFERROR(__xludf.DUMMYFUNCTION("""COMPUTED_VALUE"""),7.0)</f>
        <v>7</v>
      </c>
      <c r="D978" s="3">
        <f t="shared" si="1"/>
        <v>0</v>
      </c>
    </row>
    <row r="979">
      <c r="A979" s="10">
        <f>IFERROR(__xludf.DUMMYFUNCTION("""COMPUTED_VALUE"""),45276.0)</f>
        <v>45276</v>
      </c>
      <c r="B979" s="3" t="str">
        <f>IFERROR(__xludf.DUMMYFUNCTION("""COMPUTED_VALUE"""),"Ed Wightman")</f>
        <v>Ed Wightman</v>
      </c>
      <c r="C979" s="3">
        <f>IFERROR(__xludf.DUMMYFUNCTION("""COMPUTED_VALUE"""),5.0)</f>
        <v>5</v>
      </c>
      <c r="D979" s="3">
        <f t="shared" si="1"/>
        <v>0</v>
      </c>
    </row>
    <row r="980">
      <c r="A980" s="10">
        <f>IFERROR(__xludf.DUMMYFUNCTION("""COMPUTED_VALUE"""),45276.0)</f>
        <v>45276</v>
      </c>
      <c r="B980" s="3" t="str">
        <f>IFERROR(__xludf.DUMMYFUNCTION("""COMPUTED_VALUE"""),"Ellis Forrester")</f>
        <v>Ellis Forrester</v>
      </c>
      <c r="C980" s="3">
        <f>IFERROR(__xludf.DUMMYFUNCTION("""COMPUTED_VALUE"""),4.0)</f>
        <v>4</v>
      </c>
      <c r="D980" s="3">
        <f t="shared" si="1"/>
        <v>0</v>
      </c>
    </row>
    <row r="981">
      <c r="A981" s="10">
        <f>IFERROR(__xludf.DUMMYFUNCTION("""COMPUTED_VALUE"""),45276.0)</f>
        <v>45276</v>
      </c>
      <c r="B981" s="3" t="str">
        <f>IFERROR(__xludf.DUMMYFUNCTION("""COMPUTED_VALUE"""),"Emi Muhadri")</f>
        <v>Emi Muhadri</v>
      </c>
      <c r="C981" s="3">
        <f>IFERROR(__xludf.DUMMYFUNCTION("""COMPUTED_VALUE"""),8.0)</f>
        <v>8</v>
      </c>
      <c r="D981" s="3">
        <f t="shared" si="1"/>
        <v>0</v>
      </c>
    </row>
    <row r="982">
      <c r="A982" s="10">
        <f>IFERROR(__xludf.DUMMYFUNCTION("""COMPUTED_VALUE"""),45276.0)</f>
        <v>45276</v>
      </c>
      <c r="B982" s="3" t="str">
        <f>IFERROR(__xludf.DUMMYFUNCTION("""COMPUTED_VALUE"""),"George Connolly")</f>
        <v>George Connolly</v>
      </c>
      <c r="C982" s="3">
        <f>IFERROR(__xludf.DUMMYFUNCTION("""COMPUTED_VALUE"""),6.0)</f>
        <v>6</v>
      </c>
      <c r="D982" s="3">
        <f t="shared" si="1"/>
        <v>0</v>
      </c>
    </row>
    <row r="983">
      <c r="A983" s="10">
        <f>IFERROR(__xludf.DUMMYFUNCTION("""COMPUTED_VALUE"""),45276.0)</f>
        <v>45276</v>
      </c>
      <c r="B983" s="3" t="str">
        <f>IFERROR(__xludf.DUMMYFUNCTION("""COMPUTED_VALUE"""),"Hallam Wye")</f>
        <v>Hallam Wye</v>
      </c>
      <c r="C983" s="3">
        <f>IFERROR(__xludf.DUMMYFUNCTION("""COMPUTED_VALUE"""),2.0)</f>
        <v>2</v>
      </c>
      <c r="D983" s="3">
        <f t="shared" si="1"/>
        <v>0</v>
      </c>
    </row>
    <row r="984">
      <c r="A984" s="10">
        <f>IFERROR(__xludf.DUMMYFUNCTION("""COMPUTED_VALUE"""),45276.0)</f>
        <v>45276</v>
      </c>
      <c r="B984" s="3" t="str">
        <f>IFERROR(__xludf.DUMMYFUNCTION("""COMPUTED_VALUE"""),"Harry Fripp")</f>
        <v>Harry Fripp</v>
      </c>
      <c r="C984" s="3">
        <f>IFERROR(__xludf.DUMMYFUNCTION("""COMPUTED_VALUE"""),7.0)</f>
        <v>7</v>
      </c>
      <c r="D984" s="3">
        <f t="shared" si="1"/>
        <v>0</v>
      </c>
    </row>
    <row r="985">
      <c r="A985" s="10">
        <f>IFERROR(__xludf.DUMMYFUNCTION("""COMPUTED_VALUE"""),45276.0)</f>
        <v>45276</v>
      </c>
      <c r="B985" s="3" t="str">
        <f>IFERROR(__xludf.DUMMYFUNCTION("""COMPUTED_VALUE"""),"Jabari Dixon")</f>
        <v>Jabari Dixon</v>
      </c>
      <c r="C985" s="3">
        <f>IFERROR(__xludf.DUMMYFUNCTION("""COMPUTED_VALUE"""),1.0)</f>
        <v>1</v>
      </c>
      <c r="D985" s="3">
        <f t="shared" si="1"/>
        <v>0</v>
      </c>
    </row>
    <row r="986">
      <c r="A986" s="10">
        <f>IFERROR(__xludf.DUMMYFUNCTION("""COMPUTED_VALUE"""),45276.0)</f>
        <v>45276</v>
      </c>
      <c r="B986" s="3" t="str">
        <f>IFERROR(__xludf.DUMMYFUNCTION("""COMPUTED_VALUE"""),"Jack Harris")</f>
        <v>Jack Harris</v>
      </c>
      <c r="C986" s="3">
        <f>IFERROR(__xludf.DUMMYFUNCTION("""COMPUTED_VALUE"""),8.0)</f>
        <v>8</v>
      </c>
      <c r="D986" s="3">
        <f t="shared" si="1"/>
        <v>0</v>
      </c>
    </row>
    <row r="987">
      <c r="A987" s="10">
        <f>IFERROR(__xludf.DUMMYFUNCTION("""COMPUTED_VALUE"""),45276.0)</f>
        <v>45276</v>
      </c>
      <c r="B987" s="3" t="str">
        <f>IFERROR(__xludf.DUMMYFUNCTION("""COMPUTED_VALUE"""),"James Rodriguez")</f>
        <v>James Rodriguez</v>
      </c>
      <c r="C987" s="3">
        <f>IFERROR(__xludf.DUMMYFUNCTION("""COMPUTED_VALUE"""),2.0)</f>
        <v>2</v>
      </c>
      <c r="D987" s="3">
        <f t="shared" si="1"/>
        <v>0</v>
      </c>
    </row>
    <row r="988">
      <c r="A988" s="10">
        <f>IFERROR(__xludf.DUMMYFUNCTION("""COMPUTED_VALUE"""),45276.0)</f>
        <v>45276</v>
      </c>
      <c r="B988" s="3" t="str">
        <f>IFERROR(__xludf.DUMMYFUNCTION("""COMPUTED_VALUE"""),"Janam Satra")</f>
        <v>Janam Satra</v>
      </c>
      <c r="C988" s="3">
        <f>IFERROR(__xludf.DUMMYFUNCTION("""COMPUTED_VALUE"""),2.0)</f>
        <v>2</v>
      </c>
      <c r="D988" s="3">
        <f t="shared" si="1"/>
        <v>0</v>
      </c>
    </row>
    <row r="989">
      <c r="A989" s="10">
        <f>IFERROR(__xludf.DUMMYFUNCTION("""COMPUTED_VALUE"""),45276.0)</f>
        <v>45276</v>
      </c>
      <c r="B989" s="3" t="str">
        <f>IFERROR(__xludf.DUMMYFUNCTION("""COMPUTED_VALUE"""),"Joe France")</f>
        <v>Joe France</v>
      </c>
      <c r="C989" s="3">
        <f>IFERROR(__xludf.DUMMYFUNCTION("""COMPUTED_VALUE"""),0.0)</f>
        <v>0</v>
      </c>
      <c r="D989" s="3">
        <f t="shared" si="1"/>
        <v>0</v>
      </c>
    </row>
    <row r="990">
      <c r="A990" s="10">
        <f>IFERROR(__xludf.DUMMYFUNCTION("""COMPUTED_VALUE"""),45276.0)</f>
        <v>45276</v>
      </c>
      <c r="B990" s="3" t="str">
        <f>IFERROR(__xludf.DUMMYFUNCTION("""COMPUTED_VALUE"""),"Joe Vincent")</f>
        <v>Joe Vincent</v>
      </c>
      <c r="C990" s="3">
        <f>IFERROR(__xludf.DUMMYFUNCTION("""COMPUTED_VALUE"""),2.0)</f>
        <v>2</v>
      </c>
      <c r="D990" s="3">
        <f t="shared" si="1"/>
        <v>0</v>
      </c>
    </row>
    <row r="991">
      <c r="A991" s="10">
        <f>IFERROR(__xludf.DUMMYFUNCTION("""COMPUTED_VALUE"""),45276.0)</f>
        <v>45276</v>
      </c>
      <c r="B991" s="3" t="str">
        <f>IFERROR(__xludf.DUMMYFUNCTION("""COMPUTED_VALUE"""),"Joel Wright")</f>
        <v>Joel Wright</v>
      </c>
      <c r="C991" s="3">
        <f>IFERROR(__xludf.DUMMYFUNCTION("""COMPUTED_VALUE"""),5.0)</f>
        <v>5</v>
      </c>
      <c r="D991" s="3">
        <f t="shared" si="1"/>
        <v>0</v>
      </c>
    </row>
    <row r="992">
      <c r="A992" s="10">
        <f>IFERROR(__xludf.DUMMYFUNCTION("""COMPUTED_VALUE"""),45276.0)</f>
        <v>45276</v>
      </c>
      <c r="B992" s="3" t="str">
        <f>IFERROR(__xludf.DUMMYFUNCTION("""COMPUTED_VALUE"""),"John Harrison")</f>
        <v>John Harrison</v>
      </c>
      <c r="C992" s="3">
        <f>IFERROR(__xludf.DUMMYFUNCTION("""COMPUTED_VALUE"""),2.0)</f>
        <v>2</v>
      </c>
      <c r="D992" s="3">
        <f t="shared" si="1"/>
        <v>0</v>
      </c>
    </row>
    <row r="993">
      <c r="A993" s="10">
        <f>IFERROR(__xludf.DUMMYFUNCTION("""COMPUTED_VALUE"""),45276.0)</f>
        <v>45276</v>
      </c>
      <c r="B993" s="3" t="str">
        <f>IFERROR(__xludf.DUMMYFUNCTION("""COMPUTED_VALUE"""),"Jordan Davis")</f>
        <v>Jordan Davis</v>
      </c>
      <c r="C993" s="3">
        <f>IFERROR(__xludf.DUMMYFUNCTION("""COMPUTED_VALUE"""),2.0)</f>
        <v>2</v>
      </c>
      <c r="D993" s="3">
        <f t="shared" si="1"/>
        <v>0</v>
      </c>
    </row>
    <row r="994">
      <c r="A994" s="10">
        <f>IFERROR(__xludf.DUMMYFUNCTION("""COMPUTED_VALUE"""),45276.0)</f>
        <v>45276</v>
      </c>
      <c r="B994" s="3" t="str">
        <f>IFERROR(__xludf.DUMMYFUNCTION("""COMPUTED_VALUE"""),"Josh Sherriff-Jolly")</f>
        <v>Josh Sherriff-Jolly</v>
      </c>
      <c r="C994" s="3">
        <f>IFERROR(__xludf.DUMMYFUNCTION("""COMPUTED_VALUE"""),10.0)</f>
        <v>10</v>
      </c>
      <c r="D994" s="3">
        <f t="shared" si="1"/>
        <v>0</v>
      </c>
    </row>
    <row r="995">
      <c r="A995" s="10">
        <f>IFERROR(__xludf.DUMMYFUNCTION("""COMPUTED_VALUE"""),45276.0)</f>
        <v>45276</v>
      </c>
      <c r="B995" s="3" t="str">
        <f>IFERROR(__xludf.DUMMYFUNCTION("""COMPUTED_VALUE"""),"Kai Clack")</f>
        <v>Kai Clack</v>
      </c>
      <c r="C995" s="3">
        <f>IFERROR(__xludf.DUMMYFUNCTION("""COMPUTED_VALUE"""),8.0)</f>
        <v>8</v>
      </c>
      <c r="D995" s="3">
        <f t="shared" si="1"/>
        <v>0</v>
      </c>
    </row>
    <row r="996">
      <c r="A996" s="10">
        <f>IFERROR(__xludf.DUMMYFUNCTION("""COMPUTED_VALUE"""),45276.0)</f>
        <v>45276</v>
      </c>
      <c r="B996" s="3" t="str">
        <f>IFERROR(__xludf.DUMMYFUNCTION("""COMPUTED_VALUE"""),"Kevin Gonzalez")</f>
        <v>Kevin Gonzalez</v>
      </c>
      <c r="C996" s="3">
        <f>IFERROR(__xludf.DUMMYFUNCTION("""COMPUTED_VALUE"""),0.0)</f>
        <v>0</v>
      </c>
      <c r="D996" s="3">
        <f t="shared" si="1"/>
        <v>0</v>
      </c>
    </row>
    <row r="997">
      <c r="A997" s="10">
        <f>IFERROR(__xludf.DUMMYFUNCTION("""COMPUTED_VALUE"""),45276.0)</f>
        <v>45276</v>
      </c>
      <c r="B997" s="3" t="str">
        <f>IFERROR(__xludf.DUMMYFUNCTION("""COMPUTED_VALUE"""),"Lewis Anderson")</f>
        <v>Lewis Anderson</v>
      </c>
      <c r="C997" s="3">
        <f>IFERROR(__xludf.DUMMYFUNCTION("""COMPUTED_VALUE"""),2.0)</f>
        <v>2</v>
      </c>
      <c r="D997" s="3">
        <f t="shared" si="1"/>
        <v>0</v>
      </c>
    </row>
    <row r="998">
      <c r="A998" s="10">
        <f>IFERROR(__xludf.DUMMYFUNCTION("""COMPUTED_VALUE"""),45276.0)</f>
        <v>45276</v>
      </c>
      <c r="B998" s="3" t="str">
        <f>IFERROR(__xludf.DUMMYFUNCTION("""COMPUTED_VALUE"""),"Luke Dyges")</f>
        <v>Luke Dyges</v>
      </c>
      <c r="C998" s="3">
        <f>IFERROR(__xludf.DUMMYFUNCTION("""COMPUTED_VALUE"""),5.0)</f>
        <v>5</v>
      </c>
      <c r="D998" s="3">
        <f t="shared" si="1"/>
        <v>0</v>
      </c>
    </row>
    <row r="999">
      <c r="A999" s="10">
        <f>IFERROR(__xludf.DUMMYFUNCTION("""COMPUTED_VALUE"""),45276.0)</f>
        <v>45276</v>
      </c>
      <c r="B999" s="3" t="str">
        <f>IFERROR(__xludf.DUMMYFUNCTION("""COMPUTED_VALUE"""),"Mark Roberts")</f>
        <v>Mark Roberts</v>
      </c>
      <c r="C999" s="3">
        <f>IFERROR(__xludf.DUMMYFUNCTION("""COMPUTED_VALUE"""),4.0)</f>
        <v>4</v>
      </c>
      <c r="D999" s="3">
        <f t="shared" si="1"/>
        <v>0</v>
      </c>
    </row>
    <row r="1000">
      <c r="A1000" s="10">
        <f>IFERROR(__xludf.DUMMYFUNCTION("""COMPUTED_VALUE"""),45276.0)</f>
        <v>45276</v>
      </c>
      <c r="B1000" s="3" t="str">
        <f>IFERROR(__xludf.DUMMYFUNCTION("""COMPUTED_VALUE"""),"Martin Goodson")</f>
        <v>Martin Goodson</v>
      </c>
      <c r="C1000" s="3">
        <f>IFERROR(__xludf.DUMMYFUNCTION("""COMPUTED_VALUE"""),1.0)</f>
        <v>1</v>
      </c>
      <c r="D1000" s="3">
        <f t="shared" si="1"/>
        <v>0</v>
      </c>
    </row>
    <row r="1001">
      <c r="A1001" s="10">
        <f>IFERROR(__xludf.DUMMYFUNCTION("""COMPUTED_VALUE"""),45276.0)</f>
        <v>45276</v>
      </c>
      <c r="B1001" s="3" t="str">
        <f>IFERROR(__xludf.DUMMYFUNCTION("""COMPUTED_VALUE"""),"Masood Hamidi")</f>
        <v>Masood Hamidi</v>
      </c>
      <c r="C1001" s="3">
        <f>IFERROR(__xludf.DUMMYFUNCTION("""COMPUTED_VALUE"""),2.0)</f>
        <v>2</v>
      </c>
      <c r="D1001" s="3">
        <f t="shared" si="1"/>
        <v>0</v>
      </c>
    </row>
    <row r="1002">
      <c r="A1002" s="10">
        <f>IFERROR(__xludf.DUMMYFUNCTION("""COMPUTED_VALUE"""),45276.0)</f>
        <v>45276</v>
      </c>
      <c r="B1002" s="3" t="str">
        <f>IFERROR(__xludf.DUMMYFUNCTION("""COMPUTED_VALUE"""),"Matt Crowe")</f>
        <v>Matt Crowe</v>
      </c>
      <c r="C1002" s="3">
        <f>IFERROR(__xludf.DUMMYFUNCTION("""COMPUTED_VALUE"""),2.0)</f>
        <v>2</v>
      </c>
      <c r="D1002" s="3">
        <f t="shared" si="1"/>
        <v>0</v>
      </c>
    </row>
    <row r="1003">
      <c r="A1003" s="10">
        <f>IFERROR(__xludf.DUMMYFUNCTION("""COMPUTED_VALUE"""),45276.0)</f>
        <v>45276</v>
      </c>
      <c r="B1003" s="3" t="str">
        <f>IFERROR(__xludf.DUMMYFUNCTION("""COMPUTED_VALUE"""),"Matt Hope")</f>
        <v>Matt Hope</v>
      </c>
      <c r="C1003" s="3">
        <f>IFERROR(__xludf.DUMMYFUNCTION("""COMPUTED_VALUE"""),2.0)</f>
        <v>2</v>
      </c>
      <c r="D1003" s="3">
        <f t="shared" si="1"/>
        <v>0</v>
      </c>
    </row>
    <row r="1004">
      <c r="A1004" s="10">
        <f>IFERROR(__xludf.DUMMYFUNCTION("""COMPUTED_VALUE"""),45276.0)</f>
        <v>45276</v>
      </c>
      <c r="B1004" s="3" t="str">
        <f>IFERROR(__xludf.DUMMYFUNCTION("""COMPUTED_VALUE"""),"Matthew Thomas")</f>
        <v>Matthew Thomas</v>
      </c>
      <c r="C1004" s="3">
        <f>IFERROR(__xludf.DUMMYFUNCTION("""COMPUTED_VALUE"""),2.0)</f>
        <v>2</v>
      </c>
      <c r="D1004" s="3">
        <f t="shared" si="1"/>
        <v>0</v>
      </c>
    </row>
    <row r="1005">
      <c r="A1005" s="10">
        <f>IFERROR(__xludf.DUMMYFUNCTION("""COMPUTED_VALUE"""),45276.0)</f>
        <v>45276</v>
      </c>
      <c r="B1005" s="3" t="str">
        <f>IFERROR(__xludf.DUMMYFUNCTION("""COMPUTED_VALUE"""),"Max Miles")</f>
        <v>Max Miles</v>
      </c>
      <c r="C1005" s="3">
        <f>IFERROR(__xludf.DUMMYFUNCTION("""COMPUTED_VALUE"""),2.0)</f>
        <v>2</v>
      </c>
      <c r="D1005" s="3">
        <f t="shared" si="1"/>
        <v>0</v>
      </c>
    </row>
    <row r="1006">
      <c r="A1006" s="10">
        <f>IFERROR(__xludf.DUMMYFUNCTION("""COMPUTED_VALUE"""),45276.0)</f>
        <v>45276</v>
      </c>
      <c r="B1006" s="3" t="str">
        <f>IFERROR(__xludf.DUMMYFUNCTION("""COMPUTED_VALUE"""),"Nathan Baverstock")</f>
        <v>Nathan Baverstock</v>
      </c>
      <c r="C1006" s="3">
        <f>IFERROR(__xludf.DUMMYFUNCTION("""COMPUTED_VALUE"""),2.0)</f>
        <v>2</v>
      </c>
      <c r="D1006" s="3">
        <f t="shared" si="1"/>
        <v>0</v>
      </c>
    </row>
    <row r="1007">
      <c r="A1007" s="10">
        <f>IFERROR(__xludf.DUMMYFUNCTION("""COMPUTED_VALUE"""),45276.0)</f>
        <v>45276</v>
      </c>
      <c r="B1007" s="3" t="str">
        <f>IFERROR(__xludf.DUMMYFUNCTION("""COMPUTED_VALUE"""),"Nathan Nzau")</f>
        <v>Nathan Nzau</v>
      </c>
      <c r="C1007" s="3">
        <f>IFERROR(__xludf.DUMMYFUNCTION("""COMPUTED_VALUE"""),2.0)</f>
        <v>2</v>
      </c>
      <c r="D1007" s="3">
        <f t="shared" si="1"/>
        <v>0</v>
      </c>
    </row>
    <row r="1008">
      <c r="A1008" s="10">
        <f>IFERROR(__xludf.DUMMYFUNCTION("""COMPUTED_VALUE"""),45276.0)</f>
        <v>45276</v>
      </c>
      <c r="B1008" s="3" t="str">
        <f>IFERROR(__xludf.DUMMYFUNCTION("""COMPUTED_VALUE"""),"Nick Chimonides")</f>
        <v>Nick Chimonides</v>
      </c>
      <c r="C1008" s="3">
        <f>IFERROR(__xludf.DUMMYFUNCTION("""COMPUTED_VALUE"""),1.0)</f>
        <v>1</v>
      </c>
      <c r="D1008" s="3">
        <f t="shared" si="1"/>
        <v>0</v>
      </c>
    </row>
    <row r="1009">
      <c r="A1009" s="10">
        <f>IFERROR(__xludf.DUMMYFUNCTION("""COMPUTED_VALUE"""),45276.0)</f>
        <v>45276</v>
      </c>
      <c r="B1009" s="3" t="str">
        <f>IFERROR(__xludf.DUMMYFUNCTION("""COMPUTED_VALUE"""),"Nima Naghdi")</f>
        <v>Nima Naghdi</v>
      </c>
      <c r="C1009" s="3">
        <f>IFERROR(__xludf.DUMMYFUNCTION("""COMPUTED_VALUE"""),4.0)</f>
        <v>4</v>
      </c>
      <c r="D1009" s="3">
        <f t="shared" si="1"/>
        <v>0</v>
      </c>
    </row>
    <row r="1010">
      <c r="A1010" s="10">
        <f>IFERROR(__xludf.DUMMYFUNCTION("""COMPUTED_VALUE"""),45276.0)</f>
        <v>45276</v>
      </c>
      <c r="B1010" s="3" t="str">
        <f>IFERROR(__xludf.DUMMYFUNCTION("""COMPUTED_VALUE"""),"Oli Barton")</f>
        <v>Oli Barton</v>
      </c>
      <c r="C1010" s="3">
        <f>IFERROR(__xludf.DUMMYFUNCTION("""COMPUTED_VALUE"""),2.0)</f>
        <v>2</v>
      </c>
      <c r="D1010" s="3">
        <f t="shared" si="1"/>
        <v>0</v>
      </c>
    </row>
    <row r="1011">
      <c r="A1011" s="10">
        <f>IFERROR(__xludf.DUMMYFUNCTION("""COMPUTED_VALUE"""),45276.0)</f>
        <v>45276</v>
      </c>
      <c r="B1011" s="3" t="str">
        <f>IFERROR(__xludf.DUMMYFUNCTION("""COMPUTED_VALUE"""),"Ollie Sewell")</f>
        <v>Ollie Sewell</v>
      </c>
      <c r="C1011" s="3">
        <f>IFERROR(__xludf.DUMMYFUNCTION("""COMPUTED_VALUE"""),8.0)</f>
        <v>8</v>
      </c>
      <c r="D1011" s="3">
        <f t="shared" si="1"/>
        <v>0</v>
      </c>
    </row>
    <row r="1012">
      <c r="A1012" s="10">
        <f>IFERROR(__xludf.DUMMYFUNCTION("""COMPUTED_VALUE"""),45276.0)</f>
        <v>45276</v>
      </c>
      <c r="B1012" s="3" t="str">
        <f>IFERROR(__xludf.DUMMYFUNCTION("""COMPUTED_VALUE"""),"Parimal Patel")</f>
        <v>Parimal Patel</v>
      </c>
      <c r="C1012" s="3">
        <f>IFERROR(__xludf.DUMMYFUNCTION("""COMPUTED_VALUE"""),5.0)</f>
        <v>5</v>
      </c>
      <c r="D1012" s="3">
        <f t="shared" si="1"/>
        <v>0</v>
      </c>
    </row>
    <row r="1013">
      <c r="A1013" s="10">
        <f>IFERROR(__xludf.DUMMYFUNCTION("""COMPUTED_VALUE"""),45276.0)</f>
        <v>45276</v>
      </c>
      <c r="B1013" s="3" t="str">
        <f>IFERROR(__xludf.DUMMYFUNCTION("""COMPUTED_VALUE"""),"Paul Ball")</f>
        <v>Paul Ball</v>
      </c>
      <c r="C1013" s="3">
        <f>IFERROR(__xludf.DUMMYFUNCTION("""COMPUTED_VALUE"""),2.0)</f>
        <v>2</v>
      </c>
      <c r="D1013" s="3">
        <f t="shared" si="1"/>
        <v>0</v>
      </c>
    </row>
    <row r="1014">
      <c r="A1014" s="10">
        <f>IFERROR(__xludf.DUMMYFUNCTION("""COMPUTED_VALUE"""),45276.0)</f>
        <v>45276</v>
      </c>
      <c r="B1014" s="3" t="str">
        <f>IFERROR(__xludf.DUMMYFUNCTION("""COMPUTED_VALUE"""),"Peter Green")</f>
        <v>Peter Green</v>
      </c>
      <c r="C1014" s="3">
        <f>IFERROR(__xludf.DUMMYFUNCTION("""COMPUTED_VALUE"""),1.0)</f>
        <v>1</v>
      </c>
      <c r="D1014" s="3">
        <f t="shared" si="1"/>
        <v>0</v>
      </c>
    </row>
    <row r="1015">
      <c r="A1015" s="10">
        <f>IFERROR(__xludf.DUMMYFUNCTION("""COMPUTED_VALUE"""),45276.0)</f>
        <v>45276</v>
      </c>
      <c r="B1015" s="3" t="str">
        <f>IFERROR(__xludf.DUMMYFUNCTION("""COMPUTED_VALUE"""),"Raj Ramful")</f>
        <v>Raj Ramful</v>
      </c>
      <c r="C1015" s="3">
        <f>IFERROR(__xludf.DUMMYFUNCTION("""COMPUTED_VALUE"""),1.0)</f>
        <v>1</v>
      </c>
      <c r="D1015" s="3">
        <f t="shared" si="1"/>
        <v>0</v>
      </c>
    </row>
    <row r="1016">
      <c r="A1016" s="10">
        <f>IFERROR(__xludf.DUMMYFUNCTION("""COMPUTED_VALUE"""),45276.0)</f>
        <v>45276</v>
      </c>
      <c r="B1016" s="3" t="str">
        <f>IFERROR(__xludf.DUMMYFUNCTION("""COMPUTED_VALUE"""),"Rich Lundie")</f>
        <v>Rich Lundie</v>
      </c>
      <c r="C1016" s="3">
        <f>IFERROR(__xludf.DUMMYFUNCTION("""COMPUTED_VALUE"""),2.0)</f>
        <v>2</v>
      </c>
      <c r="D1016" s="3">
        <f t="shared" si="1"/>
        <v>0</v>
      </c>
    </row>
    <row r="1017">
      <c r="A1017" s="10">
        <f>IFERROR(__xludf.DUMMYFUNCTION("""COMPUTED_VALUE"""),45276.0)</f>
        <v>45276</v>
      </c>
      <c r="B1017" s="3" t="str">
        <f>IFERROR(__xludf.DUMMYFUNCTION("""COMPUTED_VALUE"""),"Rob Edmonds")</f>
        <v>Rob Edmonds</v>
      </c>
      <c r="C1017" s="3">
        <f>IFERROR(__xludf.DUMMYFUNCTION("""COMPUTED_VALUE"""),9.0)</f>
        <v>9</v>
      </c>
      <c r="D1017" s="3">
        <f t="shared" si="1"/>
        <v>0</v>
      </c>
    </row>
    <row r="1018">
      <c r="A1018" s="10">
        <f>IFERROR(__xludf.DUMMYFUNCTION("""COMPUTED_VALUE"""),45276.0)</f>
        <v>45276</v>
      </c>
      <c r="B1018" s="3" t="str">
        <f>IFERROR(__xludf.DUMMYFUNCTION("""COMPUTED_VALUE"""),"Sam A'Court")</f>
        <v>Sam A'Court</v>
      </c>
      <c r="C1018" s="3">
        <f>IFERROR(__xludf.DUMMYFUNCTION("""COMPUTED_VALUE"""),4.0)</f>
        <v>4</v>
      </c>
      <c r="D1018" s="3">
        <f t="shared" si="1"/>
        <v>0</v>
      </c>
    </row>
    <row r="1019">
      <c r="A1019" s="10">
        <f>IFERROR(__xludf.DUMMYFUNCTION("""COMPUTED_VALUE"""),45276.0)</f>
        <v>45276</v>
      </c>
      <c r="B1019" s="3" t="str">
        <f>IFERROR(__xludf.DUMMYFUNCTION("""COMPUTED_VALUE"""),"Sean Rowlett")</f>
        <v>Sean Rowlett</v>
      </c>
      <c r="C1019" s="3">
        <f>IFERROR(__xludf.DUMMYFUNCTION("""COMPUTED_VALUE"""),2.0)</f>
        <v>2</v>
      </c>
      <c r="D1019" s="3">
        <f t="shared" si="1"/>
        <v>0</v>
      </c>
    </row>
    <row r="1020">
      <c r="A1020" s="10">
        <f>IFERROR(__xludf.DUMMYFUNCTION("""COMPUTED_VALUE"""),45276.0)</f>
        <v>45276</v>
      </c>
      <c r="B1020" s="3" t="str">
        <f>IFERROR(__xludf.DUMMYFUNCTION("""COMPUTED_VALUE"""),"Sid Nayaar")</f>
        <v>Sid Nayaar</v>
      </c>
      <c r="C1020" s="3">
        <f>IFERROR(__xludf.DUMMYFUNCTION("""COMPUTED_VALUE"""),2.0)</f>
        <v>2</v>
      </c>
      <c r="D1020" s="3">
        <f t="shared" si="1"/>
        <v>0</v>
      </c>
    </row>
    <row r="1021">
      <c r="A1021" s="10">
        <f>IFERROR(__xludf.DUMMYFUNCTION("""COMPUTED_VALUE"""),45276.0)</f>
        <v>45276</v>
      </c>
      <c r="B1021" s="3" t="str">
        <f>IFERROR(__xludf.DUMMYFUNCTION("""COMPUTED_VALUE"""),"Stanley Timms")</f>
        <v>Stanley Timms</v>
      </c>
      <c r="C1021" s="3">
        <f>IFERROR(__xludf.DUMMYFUNCTION("""COMPUTED_VALUE"""),8.0)</f>
        <v>8</v>
      </c>
      <c r="D1021" s="3">
        <f t="shared" si="1"/>
        <v>0</v>
      </c>
    </row>
    <row r="1022">
      <c r="A1022" s="10">
        <f>IFERROR(__xludf.DUMMYFUNCTION("""COMPUTED_VALUE"""),45276.0)</f>
        <v>45276</v>
      </c>
      <c r="B1022" s="3" t="str">
        <f>IFERROR(__xludf.DUMMYFUNCTION("""COMPUTED_VALUE"""),"Stu Jordan")</f>
        <v>Stu Jordan</v>
      </c>
      <c r="C1022" s="3">
        <f>IFERROR(__xludf.DUMMYFUNCTION("""COMPUTED_VALUE"""),8.0)</f>
        <v>8</v>
      </c>
      <c r="D1022" s="3">
        <f t="shared" si="1"/>
        <v>0</v>
      </c>
    </row>
    <row r="1023">
      <c r="A1023" s="10">
        <f>IFERROR(__xludf.DUMMYFUNCTION("""COMPUTED_VALUE"""),45276.0)</f>
        <v>45276</v>
      </c>
      <c r="B1023" s="3" t="str">
        <f>IFERROR(__xludf.DUMMYFUNCTION("""COMPUTED_VALUE"""),"Tam de Lacey")</f>
        <v>Tam de Lacey</v>
      </c>
      <c r="C1023" s="3">
        <f>IFERROR(__xludf.DUMMYFUNCTION("""COMPUTED_VALUE"""),2.0)</f>
        <v>2</v>
      </c>
      <c r="D1023" s="3">
        <f t="shared" si="1"/>
        <v>0</v>
      </c>
    </row>
    <row r="1024">
      <c r="A1024" s="10">
        <f>IFERROR(__xludf.DUMMYFUNCTION("""COMPUTED_VALUE"""),45276.0)</f>
        <v>45276</v>
      </c>
      <c r="B1024" s="3" t="str">
        <f>IFERROR(__xludf.DUMMYFUNCTION("""COMPUTED_VALUE"""),"Theo Horton")</f>
        <v>Theo Horton</v>
      </c>
      <c r="C1024" s="3">
        <f>IFERROR(__xludf.DUMMYFUNCTION("""COMPUTED_VALUE"""),1.0)</f>
        <v>1</v>
      </c>
      <c r="D1024" s="3">
        <f t="shared" si="1"/>
        <v>0</v>
      </c>
    </row>
    <row r="1025">
      <c r="A1025" s="10">
        <f>IFERROR(__xludf.DUMMYFUNCTION("""COMPUTED_VALUE"""),45276.0)</f>
        <v>45276</v>
      </c>
      <c r="B1025" s="3" t="str">
        <f>IFERROR(__xludf.DUMMYFUNCTION("""COMPUTED_VALUE"""),"Tom Love")</f>
        <v>Tom Love</v>
      </c>
      <c r="C1025" s="3">
        <f>IFERROR(__xludf.DUMMYFUNCTION("""COMPUTED_VALUE"""),7.0)</f>
        <v>7</v>
      </c>
      <c r="D1025" s="3">
        <f t="shared" si="1"/>
        <v>0</v>
      </c>
    </row>
    <row r="1026">
      <c r="A1026" s="10">
        <f>IFERROR(__xludf.DUMMYFUNCTION("""COMPUTED_VALUE"""),45276.0)</f>
        <v>45276</v>
      </c>
      <c r="B1026" s="3" t="str">
        <f>IFERROR(__xludf.DUMMYFUNCTION("""COMPUTED_VALUE"""),"Will French")</f>
        <v>Will French</v>
      </c>
      <c r="C1026" s="3">
        <f>IFERROR(__xludf.DUMMYFUNCTION("""COMPUTED_VALUE"""),2.0)</f>
        <v>2</v>
      </c>
      <c r="D1026" s="3">
        <f t="shared" si="1"/>
        <v>0</v>
      </c>
    </row>
    <row r="1027">
      <c r="A1027" s="10">
        <f>IFERROR(__xludf.DUMMYFUNCTION("""COMPUTED_VALUE"""),45276.0)</f>
        <v>45276</v>
      </c>
      <c r="B1027" s="3" t="str">
        <f>IFERROR(__xludf.DUMMYFUNCTION("""COMPUTED_VALUE"""),"Will Sollory")</f>
        <v>Will Sollory</v>
      </c>
      <c r="C1027" s="3">
        <f>IFERROR(__xludf.DUMMYFUNCTION("""COMPUTED_VALUE"""),5.0)</f>
        <v>5</v>
      </c>
      <c r="D1027" s="3">
        <f t="shared" si="1"/>
        <v>0</v>
      </c>
    </row>
    <row r="1028">
      <c r="A1028" s="10">
        <f>IFERROR(__xludf.DUMMYFUNCTION("""COMPUTED_VALUE"""),45297.0)</f>
        <v>45297</v>
      </c>
      <c r="B1028" s="3" t="str">
        <f>IFERROR(__xludf.DUMMYFUNCTION("""COMPUTED_VALUE"""),"Aaron Snelling")</f>
        <v>Aaron Snelling</v>
      </c>
      <c r="C1028" s="3">
        <f>IFERROR(__xludf.DUMMYFUNCTION("""COMPUTED_VALUE"""),8.0)</f>
        <v>8</v>
      </c>
      <c r="D1028" s="3">
        <f t="shared" si="1"/>
        <v>0</v>
      </c>
    </row>
    <row r="1029">
      <c r="A1029" s="10">
        <f>IFERROR(__xludf.DUMMYFUNCTION("""COMPUTED_VALUE"""),45297.0)</f>
        <v>45297</v>
      </c>
      <c r="B1029" s="3" t="str">
        <f>IFERROR(__xludf.DUMMYFUNCTION("""COMPUTED_VALUE"""),"Adam Platten")</f>
        <v>Adam Platten</v>
      </c>
      <c r="C1029" s="3">
        <f>IFERROR(__xludf.DUMMYFUNCTION("""COMPUTED_VALUE"""),5.0)</f>
        <v>5</v>
      </c>
      <c r="D1029" s="3">
        <f t="shared" si="1"/>
        <v>0</v>
      </c>
    </row>
    <row r="1030">
      <c r="A1030" s="10">
        <f>IFERROR(__xludf.DUMMYFUNCTION("""COMPUTED_VALUE"""),45297.0)</f>
        <v>45297</v>
      </c>
      <c r="B1030" s="3" t="str">
        <f>IFERROR(__xludf.DUMMYFUNCTION("""COMPUTED_VALUE"""),"Alex Clark")</f>
        <v>Alex Clark</v>
      </c>
      <c r="C1030" s="3">
        <f>IFERROR(__xludf.DUMMYFUNCTION("""COMPUTED_VALUE"""),2.0)</f>
        <v>2</v>
      </c>
      <c r="D1030" s="3">
        <f t="shared" si="1"/>
        <v>0</v>
      </c>
    </row>
    <row r="1031">
      <c r="A1031" s="10">
        <f>IFERROR(__xludf.DUMMYFUNCTION("""COMPUTED_VALUE"""),45297.0)</f>
        <v>45297</v>
      </c>
      <c r="B1031" s="3" t="str">
        <f>IFERROR(__xludf.DUMMYFUNCTION("""COMPUTED_VALUE"""),"Alex Mansfield")</f>
        <v>Alex Mansfield</v>
      </c>
      <c r="C1031" s="3">
        <f>IFERROR(__xludf.DUMMYFUNCTION("""COMPUTED_VALUE"""),6.0)</f>
        <v>6</v>
      </c>
      <c r="D1031" s="3">
        <f t="shared" si="1"/>
        <v>0</v>
      </c>
    </row>
    <row r="1032">
      <c r="A1032" s="10">
        <f>IFERROR(__xludf.DUMMYFUNCTION("""COMPUTED_VALUE"""),45297.0)</f>
        <v>45297</v>
      </c>
      <c r="B1032" s="3" t="str">
        <f>IFERROR(__xludf.DUMMYFUNCTION("""COMPUTED_VALUE"""),"Alex Stevens")</f>
        <v>Alex Stevens</v>
      </c>
      <c r="C1032" s="3">
        <f>IFERROR(__xludf.DUMMYFUNCTION("""COMPUTED_VALUE"""),5.0)</f>
        <v>5</v>
      </c>
      <c r="D1032" s="3">
        <f t="shared" si="1"/>
        <v>0</v>
      </c>
    </row>
    <row r="1033">
      <c r="A1033" s="10">
        <f>IFERROR(__xludf.DUMMYFUNCTION("""COMPUTED_VALUE"""),45297.0)</f>
        <v>45297</v>
      </c>
      <c r="B1033" s="3" t="str">
        <f>IFERROR(__xludf.DUMMYFUNCTION("""COMPUTED_VALUE"""),"Billy Mclean")</f>
        <v>Billy Mclean</v>
      </c>
      <c r="C1033" s="3">
        <f>IFERROR(__xludf.DUMMYFUNCTION("""COMPUTED_VALUE"""),4.0)</f>
        <v>4</v>
      </c>
      <c r="D1033" s="3">
        <f t="shared" si="1"/>
        <v>0</v>
      </c>
    </row>
    <row r="1034">
      <c r="A1034" s="10">
        <f>IFERROR(__xludf.DUMMYFUNCTION("""COMPUTED_VALUE"""),45297.0)</f>
        <v>45297</v>
      </c>
      <c r="B1034" s="3" t="str">
        <f>IFERROR(__xludf.DUMMYFUNCTION("""COMPUTED_VALUE"""),"Cameron Pashley")</f>
        <v>Cameron Pashley</v>
      </c>
      <c r="C1034" s="3">
        <f>IFERROR(__xludf.DUMMYFUNCTION("""COMPUTED_VALUE"""),2.0)</f>
        <v>2</v>
      </c>
      <c r="D1034" s="3">
        <f t="shared" si="1"/>
        <v>0</v>
      </c>
    </row>
    <row r="1035">
      <c r="A1035" s="10">
        <f>IFERROR(__xludf.DUMMYFUNCTION("""COMPUTED_VALUE"""),45297.0)</f>
        <v>45297</v>
      </c>
      <c r="B1035" s="3" t="str">
        <f>IFERROR(__xludf.DUMMYFUNCTION("""COMPUTED_VALUE"""),"Cameron Ward")</f>
        <v>Cameron Ward</v>
      </c>
      <c r="C1035" s="3">
        <f>IFERROR(__xludf.DUMMYFUNCTION("""COMPUTED_VALUE"""),4.0)</f>
        <v>4</v>
      </c>
      <c r="D1035" s="3">
        <f t="shared" si="1"/>
        <v>0</v>
      </c>
    </row>
    <row r="1036">
      <c r="A1036" s="10">
        <f>IFERROR(__xludf.DUMMYFUNCTION("""COMPUTED_VALUE"""),45297.0)</f>
        <v>45297</v>
      </c>
      <c r="B1036" s="3" t="str">
        <f>IFERROR(__xludf.DUMMYFUNCTION("""COMPUTED_VALUE"""),"Chris Douthwaite")</f>
        <v>Chris Douthwaite</v>
      </c>
      <c r="C1036" s="3">
        <f>IFERROR(__xludf.DUMMYFUNCTION("""COMPUTED_VALUE"""),1.0)</f>
        <v>1</v>
      </c>
      <c r="D1036" s="3">
        <f t="shared" si="1"/>
        <v>0</v>
      </c>
    </row>
    <row r="1037">
      <c r="A1037" s="10">
        <f>IFERROR(__xludf.DUMMYFUNCTION("""COMPUTED_VALUE"""),45297.0)</f>
        <v>45297</v>
      </c>
      <c r="B1037" s="3" t="str">
        <f>IFERROR(__xludf.DUMMYFUNCTION("""COMPUTED_VALUE"""),"Connor White")</f>
        <v>Connor White</v>
      </c>
      <c r="C1037" s="3">
        <f>IFERROR(__xludf.DUMMYFUNCTION("""COMPUTED_VALUE"""),4.0)</f>
        <v>4</v>
      </c>
      <c r="D1037" s="3">
        <f t="shared" si="1"/>
        <v>0</v>
      </c>
    </row>
    <row r="1038">
      <c r="A1038" s="10">
        <f>IFERROR(__xludf.DUMMYFUNCTION("""COMPUTED_VALUE"""),45297.0)</f>
        <v>45297</v>
      </c>
      <c r="B1038" s="3" t="str">
        <f>IFERROR(__xludf.DUMMYFUNCTION("""COMPUTED_VALUE"""),"Daniel Sheehan")</f>
        <v>Daniel Sheehan</v>
      </c>
      <c r="C1038" s="3">
        <f>IFERROR(__xludf.DUMMYFUNCTION("""COMPUTED_VALUE"""),5.0)</f>
        <v>5</v>
      </c>
      <c r="D1038" s="3">
        <f t="shared" si="1"/>
        <v>0</v>
      </c>
    </row>
    <row r="1039">
      <c r="A1039" s="10">
        <f>IFERROR(__xludf.DUMMYFUNCTION("""COMPUTED_VALUE"""),45297.0)</f>
        <v>45297</v>
      </c>
      <c r="B1039" s="3" t="str">
        <f>IFERROR(__xludf.DUMMYFUNCTION("""COMPUTED_VALUE"""),"Emi Muhadri")</f>
        <v>Emi Muhadri</v>
      </c>
      <c r="C1039" s="3">
        <f>IFERROR(__xludf.DUMMYFUNCTION("""COMPUTED_VALUE"""),7.0)</f>
        <v>7</v>
      </c>
      <c r="D1039" s="3">
        <f t="shared" si="1"/>
        <v>0</v>
      </c>
    </row>
    <row r="1040">
      <c r="A1040" s="10">
        <f>IFERROR(__xludf.DUMMYFUNCTION("""COMPUTED_VALUE"""),45297.0)</f>
        <v>45297</v>
      </c>
      <c r="B1040" s="3" t="str">
        <f>IFERROR(__xludf.DUMMYFUNCTION("""COMPUTED_VALUE"""),"Harold Kiyingi")</f>
        <v>Harold Kiyingi</v>
      </c>
      <c r="C1040" s="3">
        <f>IFERROR(__xludf.DUMMYFUNCTION("""COMPUTED_VALUE"""),2.0)</f>
        <v>2</v>
      </c>
      <c r="D1040" s="3">
        <f t="shared" si="1"/>
        <v>0</v>
      </c>
    </row>
    <row r="1041">
      <c r="A1041" s="10">
        <f>IFERROR(__xludf.DUMMYFUNCTION("""COMPUTED_VALUE"""),45297.0)</f>
        <v>45297</v>
      </c>
      <c r="B1041" s="3" t="str">
        <f>IFERROR(__xludf.DUMMYFUNCTION("""COMPUTED_VALUE"""),"Isaac Adepegba")</f>
        <v>Isaac Adepegba</v>
      </c>
      <c r="C1041" s="3">
        <f>IFERROR(__xludf.DUMMYFUNCTION("""COMPUTED_VALUE"""),6.0)</f>
        <v>6</v>
      </c>
      <c r="D1041" s="3">
        <f t="shared" si="1"/>
        <v>0</v>
      </c>
    </row>
    <row r="1042">
      <c r="A1042" s="10">
        <f>IFERROR(__xludf.DUMMYFUNCTION("""COMPUTED_VALUE"""),45297.0)</f>
        <v>45297</v>
      </c>
      <c r="B1042" s="3" t="str">
        <f>IFERROR(__xludf.DUMMYFUNCTION("""COMPUTED_VALUE"""),"James Timmins")</f>
        <v>James Timmins</v>
      </c>
      <c r="C1042" s="3">
        <f>IFERROR(__xludf.DUMMYFUNCTION("""COMPUTED_VALUE"""),1.0)</f>
        <v>1</v>
      </c>
      <c r="D1042" s="3">
        <f t="shared" si="1"/>
        <v>0</v>
      </c>
    </row>
    <row r="1043">
      <c r="A1043" s="10">
        <f>IFERROR(__xludf.DUMMYFUNCTION("""COMPUTED_VALUE"""),45297.0)</f>
        <v>45297</v>
      </c>
      <c r="B1043" s="3" t="str">
        <f>IFERROR(__xludf.DUMMYFUNCTION("""COMPUTED_VALUE"""),"Jamie Wood")</f>
        <v>Jamie Wood</v>
      </c>
      <c r="C1043" s="3">
        <f>IFERROR(__xludf.DUMMYFUNCTION("""COMPUTED_VALUE"""),8.0)</f>
        <v>8</v>
      </c>
      <c r="D1043" s="3">
        <f t="shared" si="1"/>
        <v>0</v>
      </c>
    </row>
    <row r="1044">
      <c r="A1044" s="10">
        <f>IFERROR(__xludf.DUMMYFUNCTION("""COMPUTED_VALUE"""),45297.0)</f>
        <v>45297</v>
      </c>
      <c r="B1044" s="3" t="str">
        <f>IFERROR(__xludf.DUMMYFUNCTION("""COMPUTED_VALUE"""),"Janam Satra")</f>
        <v>Janam Satra</v>
      </c>
      <c r="C1044" s="3">
        <f>IFERROR(__xludf.DUMMYFUNCTION("""COMPUTED_VALUE"""),2.0)</f>
        <v>2</v>
      </c>
      <c r="D1044" s="3">
        <f t="shared" si="1"/>
        <v>0</v>
      </c>
    </row>
    <row r="1045">
      <c r="A1045" s="10">
        <f>IFERROR(__xludf.DUMMYFUNCTION("""COMPUTED_VALUE"""),45297.0)</f>
        <v>45297</v>
      </c>
      <c r="B1045" s="3" t="str">
        <f>IFERROR(__xludf.DUMMYFUNCTION("""COMPUTED_VALUE"""),"Jarvis Cheek")</f>
        <v>Jarvis Cheek</v>
      </c>
      <c r="C1045" s="3">
        <f>IFERROR(__xludf.DUMMYFUNCTION("""COMPUTED_VALUE"""),6.0)</f>
        <v>6</v>
      </c>
      <c r="D1045" s="3">
        <f t="shared" si="1"/>
        <v>0</v>
      </c>
    </row>
    <row r="1046">
      <c r="A1046" s="10">
        <f>IFERROR(__xludf.DUMMYFUNCTION("""COMPUTED_VALUE"""),45297.0)</f>
        <v>45297</v>
      </c>
      <c r="B1046" s="3" t="str">
        <f>IFERROR(__xludf.DUMMYFUNCTION("""COMPUTED_VALUE"""),"Jason Heath")</f>
        <v>Jason Heath</v>
      </c>
      <c r="C1046" s="3">
        <f>IFERROR(__xludf.DUMMYFUNCTION("""COMPUTED_VALUE"""),6.0)</f>
        <v>6</v>
      </c>
      <c r="D1046" s="3">
        <f t="shared" si="1"/>
        <v>0</v>
      </c>
    </row>
    <row r="1047">
      <c r="A1047" s="10">
        <f>IFERROR(__xludf.DUMMYFUNCTION("""COMPUTED_VALUE"""),45297.0)</f>
        <v>45297</v>
      </c>
      <c r="B1047" s="3" t="str">
        <f>IFERROR(__xludf.DUMMYFUNCTION("""COMPUTED_VALUE"""),"Jerome Goncalves")</f>
        <v>Jerome Goncalves</v>
      </c>
      <c r="C1047" s="3">
        <f>IFERROR(__xludf.DUMMYFUNCTION("""COMPUTED_VALUE"""),7.0)</f>
        <v>7</v>
      </c>
      <c r="D1047" s="3">
        <f t="shared" si="1"/>
        <v>0</v>
      </c>
    </row>
    <row r="1048">
      <c r="A1048" s="10">
        <f>IFERROR(__xludf.DUMMYFUNCTION("""COMPUTED_VALUE"""),45297.0)</f>
        <v>45297</v>
      </c>
      <c r="B1048" s="3" t="str">
        <f>IFERROR(__xludf.DUMMYFUNCTION("""COMPUTED_VALUE"""),"Joe Vincent")</f>
        <v>Joe Vincent</v>
      </c>
      <c r="C1048" s="3">
        <f>IFERROR(__xludf.DUMMYFUNCTION("""COMPUTED_VALUE"""),1.0)</f>
        <v>1</v>
      </c>
      <c r="D1048" s="3">
        <f t="shared" si="1"/>
        <v>0</v>
      </c>
    </row>
    <row r="1049">
      <c r="A1049" s="10">
        <f>IFERROR(__xludf.DUMMYFUNCTION("""COMPUTED_VALUE"""),45297.0)</f>
        <v>45297</v>
      </c>
      <c r="B1049" s="3" t="str">
        <f>IFERROR(__xludf.DUMMYFUNCTION("""COMPUTED_VALUE"""),"Joel Wright")</f>
        <v>Joel Wright</v>
      </c>
      <c r="C1049" s="3">
        <f>IFERROR(__xludf.DUMMYFUNCTION("""COMPUTED_VALUE"""),2.0)</f>
        <v>2</v>
      </c>
      <c r="D1049" s="3">
        <f t="shared" si="1"/>
        <v>0</v>
      </c>
    </row>
    <row r="1050">
      <c r="A1050" s="10">
        <f>IFERROR(__xludf.DUMMYFUNCTION("""COMPUTED_VALUE"""),45297.0)</f>
        <v>45297</v>
      </c>
      <c r="B1050" s="3" t="str">
        <f>IFERROR(__xludf.DUMMYFUNCTION("""COMPUTED_VALUE"""),"John Harrison")</f>
        <v>John Harrison</v>
      </c>
      <c r="C1050" s="3">
        <f>IFERROR(__xludf.DUMMYFUNCTION("""COMPUTED_VALUE"""),8.0)</f>
        <v>8</v>
      </c>
      <c r="D1050" s="3">
        <f t="shared" si="1"/>
        <v>0</v>
      </c>
    </row>
    <row r="1051">
      <c r="A1051" s="10">
        <f>IFERROR(__xludf.DUMMYFUNCTION("""COMPUTED_VALUE"""),45297.0)</f>
        <v>45297</v>
      </c>
      <c r="B1051" s="3" t="str">
        <f>IFERROR(__xludf.DUMMYFUNCTION("""COMPUTED_VALUE"""),"Josh Sherriff-Jolly")</f>
        <v>Josh Sherriff-Jolly</v>
      </c>
      <c r="C1051" s="3">
        <f>IFERROR(__xludf.DUMMYFUNCTION("""COMPUTED_VALUE"""),4.0)</f>
        <v>4</v>
      </c>
      <c r="D1051" s="3">
        <f t="shared" si="1"/>
        <v>0</v>
      </c>
    </row>
    <row r="1052">
      <c r="A1052" s="10">
        <f>IFERROR(__xludf.DUMMYFUNCTION("""COMPUTED_VALUE"""),45297.0)</f>
        <v>45297</v>
      </c>
      <c r="B1052" s="3" t="str">
        <f>IFERROR(__xludf.DUMMYFUNCTION("""COMPUTED_VALUE"""),"Luke Dyges")</f>
        <v>Luke Dyges</v>
      </c>
      <c r="C1052" s="3">
        <f>IFERROR(__xludf.DUMMYFUNCTION("""COMPUTED_VALUE"""),2.0)</f>
        <v>2</v>
      </c>
      <c r="D1052" s="3">
        <f t="shared" si="1"/>
        <v>0</v>
      </c>
    </row>
    <row r="1053">
      <c r="A1053" s="10">
        <f>IFERROR(__xludf.DUMMYFUNCTION("""COMPUTED_VALUE"""),45297.0)</f>
        <v>45297</v>
      </c>
      <c r="B1053" s="3" t="str">
        <f>IFERROR(__xludf.DUMMYFUNCTION("""COMPUTED_VALUE"""),"Mark Roberts")</f>
        <v>Mark Roberts</v>
      </c>
      <c r="C1053" s="3">
        <f>IFERROR(__xludf.DUMMYFUNCTION("""COMPUTED_VALUE"""),1.0)</f>
        <v>1</v>
      </c>
      <c r="D1053" s="3">
        <f t="shared" si="1"/>
        <v>0</v>
      </c>
    </row>
    <row r="1054">
      <c r="A1054" s="10">
        <f>IFERROR(__xludf.DUMMYFUNCTION("""COMPUTED_VALUE"""),45297.0)</f>
        <v>45297</v>
      </c>
      <c r="B1054" s="3" t="str">
        <f>IFERROR(__xludf.DUMMYFUNCTION("""COMPUTED_VALUE"""),"Martin Goodson")</f>
        <v>Martin Goodson</v>
      </c>
      <c r="C1054" s="3">
        <f>IFERROR(__xludf.DUMMYFUNCTION("""COMPUTED_VALUE"""),1.0)</f>
        <v>1</v>
      </c>
      <c r="D1054" s="3">
        <f t="shared" si="1"/>
        <v>0</v>
      </c>
    </row>
    <row r="1055">
      <c r="A1055" s="10">
        <f>IFERROR(__xludf.DUMMYFUNCTION("""COMPUTED_VALUE"""),45297.0)</f>
        <v>45297</v>
      </c>
      <c r="B1055" s="3" t="str">
        <f>IFERROR(__xludf.DUMMYFUNCTION("""COMPUTED_VALUE"""),"Matt Crowe")</f>
        <v>Matt Crowe</v>
      </c>
      <c r="C1055" s="3">
        <f>IFERROR(__xludf.DUMMYFUNCTION("""COMPUTED_VALUE"""),13.0)</f>
        <v>13</v>
      </c>
      <c r="D1055" s="3">
        <f t="shared" si="1"/>
        <v>0</v>
      </c>
    </row>
    <row r="1056">
      <c r="A1056" s="10">
        <f>IFERROR(__xludf.DUMMYFUNCTION("""COMPUTED_VALUE"""),45297.0)</f>
        <v>45297</v>
      </c>
      <c r="B1056" s="3" t="str">
        <f>IFERROR(__xludf.DUMMYFUNCTION("""COMPUTED_VALUE"""),"Matt Hope")</f>
        <v>Matt Hope</v>
      </c>
      <c r="C1056" s="3">
        <f>IFERROR(__xludf.DUMMYFUNCTION("""COMPUTED_VALUE"""),2.0)</f>
        <v>2</v>
      </c>
      <c r="D1056" s="3">
        <f t="shared" si="1"/>
        <v>0</v>
      </c>
    </row>
    <row r="1057">
      <c r="A1057" s="10">
        <f>IFERROR(__xludf.DUMMYFUNCTION("""COMPUTED_VALUE"""),45297.0)</f>
        <v>45297</v>
      </c>
      <c r="B1057" s="3" t="str">
        <f>IFERROR(__xludf.DUMMYFUNCTION("""COMPUTED_VALUE"""),"Matthew Thomas")</f>
        <v>Matthew Thomas</v>
      </c>
      <c r="C1057" s="3">
        <f>IFERROR(__xludf.DUMMYFUNCTION("""COMPUTED_VALUE"""),4.0)</f>
        <v>4</v>
      </c>
      <c r="D1057" s="3">
        <f t="shared" si="1"/>
        <v>0</v>
      </c>
    </row>
    <row r="1058">
      <c r="A1058" s="10">
        <f>IFERROR(__xludf.DUMMYFUNCTION("""COMPUTED_VALUE"""),45297.0)</f>
        <v>45297</v>
      </c>
      <c r="B1058" s="3" t="str">
        <f>IFERROR(__xludf.DUMMYFUNCTION("""COMPUTED_VALUE"""),"Max Miles")</f>
        <v>Max Miles</v>
      </c>
      <c r="C1058" s="3">
        <f>IFERROR(__xludf.DUMMYFUNCTION("""COMPUTED_VALUE"""),1.0)</f>
        <v>1</v>
      </c>
      <c r="D1058" s="3">
        <f t="shared" si="1"/>
        <v>0</v>
      </c>
    </row>
    <row r="1059">
      <c r="A1059" s="10">
        <f>IFERROR(__xludf.DUMMYFUNCTION("""COMPUTED_VALUE"""),45297.0)</f>
        <v>45297</v>
      </c>
      <c r="B1059" s="3" t="str">
        <f>IFERROR(__xludf.DUMMYFUNCTION("""COMPUTED_VALUE"""),"Nathan Baverstock")</f>
        <v>Nathan Baverstock</v>
      </c>
      <c r="C1059" s="3">
        <f>IFERROR(__xludf.DUMMYFUNCTION("""COMPUTED_VALUE"""),17.0)</f>
        <v>17</v>
      </c>
      <c r="D1059" s="3">
        <f t="shared" si="1"/>
        <v>1</v>
      </c>
    </row>
    <row r="1060">
      <c r="A1060" s="10">
        <f>IFERROR(__xludf.DUMMYFUNCTION("""COMPUTED_VALUE"""),45297.0)</f>
        <v>45297</v>
      </c>
      <c r="B1060" s="3" t="str">
        <f>IFERROR(__xludf.DUMMYFUNCTION("""COMPUTED_VALUE"""),"Parimal Patel")</f>
        <v>Parimal Patel</v>
      </c>
      <c r="C1060" s="3">
        <f>IFERROR(__xludf.DUMMYFUNCTION("""COMPUTED_VALUE"""),8.0)</f>
        <v>8</v>
      </c>
      <c r="D1060" s="3">
        <f t="shared" si="1"/>
        <v>0</v>
      </c>
    </row>
    <row r="1061">
      <c r="A1061" s="10">
        <f>IFERROR(__xludf.DUMMYFUNCTION("""COMPUTED_VALUE"""),45297.0)</f>
        <v>45297</v>
      </c>
      <c r="B1061" s="3" t="str">
        <f>IFERROR(__xludf.DUMMYFUNCTION("""COMPUTED_VALUE"""),"Peter Green")</f>
        <v>Peter Green</v>
      </c>
      <c r="C1061" s="3">
        <f>IFERROR(__xludf.DUMMYFUNCTION("""COMPUTED_VALUE"""),1.0)</f>
        <v>1</v>
      </c>
      <c r="D1061" s="3">
        <f t="shared" si="1"/>
        <v>0</v>
      </c>
    </row>
    <row r="1062">
      <c r="A1062" s="10">
        <f>IFERROR(__xludf.DUMMYFUNCTION("""COMPUTED_VALUE"""),45297.0)</f>
        <v>45297</v>
      </c>
      <c r="B1062" s="3" t="str">
        <f>IFERROR(__xludf.DUMMYFUNCTION("""COMPUTED_VALUE"""),"Raj Ramful")</f>
        <v>Raj Ramful</v>
      </c>
      <c r="C1062" s="3">
        <f>IFERROR(__xludf.DUMMYFUNCTION("""COMPUTED_VALUE"""),1.0)</f>
        <v>1</v>
      </c>
      <c r="D1062" s="3">
        <f t="shared" si="1"/>
        <v>0</v>
      </c>
    </row>
    <row r="1063">
      <c r="A1063" s="10">
        <f>IFERROR(__xludf.DUMMYFUNCTION("""COMPUTED_VALUE"""),45297.0)</f>
        <v>45297</v>
      </c>
      <c r="B1063" s="3" t="str">
        <f>IFERROR(__xludf.DUMMYFUNCTION("""COMPUTED_VALUE"""),"Rich Lundie")</f>
        <v>Rich Lundie</v>
      </c>
      <c r="C1063" s="3">
        <f>IFERROR(__xludf.DUMMYFUNCTION("""COMPUTED_VALUE"""),1.0)</f>
        <v>1</v>
      </c>
      <c r="D1063" s="3">
        <f t="shared" si="1"/>
        <v>0</v>
      </c>
    </row>
    <row r="1064">
      <c r="A1064" s="10">
        <f>IFERROR(__xludf.DUMMYFUNCTION("""COMPUTED_VALUE"""),45297.0)</f>
        <v>45297</v>
      </c>
      <c r="B1064" s="3" t="str">
        <f>IFERROR(__xludf.DUMMYFUNCTION("""COMPUTED_VALUE"""),"Richard Jones")</f>
        <v>Richard Jones</v>
      </c>
      <c r="C1064" s="3">
        <f>IFERROR(__xludf.DUMMYFUNCTION("""COMPUTED_VALUE"""),6.0)</f>
        <v>6</v>
      </c>
      <c r="D1064" s="3">
        <f t="shared" si="1"/>
        <v>0</v>
      </c>
    </row>
    <row r="1065">
      <c r="A1065" s="10">
        <f>IFERROR(__xludf.DUMMYFUNCTION("""COMPUTED_VALUE"""),45297.0)</f>
        <v>45297</v>
      </c>
      <c r="B1065" s="3" t="str">
        <f>IFERROR(__xludf.DUMMYFUNCTION("""COMPUTED_VALUE"""),"Stanley Timms")</f>
        <v>Stanley Timms</v>
      </c>
      <c r="C1065" s="3">
        <f>IFERROR(__xludf.DUMMYFUNCTION("""COMPUTED_VALUE"""),8.0)</f>
        <v>8</v>
      </c>
      <c r="D1065" s="3">
        <f t="shared" si="1"/>
        <v>0</v>
      </c>
    </row>
    <row r="1066">
      <c r="A1066" s="10">
        <f>IFERROR(__xludf.DUMMYFUNCTION("""COMPUTED_VALUE"""),45297.0)</f>
        <v>45297</v>
      </c>
      <c r="B1066" s="3" t="str">
        <f>IFERROR(__xludf.DUMMYFUNCTION("""COMPUTED_VALUE"""),"Theo Horton")</f>
        <v>Theo Horton</v>
      </c>
      <c r="C1066" s="3">
        <f>IFERROR(__xludf.DUMMYFUNCTION("""COMPUTED_VALUE"""),7.0)</f>
        <v>7</v>
      </c>
      <c r="D1066" s="3">
        <f t="shared" si="1"/>
        <v>0</v>
      </c>
    </row>
    <row r="1067">
      <c r="A1067" s="10">
        <f>IFERROR(__xludf.DUMMYFUNCTION("""COMPUTED_VALUE"""),45297.0)</f>
        <v>45297</v>
      </c>
      <c r="B1067" s="3" t="str">
        <f>IFERROR(__xludf.DUMMYFUNCTION("""COMPUTED_VALUE"""),"Will French")</f>
        <v>Will French</v>
      </c>
      <c r="C1067" s="3">
        <f>IFERROR(__xludf.DUMMYFUNCTION("""COMPUTED_VALUE"""),5.0)</f>
        <v>5</v>
      </c>
      <c r="D1067" s="3">
        <f t="shared" si="1"/>
        <v>0</v>
      </c>
    </row>
    <row r="1068">
      <c r="A1068" s="10">
        <f>IFERROR(__xludf.DUMMYFUNCTION("""COMPUTED_VALUE"""),45297.0)</f>
        <v>45297</v>
      </c>
      <c r="B1068" s="3" t="str">
        <f>IFERROR(__xludf.DUMMYFUNCTION("""COMPUTED_VALUE"""),"Will Sollory")</f>
        <v>Will Sollory</v>
      </c>
      <c r="C1068" s="3">
        <f>IFERROR(__xludf.DUMMYFUNCTION("""COMPUTED_VALUE"""),1.0)</f>
        <v>1</v>
      </c>
      <c r="D1068" s="3">
        <f t="shared" si="1"/>
        <v>0</v>
      </c>
    </row>
    <row r="1069">
      <c r="A1069" s="10">
        <f>IFERROR(__xludf.DUMMYFUNCTION("""COMPUTED_VALUE"""),45297.0)</f>
        <v>45297</v>
      </c>
      <c r="B1069" s="3" t="str">
        <f>IFERROR(__xludf.DUMMYFUNCTION("""COMPUTED_VALUE"""),"Yemi Oviosu")</f>
        <v>Yemi Oviosu</v>
      </c>
      <c r="C1069" s="3">
        <f>IFERROR(__xludf.DUMMYFUNCTION("""COMPUTED_VALUE"""),4.0)</f>
        <v>4</v>
      </c>
      <c r="D1069" s="3">
        <f t="shared" si="1"/>
        <v>0</v>
      </c>
    </row>
    <row r="1070">
      <c r="A1070" s="10">
        <f>IFERROR(__xludf.DUMMYFUNCTION("""COMPUTED_VALUE"""),45304.0)</f>
        <v>45304</v>
      </c>
      <c r="B1070" s="3" t="str">
        <f>IFERROR(__xludf.DUMMYFUNCTION("""COMPUTED_VALUE"""),"Abz Marfa")</f>
        <v>Abz Marfa</v>
      </c>
      <c r="C1070" s="3">
        <f>IFERROR(__xludf.DUMMYFUNCTION("""COMPUTED_VALUE"""),2.0)</f>
        <v>2</v>
      </c>
      <c r="D1070" s="3">
        <f t="shared" si="1"/>
        <v>0</v>
      </c>
    </row>
    <row r="1071">
      <c r="A1071" s="10">
        <f>IFERROR(__xludf.DUMMYFUNCTION("""COMPUTED_VALUE"""),45304.0)</f>
        <v>45304</v>
      </c>
      <c r="B1071" s="3" t="str">
        <f>IFERROR(__xludf.DUMMYFUNCTION("""COMPUTED_VALUE"""),"Ade Lawal")</f>
        <v>Ade Lawal</v>
      </c>
      <c r="C1071" s="3">
        <f>IFERROR(__xludf.DUMMYFUNCTION("""COMPUTED_VALUE"""),1.0)</f>
        <v>1</v>
      </c>
      <c r="D1071" s="3">
        <f t="shared" si="1"/>
        <v>0</v>
      </c>
    </row>
    <row r="1072">
      <c r="A1072" s="10">
        <f>IFERROR(__xludf.DUMMYFUNCTION("""COMPUTED_VALUE"""),45304.0)</f>
        <v>45304</v>
      </c>
      <c r="B1072" s="3" t="str">
        <f>IFERROR(__xludf.DUMMYFUNCTION("""COMPUTED_VALUE"""),"Aidan Byrne")</f>
        <v>Aidan Byrne</v>
      </c>
      <c r="C1072" s="3">
        <f>IFERROR(__xludf.DUMMYFUNCTION("""COMPUTED_VALUE"""),1.0)</f>
        <v>1</v>
      </c>
      <c r="D1072" s="3">
        <f t="shared" si="1"/>
        <v>0</v>
      </c>
    </row>
    <row r="1073">
      <c r="A1073" s="10">
        <f>IFERROR(__xludf.DUMMYFUNCTION("""COMPUTED_VALUE"""),45304.0)</f>
        <v>45304</v>
      </c>
      <c r="B1073" s="3" t="str">
        <f>IFERROR(__xludf.DUMMYFUNCTION("""COMPUTED_VALUE"""),"Alex Dockerill")</f>
        <v>Alex Dockerill</v>
      </c>
      <c r="C1073" s="3">
        <f>IFERROR(__xludf.DUMMYFUNCTION("""COMPUTED_VALUE"""),5.0)</f>
        <v>5</v>
      </c>
      <c r="D1073" s="3">
        <f t="shared" si="1"/>
        <v>0</v>
      </c>
    </row>
    <row r="1074">
      <c r="A1074" s="10">
        <f>IFERROR(__xludf.DUMMYFUNCTION("""COMPUTED_VALUE"""),45304.0)</f>
        <v>45304</v>
      </c>
      <c r="B1074" s="3" t="str">
        <f>IFERROR(__xludf.DUMMYFUNCTION("""COMPUTED_VALUE"""),"Alex Stevens")</f>
        <v>Alex Stevens</v>
      </c>
      <c r="C1074" s="3">
        <f>IFERROR(__xludf.DUMMYFUNCTION("""COMPUTED_VALUE"""),6.0)</f>
        <v>6</v>
      </c>
      <c r="D1074" s="3">
        <f t="shared" si="1"/>
        <v>0</v>
      </c>
    </row>
    <row r="1075">
      <c r="A1075" s="10">
        <f>IFERROR(__xludf.DUMMYFUNCTION("""COMPUTED_VALUE"""),45304.0)</f>
        <v>45304</v>
      </c>
      <c r="B1075" s="3" t="str">
        <f>IFERROR(__xludf.DUMMYFUNCTION("""COMPUTED_VALUE"""),"Anish Philips")</f>
        <v>Anish Philips</v>
      </c>
      <c r="C1075" s="3">
        <f>IFERROR(__xludf.DUMMYFUNCTION("""COMPUTED_VALUE"""),2.0)</f>
        <v>2</v>
      </c>
      <c r="D1075" s="3">
        <f t="shared" si="1"/>
        <v>0</v>
      </c>
    </row>
    <row r="1076">
      <c r="A1076" s="10">
        <f>IFERROR(__xludf.DUMMYFUNCTION("""COMPUTED_VALUE"""),45304.0)</f>
        <v>45304</v>
      </c>
      <c r="B1076" s="3" t="str">
        <f>IFERROR(__xludf.DUMMYFUNCTION("""COMPUTED_VALUE"""),"Anthony Ball")</f>
        <v>Anthony Ball</v>
      </c>
      <c r="C1076" s="3">
        <f>IFERROR(__xludf.DUMMYFUNCTION("""COMPUTED_VALUE"""),1.0)</f>
        <v>1</v>
      </c>
      <c r="D1076" s="3">
        <f t="shared" si="1"/>
        <v>0</v>
      </c>
    </row>
    <row r="1077">
      <c r="A1077" s="10">
        <f>IFERROR(__xludf.DUMMYFUNCTION("""COMPUTED_VALUE"""),45304.0)</f>
        <v>45304</v>
      </c>
      <c r="B1077" s="3" t="str">
        <f>IFERROR(__xludf.DUMMYFUNCTION("""COMPUTED_VALUE"""),"Billy King")</f>
        <v>Billy King</v>
      </c>
      <c r="C1077" s="3">
        <f>IFERROR(__xludf.DUMMYFUNCTION("""COMPUTED_VALUE"""),2.0)</f>
        <v>2</v>
      </c>
      <c r="D1077" s="3">
        <f t="shared" si="1"/>
        <v>0</v>
      </c>
    </row>
    <row r="1078">
      <c r="A1078" s="10">
        <f>IFERROR(__xludf.DUMMYFUNCTION("""COMPUTED_VALUE"""),45304.0)</f>
        <v>45304</v>
      </c>
      <c r="B1078" s="3" t="str">
        <f>IFERROR(__xludf.DUMMYFUNCTION("""COMPUTED_VALUE"""),"Billy Mclean")</f>
        <v>Billy Mclean</v>
      </c>
      <c r="C1078" s="3">
        <f>IFERROR(__xludf.DUMMYFUNCTION("""COMPUTED_VALUE"""),7.0)</f>
        <v>7</v>
      </c>
      <c r="D1078" s="3">
        <f t="shared" si="1"/>
        <v>0</v>
      </c>
    </row>
    <row r="1079">
      <c r="A1079" s="10">
        <f>IFERROR(__xludf.DUMMYFUNCTION("""COMPUTED_VALUE"""),45304.0)</f>
        <v>45304</v>
      </c>
      <c r="B1079" s="3" t="str">
        <f>IFERROR(__xludf.DUMMYFUNCTION("""COMPUTED_VALUE"""),"Calum Bennett")</f>
        <v>Calum Bennett</v>
      </c>
      <c r="C1079" s="3">
        <f>IFERROR(__xludf.DUMMYFUNCTION("""COMPUTED_VALUE"""),2.0)</f>
        <v>2</v>
      </c>
      <c r="D1079" s="3">
        <f t="shared" si="1"/>
        <v>0</v>
      </c>
    </row>
    <row r="1080">
      <c r="A1080" s="10">
        <f>IFERROR(__xludf.DUMMYFUNCTION("""COMPUTED_VALUE"""),45304.0)</f>
        <v>45304</v>
      </c>
      <c r="B1080" s="3" t="str">
        <f>IFERROR(__xludf.DUMMYFUNCTION("""COMPUTED_VALUE"""),"Calum Edwards")</f>
        <v>Calum Edwards</v>
      </c>
      <c r="C1080" s="3">
        <f>IFERROR(__xludf.DUMMYFUNCTION("""COMPUTED_VALUE"""),13.0)</f>
        <v>13</v>
      </c>
      <c r="D1080" s="3">
        <f t="shared" si="1"/>
        <v>0</v>
      </c>
    </row>
    <row r="1081">
      <c r="A1081" s="10">
        <f>IFERROR(__xludf.DUMMYFUNCTION("""COMPUTED_VALUE"""),45304.0)</f>
        <v>45304</v>
      </c>
      <c r="B1081" s="3" t="str">
        <f>IFERROR(__xludf.DUMMYFUNCTION("""COMPUTED_VALUE"""),"Chris Claeys")</f>
        <v>Chris Claeys</v>
      </c>
      <c r="C1081" s="3">
        <f>IFERROR(__xludf.DUMMYFUNCTION("""COMPUTED_VALUE"""),15.0)</f>
        <v>15</v>
      </c>
      <c r="D1081" s="3">
        <f t="shared" si="1"/>
        <v>0</v>
      </c>
    </row>
    <row r="1082">
      <c r="A1082" s="10">
        <f>IFERROR(__xludf.DUMMYFUNCTION("""COMPUTED_VALUE"""),45304.0)</f>
        <v>45304</v>
      </c>
      <c r="B1082" s="3" t="str">
        <f>IFERROR(__xludf.DUMMYFUNCTION("""COMPUTED_VALUE"""),"Christian King")</f>
        <v>Christian King</v>
      </c>
      <c r="C1082" s="3">
        <f>IFERROR(__xludf.DUMMYFUNCTION("""COMPUTED_VALUE"""),2.0)</f>
        <v>2</v>
      </c>
      <c r="D1082" s="3">
        <f t="shared" si="1"/>
        <v>0</v>
      </c>
    </row>
    <row r="1083">
      <c r="A1083" s="10">
        <f>IFERROR(__xludf.DUMMYFUNCTION("""COMPUTED_VALUE"""),45304.0)</f>
        <v>45304</v>
      </c>
      <c r="B1083" s="3" t="str">
        <f>IFERROR(__xludf.DUMMYFUNCTION("""COMPUTED_VALUE"""),"Ciaran Curran")</f>
        <v>Ciaran Curran</v>
      </c>
      <c r="C1083" s="3">
        <f>IFERROR(__xludf.DUMMYFUNCTION("""COMPUTED_VALUE"""),2.0)</f>
        <v>2</v>
      </c>
      <c r="D1083" s="3">
        <f t="shared" si="1"/>
        <v>0</v>
      </c>
    </row>
    <row r="1084">
      <c r="A1084" s="10">
        <f>IFERROR(__xludf.DUMMYFUNCTION("""COMPUTED_VALUE"""),45304.0)</f>
        <v>45304</v>
      </c>
      <c r="B1084" s="3" t="str">
        <f>IFERROR(__xludf.DUMMYFUNCTION("""COMPUTED_VALUE"""),"Claudien Mwalimu")</f>
        <v>Claudien Mwalimu</v>
      </c>
      <c r="C1084" s="3">
        <f>IFERROR(__xludf.DUMMYFUNCTION("""COMPUTED_VALUE"""),2.0)</f>
        <v>2</v>
      </c>
      <c r="D1084" s="3">
        <f t="shared" si="1"/>
        <v>0</v>
      </c>
    </row>
    <row r="1085">
      <c r="A1085" s="10">
        <f>IFERROR(__xludf.DUMMYFUNCTION("""COMPUTED_VALUE"""),45304.0)</f>
        <v>45304</v>
      </c>
      <c r="B1085" s="3" t="str">
        <f>IFERROR(__xludf.DUMMYFUNCTION("""COMPUTED_VALUE"""),"Connor White")</f>
        <v>Connor White</v>
      </c>
      <c r="C1085" s="3">
        <f>IFERROR(__xludf.DUMMYFUNCTION("""COMPUTED_VALUE"""),8.0)</f>
        <v>8</v>
      </c>
      <c r="D1085" s="3">
        <f t="shared" si="1"/>
        <v>0</v>
      </c>
    </row>
    <row r="1086">
      <c r="A1086" s="10">
        <f>IFERROR(__xludf.DUMMYFUNCTION("""COMPUTED_VALUE"""),45304.0)</f>
        <v>45304</v>
      </c>
      <c r="B1086" s="3" t="str">
        <f>IFERROR(__xludf.DUMMYFUNCTION("""COMPUTED_VALUE"""),"Dan Klin")</f>
        <v>Dan Klin</v>
      </c>
      <c r="C1086" s="3">
        <f>IFERROR(__xludf.DUMMYFUNCTION("""COMPUTED_VALUE"""),2.0)</f>
        <v>2</v>
      </c>
      <c r="D1086" s="3">
        <f t="shared" si="1"/>
        <v>0</v>
      </c>
    </row>
    <row r="1087">
      <c r="A1087" s="10">
        <f>IFERROR(__xludf.DUMMYFUNCTION("""COMPUTED_VALUE"""),45304.0)</f>
        <v>45304</v>
      </c>
      <c r="B1087" s="3" t="str">
        <f>IFERROR(__xludf.DUMMYFUNCTION("""COMPUTED_VALUE"""),"Daniel Sheehan")</f>
        <v>Daniel Sheehan</v>
      </c>
      <c r="C1087" s="3">
        <f>IFERROR(__xludf.DUMMYFUNCTION("""COMPUTED_VALUE"""),5.0)</f>
        <v>5</v>
      </c>
      <c r="D1087" s="3">
        <f t="shared" si="1"/>
        <v>0</v>
      </c>
    </row>
    <row r="1088">
      <c r="A1088" s="10">
        <f>IFERROR(__xludf.DUMMYFUNCTION("""COMPUTED_VALUE"""),45304.0)</f>
        <v>45304</v>
      </c>
      <c r="B1088" s="3" t="str">
        <f>IFERROR(__xludf.DUMMYFUNCTION("""COMPUTED_VALUE"""),"Ellis Forrester")</f>
        <v>Ellis Forrester</v>
      </c>
      <c r="C1088" s="3">
        <f>IFERROR(__xludf.DUMMYFUNCTION("""COMPUTED_VALUE"""),8.0)</f>
        <v>8</v>
      </c>
      <c r="D1088" s="3">
        <f t="shared" si="1"/>
        <v>0</v>
      </c>
    </row>
    <row r="1089">
      <c r="A1089" s="10">
        <f>IFERROR(__xludf.DUMMYFUNCTION("""COMPUTED_VALUE"""),45304.0)</f>
        <v>45304</v>
      </c>
      <c r="B1089" s="3" t="str">
        <f>IFERROR(__xludf.DUMMYFUNCTION("""COMPUTED_VALUE"""),"Emi Muhadri")</f>
        <v>Emi Muhadri</v>
      </c>
      <c r="C1089" s="3">
        <f>IFERROR(__xludf.DUMMYFUNCTION("""COMPUTED_VALUE"""),7.0)</f>
        <v>7</v>
      </c>
      <c r="D1089" s="3">
        <f t="shared" si="1"/>
        <v>0</v>
      </c>
    </row>
    <row r="1090">
      <c r="A1090" s="10">
        <f>IFERROR(__xludf.DUMMYFUNCTION("""COMPUTED_VALUE"""),45304.0)</f>
        <v>45304</v>
      </c>
      <c r="B1090" s="3" t="str">
        <f>IFERROR(__xludf.DUMMYFUNCTION("""COMPUTED_VALUE"""),"Finn Coolen")</f>
        <v>Finn Coolen</v>
      </c>
      <c r="C1090" s="3">
        <f>IFERROR(__xludf.DUMMYFUNCTION("""COMPUTED_VALUE"""),4.0)</f>
        <v>4</v>
      </c>
      <c r="D1090" s="3">
        <f t="shared" si="1"/>
        <v>0</v>
      </c>
    </row>
    <row r="1091">
      <c r="A1091" s="10">
        <f>IFERROR(__xludf.DUMMYFUNCTION("""COMPUTED_VALUE"""),45304.0)</f>
        <v>45304</v>
      </c>
      <c r="B1091" s="3" t="str">
        <f>IFERROR(__xludf.DUMMYFUNCTION("""COMPUTED_VALUE"""),"Gaz Wheldale")</f>
        <v>Gaz Wheldale</v>
      </c>
      <c r="C1091" s="3">
        <f>IFERROR(__xludf.DUMMYFUNCTION("""COMPUTED_VALUE"""),2.0)</f>
        <v>2</v>
      </c>
      <c r="D1091" s="3">
        <f t="shared" si="1"/>
        <v>0</v>
      </c>
    </row>
    <row r="1092">
      <c r="A1092" s="10">
        <f>IFERROR(__xludf.DUMMYFUNCTION("""COMPUTED_VALUE"""),45304.0)</f>
        <v>45304</v>
      </c>
      <c r="B1092" s="3" t="str">
        <f>IFERROR(__xludf.DUMMYFUNCTION("""COMPUTED_VALUE"""),"George Connolly")</f>
        <v>George Connolly</v>
      </c>
      <c r="C1092" s="3">
        <f>IFERROR(__xludf.DUMMYFUNCTION("""COMPUTED_VALUE"""),9.0)</f>
        <v>9</v>
      </c>
      <c r="D1092" s="3">
        <f t="shared" si="1"/>
        <v>0</v>
      </c>
    </row>
    <row r="1093">
      <c r="A1093" s="10">
        <f>IFERROR(__xludf.DUMMYFUNCTION("""COMPUTED_VALUE"""),45304.0)</f>
        <v>45304</v>
      </c>
      <c r="B1093" s="3" t="str">
        <f>IFERROR(__xludf.DUMMYFUNCTION("""COMPUTED_VALUE"""),"Hallam Wye")</f>
        <v>Hallam Wye</v>
      </c>
      <c r="C1093" s="3">
        <f>IFERROR(__xludf.DUMMYFUNCTION("""COMPUTED_VALUE"""),2.0)</f>
        <v>2</v>
      </c>
      <c r="D1093" s="3">
        <f t="shared" si="1"/>
        <v>0</v>
      </c>
    </row>
    <row r="1094">
      <c r="A1094" s="10">
        <f>IFERROR(__xludf.DUMMYFUNCTION("""COMPUTED_VALUE"""),45304.0)</f>
        <v>45304</v>
      </c>
      <c r="B1094" s="3" t="str">
        <f>IFERROR(__xludf.DUMMYFUNCTION("""COMPUTED_VALUE"""),"Harry Fripp")</f>
        <v>Harry Fripp</v>
      </c>
      <c r="C1094" s="3">
        <f>IFERROR(__xludf.DUMMYFUNCTION("""COMPUTED_VALUE"""),2.0)</f>
        <v>2</v>
      </c>
      <c r="D1094" s="3">
        <f t="shared" si="1"/>
        <v>0</v>
      </c>
    </row>
    <row r="1095">
      <c r="A1095" s="10">
        <f>IFERROR(__xludf.DUMMYFUNCTION("""COMPUTED_VALUE"""),45304.0)</f>
        <v>45304</v>
      </c>
      <c r="B1095" s="3" t="str">
        <f>IFERROR(__xludf.DUMMYFUNCTION("""COMPUTED_VALUE"""),"Henry Pepperell")</f>
        <v>Henry Pepperell</v>
      </c>
      <c r="C1095" s="3">
        <f>IFERROR(__xludf.DUMMYFUNCTION("""COMPUTED_VALUE"""),8.0)</f>
        <v>8</v>
      </c>
      <c r="D1095" s="3">
        <f t="shared" si="1"/>
        <v>0</v>
      </c>
    </row>
    <row r="1096">
      <c r="A1096" s="10">
        <f>IFERROR(__xludf.DUMMYFUNCTION("""COMPUTED_VALUE"""),45304.0)</f>
        <v>45304</v>
      </c>
      <c r="B1096" s="3" t="str">
        <f>IFERROR(__xludf.DUMMYFUNCTION("""COMPUTED_VALUE"""),"Isaac Adepegba")</f>
        <v>Isaac Adepegba</v>
      </c>
      <c r="C1096" s="3">
        <f>IFERROR(__xludf.DUMMYFUNCTION("""COMPUTED_VALUE"""),2.0)</f>
        <v>2</v>
      </c>
      <c r="D1096" s="3">
        <f t="shared" si="1"/>
        <v>0</v>
      </c>
    </row>
    <row r="1097">
      <c r="A1097" s="10">
        <f>IFERROR(__xludf.DUMMYFUNCTION("""COMPUTED_VALUE"""),45304.0)</f>
        <v>45304</v>
      </c>
      <c r="B1097" s="3" t="str">
        <f>IFERROR(__xludf.DUMMYFUNCTION("""COMPUTED_VALUE"""),"Jack Harris")</f>
        <v>Jack Harris</v>
      </c>
      <c r="C1097" s="3">
        <f>IFERROR(__xludf.DUMMYFUNCTION("""COMPUTED_VALUE"""),1.0)</f>
        <v>1</v>
      </c>
      <c r="D1097" s="3">
        <f t="shared" si="1"/>
        <v>0</v>
      </c>
    </row>
    <row r="1098">
      <c r="A1098" s="10">
        <f>IFERROR(__xludf.DUMMYFUNCTION("""COMPUTED_VALUE"""),45304.0)</f>
        <v>45304</v>
      </c>
      <c r="B1098" s="3" t="str">
        <f>IFERROR(__xludf.DUMMYFUNCTION("""COMPUTED_VALUE"""),"Jack Hind")</f>
        <v>Jack Hind</v>
      </c>
      <c r="C1098" s="3">
        <f>IFERROR(__xludf.DUMMYFUNCTION("""COMPUTED_VALUE"""),10.0)</f>
        <v>10</v>
      </c>
      <c r="D1098" s="3">
        <f t="shared" si="1"/>
        <v>0</v>
      </c>
    </row>
    <row r="1099">
      <c r="A1099" s="10">
        <f>IFERROR(__xludf.DUMMYFUNCTION("""COMPUTED_VALUE"""),45304.0)</f>
        <v>45304</v>
      </c>
      <c r="B1099" s="3" t="str">
        <f>IFERROR(__xludf.DUMMYFUNCTION("""COMPUTED_VALUE"""),"James Rodriguez")</f>
        <v>James Rodriguez</v>
      </c>
      <c r="C1099" s="3">
        <f>IFERROR(__xludf.DUMMYFUNCTION("""COMPUTED_VALUE"""),2.0)</f>
        <v>2</v>
      </c>
      <c r="D1099" s="3">
        <f t="shared" si="1"/>
        <v>0</v>
      </c>
    </row>
    <row r="1100">
      <c r="A1100" s="10">
        <f>IFERROR(__xludf.DUMMYFUNCTION("""COMPUTED_VALUE"""),45304.0)</f>
        <v>45304</v>
      </c>
      <c r="B1100" s="3" t="str">
        <f>IFERROR(__xludf.DUMMYFUNCTION("""COMPUTED_VALUE"""),"Jason Heath")</f>
        <v>Jason Heath</v>
      </c>
      <c r="C1100" s="3">
        <f>IFERROR(__xludf.DUMMYFUNCTION("""COMPUTED_VALUE"""),4.0)</f>
        <v>4</v>
      </c>
      <c r="D1100" s="3">
        <f t="shared" si="1"/>
        <v>0</v>
      </c>
    </row>
    <row r="1101">
      <c r="A1101" s="10">
        <f>IFERROR(__xludf.DUMMYFUNCTION("""COMPUTED_VALUE"""),45304.0)</f>
        <v>45304</v>
      </c>
      <c r="B1101" s="3" t="str">
        <f>IFERROR(__xludf.DUMMYFUNCTION("""COMPUTED_VALUE"""),"Joel Wright")</f>
        <v>Joel Wright</v>
      </c>
      <c r="C1101" s="3">
        <f>IFERROR(__xludf.DUMMYFUNCTION("""COMPUTED_VALUE"""),8.0)</f>
        <v>8</v>
      </c>
      <c r="D1101" s="3">
        <f t="shared" si="1"/>
        <v>0</v>
      </c>
    </row>
    <row r="1102">
      <c r="A1102" s="10">
        <f>IFERROR(__xludf.DUMMYFUNCTION("""COMPUTED_VALUE"""),45304.0)</f>
        <v>45304</v>
      </c>
      <c r="B1102" s="3" t="str">
        <f>IFERROR(__xludf.DUMMYFUNCTION("""COMPUTED_VALUE"""),"Jonny Simmons")</f>
        <v>Jonny Simmons</v>
      </c>
      <c r="C1102" s="3">
        <f>IFERROR(__xludf.DUMMYFUNCTION("""COMPUTED_VALUE"""),8.0)</f>
        <v>8</v>
      </c>
      <c r="D1102" s="3">
        <f t="shared" si="1"/>
        <v>0</v>
      </c>
    </row>
    <row r="1103">
      <c r="A1103" s="10">
        <f>IFERROR(__xludf.DUMMYFUNCTION("""COMPUTED_VALUE"""),45304.0)</f>
        <v>45304</v>
      </c>
      <c r="B1103" s="3" t="str">
        <f>IFERROR(__xludf.DUMMYFUNCTION("""COMPUTED_VALUE"""),"Kai Clack")</f>
        <v>Kai Clack</v>
      </c>
      <c r="C1103" s="3">
        <f>IFERROR(__xludf.DUMMYFUNCTION("""COMPUTED_VALUE"""),4.0)</f>
        <v>4</v>
      </c>
      <c r="D1103" s="3">
        <f t="shared" si="1"/>
        <v>0</v>
      </c>
    </row>
    <row r="1104">
      <c r="A1104" s="10">
        <f>IFERROR(__xludf.DUMMYFUNCTION("""COMPUTED_VALUE"""),45304.0)</f>
        <v>45304</v>
      </c>
      <c r="B1104" s="3" t="str">
        <f>IFERROR(__xludf.DUMMYFUNCTION("""COMPUTED_VALUE"""),"Keaton Cohen")</f>
        <v>Keaton Cohen</v>
      </c>
      <c r="C1104" s="3">
        <f>IFERROR(__xludf.DUMMYFUNCTION("""COMPUTED_VALUE"""),14.0)</f>
        <v>14</v>
      </c>
      <c r="D1104" s="3">
        <f t="shared" si="1"/>
        <v>0</v>
      </c>
    </row>
    <row r="1105">
      <c r="A1105" s="10">
        <f>IFERROR(__xludf.DUMMYFUNCTION("""COMPUTED_VALUE"""),45304.0)</f>
        <v>45304</v>
      </c>
      <c r="B1105" s="3" t="str">
        <f>IFERROR(__xludf.DUMMYFUNCTION("""COMPUTED_VALUE"""),"Kevin Gonzalez")</f>
        <v>Kevin Gonzalez</v>
      </c>
      <c r="C1105" s="3">
        <f>IFERROR(__xludf.DUMMYFUNCTION("""COMPUTED_VALUE"""),2.0)</f>
        <v>2</v>
      </c>
      <c r="D1105" s="3">
        <f t="shared" si="1"/>
        <v>0</v>
      </c>
    </row>
    <row r="1106">
      <c r="A1106" s="10">
        <f>IFERROR(__xludf.DUMMYFUNCTION("""COMPUTED_VALUE"""),45304.0)</f>
        <v>45304</v>
      </c>
      <c r="B1106" s="3" t="str">
        <f>IFERROR(__xludf.DUMMYFUNCTION("""COMPUTED_VALUE"""),"Mark Roberts")</f>
        <v>Mark Roberts</v>
      </c>
      <c r="C1106" s="3">
        <f>IFERROR(__xludf.DUMMYFUNCTION("""COMPUTED_VALUE"""),8.0)</f>
        <v>8</v>
      </c>
      <c r="D1106" s="3">
        <f t="shared" si="1"/>
        <v>0</v>
      </c>
    </row>
    <row r="1107">
      <c r="A1107" s="10">
        <f>IFERROR(__xludf.DUMMYFUNCTION("""COMPUTED_VALUE"""),45304.0)</f>
        <v>45304</v>
      </c>
      <c r="B1107" s="3" t="str">
        <f>IFERROR(__xludf.DUMMYFUNCTION("""COMPUTED_VALUE"""),"Martin Goodson")</f>
        <v>Martin Goodson</v>
      </c>
      <c r="C1107" s="3">
        <f>IFERROR(__xludf.DUMMYFUNCTION("""COMPUTED_VALUE"""),1.0)</f>
        <v>1</v>
      </c>
      <c r="D1107" s="3">
        <f t="shared" si="1"/>
        <v>0</v>
      </c>
    </row>
    <row r="1108">
      <c r="A1108" s="10">
        <f>IFERROR(__xludf.DUMMYFUNCTION("""COMPUTED_VALUE"""),45304.0)</f>
        <v>45304</v>
      </c>
      <c r="B1108" s="3" t="str">
        <f>IFERROR(__xludf.DUMMYFUNCTION("""COMPUTED_VALUE"""),"Masood Hamidi")</f>
        <v>Masood Hamidi</v>
      </c>
      <c r="C1108" s="3">
        <f>IFERROR(__xludf.DUMMYFUNCTION("""COMPUTED_VALUE"""),2.0)</f>
        <v>2</v>
      </c>
      <c r="D1108" s="3">
        <f t="shared" si="1"/>
        <v>0</v>
      </c>
    </row>
    <row r="1109">
      <c r="A1109" s="10">
        <f>IFERROR(__xludf.DUMMYFUNCTION("""COMPUTED_VALUE"""),45304.0)</f>
        <v>45304</v>
      </c>
      <c r="B1109" s="3" t="str">
        <f>IFERROR(__xludf.DUMMYFUNCTION("""COMPUTED_VALUE"""),"Matt Crowe")</f>
        <v>Matt Crowe</v>
      </c>
      <c r="C1109" s="3">
        <f>IFERROR(__xludf.DUMMYFUNCTION("""COMPUTED_VALUE"""),17.0)</f>
        <v>17</v>
      </c>
      <c r="D1109" s="3">
        <f t="shared" si="1"/>
        <v>1</v>
      </c>
    </row>
    <row r="1110">
      <c r="A1110" s="10">
        <f>IFERROR(__xludf.DUMMYFUNCTION("""COMPUTED_VALUE"""),45304.0)</f>
        <v>45304</v>
      </c>
      <c r="B1110" s="3" t="str">
        <f>IFERROR(__xludf.DUMMYFUNCTION("""COMPUTED_VALUE"""),"Matthew Thomas")</f>
        <v>Matthew Thomas</v>
      </c>
      <c r="C1110" s="3">
        <f>IFERROR(__xludf.DUMMYFUNCTION("""COMPUTED_VALUE"""),4.0)</f>
        <v>4</v>
      </c>
      <c r="D1110" s="3">
        <f t="shared" si="1"/>
        <v>0</v>
      </c>
    </row>
    <row r="1111">
      <c r="A1111" s="10">
        <f>IFERROR(__xludf.DUMMYFUNCTION("""COMPUTED_VALUE"""),45304.0)</f>
        <v>45304</v>
      </c>
      <c r="B1111" s="3" t="str">
        <f>IFERROR(__xludf.DUMMYFUNCTION("""COMPUTED_VALUE"""),"Max Miles")</f>
        <v>Max Miles</v>
      </c>
      <c r="C1111" s="3">
        <f>IFERROR(__xludf.DUMMYFUNCTION("""COMPUTED_VALUE"""),4.0)</f>
        <v>4</v>
      </c>
      <c r="D1111" s="3">
        <f t="shared" si="1"/>
        <v>0</v>
      </c>
    </row>
    <row r="1112">
      <c r="A1112" s="10">
        <f>IFERROR(__xludf.DUMMYFUNCTION("""COMPUTED_VALUE"""),45304.0)</f>
        <v>45304</v>
      </c>
      <c r="B1112" s="3" t="str">
        <f>IFERROR(__xludf.DUMMYFUNCTION("""COMPUTED_VALUE"""),"Max Watson")</f>
        <v>Max Watson</v>
      </c>
      <c r="C1112" s="3">
        <f>IFERROR(__xludf.DUMMYFUNCTION("""COMPUTED_VALUE"""),8.0)</f>
        <v>8</v>
      </c>
      <c r="D1112" s="3">
        <f t="shared" si="1"/>
        <v>0</v>
      </c>
    </row>
    <row r="1113">
      <c r="A1113" s="10">
        <f>IFERROR(__xludf.DUMMYFUNCTION("""COMPUTED_VALUE"""),45304.0)</f>
        <v>45304</v>
      </c>
      <c r="B1113" s="3" t="str">
        <f>IFERROR(__xludf.DUMMYFUNCTION("""COMPUTED_VALUE"""),"Nick Chimonides")</f>
        <v>Nick Chimonides</v>
      </c>
      <c r="C1113" s="3">
        <f>IFERROR(__xludf.DUMMYFUNCTION("""COMPUTED_VALUE"""),8.0)</f>
        <v>8</v>
      </c>
      <c r="D1113" s="3">
        <f t="shared" si="1"/>
        <v>0</v>
      </c>
    </row>
    <row r="1114">
      <c r="A1114" s="10">
        <f>IFERROR(__xludf.DUMMYFUNCTION("""COMPUTED_VALUE"""),45304.0)</f>
        <v>45304</v>
      </c>
      <c r="B1114" s="3" t="str">
        <f>IFERROR(__xludf.DUMMYFUNCTION("""COMPUTED_VALUE"""),"Nima Naghdi")</f>
        <v>Nima Naghdi</v>
      </c>
      <c r="C1114" s="3">
        <f>IFERROR(__xludf.DUMMYFUNCTION("""COMPUTED_VALUE"""),2.0)</f>
        <v>2</v>
      </c>
      <c r="D1114" s="3">
        <f t="shared" si="1"/>
        <v>0</v>
      </c>
    </row>
    <row r="1115">
      <c r="A1115" s="10">
        <f>IFERROR(__xludf.DUMMYFUNCTION("""COMPUTED_VALUE"""),45304.0)</f>
        <v>45304</v>
      </c>
      <c r="B1115" s="3" t="str">
        <f>IFERROR(__xludf.DUMMYFUNCTION("""COMPUTED_VALUE"""),"Ollie Sewell")</f>
        <v>Ollie Sewell</v>
      </c>
      <c r="C1115" s="3">
        <f>IFERROR(__xludf.DUMMYFUNCTION("""COMPUTED_VALUE"""),2.0)</f>
        <v>2</v>
      </c>
      <c r="D1115" s="3">
        <f t="shared" si="1"/>
        <v>0</v>
      </c>
    </row>
    <row r="1116">
      <c r="A1116" s="10">
        <f>IFERROR(__xludf.DUMMYFUNCTION("""COMPUTED_VALUE"""),45304.0)</f>
        <v>45304</v>
      </c>
      <c r="B1116" s="3" t="str">
        <f>IFERROR(__xludf.DUMMYFUNCTION("""COMPUTED_VALUE"""),"Rich Lundie")</f>
        <v>Rich Lundie</v>
      </c>
      <c r="C1116" s="3">
        <f>IFERROR(__xludf.DUMMYFUNCTION("""COMPUTED_VALUE"""),8.0)</f>
        <v>8</v>
      </c>
      <c r="D1116" s="3">
        <f t="shared" si="1"/>
        <v>0</v>
      </c>
    </row>
    <row r="1117">
      <c r="A1117" s="10">
        <f>IFERROR(__xludf.DUMMYFUNCTION("""COMPUTED_VALUE"""),45304.0)</f>
        <v>45304</v>
      </c>
      <c r="B1117" s="3" t="str">
        <f>IFERROR(__xludf.DUMMYFUNCTION("""COMPUTED_VALUE"""),"Rob Edmonds")</f>
        <v>Rob Edmonds</v>
      </c>
      <c r="C1117" s="3">
        <f>IFERROR(__xludf.DUMMYFUNCTION("""COMPUTED_VALUE"""),5.0)</f>
        <v>5</v>
      </c>
      <c r="D1117" s="3">
        <f t="shared" si="1"/>
        <v>0</v>
      </c>
    </row>
    <row r="1118">
      <c r="A1118" s="10">
        <f>IFERROR(__xludf.DUMMYFUNCTION("""COMPUTED_VALUE"""),45304.0)</f>
        <v>45304</v>
      </c>
      <c r="B1118" s="3" t="str">
        <f>IFERROR(__xludf.DUMMYFUNCTION("""COMPUTED_VALUE"""),"Sean Rowlett")</f>
        <v>Sean Rowlett</v>
      </c>
      <c r="C1118" s="3">
        <f>IFERROR(__xludf.DUMMYFUNCTION("""COMPUTED_VALUE"""),2.0)</f>
        <v>2</v>
      </c>
      <c r="D1118" s="3">
        <f t="shared" si="1"/>
        <v>0</v>
      </c>
    </row>
    <row r="1119">
      <c r="A1119" s="10">
        <f>IFERROR(__xludf.DUMMYFUNCTION("""COMPUTED_VALUE"""),45304.0)</f>
        <v>45304</v>
      </c>
      <c r="B1119" s="3" t="str">
        <f>IFERROR(__xludf.DUMMYFUNCTION("""COMPUTED_VALUE"""),"Sid Nayaar")</f>
        <v>Sid Nayaar</v>
      </c>
      <c r="C1119" s="3">
        <f>IFERROR(__xludf.DUMMYFUNCTION("""COMPUTED_VALUE"""),2.0)</f>
        <v>2</v>
      </c>
      <c r="D1119" s="3">
        <f t="shared" si="1"/>
        <v>0</v>
      </c>
    </row>
    <row r="1120">
      <c r="A1120" s="10">
        <f>IFERROR(__xludf.DUMMYFUNCTION("""COMPUTED_VALUE"""),45304.0)</f>
        <v>45304</v>
      </c>
      <c r="B1120" s="3" t="str">
        <f>IFERROR(__xludf.DUMMYFUNCTION("""COMPUTED_VALUE"""),"Sidney Hopper-Kelly")</f>
        <v>Sidney Hopper-Kelly</v>
      </c>
      <c r="C1120" s="3">
        <f>IFERROR(__xludf.DUMMYFUNCTION("""COMPUTED_VALUE"""),2.0)</f>
        <v>2</v>
      </c>
      <c r="D1120" s="3">
        <f t="shared" si="1"/>
        <v>0</v>
      </c>
    </row>
    <row r="1121">
      <c r="A1121" s="10">
        <f>IFERROR(__xludf.DUMMYFUNCTION("""COMPUTED_VALUE"""),45304.0)</f>
        <v>45304</v>
      </c>
      <c r="B1121" s="3" t="str">
        <f>IFERROR(__xludf.DUMMYFUNCTION("""COMPUTED_VALUE"""),"Stu Jordan")</f>
        <v>Stu Jordan</v>
      </c>
      <c r="C1121" s="3">
        <f>IFERROR(__xludf.DUMMYFUNCTION("""COMPUTED_VALUE"""),1.0)</f>
        <v>1</v>
      </c>
      <c r="D1121" s="3">
        <f t="shared" si="1"/>
        <v>0</v>
      </c>
    </row>
    <row r="1122">
      <c r="A1122" s="10">
        <f>IFERROR(__xludf.DUMMYFUNCTION("""COMPUTED_VALUE"""),45304.0)</f>
        <v>45304</v>
      </c>
      <c r="B1122" s="3" t="str">
        <f>IFERROR(__xludf.DUMMYFUNCTION("""COMPUTED_VALUE"""),"Tam de Lacey")</f>
        <v>Tam de Lacey</v>
      </c>
      <c r="C1122" s="3">
        <f>IFERROR(__xludf.DUMMYFUNCTION("""COMPUTED_VALUE"""),8.0)</f>
        <v>8</v>
      </c>
      <c r="D1122" s="3">
        <f t="shared" si="1"/>
        <v>0</v>
      </c>
    </row>
    <row r="1123">
      <c r="A1123" s="10">
        <f>IFERROR(__xludf.DUMMYFUNCTION("""COMPUTED_VALUE"""),45304.0)</f>
        <v>45304</v>
      </c>
      <c r="B1123" s="3" t="str">
        <f>IFERROR(__xludf.DUMMYFUNCTION("""COMPUTED_VALUE"""),"Tom Davidson")</f>
        <v>Tom Davidson</v>
      </c>
      <c r="C1123" s="3">
        <f>IFERROR(__xludf.DUMMYFUNCTION("""COMPUTED_VALUE"""),8.0)</f>
        <v>8</v>
      </c>
      <c r="D1123" s="3">
        <f t="shared" si="1"/>
        <v>0</v>
      </c>
    </row>
    <row r="1124">
      <c r="A1124" s="10">
        <f>IFERROR(__xludf.DUMMYFUNCTION("""COMPUTED_VALUE"""),45304.0)</f>
        <v>45304</v>
      </c>
      <c r="B1124" s="3" t="str">
        <f>IFERROR(__xludf.DUMMYFUNCTION("""COMPUTED_VALUE"""),"Tom Love")</f>
        <v>Tom Love</v>
      </c>
      <c r="C1124" s="3">
        <f>IFERROR(__xludf.DUMMYFUNCTION("""COMPUTED_VALUE"""),7.0)</f>
        <v>7</v>
      </c>
      <c r="D1124" s="3">
        <f t="shared" si="1"/>
        <v>0</v>
      </c>
    </row>
    <row r="1125">
      <c r="A1125" s="10">
        <f>IFERROR(__xludf.DUMMYFUNCTION("""COMPUTED_VALUE"""),45304.0)</f>
        <v>45304</v>
      </c>
      <c r="B1125" s="3" t="str">
        <f>IFERROR(__xludf.DUMMYFUNCTION("""COMPUTED_VALUE"""),"Tom Riley")</f>
        <v>Tom Riley</v>
      </c>
      <c r="C1125" s="3">
        <f>IFERROR(__xludf.DUMMYFUNCTION("""COMPUTED_VALUE"""),2.0)</f>
        <v>2</v>
      </c>
      <c r="D1125" s="3">
        <f t="shared" si="1"/>
        <v>0</v>
      </c>
    </row>
    <row r="1126">
      <c r="A1126" s="10">
        <f>IFERROR(__xludf.DUMMYFUNCTION("""COMPUTED_VALUE"""),45311.0)</f>
        <v>45311</v>
      </c>
      <c r="B1126" s="3" t="str">
        <f>IFERROR(__xludf.DUMMYFUNCTION("""COMPUTED_VALUE"""),"Aaron Snelling")</f>
        <v>Aaron Snelling</v>
      </c>
      <c r="C1126" s="3">
        <f>IFERROR(__xludf.DUMMYFUNCTION("""COMPUTED_VALUE"""),7.0)</f>
        <v>7</v>
      </c>
      <c r="D1126" s="3">
        <f t="shared" si="1"/>
        <v>0</v>
      </c>
    </row>
    <row r="1127">
      <c r="A1127" s="10">
        <f>IFERROR(__xludf.DUMMYFUNCTION("""COMPUTED_VALUE"""),45311.0)</f>
        <v>45311</v>
      </c>
      <c r="B1127" s="3" t="str">
        <f>IFERROR(__xludf.DUMMYFUNCTION("""COMPUTED_VALUE"""),"Abz Marfa")</f>
        <v>Abz Marfa</v>
      </c>
      <c r="C1127" s="3">
        <f>IFERROR(__xludf.DUMMYFUNCTION("""COMPUTED_VALUE"""),2.0)</f>
        <v>2</v>
      </c>
      <c r="D1127" s="3">
        <f t="shared" si="1"/>
        <v>0</v>
      </c>
    </row>
    <row r="1128">
      <c r="A1128" s="10">
        <f>IFERROR(__xludf.DUMMYFUNCTION("""COMPUTED_VALUE"""),45311.0)</f>
        <v>45311</v>
      </c>
      <c r="B1128" s="3" t="str">
        <f>IFERROR(__xludf.DUMMYFUNCTION("""COMPUTED_VALUE"""),"Adam Platten")</f>
        <v>Adam Platten</v>
      </c>
      <c r="C1128" s="3">
        <f>IFERROR(__xludf.DUMMYFUNCTION("""COMPUTED_VALUE"""),2.0)</f>
        <v>2</v>
      </c>
      <c r="D1128" s="3">
        <f t="shared" si="1"/>
        <v>0</v>
      </c>
    </row>
    <row r="1129">
      <c r="A1129" s="10">
        <f>IFERROR(__xludf.DUMMYFUNCTION("""COMPUTED_VALUE"""),45311.0)</f>
        <v>45311</v>
      </c>
      <c r="B1129" s="3" t="str">
        <f>IFERROR(__xludf.DUMMYFUNCTION("""COMPUTED_VALUE"""),"Ade Lawal")</f>
        <v>Ade Lawal</v>
      </c>
      <c r="C1129" s="3">
        <f>IFERROR(__xludf.DUMMYFUNCTION("""COMPUTED_VALUE"""),1.0)</f>
        <v>1</v>
      </c>
      <c r="D1129" s="3">
        <f t="shared" si="1"/>
        <v>0</v>
      </c>
    </row>
    <row r="1130">
      <c r="A1130" s="10">
        <f>IFERROR(__xludf.DUMMYFUNCTION("""COMPUTED_VALUE"""),45311.0)</f>
        <v>45311</v>
      </c>
      <c r="B1130" s="3" t="str">
        <f>IFERROR(__xludf.DUMMYFUNCTION("""COMPUTED_VALUE"""),"Aidan Byrne")</f>
        <v>Aidan Byrne</v>
      </c>
      <c r="C1130" s="3">
        <f>IFERROR(__xludf.DUMMYFUNCTION("""COMPUTED_VALUE"""),1.0)</f>
        <v>1</v>
      </c>
      <c r="D1130" s="3">
        <f t="shared" si="1"/>
        <v>0</v>
      </c>
    </row>
    <row r="1131">
      <c r="A1131" s="10">
        <f>IFERROR(__xludf.DUMMYFUNCTION("""COMPUTED_VALUE"""),45311.0)</f>
        <v>45311</v>
      </c>
      <c r="B1131" s="3" t="str">
        <f>IFERROR(__xludf.DUMMYFUNCTION("""COMPUTED_VALUE"""),"Alex Dockerill")</f>
        <v>Alex Dockerill</v>
      </c>
      <c r="C1131" s="3">
        <f>IFERROR(__xludf.DUMMYFUNCTION("""COMPUTED_VALUE"""),2.0)</f>
        <v>2</v>
      </c>
      <c r="D1131" s="3">
        <f t="shared" si="1"/>
        <v>0</v>
      </c>
    </row>
    <row r="1132">
      <c r="A1132" s="10">
        <f>IFERROR(__xludf.DUMMYFUNCTION("""COMPUTED_VALUE"""),45311.0)</f>
        <v>45311</v>
      </c>
      <c r="B1132" s="3" t="str">
        <f>IFERROR(__xludf.DUMMYFUNCTION("""COMPUTED_VALUE"""),"Alex Mansfield")</f>
        <v>Alex Mansfield</v>
      </c>
      <c r="C1132" s="3">
        <f>IFERROR(__xludf.DUMMYFUNCTION("""COMPUTED_VALUE"""),2.0)</f>
        <v>2</v>
      </c>
      <c r="D1132" s="3">
        <f t="shared" si="1"/>
        <v>0</v>
      </c>
    </row>
    <row r="1133">
      <c r="A1133" s="10">
        <f>IFERROR(__xludf.DUMMYFUNCTION("""COMPUTED_VALUE"""),45311.0)</f>
        <v>45311</v>
      </c>
      <c r="B1133" s="3" t="str">
        <f>IFERROR(__xludf.DUMMYFUNCTION("""COMPUTED_VALUE"""),"Alex Scott-Ruddock")</f>
        <v>Alex Scott-Ruddock</v>
      </c>
      <c r="C1133" s="3">
        <f>IFERROR(__xludf.DUMMYFUNCTION("""COMPUTED_VALUE"""),1.0)</f>
        <v>1</v>
      </c>
      <c r="D1133" s="3">
        <f t="shared" si="1"/>
        <v>0</v>
      </c>
    </row>
    <row r="1134">
      <c r="A1134" s="10">
        <f>IFERROR(__xludf.DUMMYFUNCTION("""COMPUTED_VALUE"""),45311.0)</f>
        <v>45311</v>
      </c>
      <c r="B1134" s="3" t="str">
        <f>IFERROR(__xludf.DUMMYFUNCTION("""COMPUTED_VALUE"""),"Alex Stevens")</f>
        <v>Alex Stevens</v>
      </c>
      <c r="C1134" s="3">
        <f>IFERROR(__xludf.DUMMYFUNCTION("""COMPUTED_VALUE"""),2.0)</f>
        <v>2</v>
      </c>
      <c r="D1134" s="3">
        <f t="shared" si="1"/>
        <v>0</v>
      </c>
    </row>
    <row r="1135">
      <c r="A1135" s="10">
        <f>IFERROR(__xludf.DUMMYFUNCTION("""COMPUTED_VALUE"""),45311.0)</f>
        <v>45311</v>
      </c>
      <c r="B1135" s="3" t="str">
        <f>IFERROR(__xludf.DUMMYFUNCTION("""COMPUTED_VALUE"""),"Andres Ahlgren")</f>
        <v>Andres Ahlgren</v>
      </c>
      <c r="C1135" s="3">
        <f>IFERROR(__xludf.DUMMYFUNCTION("""COMPUTED_VALUE"""),2.0)</f>
        <v>2</v>
      </c>
      <c r="D1135" s="3">
        <f t="shared" si="1"/>
        <v>0</v>
      </c>
    </row>
    <row r="1136">
      <c r="A1136" s="10">
        <f>IFERROR(__xludf.DUMMYFUNCTION("""COMPUTED_VALUE"""),45311.0)</f>
        <v>45311</v>
      </c>
      <c r="B1136" s="3" t="str">
        <f>IFERROR(__xludf.DUMMYFUNCTION("""COMPUTED_VALUE"""),"Anish Philips")</f>
        <v>Anish Philips</v>
      </c>
      <c r="C1136" s="3">
        <f>IFERROR(__xludf.DUMMYFUNCTION("""COMPUTED_VALUE"""),2.0)</f>
        <v>2</v>
      </c>
      <c r="D1136" s="3">
        <f t="shared" si="1"/>
        <v>0</v>
      </c>
    </row>
    <row r="1137">
      <c r="A1137" s="10">
        <f>IFERROR(__xludf.DUMMYFUNCTION("""COMPUTED_VALUE"""),45311.0)</f>
        <v>45311</v>
      </c>
      <c r="B1137" s="3" t="str">
        <f>IFERROR(__xludf.DUMMYFUNCTION("""COMPUTED_VALUE"""),"Anthony Ball")</f>
        <v>Anthony Ball</v>
      </c>
      <c r="C1137" s="3">
        <f>IFERROR(__xludf.DUMMYFUNCTION("""COMPUTED_VALUE"""),0.0)</f>
        <v>0</v>
      </c>
      <c r="D1137" s="3">
        <f t="shared" si="1"/>
        <v>0</v>
      </c>
    </row>
    <row r="1138">
      <c r="A1138" s="10">
        <f>IFERROR(__xludf.DUMMYFUNCTION("""COMPUTED_VALUE"""),45311.0)</f>
        <v>45311</v>
      </c>
      <c r="B1138" s="3" t="str">
        <f>IFERROR(__xludf.DUMMYFUNCTION("""COMPUTED_VALUE"""),"Billy King")</f>
        <v>Billy King</v>
      </c>
      <c r="C1138" s="3">
        <f>IFERROR(__xludf.DUMMYFUNCTION("""COMPUTED_VALUE"""),8.0)</f>
        <v>8</v>
      </c>
      <c r="D1138" s="3">
        <f t="shared" si="1"/>
        <v>0</v>
      </c>
    </row>
    <row r="1139">
      <c r="A1139" s="10">
        <f>IFERROR(__xludf.DUMMYFUNCTION("""COMPUTED_VALUE"""),45311.0)</f>
        <v>45311</v>
      </c>
      <c r="B1139" s="3" t="str">
        <f>IFERROR(__xludf.DUMMYFUNCTION("""COMPUTED_VALUE"""),"Calum Bennett")</f>
        <v>Calum Bennett</v>
      </c>
      <c r="C1139" s="3">
        <f>IFERROR(__xludf.DUMMYFUNCTION("""COMPUTED_VALUE"""),9.0)</f>
        <v>9</v>
      </c>
      <c r="D1139" s="3">
        <f t="shared" si="1"/>
        <v>0</v>
      </c>
    </row>
    <row r="1140">
      <c r="A1140" s="10">
        <f>IFERROR(__xludf.DUMMYFUNCTION("""COMPUTED_VALUE"""),45311.0)</f>
        <v>45311</v>
      </c>
      <c r="B1140" s="3" t="str">
        <f>IFERROR(__xludf.DUMMYFUNCTION("""COMPUTED_VALUE"""),"Calum Edwards")</f>
        <v>Calum Edwards</v>
      </c>
      <c r="C1140" s="3">
        <f>IFERROR(__xludf.DUMMYFUNCTION("""COMPUTED_VALUE"""),8.0)</f>
        <v>8</v>
      </c>
      <c r="D1140" s="3">
        <f t="shared" si="1"/>
        <v>0</v>
      </c>
    </row>
    <row r="1141">
      <c r="A1141" s="10">
        <f>IFERROR(__xludf.DUMMYFUNCTION("""COMPUTED_VALUE"""),45311.0)</f>
        <v>45311</v>
      </c>
      <c r="B1141" s="3" t="str">
        <f>IFERROR(__xludf.DUMMYFUNCTION("""COMPUTED_VALUE"""),"Cameron Pashley")</f>
        <v>Cameron Pashley</v>
      </c>
      <c r="C1141" s="3">
        <f>IFERROR(__xludf.DUMMYFUNCTION("""COMPUTED_VALUE"""),2.0)</f>
        <v>2</v>
      </c>
      <c r="D1141" s="3">
        <f t="shared" si="1"/>
        <v>0</v>
      </c>
    </row>
    <row r="1142">
      <c r="A1142" s="10">
        <f>IFERROR(__xludf.DUMMYFUNCTION("""COMPUTED_VALUE"""),45311.0)</f>
        <v>45311</v>
      </c>
      <c r="B1142" s="3" t="str">
        <f>IFERROR(__xludf.DUMMYFUNCTION("""COMPUTED_VALUE"""),"Cameron Ward")</f>
        <v>Cameron Ward</v>
      </c>
      <c r="C1142" s="3">
        <f>IFERROR(__xludf.DUMMYFUNCTION("""COMPUTED_VALUE"""),5.0)</f>
        <v>5</v>
      </c>
      <c r="D1142" s="3">
        <f t="shared" si="1"/>
        <v>0</v>
      </c>
    </row>
    <row r="1143">
      <c r="A1143" s="10">
        <f>IFERROR(__xludf.DUMMYFUNCTION("""COMPUTED_VALUE"""),45311.0)</f>
        <v>45311</v>
      </c>
      <c r="B1143" s="3" t="str">
        <f>IFERROR(__xludf.DUMMYFUNCTION("""COMPUTED_VALUE"""),"Charlie Doe")</f>
        <v>Charlie Doe</v>
      </c>
      <c r="C1143" s="3">
        <f>IFERROR(__xludf.DUMMYFUNCTION("""COMPUTED_VALUE"""),8.0)</f>
        <v>8</v>
      </c>
      <c r="D1143" s="3">
        <f t="shared" si="1"/>
        <v>0</v>
      </c>
    </row>
    <row r="1144">
      <c r="A1144" s="10">
        <f>IFERROR(__xludf.DUMMYFUNCTION("""COMPUTED_VALUE"""),45311.0)</f>
        <v>45311</v>
      </c>
      <c r="B1144" s="3" t="str">
        <f>IFERROR(__xludf.DUMMYFUNCTION("""COMPUTED_VALUE"""),"Chris Claeys")</f>
        <v>Chris Claeys</v>
      </c>
      <c r="C1144" s="3">
        <f>IFERROR(__xludf.DUMMYFUNCTION("""COMPUTED_VALUE"""),2.0)</f>
        <v>2</v>
      </c>
      <c r="D1144" s="3">
        <f t="shared" si="1"/>
        <v>0</v>
      </c>
    </row>
    <row r="1145">
      <c r="A1145" s="10">
        <f>IFERROR(__xludf.DUMMYFUNCTION("""COMPUTED_VALUE"""),45311.0)</f>
        <v>45311</v>
      </c>
      <c r="B1145" s="3" t="str">
        <f>IFERROR(__xludf.DUMMYFUNCTION("""COMPUTED_VALUE"""),"Chris Douthwaite")</f>
        <v>Chris Douthwaite</v>
      </c>
      <c r="C1145" s="3">
        <f>IFERROR(__xludf.DUMMYFUNCTION("""COMPUTED_VALUE"""),2.0)</f>
        <v>2</v>
      </c>
      <c r="D1145" s="3">
        <f t="shared" si="1"/>
        <v>0</v>
      </c>
    </row>
    <row r="1146">
      <c r="A1146" s="10">
        <f>IFERROR(__xludf.DUMMYFUNCTION("""COMPUTED_VALUE"""),45311.0)</f>
        <v>45311</v>
      </c>
      <c r="B1146" s="3" t="str">
        <f>IFERROR(__xludf.DUMMYFUNCTION("""COMPUTED_VALUE"""),"Christian King")</f>
        <v>Christian King</v>
      </c>
      <c r="C1146" s="3">
        <f>IFERROR(__xludf.DUMMYFUNCTION("""COMPUTED_VALUE"""),2.0)</f>
        <v>2</v>
      </c>
      <c r="D1146" s="3">
        <f t="shared" si="1"/>
        <v>0</v>
      </c>
    </row>
    <row r="1147">
      <c r="A1147" s="10">
        <f>IFERROR(__xludf.DUMMYFUNCTION("""COMPUTED_VALUE"""),45311.0)</f>
        <v>45311</v>
      </c>
      <c r="B1147" s="3" t="str">
        <f>IFERROR(__xludf.DUMMYFUNCTION("""COMPUTED_VALUE"""),"Ciaran Curran")</f>
        <v>Ciaran Curran</v>
      </c>
      <c r="C1147" s="3">
        <f>IFERROR(__xludf.DUMMYFUNCTION("""COMPUTED_VALUE"""),2.0)</f>
        <v>2</v>
      </c>
      <c r="D1147" s="3">
        <f t="shared" si="1"/>
        <v>0</v>
      </c>
    </row>
    <row r="1148">
      <c r="A1148" s="10">
        <f>IFERROR(__xludf.DUMMYFUNCTION("""COMPUTED_VALUE"""),45311.0)</f>
        <v>45311</v>
      </c>
      <c r="B1148" s="3" t="str">
        <f>IFERROR(__xludf.DUMMYFUNCTION("""COMPUTED_VALUE"""),"Claudien Mwalimu")</f>
        <v>Claudien Mwalimu</v>
      </c>
      <c r="C1148" s="3">
        <f>IFERROR(__xludf.DUMMYFUNCTION("""COMPUTED_VALUE"""),11.0)</f>
        <v>11</v>
      </c>
      <c r="D1148" s="3">
        <f t="shared" si="1"/>
        <v>0</v>
      </c>
    </row>
    <row r="1149">
      <c r="A1149" s="10">
        <f>IFERROR(__xludf.DUMMYFUNCTION("""COMPUTED_VALUE"""),45311.0)</f>
        <v>45311</v>
      </c>
      <c r="B1149" s="3" t="str">
        <f>IFERROR(__xludf.DUMMYFUNCTION("""COMPUTED_VALUE"""),"Connor White")</f>
        <v>Connor White</v>
      </c>
      <c r="C1149" s="3">
        <f>IFERROR(__xludf.DUMMYFUNCTION("""COMPUTED_VALUE"""),2.0)</f>
        <v>2</v>
      </c>
      <c r="D1149" s="3">
        <f t="shared" si="1"/>
        <v>0</v>
      </c>
    </row>
    <row r="1150">
      <c r="A1150" s="10">
        <f>IFERROR(__xludf.DUMMYFUNCTION("""COMPUTED_VALUE"""),45311.0)</f>
        <v>45311</v>
      </c>
      <c r="B1150" s="3" t="str">
        <f>IFERROR(__xludf.DUMMYFUNCTION("""COMPUTED_VALUE"""),"Corey Cleave")</f>
        <v>Corey Cleave</v>
      </c>
      <c r="C1150" s="3">
        <f>IFERROR(__xludf.DUMMYFUNCTION("""COMPUTED_VALUE"""),2.0)</f>
        <v>2</v>
      </c>
      <c r="D1150" s="3">
        <f t="shared" si="1"/>
        <v>0</v>
      </c>
    </row>
    <row r="1151">
      <c r="A1151" s="10">
        <f>IFERROR(__xludf.DUMMYFUNCTION("""COMPUTED_VALUE"""),45311.0)</f>
        <v>45311</v>
      </c>
      <c r="B1151" s="3" t="str">
        <f>IFERROR(__xludf.DUMMYFUNCTION("""COMPUTED_VALUE"""),"Dan Klin")</f>
        <v>Dan Klin</v>
      </c>
      <c r="C1151" s="3">
        <f>IFERROR(__xludf.DUMMYFUNCTION("""COMPUTED_VALUE"""),6.0)</f>
        <v>6</v>
      </c>
      <c r="D1151" s="3">
        <f t="shared" si="1"/>
        <v>0</v>
      </c>
    </row>
    <row r="1152">
      <c r="A1152" s="10">
        <f>IFERROR(__xludf.DUMMYFUNCTION("""COMPUTED_VALUE"""),45311.0)</f>
        <v>45311</v>
      </c>
      <c r="B1152" s="3" t="str">
        <f>IFERROR(__xludf.DUMMYFUNCTION("""COMPUTED_VALUE"""),"Dan Russell")</f>
        <v>Dan Russell</v>
      </c>
      <c r="C1152" s="3">
        <f>IFERROR(__xludf.DUMMYFUNCTION("""COMPUTED_VALUE"""),2.0)</f>
        <v>2</v>
      </c>
      <c r="D1152" s="3">
        <f t="shared" si="1"/>
        <v>0</v>
      </c>
    </row>
    <row r="1153">
      <c r="A1153" s="10">
        <f>IFERROR(__xludf.DUMMYFUNCTION("""COMPUTED_VALUE"""),45311.0)</f>
        <v>45311</v>
      </c>
      <c r="B1153" s="3" t="str">
        <f>IFERROR(__xludf.DUMMYFUNCTION("""COMPUTED_VALUE"""),"Daniel Sheehan")</f>
        <v>Daniel Sheehan</v>
      </c>
      <c r="C1153" s="3">
        <f>IFERROR(__xludf.DUMMYFUNCTION("""COMPUTED_VALUE"""),2.0)</f>
        <v>2</v>
      </c>
      <c r="D1153" s="3">
        <f t="shared" si="1"/>
        <v>0</v>
      </c>
    </row>
    <row r="1154">
      <c r="A1154" s="10">
        <f>IFERROR(__xludf.DUMMYFUNCTION("""COMPUTED_VALUE"""),45311.0)</f>
        <v>45311</v>
      </c>
      <c r="B1154" s="3" t="str">
        <f>IFERROR(__xludf.DUMMYFUNCTION("""COMPUTED_VALUE"""),"David Holmes-White")</f>
        <v>David Holmes-White</v>
      </c>
      <c r="C1154" s="3">
        <f>IFERROR(__xludf.DUMMYFUNCTION("""COMPUTED_VALUE"""),2.0)</f>
        <v>2</v>
      </c>
      <c r="D1154" s="3">
        <f t="shared" si="1"/>
        <v>0</v>
      </c>
    </row>
    <row r="1155">
      <c r="A1155" s="10">
        <f>IFERROR(__xludf.DUMMYFUNCTION("""COMPUTED_VALUE"""),45311.0)</f>
        <v>45311</v>
      </c>
      <c r="B1155" s="3" t="str">
        <f>IFERROR(__xludf.DUMMYFUNCTION("""COMPUTED_VALUE"""),"Deji Ogunyemi")</f>
        <v>Deji Ogunyemi</v>
      </c>
      <c r="C1155" s="3">
        <f>IFERROR(__xludf.DUMMYFUNCTION("""COMPUTED_VALUE"""),8.0)</f>
        <v>8</v>
      </c>
      <c r="D1155" s="3">
        <f t="shared" si="1"/>
        <v>0</v>
      </c>
    </row>
    <row r="1156">
      <c r="A1156" s="10">
        <f>IFERROR(__xludf.DUMMYFUNCTION("""COMPUTED_VALUE"""),45311.0)</f>
        <v>45311</v>
      </c>
      <c r="B1156" s="3" t="str">
        <f>IFERROR(__xludf.DUMMYFUNCTION("""COMPUTED_VALUE"""),"Denver Lalonde")</f>
        <v>Denver Lalonde</v>
      </c>
      <c r="C1156" s="3">
        <f>IFERROR(__xludf.DUMMYFUNCTION("""COMPUTED_VALUE"""),2.0)</f>
        <v>2</v>
      </c>
      <c r="D1156" s="3">
        <f t="shared" si="1"/>
        <v>0</v>
      </c>
    </row>
    <row r="1157">
      <c r="A1157" s="10">
        <f>IFERROR(__xludf.DUMMYFUNCTION("""COMPUTED_VALUE"""),45311.0)</f>
        <v>45311</v>
      </c>
      <c r="B1157" s="3" t="str">
        <f>IFERROR(__xludf.DUMMYFUNCTION("""COMPUTED_VALUE"""),"Ed Wightman")</f>
        <v>Ed Wightman</v>
      </c>
      <c r="C1157" s="3">
        <f>IFERROR(__xludf.DUMMYFUNCTION("""COMPUTED_VALUE"""),5.0)</f>
        <v>5</v>
      </c>
      <c r="D1157" s="3">
        <f t="shared" si="1"/>
        <v>0</v>
      </c>
    </row>
    <row r="1158">
      <c r="A1158" s="10">
        <f>IFERROR(__xludf.DUMMYFUNCTION("""COMPUTED_VALUE"""),45311.0)</f>
        <v>45311</v>
      </c>
      <c r="B1158" s="3" t="str">
        <f>IFERROR(__xludf.DUMMYFUNCTION("""COMPUTED_VALUE"""),"Ellis Forrester")</f>
        <v>Ellis Forrester</v>
      </c>
      <c r="C1158" s="3">
        <f>IFERROR(__xludf.DUMMYFUNCTION("""COMPUTED_VALUE"""),2.0)</f>
        <v>2</v>
      </c>
      <c r="D1158" s="3">
        <f t="shared" si="1"/>
        <v>0</v>
      </c>
    </row>
    <row r="1159">
      <c r="A1159" s="10">
        <f>IFERROR(__xludf.DUMMYFUNCTION("""COMPUTED_VALUE"""),45311.0)</f>
        <v>45311</v>
      </c>
      <c r="B1159" s="3" t="str">
        <f>IFERROR(__xludf.DUMMYFUNCTION("""COMPUTED_VALUE"""),"Emi Muhadri")</f>
        <v>Emi Muhadri</v>
      </c>
      <c r="C1159" s="3">
        <f>IFERROR(__xludf.DUMMYFUNCTION("""COMPUTED_VALUE"""),7.0)</f>
        <v>7</v>
      </c>
      <c r="D1159" s="3">
        <f t="shared" si="1"/>
        <v>0</v>
      </c>
    </row>
    <row r="1160">
      <c r="A1160" s="10">
        <f>IFERROR(__xludf.DUMMYFUNCTION("""COMPUTED_VALUE"""),45311.0)</f>
        <v>45311</v>
      </c>
      <c r="B1160" s="3" t="str">
        <f>IFERROR(__xludf.DUMMYFUNCTION("""COMPUTED_VALUE"""),"Ewan Harris")</f>
        <v>Ewan Harris</v>
      </c>
      <c r="C1160" s="3">
        <f>IFERROR(__xludf.DUMMYFUNCTION("""COMPUTED_VALUE"""),2.0)</f>
        <v>2</v>
      </c>
      <c r="D1160" s="3">
        <f t="shared" si="1"/>
        <v>0</v>
      </c>
    </row>
    <row r="1161">
      <c r="A1161" s="10">
        <f>IFERROR(__xludf.DUMMYFUNCTION("""COMPUTED_VALUE"""),45311.0)</f>
        <v>45311</v>
      </c>
      <c r="B1161" s="3" t="str">
        <f>IFERROR(__xludf.DUMMYFUNCTION("""COMPUTED_VALUE"""),"Finn Coolen")</f>
        <v>Finn Coolen</v>
      </c>
      <c r="C1161" s="3">
        <f>IFERROR(__xludf.DUMMYFUNCTION("""COMPUTED_VALUE"""),2.0)</f>
        <v>2</v>
      </c>
      <c r="D1161" s="3">
        <f t="shared" si="1"/>
        <v>0</v>
      </c>
    </row>
    <row r="1162">
      <c r="A1162" s="10">
        <f>IFERROR(__xludf.DUMMYFUNCTION("""COMPUTED_VALUE"""),45311.0)</f>
        <v>45311</v>
      </c>
      <c r="B1162" s="3" t="str">
        <f>IFERROR(__xludf.DUMMYFUNCTION("""COMPUTED_VALUE"""),"Fraser Wylie")</f>
        <v>Fraser Wylie</v>
      </c>
      <c r="C1162" s="3">
        <f>IFERROR(__xludf.DUMMYFUNCTION("""COMPUTED_VALUE"""),2.0)</f>
        <v>2</v>
      </c>
      <c r="D1162" s="3">
        <f t="shared" si="1"/>
        <v>0</v>
      </c>
    </row>
    <row r="1163">
      <c r="A1163" s="10">
        <f>IFERROR(__xludf.DUMMYFUNCTION("""COMPUTED_VALUE"""),45311.0)</f>
        <v>45311</v>
      </c>
      <c r="B1163" s="3" t="str">
        <f>IFERROR(__xludf.DUMMYFUNCTION("""COMPUTED_VALUE"""),"Harry Calvesbert")</f>
        <v>Harry Calvesbert</v>
      </c>
      <c r="C1163" s="3">
        <f>IFERROR(__xludf.DUMMYFUNCTION("""COMPUTED_VALUE"""),2.0)</f>
        <v>2</v>
      </c>
      <c r="D1163" s="3">
        <f t="shared" si="1"/>
        <v>0</v>
      </c>
    </row>
    <row r="1164">
      <c r="A1164" s="10">
        <f>IFERROR(__xludf.DUMMYFUNCTION("""COMPUTED_VALUE"""),45311.0)</f>
        <v>45311</v>
      </c>
      <c r="B1164" s="3" t="str">
        <f>IFERROR(__xludf.DUMMYFUNCTION("""COMPUTED_VALUE"""),"Henry Pepperell")</f>
        <v>Henry Pepperell</v>
      </c>
      <c r="C1164" s="3">
        <f>IFERROR(__xludf.DUMMYFUNCTION("""COMPUTED_VALUE"""),1.0)</f>
        <v>1</v>
      </c>
      <c r="D1164" s="3">
        <f t="shared" si="1"/>
        <v>0</v>
      </c>
    </row>
    <row r="1165">
      <c r="A1165" s="10">
        <f>IFERROR(__xludf.DUMMYFUNCTION("""COMPUTED_VALUE"""),45311.0)</f>
        <v>45311</v>
      </c>
      <c r="B1165" s="3" t="str">
        <f>IFERROR(__xludf.DUMMYFUNCTION("""COMPUTED_VALUE"""),"Isaac Adepegba")</f>
        <v>Isaac Adepegba</v>
      </c>
      <c r="C1165" s="3">
        <f>IFERROR(__xludf.DUMMYFUNCTION("""COMPUTED_VALUE"""),2.0)</f>
        <v>2</v>
      </c>
      <c r="D1165" s="3">
        <f t="shared" si="1"/>
        <v>0</v>
      </c>
    </row>
    <row r="1166">
      <c r="A1166" s="10">
        <f>IFERROR(__xludf.DUMMYFUNCTION("""COMPUTED_VALUE"""),45311.0)</f>
        <v>45311</v>
      </c>
      <c r="B1166" s="3" t="str">
        <f>IFERROR(__xludf.DUMMYFUNCTION("""COMPUTED_VALUE"""),"Jack Hind")</f>
        <v>Jack Hind</v>
      </c>
      <c r="C1166" s="3">
        <f>IFERROR(__xludf.DUMMYFUNCTION("""COMPUTED_VALUE"""),5.0)</f>
        <v>5</v>
      </c>
      <c r="D1166" s="3">
        <f t="shared" si="1"/>
        <v>0</v>
      </c>
    </row>
    <row r="1167">
      <c r="A1167" s="10">
        <f>IFERROR(__xludf.DUMMYFUNCTION("""COMPUTED_VALUE"""),45311.0)</f>
        <v>45311</v>
      </c>
      <c r="B1167" s="3" t="str">
        <f>IFERROR(__xludf.DUMMYFUNCTION("""COMPUTED_VALUE"""),"James Rodriguez")</f>
        <v>James Rodriguez</v>
      </c>
      <c r="C1167" s="3">
        <f>IFERROR(__xludf.DUMMYFUNCTION("""COMPUTED_VALUE"""),2.0)</f>
        <v>2</v>
      </c>
      <c r="D1167" s="3">
        <f t="shared" si="1"/>
        <v>0</v>
      </c>
    </row>
    <row r="1168">
      <c r="A1168" s="10">
        <f>IFERROR(__xludf.DUMMYFUNCTION("""COMPUTED_VALUE"""),45311.0)</f>
        <v>45311</v>
      </c>
      <c r="B1168" s="3" t="str">
        <f>IFERROR(__xludf.DUMMYFUNCTION("""COMPUTED_VALUE"""),"James Timmins")</f>
        <v>James Timmins</v>
      </c>
      <c r="C1168" s="3">
        <f>IFERROR(__xludf.DUMMYFUNCTION("""COMPUTED_VALUE"""),2.0)</f>
        <v>2</v>
      </c>
      <c r="D1168" s="3">
        <f t="shared" si="1"/>
        <v>0</v>
      </c>
    </row>
    <row r="1169">
      <c r="A1169" s="10">
        <f>IFERROR(__xludf.DUMMYFUNCTION("""COMPUTED_VALUE"""),45311.0)</f>
        <v>45311</v>
      </c>
      <c r="B1169" s="3" t="str">
        <f>IFERROR(__xludf.DUMMYFUNCTION("""COMPUTED_VALUE"""),"Jamie Dedman")</f>
        <v>Jamie Dedman</v>
      </c>
      <c r="C1169" s="3">
        <f>IFERROR(__xludf.DUMMYFUNCTION("""COMPUTED_VALUE"""),1.0)</f>
        <v>1</v>
      </c>
      <c r="D1169" s="3">
        <f t="shared" si="1"/>
        <v>0</v>
      </c>
    </row>
    <row r="1170">
      <c r="A1170" s="10">
        <f>IFERROR(__xludf.DUMMYFUNCTION("""COMPUTED_VALUE"""),45311.0)</f>
        <v>45311</v>
      </c>
      <c r="B1170" s="3" t="str">
        <f>IFERROR(__xludf.DUMMYFUNCTION("""COMPUTED_VALUE"""),"Jamie Wood")</f>
        <v>Jamie Wood</v>
      </c>
      <c r="C1170" s="3">
        <f>IFERROR(__xludf.DUMMYFUNCTION("""COMPUTED_VALUE"""),2.0)</f>
        <v>2</v>
      </c>
      <c r="D1170" s="3">
        <f t="shared" si="1"/>
        <v>0</v>
      </c>
    </row>
    <row r="1171">
      <c r="A1171" s="10">
        <f>IFERROR(__xludf.DUMMYFUNCTION("""COMPUTED_VALUE"""),45311.0)</f>
        <v>45311</v>
      </c>
      <c r="B1171" s="3" t="str">
        <f>IFERROR(__xludf.DUMMYFUNCTION("""COMPUTED_VALUE"""),"Janam Satra")</f>
        <v>Janam Satra</v>
      </c>
      <c r="C1171" s="3">
        <f>IFERROR(__xludf.DUMMYFUNCTION("""COMPUTED_VALUE"""),2.0)</f>
        <v>2</v>
      </c>
      <c r="D1171" s="3">
        <f t="shared" si="1"/>
        <v>0</v>
      </c>
    </row>
    <row r="1172">
      <c r="A1172" s="10">
        <f>IFERROR(__xludf.DUMMYFUNCTION("""COMPUTED_VALUE"""),45311.0)</f>
        <v>45311</v>
      </c>
      <c r="B1172" s="3" t="str">
        <f>IFERROR(__xludf.DUMMYFUNCTION("""COMPUTED_VALUE"""),"Jarvis Cheek")</f>
        <v>Jarvis Cheek</v>
      </c>
      <c r="C1172" s="3">
        <f>IFERROR(__xludf.DUMMYFUNCTION("""COMPUTED_VALUE"""),2.0)</f>
        <v>2</v>
      </c>
      <c r="D1172" s="3">
        <f t="shared" si="1"/>
        <v>0</v>
      </c>
    </row>
    <row r="1173">
      <c r="A1173" s="10">
        <f>IFERROR(__xludf.DUMMYFUNCTION("""COMPUTED_VALUE"""),45311.0)</f>
        <v>45311</v>
      </c>
      <c r="B1173" s="3" t="str">
        <f>IFERROR(__xludf.DUMMYFUNCTION("""COMPUTED_VALUE"""),"Jason Heath")</f>
        <v>Jason Heath</v>
      </c>
      <c r="C1173" s="3">
        <f>IFERROR(__xludf.DUMMYFUNCTION("""COMPUTED_VALUE"""),8.0)</f>
        <v>8</v>
      </c>
      <c r="D1173" s="3">
        <f t="shared" si="1"/>
        <v>0</v>
      </c>
    </row>
    <row r="1174">
      <c r="A1174" s="10">
        <f>IFERROR(__xludf.DUMMYFUNCTION("""COMPUTED_VALUE"""),45311.0)</f>
        <v>45311</v>
      </c>
      <c r="B1174" s="3" t="str">
        <f>IFERROR(__xludf.DUMMYFUNCTION("""COMPUTED_VALUE"""),"Jason Nwakaeze")</f>
        <v>Jason Nwakaeze</v>
      </c>
      <c r="C1174" s="3">
        <f>IFERROR(__xludf.DUMMYFUNCTION("""COMPUTED_VALUE"""),6.0)</f>
        <v>6</v>
      </c>
      <c r="D1174" s="3">
        <f t="shared" si="1"/>
        <v>0</v>
      </c>
    </row>
    <row r="1175">
      <c r="A1175" s="10">
        <f>IFERROR(__xludf.DUMMYFUNCTION("""COMPUTED_VALUE"""),45311.0)</f>
        <v>45311</v>
      </c>
      <c r="B1175" s="3" t="str">
        <f>IFERROR(__xludf.DUMMYFUNCTION("""COMPUTED_VALUE"""),"Joe Vincent")</f>
        <v>Joe Vincent</v>
      </c>
      <c r="C1175" s="3">
        <f>IFERROR(__xludf.DUMMYFUNCTION("""COMPUTED_VALUE"""),2.0)</f>
        <v>2</v>
      </c>
      <c r="D1175" s="3">
        <f t="shared" si="1"/>
        <v>0</v>
      </c>
    </row>
    <row r="1176">
      <c r="A1176" s="10">
        <f>IFERROR(__xludf.DUMMYFUNCTION("""COMPUTED_VALUE"""),45311.0)</f>
        <v>45311</v>
      </c>
      <c r="B1176" s="3" t="str">
        <f>IFERROR(__xludf.DUMMYFUNCTION("""COMPUTED_VALUE"""),"Joel Wright")</f>
        <v>Joel Wright</v>
      </c>
      <c r="C1176" s="3">
        <f>IFERROR(__xludf.DUMMYFUNCTION("""COMPUTED_VALUE"""),6.0)</f>
        <v>6</v>
      </c>
      <c r="D1176" s="3">
        <f t="shared" si="1"/>
        <v>0</v>
      </c>
    </row>
    <row r="1177">
      <c r="A1177" s="10">
        <f>IFERROR(__xludf.DUMMYFUNCTION("""COMPUTED_VALUE"""),45311.0)</f>
        <v>45311</v>
      </c>
      <c r="B1177" s="3" t="str">
        <f>IFERROR(__xludf.DUMMYFUNCTION("""COMPUTED_VALUE"""),"John Harrison")</f>
        <v>John Harrison</v>
      </c>
      <c r="C1177" s="3">
        <f>IFERROR(__xludf.DUMMYFUNCTION("""COMPUTED_VALUE"""),2.0)</f>
        <v>2</v>
      </c>
      <c r="D1177" s="3">
        <f t="shared" si="1"/>
        <v>0</v>
      </c>
    </row>
    <row r="1178">
      <c r="A1178" s="10">
        <f>IFERROR(__xludf.DUMMYFUNCTION("""COMPUTED_VALUE"""),45311.0)</f>
        <v>45311</v>
      </c>
      <c r="B1178" s="3" t="str">
        <f>IFERROR(__xludf.DUMMYFUNCTION("""COMPUTED_VALUE"""),"Jonny Simmons")</f>
        <v>Jonny Simmons</v>
      </c>
      <c r="C1178" s="3">
        <f>IFERROR(__xludf.DUMMYFUNCTION("""COMPUTED_VALUE"""),1.0)</f>
        <v>1</v>
      </c>
      <c r="D1178" s="3">
        <f t="shared" si="1"/>
        <v>0</v>
      </c>
    </row>
    <row r="1179">
      <c r="A1179" s="10">
        <f>IFERROR(__xludf.DUMMYFUNCTION("""COMPUTED_VALUE"""),45311.0)</f>
        <v>45311</v>
      </c>
      <c r="B1179" s="3" t="str">
        <f>IFERROR(__xludf.DUMMYFUNCTION("""COMPUTED_VALUE"""),"Josh Sherriff-Jolly")</f>
        <v>Josh Sherriff-Jolly</v>
      </c>
      <c r="C1179" s="3">
        <f>IFERROR(__xludf.DUMMYFUNCTION("""COMPUTED_VALUE"""),2.0)</f>
        <v>2</v>
      </c>
      <c r="D1179" s="3">
        <f t="shared" si="1"/>
        <v>0</v>
      </c>
    </row>
    <row r="1180">
      <c r="A1180" s="10">
        <f>IFERROR(__xludf.DUMMYFUNCTION("""COMPUTED_VALUE"""),45311.0)</f>
        <v>45311</v>
      </c>
      <c r="B1180" s="3" t="str">
        <f>IFERROR(__xludf.DUMMYFUNCTION("""COMPUTED_VALUE"""),"Keaton Cohen")</f>
        <v>Keaton Cohen</v>
      </c>
      <c r="C1180" s="3">
        <f>IFERROR(__xludf.DUMMYFUNCTION("""COMPUTED_VALUE"""),2.0)</f>
        <v>2</v>
      </c>
      <c r="D1180" s="3">
        <f t="shared" si="1"/>
        <v>0</v>
      </c>
    </row>
    <row r="1181">
      <c r="A1181" s="10">
        <f>IFERROR(__xludf.DUMMYFUNCTION("""COMPUTED_VALUE"""),45311.0)</f>
        <v>45311</v>
      </c>
      <c r="B1181" s="3" t="str">
        <f>IFERROR(__xludf.DUMMYFUNCTION("""COMPUTED_VALUE"""),"Kevin Gonzalez")</f>
        <v>Kevin Gonzalez</v>
      </c>
      <c r="C1181" s="3">
        <f>IFERROR(__xludf.DUMMYFUNCTION("""COMPUTED_VALUE"""),8.0)</f>
        <v>8</v>
      </c>
      <c r="D1181" s="3">
        <f t="shared" si="1"/>
        <v>0</v>
      </c>
    </row>
    <row r="1182">
      <c r="A1182" s="10">
        <f>IFERROR(__xludf.DUMMYFUNCTION("""COMPUTED_VALUE"""),45311.0)</f>
        <v>45311</v>
      </c>
      <c r="B1182" s="3" t="str">
        <f>IFERROR(__xludf.DUMMYFUNCTION("""COMPUTED_VALUE"""),"Luke Dyges")</f>
        <v>Luke Dyges</v>
      </c>
      <c r="C1182" s="3">
        <f>IFERROR(__xludf.DUMMYFUNCTION("""COMPUTED_VALUE"""),2.0)</f>
        <v>2</v>
      </c>
      <c r="D1182" s="3">
        <f t="shared" si="1"/>
        <v>0</v>
      </c>
    </row>
    <row r="1183">
      <c r="A1183" s="10">
        <f>IFERROR(__xludf.DUMMYFUNCTION("""COMPUTED_VALUE"""),45311.0)</f>
        <v>45311</v>
      </c>
      <c r="B1183" s="3" t="str">
        <f>IFERROR(__xludf.DUMMYFUNCTION("""COMPUTED_VALUE"""),"Mark Roberts")</f>
        <v>Mark Roberts</v>
      </c>
      <c r="C1183" s="3">
        <f>IFERROR(__xludf.DUMMYFUNCTION("""COMPUTED_VALUE"""),2.0)</f>
        <v>2</v>
      </c>
      <c r="D1183" s="3">
        <f t="shared" si="1"/>
        <v>0</v>
      </c>
    </row>
    <row r="1184">
      <c r="A1184" s="10">
        <f>IFERROR(__xludf.DUMMYFUNCTION("""COMPUTED_VALUE"""),45311.0)</f>
        <v>45311</v>
      </c>
      <c r="B1184" s="3" t="str">
        <f>IFERROR(__xludf.DUMMYFUNCTION("""COMPUTED_VALUE"""),"Martin Goodson")</f>
        <v>Martin Goodson</v>
      </c>
      <c r="C1184" s="3">
        <f>IFERROR(__xludf.DUMMYFUNCTION("""COMPUTED_VALUE"""),2.0)</f>
        <v>2</v>
      </c>
      <c r="D1184" s="3">
        <f t="shared" si="1"/>
        <v>0</v>
      </c>
    </row>
    <row r="1185">
      <c r="A1185" s="10">
        <f>IFERROR(__xludf.DUMMYFUNCTION("""COMPUTED_VALUE"""),45311.0)</f>
        <v>45311</v>
      </c>
      <c r="B1185" s="3" t="str">
        <f>IFERROR(__xludf.DUMMYFUNCTION("""COMPUTED_VALUE"""),"Masood Hamidi")</f>
        <v>Masood Hamidi</v>
      </c>
      <c r="C1185" s="3">
        <f>IFERROR(__xludf.DUMMYFUNCTION("""COMPUTED_VALUE"""),2.0)</f>
        <v>2</v>
      </c>
      <c r="D1185" s="3">
        <f t="shared" si="1"/>
        <v>0</v>
      </c>
    </row>
    <row r="1186">
      <c r="A1186" s="10">
        <f>IFERROR(__xludf.DUMMYFUNCTION("""COMPUTED_VALUE"""),45311.0)</f>
        <v>45311</v>
      </c>
      <c r="B1186" s="3" t="str">
        <f>IFERROR(__xludf.DUMMYFUNCTION("""COMPUTED_VALUE"""),"Matt Crowe")</f>
        <v>Matt Crowe</v>
      </c>
      <c r="C1186" s="3">
        <f>IFERROR(__xludf.DUMMYFUNCTION("""COMPUTED_VALUE"""),2.0)</f>
        <v>2</v>
      </c>
      <c r="D1186" s="3">
        <f t="shared" si="1"/>
        <v>0</v>
      </c>
    </row>
    <row r="1187">
      <c r="A1187" s="10">
        <f>IFERROR(__xludf.DUMMYFUNCTION("""COMPUTED_VALUE"""),45311.0)</f>
        <v>45311</v>
      </c>
      <c r="B1187" s="3" t="str">
        <f>IFERROR(__xludf.DUMMYFUNCTION("""COMPUTED_VALUE"""),"Max Miles")</f>
        <v>Max Miles</v>
      </c>
      <c r="C1187" s="3">
        <f>IFERROR(__xludf.DUMMYFUNCTION("""COMPUTED_VALUE"""),4.0)</f>
        <v>4</v>
      </c>
      <c r="D1187" s="3">
        <f t="shared" si="1"/>
        <v>0</v>
      </c>
    </row>
    <row r="1188">
      <c r="A1188" s="10">
        <f>IFERROR(__xludf.DUMMYFUNCTION("""COMPUTED_VALUE"""),45311.0)</f>
        <v>45311</v>
      </c>
      <c r="B1188" s="3" t="str">
        <f>IFERROR(__xludf.DUMMYFUNCTION("""COMPUTED_VALUE"""),"Max Watson")</f>
        <v>Max Watson</v>
      </c>
      <c r="C1188" s="3">
        <f>IFERROR(__xludf.DUMMYFUNCTION("""COMPUTED_VALUE"""),1.0)</f>
        <v>1</v>
      </c>
      <c r="D1188" s="3">
        <f t="shared" si="1"/>
        <v>0</v>
      </c>
    </row>
    <row r="1189">
      <c r="A1189" s="10">
        <f>IFERROR(__xludf.DUMMYFUNCTION("""COMPUTED_VALUE"""),45311.0)</f>
        <v>45311</v>
      </c>
      <c r="B1189" s="3" t="str">
        <f>IFERROR(__xludf.DUMMYFUNCTION("""COMPUTED_VALUE"""),"Nathan Baverstock")</f>
        <v>Nathan Baverstock</v>
      </c>
      <c r="C1189" s="3">
        <f>IFERROR(__xludf.DUMMYFUNCTION("""COMPUTED_VALUE"""),1.0)</f>
        <v>1</v>
      </c>
      <c r="D1189" s="3">
        <f t="shared" si="1"/>
        <v>0</v>
      </c>
    </row>
    <row r="1190">
      <c r="A1190" s="10">
        <f>IFERROR(__xludf.DUMMYFUNCTION("""COMPUTED_VALUE"""),45311.0)</f>
        <v>45311</v>
      </c>
      <c r="B1190" s="3" t="str">
        <f>IFERROR(__xludf.DUMMYFUNCTION("""COMPUTED_VALUE"""),"Nick Chimonides")</f>
        <v>Nick Chimonides</v>
      </c>
      <c r="C1190" s="3">
        <f>IFERROR(__xludf.DUMMYFUNCTION("""COMPUTED_VALUE"""),1.0)</f>
        <v>1</v>
      </c>
      <c r="D1190" s="3">
        <f t="shared" si="1"/>
        <v>0</v>
      </c>
    </row>
    <row r="1191">
      <c r="A1191" s="10">
        <f>IFERROR(__xludf.DUMMYFUNCTION("""COMPUTED_VALUE"""),45311.0)</f>
        <v>45311</v>
      </c>
      <c r="B1191" s="3" t="str">
        <f>IFERROR(__xludf.DUMMYFUNCTION("""COMPUTED_VALUE"""),"Nima Naghdi")</f>
        <v>Nima Naghdi</v>
      </c>
      <c r="C1191" s="3">
        <f>IFERROR(__xludf.DUMMYFUNCTION("""COMPUTED_VALUE"""),7.0)</f>
        <v>7</v>
      </c>
      <c r="D1191" s="3">
        <f t="shared" si="1"/>
        <v>0</v>
      </c>
    </row>
    <row r="1192">
      <c r="A1192" s="10">
        <f>IFERROR(__xludf.DUMMYFUNCTION("""COMPUTED_VALUE"""),45311.0)</f>
        <v>45311</v>
      </c>
      <c r="B1192" s="3" t="str">
        <f>IFERROR(__xludf.DUMMYFUNCTION("""COMPUTED_VALUE"""),"Oli Barton")</f>
        <v>Oli Barton</v>
      </c>
      <c r="C1192" s="3">
        <f>IFERROR(__xludf.DUMMYFUNCTION("""COMPUTED_VALUE"""),5.0)</f>
        <v>5</v>
      </c>
      <c r="D1192" s="3">
        <f t="shared" si="1"/>
        <v>0</v>
      </c>
    </row>
    <row r="1193">
      <c r="A1193" s="10">
        <f>IFERROR(__xludf.DUMMYFUNCTION("""COMPUTED_VALUE"""),45311.0)</f>
        <v>45311</v>
      </c>
      <c r="B1193" s="3" t="str">
        <f>IFERROR(__xludf.DUMMYFUNCTION("""COMPUTED_VALUE"""),"Ollie Sewell")</f>
        <v>Ollie Sewell</v>
      </c>
      <c r="C1193" s="3">
        <f>IFERROR(__xludf.DUMMYFUNCTION("""COMPUTED_VALUE"""),5.0)</f>
        <v>5</v>
      </c>
      <c r="D1193" s="3">
        <f t="shared" si="1"/>
        <v>0</v>
      </c>
    </row>
    <row r="1194">
      <c r="A1194" s="10">
        <f>IFERROR(__xludf.DUMMYFUNCTION("""COMPUTED_VALUE"""),45311.0)</f>
        <v>45311</v>
      </c>
      <c r="B1194" s="3" t="str">
        <f>IFERROR(__xludf.DUMMYFUNCTION("""COMPUTED_VALUE"""),"Paul Ball")</f>
        <v>Paul Ball</v>
      </c>
      <c r="C1194" s="3">
        <f>IFERROR(__xludf.DUMMYFUNCTION("""COMPUTED_VALUE"""),13.0)</f>
        <v>13</v>
      </c>
      <c r="D1194" s="3">
        <f t="shared" si="1"/>
        <v>0</v>
      </c>
    </row>
    <row r="1195">
      <c r="A1195" s="10">
        <f>IFERROR(__xludf.DUMMYFUNCTION("""COMPUTED_VALUE"""),45311.0)</f>
        <v>45311</v>
      </c>
      <c r="B1195" s="3" t="str">
        <f>IFERROR(__xludf.DUMMYFUNCTION("""COMPUTED_VALUE"""),"Peter Green")</f>
        <v>Peter Green</v>
      </c>
      <c r="C1195" s="3">
        <f>IFERROR(__xludf.DUMMYFUNCTION("""COMPUTED_VALUE"""),2.0)</f>
        <v>2</v>
      </c>
      <c r="D1195" s="3">
        <f t="shared" si="1"/>
        <v>0</v>
      </c>
    </row>
    <row r="1196">
      <c r="A1196" s="10">
        <f>IFERROR(__xludf.DUMMYFUNCTION("""COMPUTED_VALUE"""),45311.0)</f>
        <v>45311</v>
      </c>
      <c r="B1196" s="3" t="str">
        <f>IFERROR(__xludf.DUMMYFUNCTION("""COMPUTED_VALUE"""),"Rich Lundie")</f>
        <v>Rich Lundie</v>
      </c>
      <c r="C1196" s="3">
        <f>IFERROR(__xludf.DUMMYFUNCTION("""COMPUTED_VALUE"""),19.0)</f>
        <v>19</v>
      </c>
      <c r="D1196" s="3">
        <f t="shared" si="1"/>
        <v>1</v>
      </c>
    </row>
    <row r="1197">
      <c r="A1197" s="10">
        <f>IFERROR(__xludf.DUMMYFUNCTION("""COMPUTED_VALUE"""),45311.0)</f>
        <v>45311</v>
      </c>
      <c r="B1197" s="3" t="str">
        <f>IFERROR(__xludf.DUMMYFUNCTION("""COMPUTED_VALUE"""),"Sam A'Court")</f>
        <v>Sam A'Court</v>
      </c>
      <c r="C1197" s="3">
        <f>IFERROR(__xludf.DUMMYFUNCTION("""COMPUTED_VALUE"""),2.0)</f>
        <v>2</v>
      </c>
      <c r="D1197" s="3">
        <f t="shared" si="1"/>
        <v>0</v>
      </c>
    </row>
    <row r="1198">
      <c r="A1198" s="10">
        <f>IFERROR(__xludf.DUMMYFUNCTION("""COMPUTED_VALUE"""),45311.0)</f>
        <v>45311</v>
      </c>
      <c r="B1198" s="3" t="str">
        <f>IFERROR(__xludf.DUMMYFUNCTION("""COMPUTED_VALUE"""),"Sean Rowlett")</f>
        <v>Sean Rowlett</v>
      </c>
      <c r="C1198" s="3">
        <f>IFERROR(__xludf.DUMMYFUNCTION("""COMPUTED_VALUE"""),4.0)</f>
        <v>4</v>
      </c>
      <c r="D1198" s="3">
        <f t="shared" si="1"/>
        <v>0</v>
      </c>
    </row>
    <row r="1199">
      <c r="A1199" s="10">
        <f>IFERROR(__xludf.DUMMYFUNCTION("""COMPUTED_VALUE"""),45311.0)</f>
        <v>45311</v>
      </c>
      <c r="B1199" s="3" t="str">
        <f>IFERROR(__xludf.DUMMYFUNCTION("""COMPUTED_VALUE"""),"Seb Curle")</f>
        <v>Seb Curle</v>
      </c>
      <c r="C1199" s="3">
        <f>IFERROR(__xludf.DUMMYFUNCTION("""COMPUTED_VALUE"""),6.0)</f>
        <v>6</v>
      </c>
      <c r="D1199" s="3">
        <f t="shared" si="1"/>
        <v>0</v>
      </c>
    </row>
    <row r="1200">
      <c r="A1200" s="10">
        <f>IFERROR(__xludf.DUMMYFUNCTION("""COMPUTED_VALUE"""),45311.0)</f>
        <v>45311</v>
      </c>
      <c r="B1200" s="3" t="str">
        <f>IFERROR(__xludf.DUMMYFUNCTION("""COMPUTED_VALUE"""),"Sid Nayaar")</f>
        <v>Sid Nayaar</v>
      </c>
      <c r="C1200" s="3">
        <f>IFERROR(__xludf.DUMMYFUNCTION("""COMPUTED_VALUE"""),2.0)</f>
        <v>2</v>
      </c>
      <c r="D1200" s="3">
        <f t="shared" si="1"/>
        <v>0</v>
      </c>
    </row>
    <row r="1201">
      <c r="A1201" s="10">
        <f>IFERROR(__xludf.DUMMYFUNCTION("""COMPUTED_VALUE"""),45311.0)</f>
        <v>45311</v>
      </c>
      <c r="B1201" s="3" t="str">
        <f>IFERROR(__xludf.DUMMYFUNCTION("""COMPUTED_VALUE"""),"Sidney Hopper-Kelly")</f>
        <v>Sidney Hopper-Kelly</v>
      </c>
      <c r="C1201" s="3">
        <f>IFERROR(__xludf.DUMMYFUNCTION("""COMPUTED_VALUE"""),11.0)</f>
        <v>11</v>
      </c>
      <c r="D1201" s="3">
        <f t="shared" si="1"/>
        <v>0</v>
      </c>
    </row>
    <row r="1202">
      <c r="A1202" s="10">
        <f>IFERROR(__xludf.DUMMYFUNCTION("""COMPUTED_VALUE"""),45311.0)</f>
        <v>45311</v>
      </c>
      <c r="B1202" s="3" t="str">
        <f>IFERROR(__xludf.DUMMYFUNCTION("""COMPUTED_VALUE"""),"Stanley Timms")</f>
        <v>Stanley Timms</v>
      </c>
      <c r="C1202" s="3">
        <f>IFERROR(__xludf.DUMMYFUNCTION("""COMPUTED_VALUE"""),7.0)</f>
        <v>7</v>
      </c>
      <c r="D1202" s="3">
        <f t="shared" si="1"/>
        <v>0</v>
      </c>
    </row>
    <row r="1203">
      <c r="A1203" s="10">
        <f>IFERROR(__xludf.DUMMYFUNCTION("""COMPUTED_VALUE"""),45311.0)</f>
        <v>45311</v>
      </c>
      <c r="B1203" s="3" t="str">
        <f>IFERROR(__xludf.DUMMYFUNCTION("""COMPUTED_VALUE"""),"Tam de Lacey")</f>
        <v>Tam de Lacey</v>
      </c>
      <c r="C1203" s="3">
        <f>IFERROR(__xludf.DUMMYFUNCTION("""COMPUTED_VALUE"""),1.0)</f>
        <v>1</v>
      </c>
      <c r="D1203" s="3">
        <f t="shared" si="1"/>
        <v>0</v>
      </c>
    </row>
    <row r="1204">
      <c r="A1204" s="10">
        <f>IFERROR(__xludf.DUMMYFUNCTION("""COMPUTED_VALUE"""),45311.0)</f>
        <v>45311</v>
      </c>
      <c r="B1204" s="3" t="str">
        <f>IFERROR(__xludf.DUMMYFUNCTION("""COMPUTED_VALUE"""),"Theo Horton")</f>
        <v>Theo Horton</v>
      </c>
      <c r="C1204" s="3">
        <f>IFERROR(__xludf.DUMMYFUNCTION("""COMPUTED_VALUE"""),2.0)</f>
        <v>2</v>
      </c>
      <c r="D1204" s="3">
        <f t="shared" si="1"/>
        <v>0</v>
      </c>
    </row>
    <row r="1205">
      <c r="A1205" s="10">
        <f>IFERROR(__xludf.DUMMYFUNCTION("""COMPUTED_VALUE"""),45311.0)</f>
        <v>45311</v>
      </c>
      <c r="B1205" s="3" t="str">
        <f>IFERROR(__xludf.DUMMYFUNCTION("""COMPUTED_VALUE"""),"Tom Riley")</f>
        <v>Tom Riley</v>
      </c>
      <c r="C1205" s="3">
        <f>IFERROR(__xludf.DUMMYFUNCTION("""COMPUTED_VALUE"""),2.0)</f>
        <v>2</v>
      </c>
      <c r="D1205" s="3">
        <f t="shared" si="1"/>
        <v>0</v>
      </c>
    </row>
    <row r="1206">
      <c r="A1206" s="10">
        <f>IFERROR(__xludf.DUMMYFUNCTION("""COMPUTED_VALUE"""),45311.0)</f>
        <v>45311</v>
      </c>
      <c r="B1206" s="3" t="str">
        <f>IFERROR(__xludf.DUMMYFUNCTION("""COMPUTED_VALUE"""),"Tom Taylor")</f>
        <v>Tom Taylor</v>
      </c>
      <c r="C1206" s="3">
        <f>IFERROR(__xludf.DUMMYFUNCTION("""COMPUTED_VALUE"""),7.0)</f>
        <v>7</v>
      </c>
      <c r="D1206" s="3">
        <f t="shared" si="1"/>
        <v>0</v>
      </c>
    </row>
    <row r="1207">
      <c r="A1207" s="10">
        <f>IFERROR(__xludf.DUMMYFUNCTION("""COMPUTED_VALUE"""),45311.0)</f>
        <v>45311</v>
      </c>
      <c r="B1207" s="3" t="str">
        <f>IFERROR(__xludf.DUMMYFUNCTION("""COMPUTED_VALUE"""),"Will French")</f>
        <v>Will French</v>
      </c>
      <c r="C1207" s="3">
        <f>IFERROR(__xludf.DUMMYFUNCTION("""COMPUTED_VALUE"""),2.0)</f>
        <v>2</v>
      </c>
      <c r="D1207" s="3">
        <f t="shared" si="1"/>
        <v>0</v>
      </c>
    </row>
    <row r="1208">
      <c r="A1208" s="10">
        <f>IFERROR(__xludf.DUMMYFUNCTION("""COMPUTED_VALUE"""),45311.0)</f>
        <v>45311</v>
      </c>
      <c r="B1208" s="3" t="str">
        <f>IFERROR(__xludf.DUMMYFUNCTION("""COMPUTED_VALUE"""),"Will Sollory")</f>
        <v>Will Sollory</v>
      </c>
      <c r="C1208" s="3">
        <f>IFERROR(__xludf.DUMMYFUNCTION("""COMPUTED_VALUE"""),2.0)</f>
        <v>2</v>
      </c>
      <c r="D1208" s="3">
        <f t="shared" si="1"/>
        <v>0</v>
      </c>
    </row>
    <row r="1209">
      <c r="A1209" s="10">
        <f>IFERROR(__xludf.DUMMYFUNCTION("""COMPUTED_VALUE"""),45311.0)</f>
        <v>45311</v>
      </c>
      <c r="B1209" s="3" t="str">
        <f>IFERROR(__xludf.DUMMYFUNCTION("""COMPUTED_VALUE"""),"Yemi Oviosu")</f>
        <v>Yemi Oviosu</v>
      </c>
      <c r="C1209" s="3">
        <f>IFERROR(__xludf.DUMMYFUNCTION("""COMPUTED_VALUE"""),2.0)</f>
        <v>2</v>
      </c>
      <c r="D1209" s="3">
        <f t="shared" si="1"/>
        <v>0</v>
      </c>
    </row>
    <row r="1210">
      <c r="A1210" s="10">
        <f>IFERROR(__xludf.DUMMYFUNCTION("""COMPUTED_VALUE"""),45318.0)</f>
        <v>45318</v>
      </c>
      <c r="B1210" s="3" t="str">
        <f>IFERROR(__xludf.DUMMYFUNCTION("""COMPUTED_VALUE"""),"Aaron Snelling")</f>
        <v>Aaron Snelling</v>
      </c>
      <c r="C1210" s="3">
        <f>IFERROR(__xludf.DUMMYFUNCTION("""COMPUTED_VALUE"""),1.0)</f>
        <v>1</v>
      </c>
      <c r="D1210" s="3">
        <f t="shared" si="1"/>
        <v>0</v>
      </c>
    </row>
    <row r="1211">
      <c r="A1211" s="10">
        <f>IFERROR(__xludf.DUMMYFUNCTION("""COMPUTED_VALUE"""),45318.0)</f>
        <v>45318</v>
      </c>
      <c r="B1211" s="3" t="str">
        <f>IFERROR(__xludf.DUMMYFUNCTION("""COMPUTED_VALUE"""),"Ade Lawal")</f>
        <v>Ade Lawal</v>
      </c>
      <c r="C1211" s="3">
        <f>IFERROR(__xludf.DUMMYFUNCTION("""COMPUTED_VALUE"""),8.0)</f>
        <v>8</v>
      </c>
      <c r="D1211" s="3">
        <f t="shared" si="1"/>
        <v>0</v>
      </c>
    </row>
    <row r="1212">
      <c r="A1212" s="10">
        <f>IFERROR(__xludf.DUMMYFUNCTION("""COMPUTED_VALUE"""),45318.0)</f>
        <v>45318</v>
      </c>
      <c r="B1212" s="3" t="str">
        <f>IFERROR(__xludf.DUMMYFUNCTION("""COMPUTED_VALUE"""),"Alex Dockerill")</f>
        <v>Alex Dockerill</v>
      </c>
      <c r="C1212" s="3">
        <f>IFERROR(__xludf.DUMMYFUNCTION("""COMPUTED_VALUE"""),2.0)</f>
        <v>2</v>
      </c>
      <c r="D1212" s="3">
        <f t="shared" si="1"/>
        <v>0</v>
      </c>
    </row>
    <row r="1213">
      <c r="A1213" s="10">
        <f>IFERROR(__xludf.DUMMYFUNCTION("""COMPUTED_VALUE"""),45318.0)</f>
        <v>45318</v>
      </c>
      <c r="B1213" s="3" t="str">
        <f>IFERROR(__xludf.DUMMYFUNCTION("""COMPUTED_VALUE"""),"Alex Scott-Ruddock")</f>
        <v>Alex Scott-Ruddock</v>
      </c>
      <c r="C1213" s="3">
        <f>IFERROR(__xludf.DUMMYFUNCTION("""COMPUTED_VALUE"""),8.0)</f>
        <v>8</v>
      </c>
      <c r="D1213" s="3">
        <f t="shared" si="1"/>
        <v>0</v>
      </c>
    </row>
    <row r="1214">
      <c r="A1214" s="10">
        <f>IFERROR(__xludf.DUMMYFUNCTION("""COMPUTED_VALUE"""),45318.0)</f>
        <v>45318</v>
      </c>
      <c r="B1214" s="3" t="str">
        <f>IFERROR(__xludf.DUMMYFUNCTION("""COMPUTED_VALUE"""),"Alex Stevens")</f>
        <v>Alex Stevens</v>
      </c>
      <c r="C1214" s="3">
        <f>IFERROR(__xludf.DUMMYFUNCTION("""COMPUTED_VALUE"""),2.0)</f>
        <v>2</v>
      </c>
      <c r="D1214" s="3">
        <f t="shared" si="1"/>
        <v>0</v>
      </c>
    </row>
    <row r="1215">
      <c r="A1215" s="10">
        <f>IFERROR(__xludf.DUMMYFUNCTION("""COMPUTED_VALUE"""),45318.0)</f>
        <v>45318</v>
      </c>
      <c r="B1215" s="3" t="str">
        <f>IFERROR(__xludf.DUMMYFUNCTION("""COMPUTED_VALUE"""),"Andres Ahlgren")</f>
        <v>Andres Ahlgren</v>
      </c>
      <c r="C1215" s="3">
        <f>IFERROR(__xludf.DUMMYFUNCTION("""COMPUTED_VALUE"""),9.0)</f>
        <v>9</v>
      </c>
      <c r="D1215" s="3">
        <f t="shared" si="1"/>
        <v>0</v>
      </c>
    </row>
    <row r="1216">
      <c r="A1216" s="10">
        <f>IFERROR(__xludf.DUMMYFUNCTION("""COMPUTED_VALUE"""),45318.0)</f>
        <v>45318</v>
      </c>
      <c r="B1216" s="3" t="str">
        <f>IFERROR(__xludf.DUMMYFUNCTION("""COMPUTED_VALUE"""),"Andrew Barclay")</f>
        <v>Andrew Barclay</v>
      </c>
      <c r="C1216" s="3">
        <f>IFERROR(__xludf.DUMMYFUNCTION("""COMPUTED_VALUE"""),2.0)</f>
        <v>2</v>
      </c>
      <c r="D1216" s="3">
        <f t="shared" si="1"/>
        <v>0</v>
      </c>
    </row>
    <row r="1217">
      <c r="A1217" s="10">
        <f>IFERROR(__xludf.DUMMYFUNCTION("""COMPUTED_VALUE"""),45318.0)</f>
        <v>45318</v>
      </c>
      <c r="B1217" s="3" t="str">
        <f>IFERROR(__xludf.DUMMYFUNCTION("""COMPUTED_VALUE"""),"Ash Mayers")</f>
        <v>Ash Mayers</v>
      </c>
      <c r="C1217" s="3">
        <f>IFERROR(__xludf.DUMMYFUNCTION("""COMPUTED_VALUE"""),2.0)</f>
        <v>2</v>
      </c>
      <c r="D1217" s="3">
        <f t="shared" si="1"/>
        <v>0</v>
      </c>
    </row>
    <row r="1218">
      <c r="A1218" s="10">
        <f>IFERROR(__xludf.DUMMYFUNCTION("""COMPUTED_VALUE"""),45318.0)</f>
        <v>45318</v>
      </c>
      <c r="B1218" s="3" t="str">
        <f>IFERROR(__xludf.DUMMYFUNCTION("""COMPUTED_VALUE"""),"Calum Bennett")</f>
        <v>Calum Bennett</v>
      </c>
      <c r="C1218" s="3">
        <f>IFERROR(__xludf.DUMMYFUNCTION("""COMPUTED_VALUE"""),4.0)</f>
        <v>4</v>
      </c>
      <c r="D1218" s="3">
        <f t="shared" si="1"/>
        <v>0</v>
      </c>
    </row>
    <row r="1219">
      <c r="A1219" s="10">
        <f>IFERROR(__xludf.DUMMYFUNCTION("""COMPUTED_VALUE"""),45318.0)</f>
        <v>45318</v>
      </c>
      <c r="B1219" s="3" t="str">
        <f>IFERROR(__xludf.DUMMYFUNCTION("""COMPUTED_VALUE"""),"Cameron Pashley")</f>
        <v>Cameron Pashley</v>
      </c>
      <c r="C1219" s="3">
        <f>IFERROR(__xludf.DUMMYFUNCTION("""COMPUTED_VALUE"""),8.0)</f>
        <v>8</v>
      </c>
      <c r="D1219" s="3">
        <f t="shared" si="1"/>
        <v>0</v>
      </c>
    </row>
    <row r="1220">
      <c r="A1220" s="10">
        <f>IFERROR(__xludf.DUMMYFUNCTION("""COMPUTED_VALUE"""),45318.0)</f>
        <v>45318</v>
      </c>
      <c r="B1220" s="3" t="str">
        <f>IFERROR(__xludf.DUMMYFUNCTION("""COMPUTED_VALUE"""),"Chris Douthwaite")</f>
        <v>Chris Douthwaite</v>
      </c>
      <c r="C1220" s="3">
        <f>IFERROR(__xludf.DUMMYFUNCTION("""COMPUTED_VALUE"""),2.0)</f>
        <v>2</v>
      </c>
      <c r="D1220" s="3">
        <f t="shared" si="1"/>
        <v>0</v>
      </c>
    </row>
    <row r="1221">
      <c r="A1221" s="10">
        <f>IFERROR(__xludf.DUMMYFUNCTION("""COMPUTED_VALUE"""),45318.0)</f>
        <v>45318</v>
      </c>
      <c r="B1221" s="3" t="str">
        <f>IFERROR(__xludf.DUMMYFUNCTION("""COMPUTED_VALUE"""),"Chris Marx")</f>
        <v>Chris Marx</v>
      </c>
      <c r="C1221" s="3">
        <f>IFERROR(__xludf.DUMMYFUNCTION("""COMPUTED_VALUE"""),2.0)</f>
        <v>2</v>
      </c>
      <c r="D1221" s="3">
        <f t="shared" si="1"/>
        <v>0</v>
      </c>
    </row>
    <row r="1222">
      <c r="A1222" s="10">
        <f>IFERROR(__xludf.DUMMYFUNCTION("""COMPUTED_VALUE"""),45318.0)</f>
        <v>45318</v>
      </c>
      <c r="B1222" s="3" t="str">
        <f>IFERROR(__xludf.DUMMYFUNCTION("""COMPUTED_VALUE"""),"Ciaran Curran")</f>
        <v>Ciaran Curran</v>
      </c>
      <c r="C1222" s="3">
        <f>IFERROR(__xludf.DUMMYFUNCTION("""COMPUTED_VALUE"""),2.0)</f>
        <v>2</v>
      </c>
      <c r="D1222" s="3">
        <f t="shared" si="1"/>
        <v>0</v>
      </c>
    </row>
    <row r="1223">
      <c r="A1223" s="10">
        <f>IFERROR(__xludf.DUMMYFUNCTION("""COMPUTED_VALUE"""),45318.0)</f>
        <v>45318</v>
      </c>
      <c r="B1223" s="3" t="str">
        <f>IFERROR(__xludf.DUMMYFUNCTION("""COMPUTED_VALUE"""),"Connor White")</f>
        <v>Connor White</v>
      </c>
      <c r="C1223" s="3">
        <f>IFERROR(__xludf.DUMMYFUNCTION("""COMPUTED_VALUE"""),8.0)</f>
        <v>8</v>
      </c>
      <c r="D1223" s="3">
        <f t="shared" si="1"/>
        <v>0</v>
      </c>
    </row>
    <row r="1224">
      <c r="A1224" s="10">
        <f>IFERROR(__xludf.DUMMYFUNCTION("""COMPUTED_VALUE"""),45318.0)</f>
        <v>45318</v>
      </c>
      <c r="B1224" s="3" t="str">
        <f>IFERROR(__xludf.DUMMYFUNCTION("""COMPUTED_VALUE"""),"Dan Russell")</f>
        <v>Dan Russell</v>
      </c>
      <c r="C1224" s="3">
        <f>IFERROR(__xludf.DUMMYFUNCTION("""COMPUTED_VALUE"""),10.0)</f>
        <v>10</v>
      </c>
      <c r="D1224" s="3">
        <f t="shared" si="1"/>
        <v>0</v>
      </c>
    </row>
    <row r="1225">
      <c r="A1225" s="10">
        <f>IFERROR(__xludf.DUMMYFUNCTION("""COMPUTED_VALUE"""),45318.0)</f>
        <v>45318</v>
      </c>
      <c r="B1225" s="3" t="str">
        <f>IFERROR(__xludf.DUMMYFUNCTION("""COMPUTED_VALUE"""),"Daniel Sheehan")</f>
        <v>Daniel Sheehan</v>
      </c>
      <c r="C1225" s="3">
        <f>IFERROR(__xludf.DUMMYFUNCTION("""COMPUTED_VALUE"""),3.0)</f>
        <v>3</v>
      </c>
      <c r="D1225" s="3">
        <f t="shared" si="1"/>
        <v>0</v>
      </c>
    </row>
    <row r="1226">
      <c r="A1226" s="10">
        <f>IFERROR(__xludf.DUMMYFUNCTION("""COMPUTED_VALUE"""),45318.0)</f>
        <v>45318</v>
      </c>
      <c r="B1226" s="3" t="str">
        <f>IFERROR(__xludf.DUMMYFUNCTION("""COMPUTED_VALUE"""),"Dean Wright")</f>
        <v>Dean Wright</v>
      </c>
      <c r="C1226" s="3">
        <f>IFERROR(__xludf.DUMMYFUNCTION("""COMPUTED_VALUE"""),5.0)</f>
        <v>5</v>
      </c>
      <c r="D1226" s="3">
        <f t="shared" si="1"/>
        <v>0</v>
      </c>
    </row>
    <row r="1227">
      <c r="A1227" s="10">
        <f>IFERROR(__xludf.DUMMYFUNCTION("""COMPUTED_VALUE"""),45318.0)</f>
        <v>45318</v>
      </c>
      <c r="B1227" s="3" t="str">
        <f>IFERROR(__xludf.DUMMYFUNCTION("""COMPUTED_VALUE"""),"Deji Ogunyemi")</f>
        <v>Deji Ogunyemi</v>
      </c>
      <c r="C1227" s="3">
        <f>IFERROR(__xludf.DUMMYFUNCTION("""COMPUTED_VALUE"""),2.0)</f>
        <v>2</v>
      </c>
      <c r="D1227" s="3">
        <f t="shared" si="1"/>
        <v>0</v>
      </c>
    </row>
    <row r="1228">
      <c r="A1228" s="10">
        <f>IFERROR(__xludf.DUMMYFUNCTION("""COMPUTED_VALUE"""),45318.0)</f>
        <v>45318</v>
      </c>
      <c r="B1228" s="3" t="str">
        <f>IFERROR(__xludf.DUMMYFUNCTION("""COMPUTED_VALUE"""),"Denver Lalonde")</f>
        <v>Denver Lalonde</v>
      </c>
      <c r="C1228" s="3">
        <f>IFERROR(__xludf.DUMMYFUNCTION("""COMPUTED_VALUE"""),2.0)</f>
        <v>2</v>
      </c>
      <c r="D1228" s="3">
        <f t="shared" si="1"/>
        <v>0</v>
      </c>
    </row>
    <row r="1229">
      <c r="A1229" s="10">
        <f>IFERROR(__xludf.DUMMYFUNCTION("""COMPUTED_VALUE"""),45318.0)</f>
        <v>45318</v>
      </c>
      <c r="B1229" s="3" t="str">
        <f>IFERROR(__xludf.DUMMYFUNCTION("""COMPUTED_VALUE"""),"Ellis Forrester")</f>
        <v>Ellis Forrester</v>
      </c>
      <c r="C1229" s="3">
        <f>IFERROR(__xludf.DUMMYFUNCTION("""COMPUTED_VALUE"""),1.0)</f>
        <v>1</v>
      </c>
      <c r="D1229" s="3">
        <f t="shared" si="1"/>
        <v>0</v>
      </c>
    </row>
    <row r="1230">
      <c r="A1230" s="10">
        <f>IFERROR(__xludf.DUMMYFUNCTION("""COMPUTED_VALUE"""),45318.0)</f>
        <v>45318</v>
      </c>
      <c r="B1230" s="3" t="str">
        <f>IFERROR(__xludf.DUMMYFUNCTION("""COMPUTED_VALUE"""),"Emi Muhadri")</f>
        <v>Emi Muhadri</v>
      </c>
      <c r="C1230" s="3">
        <f>IFERROR(__xludf.DUMMYFUNCTION("""COMPUTED_VALUE"""),9.0)</f>
        <v>9</v>
      </c>
      <c r="D1230" s="3">
        <f t="shared" si="1"/>
        <v>0</v>
      </c>
    </row>
    <row r="1231">
      <c r="A1231" s="10">
        <f>IFERROR(__xludf.DUMMYFUNCTION("""COMPUTED_VALUE"""),45318.0)</f>
        <v>45318</v>
      </c>
      <c r="B1231" s="3" t="str">
        <f>IFERROR(__xludf.DUMMYFUNCTION("""COMPUTED_VALUE"""),"Fraser Wylie")</f>
        <v>Fraser Wylie</v>
      </c>
      <c r="C1231" s="3">
        <f>IFERROR(__xludf.DUMMYFUNCTION("""COMPUTED_VALUE"""),2.0)</f>
        <v>2</v>
      </c>
      <c r="D1231" s="3">
        <f t="shared" si="1"/>
        <v>0</v>
      </c>
    </row>
    <row r="1232">
      <c r="A1232" s="10">
        <f>IFERROR(__xludf.DUMMYFUNCTION("""COMPUTED_VALUE"""),45318.0)</f>
        <v>45318</v>
      </c>
      <c r="B1232" s="3" t="str">
        <f>IFERROR(__xludf.DUMMYFUNCTION("""COMPUTED_VALUE"""),"George Havord")</f>
        <v>George Havord</v>
      </c>
      <c r="C1232" s="3">
        <f>IFERROR(__xludf.DUMMYFUNCTION("""COMPUTED_VALUE"""),1.0)</f>
        <v>1</v>
      </c>
      <c r="D1232" s="3">
        <f t="shared" si="1"/>
        <v>0</v>
      </c>
    </row>
    <row r="1233">
      <c r="A1233" s="10">
        <f>IFERROR(__xludf.DUMMYFUNCTION("""COMPUTED_VALUE"""),45318.0)</f>
        <v>45318</v>
      </c>
      <c r="B1233" s="3" t="str">
        <f>IFERROR(__xludf.DUMMYFUNCTION("""COMPUTED_VALUE"""),"Harold Kiyingi")</f>
        <v>Harold Kiyingi</v>
      </c>
      <c r="C1233" s="3">
        <f>IFERROR(__xludf.DUMMYFUNCTION("""COMPUTED_VALUE"""),2.0)</f>
        <v>2</v>
      </c>
      <c r="D1233" s="3">
        <f t="shared" si="1"/>
        <v>0</v>
      </c>
    </row>
    <row r="1234">
      <c r="A1234" s="10">
        <f>IFERROR(__xludf.DUMMYFUNCTION("""COMPUTED_VALUE"""),45318.0)</f>
        <v>45318</v>
      </c>
      <c r="B1234" s="3" t="str">
        <f>IFERROR(__xludf.DUMMYFUNCTION("""COMPUTED_VALUE"""),"Harry Fripp")</f>
        <v>Harry Fripp</v>
      </c>
      <c r="C1234" s="3">
        <f>IFERROR(__xludf.DUMMYFUNCTION("""COMPUTED_VALUE"""),4.0)</f>
        <v>4</v>
      </c>
      <c r="D1234" s="3">
        <f t="shared" si="1"/>
        <v>0</v>
      </c>
    </row>
    <row r="1235">
      <c r="A1235" s="10">
        <f>IFERROR(__xludf.DUMMYFUNCTION("""COMPUTED_VALUE"""),45318.0)</f>
        <v>45318</v>
      </c>
      <c r="B1235" s="3" t="str">
        <f>IFERROR(__xludf.DUMMYFUNCTION("""COMPUTED_VALUE"""),"Jabari Dixon")</f>
        <v>Jabari Dixon</v>
      </c>
      <c r="C1235" s="3">
        <f>IFERROR(__xludf.DUMMYFUNCTION("""COMPUTED_VALUE"""),1.0)</f>
        <v>1</v>
      </c>
      <c r="D1235" s="3">
        <f t="shared" si="1"/>
        <v>0</v>
      </c>
    </row>
    <row r="1236">
      <c r="A1236" s="10">
        <f>IFERROR(__xludf.DUMMYFUNCTION("""COMPUTED_VALUE"""),45318.0)</f>
        <v>45318</v>
      </c>
      <c r="B1236" s="3" t="str">
        <f>IFERROR(__xludf.DUMMYFUNCTION("""COMPUTED_VALUE"""),"Jack Harris")</f>
        <v>Jack Harris</v>
      </c>
      <c r="C1236" s="3">
        <f>IFERROR(__xludf.DUMMYFUNCTION("""COMPUTED_VALUE"""),8.0)</f>
        <v>8</v>
      </c>
      <c r="D1236" s="3">
        <f t="shared" si="1"/>
        <v>0</v>
      </c>
    </row>
    <row r="1237">
      <c r="A1237" s="10">
        <f>IFERROR(__xludf.DUMMYFUNCTION("""COMPUTED_VALUE"""),45318.0)</f>
        <v>45318</v>
      </c>
      <c r="B1237" s="3" t="str">
        <f>IFERROR(__xludf.DUMMYFUNCTION("""COMPUTED_VALUE"""),"Jack Hind")</f>
        <v>Jack Hind</v>
      </c>
      <c r="C1237" s="3">
        <f>IFERROR(__xludf.DUMMYFUNCTION("""COMPUTED_VALUE"""),2.0)</f>
        <v>2</v>
      </c>
      <c r="D1237" s="3">
        <f t="shared" si="1"/>
        <v>0</v>
      </c>
    </row>
    <row r="1238">
      <c r="A1238" s="10">
        <f>IFERROR(__xludf.DUMMYFUNCTION("""COMPUTED_VALUE"""),45318.0)</f>
        <v>45318</v>
      </c>
      <c r="B1238" s="3" t="str">
        <f>IFERROR(__xludf.DUMMYFUNCTION("""COMPUTED_VALUE"""),"James Rodriguez")</f>
        <v>James Rodriguez</v>
      </c>
      <c r="C1238" s="3">
        <f>IFERROR(__xludf.DUMMYFUNCTION("""COMPUTED_VALUE"""),2.0)</f>
        <v>2</v>
      </c>
      <c r="D1238" s="3">
        <f t="shared" si="1"/>
        <v>0</v>
      </c>
    </row>
    <row r="1239">
      <c r="A1239" s="10">
        <f>IFERROR(__xludf.DUMMYFUNCTION("""COMPUTED_VALUE"""),45318.0)</f>
        <v>45318</v>
      </c>
      <c r="B1239" s="3" t="str">
        <f>IFERROR(__xludf.DUMMYFUNCTION("""COMPUTED_VALUE"""),"James Timmins")</f>
        <v>James Timmins</v>
      </c>
      <c r="C1239" s="3">
        <f>IFERROR(__xludf.DUMMYFUNCTION("""COMPUTED_VALUE"""),2.0)</f>
        <v>2</v>
      </c>
      <c r="D1239" s="3">
        <f t="shared" si="1"/>
        <v>0</v>
      </c>
    </row>
    <row r="1240">
      <c r="A1240" s="10">
        <f>IFERROR(__xludf.DUMMYFUNCTION("""COMPUTED_VALUE"""),45318.0)</f>
        <v>45318</v>
      </c>
      <c r="B1240" s="3" t="str">
        <f>IFERROR(__xludf.DUMMYFUNCTION("""COMPUTED_VALUE"""),"Jamie Arkell")</f>
        <v>Jamie Arkell</v>
      </c>
      <c r="C1240" s="3">
        <f>IFERROR(__xludf.DUMMYFUNCTION("""COMPUTED_VALUE"""),2.0)</f>
        <v>2</v>
      </c>
      <c r="D1240" s="3">
        <f t="shared" si="1"/>
        <v>0</v>
      </c>
    </row>
    <row r="1241">
      <c r="A1241" s="10">
        <f>IFERROR(__xludf.DUMMYFUNCTION("""COMPUTED_VALUE"""),45318.0)</f>
        <v>45318</v>
      </c>
      <c r="B1241" s="3" t="str">
        <f>IFERROR(__xludf.DUMMYFUNCTION("""COMPUTED_VALUE"""),"Jamie Wood")</f>
        <v>Jamie Wood</v>
      </c>
      <c r="C1241" s="3">
        <f>IFERROR(__xludf.DUMMYFUNCTION("""COMPUTED_VALUE"""),1.0)</f>
        <v>1</v>
      </c>
      <c r="D1241" s="3">
        <f t="shared" si="1"/>
        <v>0</v>
      </c>
    </row>
    <row r="1242">
      <c r="A1242" s="10">
        <f>IFERROR(__xludf.DUMMYFUNCTION("""COMPUTED_VALUE"""),45318.0)</f>
        <v>45318</v>
      </c>
      <c r="B1242" s="3" t="str">
        <f>IFERROR(__xludf.DUMMYFUNCTION("""COMPUTED_VALUE"""),"Jarvis Cheek")</f>
        <v>Jarvis Cheek</v>
      </c>
      <c r="C1242" s="3">
        <f>IFERROR(__xludf.DUMMYFUNCTION("""COMPUTED_VALUE"""),7.0)</f>
        <v>7</v>
      </c>
      <c r="D1242" s="3">
        <f t="shared" si="1"/>
        <v>0</v>
      </c>
    </row>
    <row r="1243">
      <c r="A1243" s="10">
        <f>IFERROR(__xludf.DUMMYFUNCTION("""COMPUTED_VALUE"""),45318.0)</f>
        <v>45318</v>
      </c>
      <c r="B1243" s="3" t="str">
        <f>IFERROR(__xludf.DUMMYFUNCTION("""COMPUTED_VALUE"""),"Jason Nwakaeze")</f>
        <v>Jason Nwakaeze</v>
      </c>
      <c r="C1243" s="3">
        <f>IFERROR(__xludf.DUMMYFUNCTION("""COMPUTED_VALUE"""),6.0)</f>
        <v>6</v>
      </c>
      <c r="D1243" s="3">
        <f t="shared" si="1"/>
        <v>0</v>
      </c>
    </row>
    <row r="1244">
      <c r="A1244" s="10">
        <f>IFERROR(__xludf.DUMMYFUNCTION("""COMPUTED_VALUE"""),45318.0)</f>
        <v>45318</v>
      </c>
      <c r="B1244" s="3" t="str">
        <f>IFERROR(__xludf.DUMMYFUNCTION("""COMPUTED_VALUE"""),"Jerome Goncalves")</f>
        <v>Jerome Goncalves</v>
      </c>
      <c r="C1244" s="3">
        <f>IFERROR(__xludf.DUMMYFUNCTION("""COMPUTED_VALUE"""),2.0)</f>
        <v>2</v>
      </c>
      <c r="D1244" s="3">
        <f t="shared" si="1"/>
        <v>0</v>
      </c>
    </row>
    <row r="1245">
      <c r="A1245" s="10">
        <f>IFERROR(__xludf.DUMMYFUNCTION("""COMPUTED_VALUE"""),45318.0)</f>
        <v>45318</v>
      </c>
      <c r="B1245" s="3" t="str">
        <f>IFERROR(__xludf.DUMMYFUNCTION("""COMPUTED_VALUE"""),"Joe Vincent")</f>
        <v>Joe Vincent</v>
      </c>
      <c r="C1245" s="3">
        <f>IFERROR(__xludf.DUMMYFUNCTION("""COMPUTED_VALUE"""),7.0)</f>
        <v>7</v>
      </c>
      <c r="D1245" s="3">
        <f t="shared" si="1"/>
        <v>0</v>
      </c>
    </row>
    <row r="1246">
      <c r="A1246" s="10">
        <f>IFERROR(__xludf.DUMMYFUNCTION("""COMPUTED_VALUE"""),45318.0)</f>
        <v>45318</v>
      </c>
      <c r="B1246" s="3" t="str">
        <f>IFERROR(__xludf.DUMMYFUNCTION("""COMPUTED_VALUE"""),"Joel Wright")</f>
        <v>Joel Wright</v>
      </c>
      <c r="C1246" s="3">
        <f>IFERROR(__xludf.DUMMYFUNCTION("""COMPUTED_VALUE"""),8.0)</f>
        <v>8</v>
      </c>
      <c r="D1246" s="3">
        <f t="shared" si="1"/>
        <v>0</v>
      </c>
    </row>
    <row r="1247">
      <c r="A1247" s="10">
        <f>IFERROR(__xludf.DUMMYFUNCTION("""COMPUTED_VALUE"""),45318.0)</f>
        <v>45318</v>
      </c>
      <c r="B1247" s="3" t="str">
        <f>IFERROR(__xludf.DUMMYFUNCTION("""COMPUTED_VALUE"""),"John Harrison")</f>
        <v>John Harrison</v>
      </c>
      <c r="C1247" s="3">
        <f>IFERROR(__xludf.DUMMYFUNCTION("""COMPUTED_VALUE"""),1.0)</f>
        <v>1</v>
      </c>
      <c r="D1247" s="3">
        <f t="shared" si="1"/>
        <v>0</v>
      </c>
    </row>
    <row r="1248">
      <c r="A1248" s="10">
        <f>IFERROR(__xludf.DUMMYFUNCTION("""COMPUTED_VALUE"""),45318.0)</f>
        <v>45318</v>
      </c>
      <c r="B1248" s="3" t="str">
        <f>IFERROR(__xludf.DUMMYFUNCTION("""COMPUTED_VALUE"""),"Kai Clack")</f>
        <v>Kai Clack</v>
      </c>
      <c r="C1248" s="3">
        <f>IFERROR(__xludf.DUMMYFUNCTION("""COMPUTED_VALUE"""),8.0)</f>
        <v>8</v>
      </c>
      <c r="D1248" s="3">
        <f t="shared" si="1"/>
        <v>0</v>
      </c>
    </row>
    <row r="1249">
      <c r="A1249" s="10">
        <f>IFERROR(__xludf.DUMMYFUNCTION("""COMPUTED_VALUE"""),45318.0)</f>
        <v>45318</v>
      </c>
      <c r="B1249" s="3" t="str">
        <f>IFERROR(__xludf.DUMMYFUNCTION("""COMPUTED_VALUE"""),"Leigh Cremin")</f>
        <v>Leigh Cremin</v>
      </c>
      <c r="C1249" s="3">
        <f>IFERROR(__xludf.DUMMYFUNCTION("""COMPUTED_VALUE"""),4.0)</f>
        <v>4</v>
      </c>
      <c r="D1249" s="3">
        <f t="shared" si="1"/>
        <v>0</v>
      </c>
    </row>
    <row r="1250">
      <c r="A1250" s="10">
        <f>IFERROR(__xludf.DUMMYFUNCTION("""COMPUTED_VALUE"""),45318.0)</f>
        <v>45318</v>
      </c>
      <c r="B1250" s="3" t="str">
        <f>IFERROR(__xludf.DUMMYFUNCTION("""COMPUTED_VALUE"""),"Luke Dyges")</f>
        <v>Luke Dyges</v>
      </c>
      <c r="C1250" s="3">
        <f>IFERROR(__xludf.DUMMYFUNCTION("""COMPUTED_VALUE"""),2.0)</f>
        <v>2</v>
      </c>
      <c r="D1250" s="3">
        <f t="shared" si="1"/>
        <v>0</v>
      </c>
    </row>
    <row r="1251">
      <c r="A1251" s="10">
        <f>IFERROR(__xludf.DUMMYFUNCTION("""COMPUTED_VALUE"""),45318.0)</f>
        <v>45318</v>
      </c>
      <c r="B1251" s="3" t="str">
        <f>IFERROR(__xludf.DUMMYFUNCTION("""COMPUTED_VALUE"""),"Mark Roberts")</f>
        <v>Mark Roberts</v>
      </c>
      <c r="C1251" s="3">
        <f>IFERROR(__xludf.DUMMYFUNCTION("""COMPUTED_VALUE"""),4.0)</f>
        <v>4</v>
      </c>
      <c r="D1251" s="3">
        <f t="shared" si="1"/>
        <v>0</v>
      </c>
    </row>
    <row r="1252">
      <c r="A1252" s="10">
        <f>IFERROR(__xludf.DUMMYFUNCTION("""COMPUTED_VALUE"""),45318.0)</f>
        <v>45318</v>
      </c>
      <c r="B1252" s="3" t="str">
        <f>IFERROR(__xludf.DUMMYFUNCTION("""COMPUTED_VALUE"""),"Martin Goodson")</f>
        <v>Martin Goodson</v>
      </c>
      <c r="C1252" s="3">
        <f>IFERROR(__xludf.DUMMYFUNCTION("""COMPUTED_VALUE"""),1.0)</f>
        <v>1</v>
      </c>
      <c r="D1252" s="3">
        <f t="shared" si="1"/>
        <v>0</v>
      </c>
    </row>
    <row r="1253">
      <c r="A1253" s="10">
        <f>IFERROR(__xludf.DUMMYFUNCTION("""COMPUTED_VALUE"""),45318.0)</f>
        <v>45318</v>
      </c>
      <c r="B1253" s="3" t="str">
        <f>IFERROR(__xludf.DUMMYFUNCTION("""COMPUTED_VALUE"""),"Matt Crowe")</f>
        <v>Matt Crowe</v>
      </c>
      <c r="C1253" s="3">
        <f>IFERROR(__xludf.DUMMYFUNCTION("""COMPUTED_VALUE"""),0.0)</f>
        <v>0</v>
      </c>
      <c r="D1253" s="3">
        <f t="shared" si="1"/>
        <v>0</v>
      </c>
    </row>
    <row r="1254">
      <c r="A1254" s="10">
        <f>IFERROR(__xludf.DUMMYFUNCTION("""COMPUTED_VALUE"""),45318.0)</f>
        <v>45318</v>
      </c>
      <c r="B1254" s="3" t="str">
        <f>IFERROR(__xludf.DUMMYFUNCTION("""COMPUTED_VALUE"""),"Max Watson")</f>
        <v>Max Watson</v>
      </c>
      <c r="C1254" s="3">
        <f>IFERROR(__xludf.DUMMYFUNCTION("""COMPUTED_VALUE"""),7.0)</f>
        <v>7</v>
      </c>
      <c r="D1254" s="3">
        <f t="shared" si="1"/>
        <v>0</v>
      </c>
    </row>
    <row r="1255">
      <c r="A1255" s="10">
        <f>IFERROR(__xludf.DUMMYFUNCTION("""COMPUTED_VALUE"""),45318.0)</f>
        <v>45318</v>
      </c>
      <c r="B1255" s="3" t="str">
        <f>IFERROR(__xludf.DUMMYFUNCTION("""COMPUTED_VALUE"""),"Nathan Baverstock")</f>
        <v>Nathan Baverstock</v>
      </c>
      <c r="C1255" s="3">
        <f>IFERROR(__xludf.DUMMYFUNCTION("""COMPUTED_VALUE"""),2.0)</f>
        <v>2</v>
      </c>
      <c r="D1255" s="3">
        <f t="shared" si="1"/>
        <v>0</v>
      </c>
    </row>
    <row r="1256">
      <c r="A1256" s="10">
        <f>IFERROR(__xludf.DUMMYFUNCTION("""COMPUTED_VALUE"""),45318.0)</f>
        <v>45318</v>
      </c>
      <c r="B1256" s="3" t="str">
        <f>IFERROR(__xludf.DUMMYFUNCTION("""COMPUTED_VALUE"""),"Nima Naghdi")</f>
        <v>Nima Naghdi</v>
      </c>
      <c r="C1256" s="3">
        <f>IFERROR(__xludf.DUMMYFUNCTION("""COMPUTED_VALUE"""),4.0)</f>
        <v>4</v>
      </c>
      <c r="D1256" s="3">
        <f t="shared" si="1"/>
        <v>0</v>
      </c>
    </row>
    <row r="1257">
      <c r="A1257" s="10">
        <f>IFERROR(__xludf.DUMMYFUNCTION("""COMPUTED_VALUE"""),45318.0)</f>
        <v>45318</v>
      </c>
      <c r="B1257" s="3" t="str">
        <f>IFERROR(__xludf.DUMMYFUNCTION("""COMPUTED_VALUE"""),"Parimal Patel")</f>
        <v>Parimal Patel</v>
      </c>
      <c r="C1257" s="3">
        <f>IFERROR(__xludf.DUMMYFUNCTION("""COMPUTED_VALUE"""),2.0)</f>
        <v>2</v>
      </c>
      <c r="D1257" s="3">
        <f t="shared" si="1"/>
        <v>0</v>
      </c>
    </row>
    <row r="1258">
      <c r="A1258" s="10">
        <f>IFERROR(__xludf.DUMMYFUNCTION("""COMPUTED_VALUE"""),45318.0)</f>
        <v>45318</v>
      </c>
      <c r="B1258" s="3" t="str">
        <f>IFERROR(__xludf.DUMMYFUNCTION("""COMPUTED_VALUE"""),"Paul Ball")</f>
        <v>Paul Ball</v>
      </c>
      <c r="C1258" s="3">
        <f>IFERROR(__xludf.DUMMYFUNCTION("""COMPUTED_VALUE"""),2.0)</f>
        <v>2</v>
      </c>
      <c r="D1258" s="3">
        <f t="shared" si="1"/>
        <v>0</v>
      </c>
    </row>
    <row r="1259">
      <c r="A1259" s="10">
        <f>IFERROR(__xludf.DUMMYFUNCTION("""COMPUTED_VALUE"""),45318.0)</f>
        <v>45318</v>
      </c>
      <c r="B1259" s="3" t="str">
        <f>IFERROR(__xludf.DUMMYFUNCTION("""COMPUTED_VALUE"""),"Paul Jalil")</f>
        <v>Paul Jalil</v>
      </c>
      <c r="C1259" s="3">
        <f>IFERROR(__xludf.DUMMYFUNCTION("""COMPUTED_VALUE"""),2.0)</f>
        <v>2</v>
      </c>
      <c r="D1259" s="3">
        <f t="shared" si="1"/>
        <v>0</v>
      </c>
    </row>
    <row r="1260">
      <c r="A1260" s="10">
        <f>IFERROR(__xludf.DUMMYFUNCTION("""COMPUTED_VALUE"""),45318.0)</f>
        <v>45318</v>
      </c>
      <c r="B1260" s="3" t="str">
        <f>IFERROR(__xludf.DUMMYFUNCTION("""COMPUTED_VALUE"""),"Phil Boden")</f>
        <v>Phil Boden</v>
      </c>
      <c r="C1260" s="3">
        <f>IFERROR(__xludf.DUMMYFUNCTION("""COMPUTED_VALUE"""),2.0)</f>
        <v>2</v>
      </c>
      <c r="D1260" s="3">
        <f t="shared" si="1"/>
        <v>0</v>
      </c>
    </row>
    <row r="1261">
      <c r="A1261" s="10">
        <f>IFERROR(__xludf.DUMMYFUNCTION("""COMPUTED_VALUE"""),45318.0)</f>
        <v>45318</v>
      </c>
      <c r="B1261" s="3" t="str">
        <f>IFERROR(__xludf.DUMMYFUNCTION("""COMPUTED_VALUE"""),"Pierce Bennett")</f>
        <v>Pierce Bennett</v>
      </c>
      <c r="C1261" s="3">
        <f>IFERROR(__xludf.DUMMYFUNCTION("""COMPUTED_VALUE"""),20.0)</f>
        <v>20</v>
      </c>
      <c r="D1261" s="3">
        <f t="shared" si="1"/>
        <v>1</v>
      </c>
    </row>
    <row r="1262">
      <c r="A1262" s="10">
        <f>IFERROR(__xludf.DUMMYFUNCTION("""COMPUTED_VALUE"""),45318.0)</f>
        <v>45318</v>
      </c>
      <c r="B1262" s="3" t="str">
        <f>IFERROR(__xludf.DUMMYFUNCTION("""COMPUTED_VALUE"""),"Reiss Hutton")</f>
        <v>Reiss Hutton</v>
      </c>
      <c r="C1262" s="3">
        <f>IFERROR(__xludf.DUMMYFUNCTION("""COMPUTED_VALUE"""),2.0)</f>
        <v>2</v>
      </c>
      <c r="D1262" s="3">
        <f t="shared" si="1"/>
        <v>0</v>
      </c>
    </row>
    <row r="1263">
      <c r="A1263" s="10">
        <f>IFERROR(__xludf.DUMMYFUNCTION("""COMPUTED_VALUE"""),45318.0)</f>
        <v>45318</v>
      </c>
      <c r="B1263" s="3" t="str">
        <f>IFERROR(__xludf.DUMMYFUNCTION("""COMPUTED_VALUE"""),"Remi Sellers")</f>
        <v>Remi Sellers</v>
      </c>
      <c r="C1263" s="3">
        <f>IFERROR(__xludf.DUMMYFUNCTION("""COMPUTED_VALUE"""),2.0)</f>
        <v>2</v>
      </c>
      <c r="D1263" s="3">
        <f t="shared" si="1"/>
        <v>0</v>
      </c>
    </row>
    <row r="1264">
      <c r="A1264" s="10">
        <f>IFERROR(__xludf.DUMMYFUNCTION("""COMPUTED_VALUE"""),45318.0)</f>
        <v>45318</v>
      </c>
      <c r="B1264" s="3" t="str">
        <f>IFERROR(__xludf.DUMMYFUNCTION("""COMPUTED_VALUE"""),"Rich Lundie")</f>
        <v>Rich Lundie</v>
      </c>
      <c r="C1264" s="3">
        <f>IFERROR(__xludf.DUMMYFUNCTION("""COMPUTED_VALUE"""),14.0)</f>
        <v>14</v>
      </c>
      <c r="D1264" s="3">
        <f t="shared" si="1"/>
        <v>0</v>
      </c>
    </row>
    <row r="1265">
      <c r="A1265" s="10">
        <f>IFERROR(__xludf.DUMMYFUNCTION("""COMPUTED_VALUE"""),45318.0)</f>
        <v>45318</v>
      </c>
      <c r="B1265" s="3" t="str">
        <f>IFERROR(__xludf.DUMMYFUNCTION("""COMPUTED_VALUE"""),"Richard Jones")</f>
        <v>Richard Jones</v>
      </c>
      <c r="C1265" s="3">
        <f>IFERROR(__xludf.DUMMYFUNCTION("""COMPUTED_VALUE"""),6.0)</f>
        <v>6</v>
      </c>
      <c r="D1265" s="3">
        <f t="shared" si="1"/>
        <v>0</v>
      </c>
    </row>
    <row r="1266">
      <c r="A1266" s="10">
        <f>IFERROR(__xludf.DUMMYFUNCTION("""COMPUTED_VALUE"""),45318.0)</f>
        <v>45318</v>
      </c>
      <c r="B1266" s="3" t="str">
        <f>IFERROR(__xludf.DUMMYFUNCTION("""COMPUTED_VALUE"""),"Richard Scott")</f>
        <v>Richard Scott</v>
      </c>
      <c r="C1266" s="3">
        <f>IFERROR(__xludf.DUMMYFUNCTION("""COMPUTED_VALUE"""),9.0)</f>
        <v>9</v>
      </c>
      <c r="D1266" s="3">
        <f t="shared" si="1"/>
        <v>0</v>
      </c>
    </row>
    <row r="1267">
      <c r="A1267" s="10">
        <f>IFERROR(__xludf.DUMMYFUNCTION("""COMPUTED_VALUE"""),45318.0)</f>
        <v>45318</v>
      </c>
      <c r="B1267" s="3" t="str">
        <f>IFERROR(__xludf.DUMMYFUNCTION("""COMPUTED_VALUE"""),"Sam A'Court")</f>
        <v>Sam A'Court</v>
      </c>
      <c r="C1267" s="3">
        <f>IFERROR(__xludf.DUMMYFUNCTION("""COMPUTED_VALUE"""),9.0)</f>
        <v>9</v>
      </c>
      <c r="D1267" s="3">
        <f t="shared" si="1"/>
        <v>0</v>
      </c>
    </row>
    <row r="1268">
      <c r="A1268" s="10">
        <f>IFERROR(__xludf.DUMMYFUNCTION("""COMPUTED_VALUE"""),45318.0)</f>
        <v>45318</v>
      </c>
      <c r="B1268" s="3" t="str">
        <f>IFERROR(__xludf.DUMMYFUNCTION("""COMPUTED_VALUE"""),"Sam Laidler")</f>
        <v>Sam Laidler</v>
      </c>
      <c r="C1268" s="3">
        <f>IFERROR(__xludf.DUMMYFUNCTION("""COMPUTED_VALUE"""),2.0)</f>
        <v>2</v>
      </c>
      <c r="D1268" s="3">
        <f t="shared" si="1"/>
        <v>0</v>
      </c>
    </row>
    <row r="1269">
      <c r="A1269" s="10">
        <f>IFERROR(__xludf.DUMMYFUNCTION("""COMPUTED_VALUE"""),45318.0)</f>
        <v>45318</v>
      </c>
      <c r="B1269" s="3" t="str">
        <f>IFERROR(__xludf.DUMMYFUNCTION("""COMPUTED_VALUE"""),"Sean Rowlett")</f>
        <v>Sean Rowlett</v>
      </c>
      <c r="C1269" s="3">
        <f>IFERROR(__xludf.DUMMYFUNCTION("""COMPUTED_VALUE"""),2.0)</f>
        <v>2</v>
      </c>
      <c r="D1269" s="3">
        <f t="shared" si="1"/>
        <v>0</v>
      </c>
    </row>
    <row r="1270">
      <c r="A1270" s="10">
        <f>IFERROR(__xludf.DUMMYFUNCTION("""COMPUTED_VALUE"""),45318.0)</f>
        <v>45318</v>
      </c>
      <c r="B1270" s="3" t="str">
        <f>IFERROR(__xludf.DUMMYFUNCTION("""COMPUTED_VALUE"""),"Seb Curle")</f>
        <v>Seb Curle</v>
      </c>
      <c r="C1270" s="3">
        <f>IFERROR(__xludf.DUMMYFUNCTION("""COMPUTED_VALUE"""),1.0)</f>
        <v>1</v>
      </c>
      <c r="D1270" s="3">
        <f t="shared" si="1"/>
        <v>0</v>
      </c>
    </row>
    <row r="1271">
      <c r="A1271" s="10">
        <f>IFERROR(__xludf.DUMMYFUNCTION("""COMPUTED_VALUE"""),45318.0)</f>
        <v>45318</v>
      </c>
      <c r="B1271" s="3" t="str">
        <f>IFERROR(__xludf.DUMMYFUNCTION("""COMPUTED_VALUE"""),"Stanley Timms")</f>
        <v>Stanley Timms</v>
      </c>
      <c r="C1271" s="3">
        <f>IFERROR(__xludf.DUMMYFUNCTION("""COMPUTED_VALUE"""),1.0)</f>
        <v>1</v>
      </c>
      <c r="D1271" s="3">
        <f t="shared" si="1"/>
        <v>0</v>
      </c>
    </row>
    <row r="1272">
      <c r="A1272" s="10">
        <f>IFERROR(__xludf.DUMMYFUNCTION("""COMPUTED_VALUE"""),45318.0)</f>
        <v>45318</v>
      </c>
      <c r="B1272" s="3" t="str">
        <f>IFERROR(__xludf.DUMMYFUNCTION("""COMPUTED_VALUE"""),"Steve Francis")</f>
        <v>Steve Francis</v>
      </c>
      <c r="C1272" s="3">
        <f>IFERROR(__xludf.DUMMYFUNCTION("""COMPUTED_VALUE"""),10.0)</f>
        <v>10</v>
      </c>
      <c r="D1272" s="3">
        <f t="shared" si="1"/>
        <v>0</v>
      </c>
    </row>
    <row r="1273">
      <c r="A1273" s="10">
        <f>IFERROR(__xludf.DUMMYFUNCTION("""COMPUTED_VALUE"""),45318.0)</f>
        <v>45318</v>
      </c>
      <c r="B1273" s="3" t="str">
        <f>IFERROR(__xludf.DUMMYFUNCTION("""COMPUTED_VALUE"""),"Stu Jordan")</f>
        <v>Stu Jordan</v>
      </c>
      <c r="C1273" s="3">
        <f>IFERROR(__xludf.DUMMYFUNCTION("""COMPUTED_VALUE"""),8.0)</f>
        <v>8</v>
      </c>
      <c r="D1273" s="3">
        <f t="shared" si="1"/>
        <v>0</v>
      </c>
    </row>
    <row r="1274">
      <c r="A1274" s="10">
        <f>IFERROR(__xludf.DUMMYFUNCTION("""COMPUTED_VALUE"""),45318.0)</f>
        <v>45318</v>
      </c>
      <c r="B1274" s="3" t="str">
        <f>IFERROR(__xludf.DUMMYFUNCTION("""COMPUTED_VALUE"""),"Tom Taylor")</f>
        <v>Tom Taylor</v>
      </c>
      <c r="C1274" s="3">
        <f>IFERROR(__xludf.DUMMYFUNCTION("""COMPUTED_VALUE"""),6.0)</f>
        <v>6</v>
      </c>
      <c r="D1274" s="3">
        <f t="shared" si="1"/>
        <v>0</v>
      </c>
    </row>
    <row r="1275">
      <c r="A1275" s="10">
        <f>IFERROR(__xludf.DUMMYFUNCTION("""COMPUTED_VALUE"""),45318.0)</f>
        <v>45318</v>
      </c>
      <c r="B1275" s="3" t="str">
        <f>IFERROR(__xludf.DUMMYFUNCTION("""COMPUTED_VALUE"""),"Wayne Ebanks")</f>
        <v>Wayne Ebanks</v>
      </c>
      <c r="C1275" s="3">
        <f>IFERROR(__xludf.DUMMYFUNCTION("""COMPUTED_VALUE"""),14.0)</f>
        <v>14</v>
      </c>
      <c r="D1275" s="3">
        <f t="shared" si="1"/>
        <v>0</v>
      </c>
    </row>
    <row r="1276">
      <c r="A1276" s="10">
        <f>IFERROR(__xludf.DUMMYFUNCTION("""COMPUTED_VALUE"""),45318.0)</f>
        <v>45318</v>
      </c>
      <c r="B1276" s="3" t="str">
        <f>IFERROR(__xludf.DUMMYFUNCTION("""COMPUTED_VALUE"""),"Will French")</f>
        <v>Will French</v>
      </c>
      <c r="C1276" s="3">
        <f>IFERROR(__xludf.DUMMYFUNCTION("""COMPUTED_VALUE"""),5.0)</f>
        <v>5</v>
      </c>
      <c r="D1276" s="3">
        <f t="shared" si="1"/>
        <v>0</v>
      </c>
    </row>
    <row r="1277">
      <c r="A1277" s="10">
        <f>IFERROR(__xludf.DUMMYFUNCTION("""COMPUTED_VALUE"""),45318.0)</f>
        <v>45318</v>
      </c>
      <c r="B1277" s="3" t="str">
        <f>IFERROR(__xludf.DUMMYFUNCTION("""COMPUTED_VALUE"""),"Will Sollory")</f>
        <v>Will Sollory</v>
      </c>
      <c r="C1277" s="3">
        <f>IFERROR(__xludf.DUMMYFUNCTION("""COMPUTED_VALUE"""),2.0)</f>
        <v>2</v>
      </c>
      <c r="D1277" s="3">
        <f t="shared" si="1"/>
        <v>0</v>
      </c>
    </row>
    <row r="1278">
      <c r="A1278" s="10">
        <f>IFERROR(__xludf.DUMMYFUNCTION("""COMPUTED_VALUE"""),45318.0)</f>
        <v>45318</v>
      </c>
      <c r="B1278" s="3" t="str">
        <f>IFERROR(__xludf.DUMMYFUNCTION("""COMPUTED_VALUE"""),"Yemi Oviosu")</f>
        <v>Yemi Oviosu</v>
      </c>
      <c r="C1278" s="3">
        <f>IFERROR(__xludf.DUMMYFUNCTION("""COMPUTED_VALUE"""),1.0)</f>
        <v>1</v>
      </c>
      <c r="D1278" s="3">
        <f t="shared" si="1"/>
        <v>0</v>
      </c>
    </row>
    <row r="1279">
      <c r="A1279" s="10">
        <f>IFERROR(__xludf.DUMMYFUNCTION("""COMPUTED_VALUE"""),45325.0)</f>
        <v>45325</v>
      </c>
      <c r="B1279" s="3" t="str">
        <f>IFERROR(__xludf.DUMMYFUNCTION("""COMPUTED_VALUE"""),"Aaron Snelling")</f>
        <v>Aaron Snelling</v>
      </c>
      <c r="C1279" s="3">
        <f>IFERROR(__xludf.DUMMYFUNCTION("""COMPUTED_VALUE"""),8.0)</f>
        <v>8</v>
      </c>
      <c r="D1279" s="3">
        <f t="shared" si="1"/>
        <v>0</v>
      </c>
    </row>
    <row r="1280">
      <c r="A1280" s="10">
        <f>IFERROR(__xludf.DUMMYFUNCTION("""COMPUTED_VALUE"""),45325.0)</f>
        <v>45325</v>
      </c>
      <c r="B1280" s="3" t="str">
        <f>IFERROR(__xludf.DUMMYFUNCTION("""COMPUTED_VALUE"""),"Adam Platten")</f>
        <v>Adam Platten</v>
      </c>
      <c r="C1280" s="3">
        <f>IFERROR(__xludf.DUMMYFUNCTION("""COMPUTED_VALUE"""),9.0)</f>
        <v>9</v>
      </c>
      <c r="D1280" s="3">
        <f t="shared" si="1"/>
        <v>0</v>
      </c>
    </row>
    <row r="1281">
      <c r="A1281" s="10">
        <f>IFERROR(__xludf.DUMMYFUNCTION("""COMPUTED_VALUE"""),45325.0)</f>
        <v>45325</v>
      </c>
      <c r="B1281" s="3" t="str">
        <f>IFERROR(__xludf.DUMMYFUNCTION("""COMPUTED_VALUE"""),"Ade Lawal")</f>
        <v>Ade Lawal</v>
      </c>
      <c r="C1281" s="3">
        <f>IFERROR(__xludf.DUMMYFUNCTION("""COMPUTED_VALUE"""),13.0)</f>
        <v>13</v>
      </c>
      <c r="D1281" s="3">
        <f t="shared" si="1"/>
        <v>0</v>
      </c>
    </row>
    <row r="1282">
      <c r="A1282" s="10">
        <f>IFERROR(__xludf.DUMMYFUNCTION("""COMPUTED_VALUE"""),45325.0)</f>
        <v>45325</v>
      </c>
      <c r="B1282" s="3" t="str">
        <f>IFERROR(__xludf.DUMMYFUNCTION("""COMPUTED_VALUE"""),"Afnan Khan")</f>
        <v>Afnan Khan</v>
      </c>
      <c r="C1282" s="3">
        <f>IFERROR(__xludf.DUMMYFUNCTION("""COMPUTED_VALUE"""),2.0)</f>
        <v>2</v>
      </c>
      <c r="D1282" s="3">
        <f t="shared" si="1"/>
        <v>0</v>
      </c>
    </row>
    <row r="1283">
      <c r="A1283" s="10">
        <f>IFERROR(__xludf.DUMMYFUNCTION("""COMPUTED_VALUE"""),45325.0)</f>
        <v>45325</v>
      </c>
      <c r="B1283" s="3" t="str">
        <f>IFERROR(__xludf.DUMMYFUNCTION("""COMPUTED_VALUE"""),"Alex Scott-Ruddock")</f>
        <v>Alex Scott-Ruddock</v>
      </c>
      <c r="C1283" s="3">
        <f>IFERROR(__xludf.DUMMYFUNCTION("""COMPUTED_VALUE"""),5.0)</f>
        <v>5</v>
      </c>
      <c r="D1283" s="3">
        <f t="shared" si="1"/>
        <v>0</v>
      </c>
    </row>
    <row r="1284">
      <c r="A1284" s="10">
        <f>IFERROR(__xludf.DUMMYFUNCTION("""COMPUTED_VALUE"""),45325.0)</f>
        <v>45325</v>
      </c>
      <c r="B1284" s="3" t="str">
        <f>IFERROR(__xludf.DUMMYFUNCTION("""COMPUTED_VALUE"""),"Alex Stevens")</f>
        <v>Alex Stevens</v>
      </c>
      <c r="C1284" s="3">
        <f>IFERROR(__xludf.DUMMYFUNCTION("""COMPUTED_VALUE"""),2.0)</f>
        <v>2</v>
      </c>
      <c r="D1284" s="3">
        <f t="shared" si="1"/>
        <v>0</v>
      </c>
    </row>
    <row r="1285">
      <c r="A1285" s="10">
        <f>IFERROR(__xludf.DUMMYFUNCTION("""COMPUTED_VALUE"""),45325.0)</f>
        <v>45325</v>
      </c>
      <c r="B1285" s="3" t="str">
        <f>IFERROR(__xludf.DUMMYFUNCTION("""COMPUTED_VALUE"""),"Anish Philips")</f>
        <v>Anish Philips</v>
      </c>
      <c r="C1285" s="3">
        <f>IFERROR(__xludf.DUMMYFUNCTION("""COMPUTED_VALUE"""),2.0)</f>
        <v>2</v>
      </c>
      <c r="D1285" s="3">
        <f t="shared" si="1"/>
        <v>0</v>
      </c>
    </row>
    <row r="1286">
      <c r="A1286" s="10">
        <f>IFERROR(__xludf.DUMMYFUNCTION("""COMPUTED_VALUE"""),45325.0)</f>
        <v>45325</v>
      </c>
      <c r="B1286" s="3" t="str">
        <f>IFERROR(__xludf.DUMMYFUNCTION("""COMPUTED_VALUE"""),"Anthony Ball")</f>
        <v>Anthony Ball</v>
      </c>
      <c r="C1286" s="3">
        <f>IFERROR(__xludf.DUMMYFUNCTION("""COMPUTED_VALUE"""),2.0)</f>
        <v>2</v>
      </c>
      <c r="D1286" s="3">
        <f t="shared" si="1"/>
        <v>0</v>
      </c>
    </row>
    <row r="1287">
      <c r="A1287" s="10">
        <f>IFERROR(__xludf.DUMMYFUNCTION("""COMPUTED_VALUE"""),45325.0)</f>
        <v>45325</v>
      </c>
      <c r="B1287" s="3" t="str">
        <f>IFERROR(__xludf.DUMMYFUNCTION("""COMPUTED_VALUE"""),"Billy King")</f>
        <v>Billy King</v>
      </c>
      <c r="C1287" s="3">
        <f>IFERROR(__xludf.DUMMYFUNCTION("""COMPUTED_VALUE"""),2.0)</f>
        <v>2</v>
      </c>
      <c r="D1287" s="3">
        <f t="shared" si="1"/>
        <v>0</v>
      </c>
    </row>
    <row r="1288">
      <c r="A1288" s="10">
        <f>IFERROR(__xludf.DUMMYFUNCTION("""COMPUTED_VALUE"""),45325.0)</f>
        <v>45325</v>
      </c>
      <c r="B1288" s="3" t="str">
        <f>IFERROR(__xludf.DUMMYFUNCTION("""COMPUTED_VALUE"""),"Billy Mclean")</f>
        <v>Billy Mclean</v>
      </c>
      <c r="C1288" s="3">
        <f>IFERROR(__xludf.DUMMYFUNCTION("""COMPUTED_VALUE"""),4.0)</f>
        <v>4</v>
      </c>
      <c r="D1288" s="3">
        <f t="shared" si="1"/>
        <v>0</v>
      </c>
    </row>
    <row r="1289">
      <c r="A1289" s="10">
        <f>IFERROR(__xludf.DUMMYFUNCTION("""COMPUTED_VALUE"""),45325.0)</f>
        <v>45325</v>
      </c>
      <c r="B1289" s="3" t="str">
        <f>IFERROR(__xludf.DUMMYFUNCTION("""COMPUTED_VALUE"""),"Calum Edwards")</f>
        <v>Calum Edwards</v>
      </c>
      <c r="C1289" s="3">
        <f>IFERROR(__xludf.DUMMYFUNCTION("""COMPUTED_VALUE"""),2.0)</f>
        <v>2</v>
      </c>
      <c r="D1289" s="3">
        <f t="shared" si="1"/>
        <v>0</v>
      </c>
    </row>
    <row r="1290">
      <c r="A1290" s="10">
        <f>IFERROR(__xludf.DUMMYFUNCTION("""COMPUTED_VALUE"""),45325.0)</f>
        <v>45325</v>
      </c>
      <c r="B1290" s="3" t="str">
        <f>IFERROR(__xludf.DUMMYFUNCTION("""COMPUTED_VALUE"""),"Chris Claeys")</f>
        <v>Chris Claeys</v>
      </c>
      <c r="C1290" s="3">
        <f>IFERROR(__xludf.DUMMYFUNCTION("""COMPUTED_VALUE"""),2.0)</f>
        <v>2</v>
      </c>
      <c r="D1290" s="3">
        <f t="shared" si="1"/>
        <v>0</v>
      </c>
    </row>
    <row r="1291">
      <c r="A1291" s="10">
        <f>IFERROR(__xludf.DUMMYFUNCTION("""COMPUTED_VALUE"""),45325.0)</f>
        <v>45325</v>
      </c>
      <c r="B1291" s="3" t="str">
        <f>IFERROR(__xludf.DUMMYFUNCTION("""COMPUTED_VALUE"""),"Christian King")</f>
        <v>Christian King</v>
      </c>
      <c r="C1291" s="3">
        <f>IFERROR(__xludf.DUMMYFUNCTION("""COMPUTED_VALUE"""),2.0)</f>
        <v>2</v>
      </c>
      <c r="D1291" s="3">
        <f t="shared" si="1"/>
        <v>0</v>
      </c>
    </row>
    <row r="1292">
      <c r="A1292" s="10">
        <f>IFERROR(__xludf.DUMMYFUNCTION("""COMPUTED_VALUE"""),45325.0)</f>
        <v>45325</v>
      </c>
      <c r="B1292" s="3" t="str">
        <f>IFERROR(__xludf.DUMMYFUNCTION("""COMPUTED_VALUE"""),"Ciaran Curran")</f>
        <v>Ciaran Curran</v>
      </c>
      <c r="C1292" s="3">
        <f>IFERROR(__xludf.DUMMYFUNCTION("""COMPUTED_VALUE"""),2.0)</f>
        <v>2</v>
      </c>
      <c r="D1292" s="3">
        <f t="shared" si="1"/>
        <v>0</v>
      </c>
    </row>
    <row r="1293">
      <c r="A1293" s="10">
        <f>IFERROR(__xludf.DUMMYFUNCTION("""COMPUTED_VALUE"""),45325.0)</f>
        <v>45325</v>
      </c>
      <c r="B1293" s="3" t="str">
        <f>IFERROR(__xludf.DUMMYFUNCTION("""COMPUTED_VALUE"""),"Claudien Mwalimu")</f>
        <v>Claudien Mwalimu</v>
      </c>
      <c r="C1293" s="3">
        <f>IFERROR(__xludf.DUMMYFUNCTION("""COMPUTED_VALUE"""),7.0)</f>
        <v>7</v>
      </c>
      <c r="D1293" s="3">
        <f t="shared" si="1"/>
        <v>0</v>
      </c>
    </row>
    <row r="1294">
      <c r="A1294" s="10">
        <f>IFERROR(__xludf.DUMMYFUNCTION("""COMPUTED_VALUE"""),45325.0)</f>
        <v>45325</v>
      </c>
      <c r="B1294" s="3" t="str">
        <f>IFERROR(__xludf.DUMMYFUNCTION("""COMPUTED_VALUE"""),"Daniel Sheehan")</f>
        <v>Daniel Sheehan</v>
      </c>
      <c r="C1294" s="3">
        <f>IFERROR(__xludf.DUMMYFUNCTION("""COMPUTED_VALUE"""),6.0)</f>
        <v>6</v>
      </c>
      <c r="D1294" s="3">
        <f t="shared" si="1"/>
        <v>0</v>
      </c>
    </row>
    <row r="1295">
      <c r="A1295" s="10">
        <f>IFERROR(__xludf.DUMMYFUNCTION("""COMPUTED_VALUE"""),45325.0)</f>
        <v>45325</v>
      </c>
      <c r="B1295" s="3" t="str">
        <f>IFERROR(__xludf.DUMMYFUNCTION("""COMPUTED_VALUE"""),"David Holmes-White")</f>
        <v>David Holmes-White</v>
      </c>
      <c r="C1295" s="3">
        <f>IFERROR(__xludf.DUMMYFUNCTION("""COMPUTED_VALUE"""),2.0)</f>
        <v>2</v>
      </c>
      <c r="D1295" s="3">
        <f t="shared" si="1"/>
        <v>0</v>
      </c>
    </row>
    <row r="1296">
      <c r="A1296" s="10">
        <f>IFERROR(__xludf.DUMMYFUNCTION("""COMPUTED_VALUE"""),45325.0)</f>
        <v>45325</v>
      </c>
      <c r="B1296" s="3" t="str">
        <f>IFERROR(__xludf.DUMMYFUNCTION("""COMPUTED_VALUE"""),"Dom Robbins")</f>
        <v>Dom Robbins</v>
      </c>
      <c r="C1296" s="3">
        <f>IFERROR(__xludf.DUMMYFUNCTION("""COMPUTED_VALUE"""),1.0)</f>
        <v>1</v>
      </c>
      <c r="D1296" s="3">
        <f t="shared" si="1"/>
        <v>0</v>
      </c>
    </row>
    <row r="1297">
      <c r="A1297" s="10">
        <f>IFERROR(__xludf.DUMMYFUNCTION("""COMPUTED_VALUE"""),45325.0)</f>
        <v>45325</v>
      </c>
      <c r="B1297" s="3" t="str">
        <f>IFERROR(__xludf.DUMMYFUNCTION("""COMPUTED_VALUE"""),"Ellis Forrester")</f>
        <v>Ellis Forrester</v>
      </c>
      <c r="C1297" s="3">
        <f>IFERROR(__xludf.DUMMYFUNCTION("""COMPUTED_VALUE"""),1.0)</f>
        <v>1</v>
      </c>
      <c r="D1297" s="3">
        <f t="shared" si="1"/>
        <v>0</v>
      </c>
    </row>
    <row r="1298">
      <c r="A1298" s="10">
        <f>IFERROR(__xludf.DUMMYFUNCTION("""COMPUTED_VALUE"""),45325.0)</f>
        <v>45325</v>
      </c>
      <c r="B1298" s="3" t="str">
        <f>IFERROR(__xludf.DUMMYFUNCTION("""COMPUTED_VALUE"""),"Emi Muhadri")</f>
        <v>Emi Muhadri</v>
      </c>
      <c r="C1298" s="3">
        <f>IFERROR(__xludf.DUMMYFUNCTION("""COMPUTED_VALUE"""),2.0)</f>
        <v>2</v>
      </c>
      <c r="D1298" s="3">
        <f t="shared" si="1"/>
        <v>0</v>
      </c>
    </row>
    <row r="1299">
      <c r="A1299" s="10">
        <f>IFERROR(__xludf.DUMMYFUNCTION("""COMPUTED_VALUE"""),45325.0)</f>
        <v>45325</v>
      </c>
      <c r="B1299" s="3" t="str">
        <f>IFERROR(__xludf.DUMMYFUNCTION("""COMPUTED_VALUE"""),"Fraser Wylie")</f>
        <v>Fraser Wylie</v>
      </c>
      <c r="C1299" s="3">
        <f>IFERROR(__xludf.DUMMYFUNCTION("""COMPUTED_VALUE"""),2.0)</f>
        <v>2</v>
      </c>
      <c r="D1299" s="3">
        <f t="shared" si="1"/>
        <v>0</v>
      </c>
    </row>
    <row r="1300">
      <c r="A1300" s="10">
        <f>IFERROR(__xludf.DUMMYFUNCTION("""COMPUTED_VALUE"""),45325.0)</f>
        <v>45325</v>
      </c>
      <c r="B1300" s="3" t="str">
        <f>IFERROR(__xludf.DUMMYFUNCTION("""COMPUTED_VALUE"""),"George Connolly")</f>
        <v>George Connolly</v>
      </c>
      <c r="C1300" s="3">
        <f>IFERROR(__xludf.DUMMYFUNCTION("""COMPUTED_VALUE"""),6.0)</f>
        <v>6</v>
      </c>
      <c r="D1300" s="3">
        <f t="shared" si="1"/>
        <v>0</v>
      </c>
    </row>
    <row r="1301">
      <c r="A1301" s="10">
        <f>IFERROR(__xludf.DUMMYFUNCTION("""COMPUTED_VALUE"""),45325.0)</f>
        <v>45325</v>
      </c>
      <c r="B1301" s="3" t="str">
        <f>IFERROR(__xludf.DUMMYFUNCTION("""COMPUTED_VALUE"""),"Hallam Wye")</f>
        <v>Hallam Wye</v>
      </c>
      <c r="C1301" s="3">
        <f>IFERROR(__xludf.DUMMYFUNCTION("""COMPUTED_VALUE"""),1.0)</f>
        <v>1</v>
      </c>
      <c r="D1301" s="3">
        <f t="shared" si="1"/>
        <v>0</v>
      </c>
    </row>
    <row r="1302">
      <c r="A1302" s="10">
        <f>IFERROR(__xludf.DUMMYFUNCTION("""COMPUTED_VALUE"""),45325.0)</f>
        <v>45325</v>
      </c>
      <c r="B1302" s="3" t="str">
        <f>IFERROR(__xludf.DUMMYFUNCTION("""COMPUTED_VALUE"""),"Harold Kiyingi")</f>
        <v>Harold Kiyingi</v>
      </c>
      <c r="C1302" s="3">
        <f>IFERROR(__xludf.DUMMYFUNCTION("""COMPUTED_VALUE"""),2.0)</f>
        <v>2</v>
      </c>
      <c r="D1302" s="3">
        <f t="shared" si="1"/>
        <v>0</v>
      </c>
    </row>
    <row r="1303">
      <c r="A1303" s="10">
        <f>IFERROR(__xludf.DUMMYFUNCTION("""COMPUTED_VALUE"""),45325.0)</f>
        <v>45325</v>
      </c>
      <c r="B1303" s="3" t="str">
        <f>IFERROR(__xludf.DUMMYFUNCTION("""COMPUTED_VALUE"""),"Harry Calvesbert")</f>
        <v>Harry Calvesbert</v>
      </c>
      <c r="C1303" s="3">
        <f>IFERROR(__xludf.DUMMYFUNCTION("""COMPUTED_VALUE"""),1.0)</f>
        <v>1</v>
      </c>
      <c r="D1303" s="3">
        <f t="shared" si="1"/>
        <v>0</v>
      </c>
    </row>
    <row r="1304">
      <c r="A1304" s="10">
        <f>IFERROR(__xludf.DUMMYFUNCTION("""COMPUTED_VALUE"""),45325.0)</f>
        <v>45325</v>
      </c>
      <c r="B1304" s="3" t="str">
        <f>IFERROR(__xludf.DUMMYFUNCTION("""COMPUTED_VALUE"""),"Henry Pepperell")</f>
        <v>Henry Pepperell</v>
      </c>
      <c r="C1304" s="3">
        <f>IFERROR(__xludf.DUMMYFUNCTION("""COMPUTED_VALUE"""),1.0)</f>
        <v>1</v>
      </c>
      <c r="D1304" s="3">
        <f t="shared" si="1"/>
        <v>0</v>
      </c>
    </row>
    <row r="1305">
      <c r="A1305" s="10">
        <f>IFERROR(__xludf.DUMMYFUNCTION("""COMPUTED_VALUE"""),45325.0)</f>
        <v>45325</v>
      </c>
      <c r="B1305" s="3" t="str">
        <f>IFERROR(__xludf.DUMMYFUNCTION("""COMPUTED_VALUE"""),"Jabari Dixon")</f>
        <v>Jabari Dixon</v>
      </c>
      <c r="C1305" s="3">
        <f>IFERROR(__xludf.DUMMYFUNCTION("""COMPUTED_VALUE"""),6.0)</f>
        <v>6</v>
      </c>
      <c r="D1305" s="3">
        <f t="shared" si="1"/>
        <v>0</v>
      </c>
    </row>
    <row r="1306">
      <c r="A1306" s="10">
        <f>IFERROR(__xludf.DUMMYFUNCTION("""COMPUTED_VALUE"""),45325.0)</f>
        <v>45325</v>
      </c>
      <c r="B1306" s="3" t="str">
        <f>IFERROR(__xludf.DUMMYFUNCTION("""COMPUTED_VALUE"""),"Jack Harris")</f>
        <v>Jack Harris</v>
      </c>
      <c r="C1306" s="3">
        <f>IFERROR(__xludf.DUMMYFUNCTION("""COMPUTED_VALUE"""),5.0)</f>
        <v>5</v>
      </c>
      <c r="D1306" s="3">
        <f t="shared" si="1"/>
        <v>0</v>
      </c>
    </row>
    <row r="1307">
      <c r="A1307" s="10">
        <f>IFERROR(__xludf.DUMMYFUNCTION("""COMPUTED_VALUE"""),45325.0)</f>
        <v>45325</v>
      </c>
      <c r="B1307" s="3" t="str">
        <f>IFERROR(__xludf.DUMMYFUNCTION("""COMPUTED_VALUE"""),"Jack Hind")</f>
        <v>Jack Hind</v>
      </c>
      <c r="C1307" s="3">
        <f>IFERROR(__xludf.DUMMYFUNCTION("""COMPUTED_VALUE"""),2.0)</f>
        <v>2</v>
      </c>
      <c r="D1307" s="3">
        <f t="shared" si="1"/>
        <v>0</v>
      </c>
    </row>
    <row r="1308">
      <c r="A1308" s="10">
        <f>IFERROR(__xludf.DUMMYFUNCTION("""COMPUTED_VALUE"""),45325.0)</f>
        <v>45325</v>
      </c>
      <c r="B1308" s="3" t="str">
        <f>IFERROR(__xludf.DUMMYFUNCTION("""COMPUTED_VALUE"""),"Jamie Wood")</f>
        <v>Jamie Wood</v>
      </c>
      <c r="C1308" s="3">
        <f>IFERROR(__xludf.DUMMYFUNCTION("""COMPUTED_VALUE"""),8.0)</f>
        <v>8</v>
      </c>
      <c r="D1308" s="3">
        <f t="shared" si="1"/>
        <v>0</v>
      </c>
    </row>
    <row r="1309">
      <c r="A1309" s="10">
        <f>IFERROR(__xludf.DUMMYFUNCTION("""COMPUTED_VALUE"""),45325.0)</f>
        <v>45325</v>
      </c>
      <c r="B1309" s="3" t="str">
        <f>IFERROR(__xludf.DUMMYFUNCTION("""COMPUTED_VALUE"""),"Janam Satra")</f>
        <v>Janam Satra</v>
      </c>
      <c r="C1309" s="3">
        <f>IFERROR(__xludf.DUMMYFUNCTION("""COMPUTED_VALUE"""),2.0)</f>
        <v>2</v>
      </c>
      <c r="D1309" s="3">
        <f t="shared" si="1"/>
        <v>0</v>
      </c>
    </row>
    <row r="1310">
      <c r="A1310" s="10">
        <f>IFERROR(__xludf.DUMMYFUNCTION("""COMPUTED_VALUE"""),45325.0)</f>
        <v>45325</v>
      </c>
      <c r="B1310" s="3" t="str">
        <f>IFERROR(__xludf.DUMMYFUNCTION("""COMPUTED_VALUE"""),"Jarvis Cheek")</f>
        <v>Jarvis Cheek</v>
      </c>
      <c r="C1310" s="3">
        <f>IFERROR(__xludf.DUMMYFUNCTION("""COMPUTED_VALUE"""),8.0)</f>
        <v>8</v>
      </c>
      <c r="D1310" s="3">
        <f t="shared" si="1"/>
        <v>0</v>
      </c>
    </row>
    <row r="1311">
      <c r="A1311" s="10">
        <f>IFERROR(__xludf.DUMMYFUNCTION("""COMPUTED_VALUE"""),45325.0)</f>
        <v>45325</v>
      </c>
      <c r="B1311" s="3" t="str">
        <f>IFERROR(__xludf.DUMMYFUNCTION("""COMPUTED_VALUE"""),"Jason Heath")</f>
        <v>Jason Heath</v>
      </c>
      <c r="C1311" s="3">
        <f>IFERROR(__xludf.DUMMYFUNCTION("""COMPUTED_VALUE"""),2.0)</f>
        <v>2</v>
      </c>
      <c r="D1311" s="3">
        <f t="shared" si="1"/>
        <v>0</v>
      </c>
    </row>
    <row r="1312">
      <c r="A1312" s="10">
        <f>IFERROR(__xludf.DUMMYFUNCTION("""COMPUTED_VALUE"""),45325.0)</f>
        <v>45325</v>
      </c>
      <c r="B1312" s="3" t="str">
        <f>IFERROR(__xludf.DUMMYFUNCTION("""COMPUTED_VALUE"""),"Jason Nwakaeze")</f>
        <v>Jason Nwakaeze</v>
      </c>
      <c r="C1312" s="3">
        <f>IFERROR(__xludf.DUMMYFUNCTION("""COMPUTED_VALUE"""),2.0)</f>
        <v>2</v>
      </c>
      <c r="D1312" s="3">
        <f t="shared" si="1"/>
        <v>0</v>
      </c>
    </row>
    <row r="1313">
      <c r="A1313" s="10">
        <f>IFERROR(__xludf.DUMMYFUNCTION("""COMPUTED_VALUE"""),45325.0)</f>
        <v>45325</v>
      </c>
      <c r="B1313" s="3" t="str">
        <f>IFERROR(__xludf.DUMMYFUNCTION("""COMPUTED_VALUE"""),"Jay Mair")</f>
        <v>Jay Mair</v>
      </c>
      <c r="C1313" s="3">
        <f>IFERROR(__xludf.DUMMYFUNCTION("""COMPUTED_VALUE"""),2.0)</f>
        <v>2</v>
      </c>
      <c r="D1313" s="3">
        <f t="shared" si="1"/>
        <v>0</v>
      </c>
    </row>
    <row r="1314">
      <c r="A1314" s="10">
        <f>IFERROR(__xludf.DUMMYFUNCTION("""COMPUTED_VALUE"""),45325.0)</f>
        <v>45325</v>
      </c>
      <c r="B1314" s="3" t="str">
        <f>IFERROR(__xludf.DUMMYFUNCTION("""COMPUTED_VALUE"""),"Jerome Goncalves")</f>
        <v>Jerome Goncalves</v>
      </c>
      <c r="C1314" s="3">
        <f>IFERROR(__xludf.DUMMYFUNCTION("""COMPUTED_VALUE"""),2.0)</f>
        <v>2</v>
      </c>
      <c r="D1314" s="3">
        <f t="shared" si="1"/>
        <v>0</v>
      </c>
    </row>
    <row r="1315">
      <c r="A1315" s="10">
        <f>IFERROR(__xludf.DUMMYFUNCTION("""COMPUTED_VALUE"""),45325.0)</f>
        <v>45325</v>
      </c>
      <c r="B1315" s="3" t="str">
        <f>IFERROR(__xludf.DUMMYFUNCTION("""COMPUTED_VALUE"""),"Joel Wright")</f>
        <v>Joel Wright</v>
      </c>
      <c r="C1315" s="3">
        <f>IFERROR(__xludf.DUMMYFUNCTION("""COMPUTED_VALUE"""),2.0)</f>
        <v>2</v>
      </c>
      <c r="D1315" s="3">
        <f t="shared" si="1"/>
        <v>0</v>
      </c>
    </row>
    <row r="1316">
      <c r="A1316" s="10">
        <f>IFERROR(__xludf.DUMMYFUNCTION("""COMPUTED_VALUE"""),45325.0)</f>
        <v>45325</v>
      </c>
      <c r="B1316" s="3" t="str">
        <f>IFERROR(__xludf.DUMMYFUNCTION("""COMPUTED_VALUE"""),"John Harrison")</f>
        <v>John Harrison</v>
      </c>
      <c r="C1316" s="3">
        <f>IFERROR(__xludf.DUMMYFUNCTION("""COMPUTED_VALUE"""),8.0)</f>
        <v>8</v>
      </c>
      <c r="D1316" s="3">
        <f t="shared" si="1"/>
        <v>0</v>
      </c>
    </row>
    <row r="1317">
      <c r="A1317" s="10">
        <f>IFERROR(__xludf.DUMMYFUNCTION("""COMPUTED_VALUE"""),45325.0)</f>
        <v>45325</v>
      </c>
      <c r="B1317" s="3" t="str">
        <f>IFERROR(__xludf.DUMMYFUNCTION("""COMPUTED_VALUE"""),"Jonny Simmons")</f>
        <v>Jonny Simmons</v>
      </c>
      <c r="C1317" s="3">
        <f>IFERROR(__xludf.DUMMYFUNCTION("""COMPUTED_VALUE"""),1.0)</f>
        <v>1</v>
      </c>
      <c r="D1317" s="3">
        <f t="shared" si="1"/>
        <v>0</v>
      </c>
    </row>
    <row r="1318">
      <c r="A1318" s="10">
        <f>IFERROR(__xludf.DUMMYFUNCTION("""COMPUTED_VALUE"""),45325.0)</f>
        <v>45325</v>
      </c>
      <c r="B1318" s="3" t="str">
        <f>IFERROR(__xludf.DUMMYFUNCTION("""COMPUTED_VALUE"""),"Josh Sherriff-Jolly")</f>
        <v>Josh Sherriff-Jolly</v>
      </c>
      <c r="C1318" s="3">
        <f>IFERROR(__xludf.DUMMYFUNCTION("""COMPUTED_VALUE"""),4.0)</f>
        <v>4</v>
      </c>
      <c r="D1318" s="3">
        <f t="shared" si="1"/>
        <v>0</v>
      </c>
    </row>
    <row r="1319">
      <c r="A1319" s="10">
        <f>IFERROR(__xludf.DUMMYFUNCTION("""COMPUTED_VALUE"""),45325.0)</f>
        <v>45325</v>
      </c>
      <c r="B1319" s="3" t="str">
        <f>IFERROR(__xludf.DUMMYFUNCTION("""COMPUTED_VALUE"""),"Kai Clack")</f>
        <v>Kai Clack</v>
      </c>
      <c r="C1319" s="3">
        <f>IFERROR(__xludf.DUMMYFUNCTION("""COMPUTED_VALUE"""),2.0)</f>
        <v>2</v>
      </c>
      <c r="D1319" s="3">
        <f t="shared" si="1"/>
        <v>0</v>
      </c>
    </row>
    <row r="1320">
      <c r="A1320" s="10">
        <f>IFERROR(__xludf.DUMMYFUNCTION("""COMPUTED_VALUE"""),45325.0)</f>
        <v>45325</v>
      </c>
      <c r="B1320" s="3" t="str">
        <f>IFERROR(__xludf.DUMMYFUNCTION("""COMPUTED_VALUE"""),"Kevin Gonzalez")</f>
        <v>Kevin Gonzalez</v>
      </c>
      <c r="C1320" s="3">
        <f>IFERROR(__xludf.DUMMYFUNCTION("""COMPUTED_VALUE"""),1.0)</f>
        <v>1</v>
      </c>
      <c r="D1320" s="3">
        <f t="shared" si="1"/>
        <v>0</v>
      </c>
    </row>
    <row r="1321">
      <c r="A1321" s="10">
        <f>IFERROR(__xludf.DUMMYFUNCTION("""COMPUTED_VALUE"""),45325.0)</f>
        <v>45325</v>
      </c>
      <c r="B1321" s="3" t="str">
        <f>IFERROR(__xludf.DUMMYFUNCTION("""COMPUTED_VALUE"""),"Leigh Cremin")</f>
        <v>Leigh Cremin</v>
      </c>
      <c r="C1321" s="3">
        <f>IFERROR(__xludf.DUMMYFUNCTION("""COMPUTED_VALUE"""),1.0)</f>
        <v>1</v>
      </c>
      <c r="D1321" s="3">
        <f t="shared" si="1"/>
        <v>0</v>
      </c>
    </row>
    <row r="1322">
      <c r="A1322" s="10">
        <f>IFERROR(__xludf.DUMMYFUNCTION("""COMPUTED_VALUE"""),45325.0)</f>
        <v>45325</v>
      </c>
      <c r="B1322" s="3" t="str">
        <f>IFERROR(__xludf.DUMMYFUNCTION("""COMPUTED_VALUE"""),"Luke Dyges")</f>
        <v>Luke Dyges</v>
      </c>
      <c r="C1322" s="3">
        <f>IFERROR(__xludf.DUMMYFUNCTION("""COMPUTED_VALUE"""),2.0)</f>
        <v>2</v>
      </c>
      <c r="D1322" s="3">
        <f t="shared" si="1"/>
        <v>0</v>
      </c>
    </row>
    <row r="1323">
      <c r="A1323" s="10">
        <f>IFERROR(__xludf.DUMMYFUNCTION("""COMPUTED_VALUE"""),45325.0)</f>
        <v>45325</v>
      </c>
      <c r="B1323" s="3" t="str">
        <f>IFERROR(__xludf.DUMMYFUNCTION("""COMPUTED_VALUE"""),"Mark Roberts")</f>
        <v>Mark Roberts</v>
      </c>
      <c r="C1323" s="3">
        <f>IFERROR(__xludf.DUMMYFUNCTION("""COMPUTED_VALUE"""),2.0)</f>
        <v>2</v>
      </c>
      <c r="D1323" s="3">
        <f t="shared" si="1"/>
        <v>0</v>
      </c>
    </row>
    <row r="1324">
      <c r="A1324" s="10">
        <f>IFERROR(__xludf.DUMMYFUNCTION("""COMPUTED_VALUE"""),45325.0)</f>
        <v>45325</v>
      </c>
      <c r="B1324" s="3" t="str">
        <f>IFERROR(__xludf.DUMMYFUNCTION("""COMPUTED_VALUE"""),"Martin Goodson")</f>
        <v>Martin Goodson</v>
      </c>
      <c r="C1324" s="3">
        <f>IFERROR(__xludf.DUMMYFUNCTION("""COMPUTED_VALUE"""),1.0)</f>
        <v>1</v>
      </c>
      <c r="D1324" s="3">
        <f t="shared" si="1"/>
        <v>0</v>
      </c>
    </row>
    <row r="1325">
      <c r="A1325" s="10">
        <f>IFERROR(__xludf.DUMMYFUNCTION("""COMPUTED_VALUE"""),45325.0)</f>
        <v>45325</v>
      </c>
      <c r="B1325" s="3" t="str">
        <f>IFERROR(__xludf.DUMMYFUNCTION("""COMPUTED_VALUE"""),"Masood Hamidi")</f>
        <v>Masood Hamidi</v>
      </c>
      <c r="C1325" s="3">
        <f>IFERROR(__xludf.DUMMYFUNCTION("""COMPUTED_VALUE"""),2.0)</f>
        <v>2</v>
      </c>
      <c r="D1325" s="3">
        <f t="shared" si="1"/>
        <v>0</v>
      </c>
    </row>
    <row r="1326">
      <c r="A1326" s="10">
        <f>IFERROR(__xludf.DUMMYFUNCTION("""COMPUTED_VALUE"""),45325.0)</f>
        <v>45325</v>
      </c>
      <c r="B1326" s="3" t="str">
        <f>IFERROR(__xludf.DUMMYFUNCTION("""COMPUTED_VALUE"""),"Matt Crowe")</f>
        <v>Matt Crowe</v>
      </c>
      <c r="C1326" s="3">
        <f>IFERROR(__xludf.DUMMYFUNCTION("""COMPUTED_VALUE"""),14.0)</f>
        <v>14</v>
      </c>
      <c r="D1326" s="3">
        <f t="shared" si="1"/>
        <v>1</v>
      </c>
    </row>
    <row r="1327">
      <c r="A1327" s="10">
        <f>IFERROR(__xludf.DUMMYFUNCTION("""COMPUTED_VALUE"""),45325.0)</f>
        <v>45325</v>
      </c>
      <c r="B1327" s="3" t="str">
        <f>IFERROR(__xludf.DUMMYFUNCTION("""COMPUTED_VALUE"""),"Max Miles")</f>
        <v>Max Miles</v>
      </c>
      <c r="C1327" s="3">
        <f>IFERROR(__xludf.DUMMYFUNCTION("""COMPUTED_VALUE"""),2.0)</f>
        <v>2</v>
      </c>
      <c r="D1327" s="3">
        <f t="shared" si="1"/>
        <v>0</v>
      </c>
    </row>
    <row r="1328">
      <c r="A1328" s="10">
        <f>IFERROR(__xludf.DUMMYFUNCTION("""COMPUTED_VALUE"""),45325.0)</f>
        <v>45325</v>
      </c>
      <c r="B1328" s="3" t="str">
        <f>IFERROR(__xludf.DUMMYFUNCTION("""COMPUTED_VALUE"""),"Max Watson")</f>
        <v>Max Watson</v>
      </c>
      <c r="C1328" s="3">
        <f>IFERROR(__xludf.DUMMYFUNCTION("""COMPUTED_VALUE"""),0.0)</f>
        <v>0</v>
      </c>
      <c r="D1328" s="3">
        <f t="shared" si="1"/>
        <v>0</v>
      </c>
    </row>
    <row r="1329">
      <c r="A1329" s="10">
        <f>IFERROR(__xludf.DUMMYFUNCTION("""COMPUTED_VALUE"""),45325.0)</f>
        <v>45325</v>
      </c>
      <c r="B1329" s="3" t="str">
        <f>IFERROR(__xludf.DUMMYFUNCTION("""COMPUTED_VALUE"""),"Nathan Baverstock")</f>
        <v>Nathan Baverstock</v>
      </c>
      <c r="C1329" s="3">
        <f>IFERROR(__xludf.DUMMYFUNCTION("""COMPUTED_VALUE"""),2.0)</f>
        <v>2</v>
      </c>
      <c r="D1329" s="3">
        <f t="shared" si="1"/>
        <v>0</v>
      </c>
    </row>
    <row r="1330">
      <c r="A1330" s="10">
        <f>IFERROR(__xludf.DUMMYFUNCTION("""COMPUTED_VALUE"""),45325.0)</f>
        <v>45325</v>
      </c>
      <c r="B1330" s="3" t="str">
        <f>IFERROR(__xludf.DUMMYFUNCTION("""COMPUTED_VALUE"""),"Niall Wootten")</f>
        <v>Niall Wootten</v>
      </c>
      <c r="C1330" s="3">
        <f>IFERROR(__xludf.DUMMYFUNCTION("""COMPUTED_VALUE"""),2.0)</f>
        <v>2</v>
      </c>
      <c r="D1330" s="3">
        <f t="shared" si="1"/>
        <v>0</v>
      </c>
    </row>
    <row r="1331">
      <c r="A1331" s="10">
        <f>IFERROR(__xludf.DUMMYFUNCTION("""COMPUTED_VALUE"""),45325.0)</f>
        <v>45325</v>
      </c>
      <c r="B1331" s="3" t="str">
        <f>IFERROR(__xludf.DUMMYFUNCTION("""COMPUTED_VALUE"""),"Nick Chimonides")</f>
        <v>Nick Chimonides</v>
      </c>
      <c r="C1331" s="3">
        <f>IFERROR(__xludf.DUMMYFUNCTION("""COMPUTED_VALUE"""),1.0)</f>
        <v>1</v>
      </c>
      <c r="D1331" s="3">
        <f t="shared" si="1"/>
        <v>0</v>
      </c>
    </row>
    <row r="1332">
      <c r="A1332" s="10">
        <f>IFERROR(__xludf.DUMMYFUNCTION("""COMPUTED_VALUE"""),45325.0)</f>
        <v>45325</v>
      </c>
      <c r="B1332" s="3" t="str">
        <f>IFERROR(__xludf.DUMMYFUNCTION("""COMPUTED_VALUE"""),"Nima Naghdi")</f>
        <v>Nima Naghdi</v>
      </c>
      <c r="C1332" s="3">
        <f>IFERROR(__xludf.DUMMYFUNCTION("""COMPUTED_VALUE"""),2.0)</f>
        <v>2</v>
      </c>
      <c r="D1332" s="3">
        <f t="shared" si="1"/>
        <v>0</v>
      </c>
    </row>
    <row r="1333">
      <c r="A1333" s="10">
        <f>IFERROR(__xludf.DUMMYFUNCTION("""COMPUTED_VALUE"""),45325.0)</f>
        <v>45325</v>
      </c>
      <c r="B1333" s="3" t="str">
        <f>IFERROR(__xludf.DUMMYFUNCTION("""COMPUTED_VALUE"""),"Ollie Sewell")</f>
        <v>Ollie Sewell</v>
      </c>
      <c r="C1333" s="3">
        <f>IFERROR(__xludf.DUMMYFUNCTION("""COMPUTED_VALUE"""),8.0)</f>
        <v>8</v>
      </c>
      <c r="D1333" s="3">
        <f t="shared" si="1"/>
        <v>0</v>
      </c>
    </row>
    <row r="1334">
      <c r="A1334" s="10">
        <f>IFERROR(__xludf.DUMMYFUNCTION("""COMPUTED_VALUE"""),45325.0)</f>
        <v>45325</v>
      </c>
      <c r="B1334" s="3" t="str">
        <f>IFERROR(__xludf.DUMMYFUNCTION("""COMPUTED_VALUE"""),"Raj Ramful")</f>
        <v>Raj Ramful</v>
      </c>
      <c r="C1334" s="3">
        <f>IFERROR(__xludf.DUMMYFUNCTION("""COMPUTED_VALUE"""),1.0)</f>
        <v>1</v>
      </c>
      <c r="D1334" s="3">
        <f t="shared" si="1"/>
        <v>0</v>
      </c>
    </row>
    <row r="1335">
      <c r="A1335" s="10">
        <f>IFERROR(__xludf.DUMMYFUNCTION("""COMPUTED_VALUE"""),45325.0)</f>
        <v>45325</v>
      </c>
      <c r="B1335" s="3" t="str">
        <f>IFERROR(__xludf.DUMMYFUNCTION("""COMPUTED_VALUE"""),"Rich Lundie")</f>
        <v>Rich Lundie</v>
      </c>
      <c r="C1335" s="3">
        <f>IFERROR(__xludf.DUMMYFUNCTION("""COMPUTED_VALUE"""),2.0)</f>
        <v>2</v>
      </c>
      <c r="D1335" s="3">
        <f t="shared" si="1"/>
        <v>0</v>
      </c>
    </row>
    <row r="1336">
      <c r="A1336" s="10">
        <f>IFERROR(__xludf.DUMMYFUNCTION("""COMPUTED_VALUE"""),45325.0)</f>
        <v>45325</v>
      </c>
      <c r="B1336" s="3" t="str">
        <f>IFERROR(__xludf.DUMMYFUNCTION("""COMPUTED_VALUE"""),"Sam A'Court")</f>
        <v>Sam A'Court</v>
      </c>
      <c r="C1336" s="3">
        <f>IFERROR(__xludf.DUMMYFUNCTION("""COMPUTED_VALUE"""),2.0)</f>
        <v>2</v>
      </c>
      <c r="D1336" s="3">
        <f t="shared" si="1"/>
        <v>0</v>
      </c>
    </row>
    <row r="1337">
      <c r="A1337" s="10">
        <f>IFERROR(__xludf.DUMMYFUNCTION("""COMPUTED_VALUE"""),45325.0)</f>
        <v>45325</v>
      </c>
      <c r="B1337" s="3" t="str">
        <f>IFERROR(__xludf.DUMMYFUNCTION("""COMPUTED_VALUE"""),"Samuel Osewa")</f>
        <v>Samuel Osewa</v>
      </c>
      <c r="C1337" s="3">
        <f>IFERROR(__xludf.DUMMYFUNCTION("""COMPUTED_VALUE"""),2.0)</f>
        <v>2</v>
      </c>
      <c r="D1337" s="3">
        <f t="shared" si="1"/>
        <v>0</v>
      </c>
    </row>
    <row r="1338">
      <c r="A1338" s="10">
        <f>IFERROR(__xludf.DUMMYFUNCTION("""COMPUTED_VALUE"""),45325.0)</f>
        <v>45325</v>
      </c>
      <c r="B1338" s="3" t="str">
        <f>IFERROR(__xludf.DUMMYFUNCTION("""COMPUTED_VALUE"""),"Sid Nayaar")</f>
        <v>Sid Nayaar</v>
      </c>
      <c r="C1338" s="3">
        <f>IFERROR(__xludf.DUMMYFUNCTION("""COMPUTED_VALUE"""),2.0)</f>
        <v>2</v>
      </c>
      <c r="D1338" s="3">
        <f t="shared" si="1"/>
        <v>0</v>
      </c>
    </row>
    <row r="1339">
      <c r="A1339" s="10">
        <f>IFERROR(__xludf.DUMMYFUNCTION("""COMPUTED_VALUE"""),45325.0)</f>
        <v>45325</v>
      </c>
      <c r="B1339" s="3" t="str">
        <f>IFERROR(__xludf.DUMMYFUNCTION("""COMPUTED_VALUE"""),"Sidney Hopper-Kelly")</f>
        <v>Sidney Hopper-Kelly</v>
      </c>
      <c r="C1339" s="3">
        <f>IFERROR(__xludf.DUMMYFUNCTION("""COMPUTED_VALUE"""),7.0)</f>
        <v>7</v>
      </c>
      <c r="D1339" s="3">
        <f t="shared" si="1"/>
        <v>0</v>
      </c>
    </row>
    <row r="1340">
      <c r="A1340" s="10">
        <f>IFERROR(__xludf.DUMMYFUNCTION("""COMPUTED_VALUE"""),45325.0)</f>
        <v>45325</v>
      </c>
      <c r="B1340" s="3" t="str">
        <f>IFERROR(__xludf.DUMMYFUNCTION("""COMPUTED_VALUE"""),"Stanley Timms")</f>
        <v>Stanley Timms</v>
      </c>
      <c r="C1340" s="3">
        <f>IFERROR(__xludf.DUMMYFUNCTION("""COMPUTED_VALUE"""),4.0)</f>
        <v>4</v>
      </c>
      <c r="D1340" s="3">
        <f t="shared" si="1"/>
        <v>0</v>
      </c>
    </row>
    <row r="1341">
      <c r="A1341" s="10">
        <f>IFERROR(__xludf.DUMMYFUNCTION("""COMPUTED_VALUE"""),45325.0)</f>
        <v>45325</v>
      </c>
      <c r="B1341" s="3" t="str">
        <f>IFERROR(__xludf.DUMMYFUNCTION("""COMPUTED_VALUE"""),"Stu Jordan")</f>
        <v>Stu Jordan</v>
      </c>
      <c r="C1341" s="3">
        <f>IFERROR(__xludf.DUMMYFUNCTION("""COMPUTED_VALUE"""),2.0)</f>
        <v>2</v>
      </c>
      <c r="D1341" s="3">
        <f t="shared" si="1"/>
        <v>0</v>
      </c>
    </row>
    <row r="1342">
      <c r="A1342" s="10">
        <f>IFERROR(__xludf.DUMMYFUNCTION("""COMPUTED_VALUE"""),45325.0)</f>
        <v>45325</v>
      </c>
      <c r="B1342" s="3" t="str">
        <f>IFERROR(__xludf.DUMMYFUNCTION("""COMPUTED_VALUE"""),"Tam de Lacey")</f>
        <v>Tam de Lacey</v>
      </c>
      <c r="C1342" s="3">
        <f>IFERROR(__xludf.DUMMYFUNCTION("""COMPUTED_VALUE"""),8.0)</f>
        <v>8</v>
      </c>
      <c r="D1342" s="3">
        <f t="shared" si="1"/>
        <v>0</v>
      </c>
    </row>
    <row r="1343">
      <c r="A1343" s="10">
        <f>IFERROR(__xludf.DUMMYFUNCTION("""COMPUTED_VALUE"""),45325.0)</f>
        <v>45325</v>
      </c>
      <c r="B1343" s="3" t="str">
        <f>IFERROR(__xludf.DUMMYFUNCTION("""COMPUTED_VALUE"""),"Theo Horton")</f>
        <v>Theo Horton</v>
      </c>
      <c r="C1343" s="3">
        <f>IFERROR(__xludf.DUMMYFUNCTION("""COMPUTED_VALUE"""),8.0)</f>
        <v>8</v>
      </c>
      <c r="D1343" s="3">
        <f t="shared" si="1"/>
        <v>0</v>
      </c>
    </row>
    <row r="1344">
      <c r="A1344" s="10">
        <f>IFERROR(__xludf.DUMMYFUNCTION("""COMPUTED_VALUE"""),45325.0)</f>
        <v>45325</v>
      </c>
      <c r="B1344" s="3" t="str">
        <f>IFERROR(__xludf.DUMMYFUNCTION("""COMPUTED_VALUE"""),"Tom Love")</f>
        <v>Tom Love</v>
      </c>
      <c r="C1344" s="3">
        <f>IFERROR(__xludf.DUMMYFUNCTION("""COMPUTED_VALUE"""),2.0)</f>
        <v>2</v>
      </c>
      <c r="D1344" s="3">
        <f t="shared" si="1"/>
        <v>0</v>
      </c>
    </row>
    <row r="1345">
      <c r="A1345" s="10">
        <f>IFERROR(__xludf.DUMMYFUNCTION("""COMPUTED_VALUE"""),45325.0)</f>
        <v>45325</v>
      </c>
      <c r="B1345" s="3" t="str">
        <f>IFERROR(__xludf.DUMMYFUNCTION("""COMPUTED_VALUE"""),"Tom Taylor")</f>
        <v>Tom Taylor</v>
      </c>
      <c r="C1345" s="3">
        <f>IFERROR(__xludf.DUMMYFUNCTION("""COMPUTED_VALUE"""),2.0)</f>
        <v>2</v>
      </c>
      <c r="D1345" s="3">
        <f t="shared" si="1"/>
        <v>0</v>
      </c>
    </row>
    <row r="1346">
      <c r="A1346" s="10">
        <f>IFERROR(__xludf.DUMMYFUNCTION("""COMPUTED_VALUE"""),45325.0)</f>
        <v>45325</v>
      </c>
      <c r="B1346" s="3" t="str">
        <f>IFERROR(__xludf.DUMMYFUNCTION("""COMPUTED_VALUE"""),"Will French")</f>
        <v>Will French</v>
      </c>
      <c r="C1346" s="3">
        <f>IFERROR(__xludf.DUMMYFUNCTION("""COMPUTED_VALUE"""),2.0)</f>
        <v>2</v>
      </c>
      <c r="D1346" s="3">
        <f t="shared" si="1"/>
        <v>0</v>
      </c>
    </row>
    <row r="1347">
      <c r="A1347" s="10">
        <f>IFERROR(__xludf.DUMMYFUNCTION("""COMPUTED_VALUE"""),45325.0)</f>
        <v>45325</v>
      </c>
      <c r="B1347" s="3" t="str">
        <f>IFERROR(__xludf.DUMMYFUNCTION("""COMPUTED_VALUE"""),"Yemi Oviosu")</f>
        <v>Yemi Oviosu</v>
      </c>
      <c r="C1347" s="3">
        <f>IFERROR(__xludf.DUMMYFUNCTION("""COMPUTED_VALUE"""),9.0)</f>
        <v>9</v>
      </c>
      <c r="D1347" s="3">
        <f t="shared" si="1"/>
        <v>0</v>
      </c>
    </row>
    <row r="1348">
      <c r="A1348" s="10">
        <f>IFERROR(__xludf.DUMMYFUNCTION("""COMPUTED_VALUE"""),45332.0)</f>
        <v>45332</v>
      </c>
      <c r="B1348" s="3" t="str">
        <f>IFERROR(__xludf.DUMMYFUNCTION("""COMPUTED_VALUE"""),"Alex Dockerill")</f>
        <v>Alex Dockerill</v>
      </c>
      <c r="C1348" s="3">
        <f>IFERROR(__xludf.DUMMYFUNCTION("""COMPUTED_VALUE"""),2.0)</f>
        <v>2</v>
      </c>
      <c r="D1348" s="3">
        <f t="shared" si="1"/>
        <v>0</v>
      </c>
    </row>
    <row r="1349">
      <c r="A1349" s="10">
        <f>IFERROR(__xludf.DUMMYFUNCTION("""COMPUTED_VALUE"""),45332.0)</f>
        <v>45332</v>
      </c>
      <c r="B1349" s="3" t="str">
        <f>IFERROR(__xludf.DUMMYFUNCTION("""COMPUTED_VALUE"""),"Alex Mansfield")</f>
        <v>Alex Mansfield</v>
      </c>
      <c r="C1349" s="3">
        <f>IFERROR(__xludf.DUMMYFUNCTION("""COMPUTED_VALUE"""),2.0)</f>
        <v>2</v>
      </c>
      <c r="D1349" s="3">
        <f t="shared" si="1"/>
        <v>0</v>
      </c>
    </row>
    <row r="1350">
      <c r="A1350" s="10">
        <f>IFERROR(__xludf.DUMMYFUNCTION("""COMPUTED_VALUE"""),45332.0)</f>
        <v>45332</v>
      </c>
      <c r="B1350" s="3" t="str">
        <f>IFERROR(__xludf.DUMMYFUNCTION("""COMPUTED_VALUE"""),"Alex Stevens")</f>
        <v>Alex Stevens</v>
      </c>
      <c r="C1350" s="3">
        <f>IFERROR(__xludf.DUMMYFUNCTION("""COMPUTED_VALUE"""),2.0)</f>
        <v>2</v>
      </c>
      <c r="D1350" s="3">
        <f t="shared" si="1"/>
        <v>0</v>
      </c>
    </row>
    <row r="1351">
      <c r="A1351" s="10">
        <f>IFERROR(__xludf.DUMMYFUNCTION("""COMPUTED_VALUE"""),45332.0)</f>
        <v>45332</v>
      </c>
      <c r="B1351" s="3" t="str">
        <f>IFERROR(__xludf.DUMMYFUNCTION("""COMPUTED_VALUE"""),"Chris Douthwaite")</f>
        <v>Chris Douthwaite</v>
      </c>
      <c r="C1351" s="3">
        <f>IFERROR(__xludf.DUMMYFUNCTION("""COMPUTED_VALUE"""),1.0)</f>
        <v>1</v>
      </c>
      <c r="D1351" s="3">
        <f t="shared" si="1"/>
        <v>0</v>
      </c>
    </row>
    <row r="1352">
      <c r="A1352" s="10">
        <f>IFERROR(__xludf.DUMMYFUNCTION("""COMPUTED_VALUE"""),45332.0)</f>
        <v>45332</v>
      </c>
      <c r="B1352" s="3" t="str">
        <f>IFERROR(__xludf.DUMMYFUNCTION("""COMPUTED_VALUE"""),"Chris Weir")</f>
        <v>Chris Weir</v>
      </c>
      <c r="C1352" s="3">
        <f>IFERROR(__xludf.DUMMYFUNCTION("""COMPUTED_VALUE"""),1.0)</f>
        <v>1</v>
      </c>
      <c r="D1352" s="3">
        <f t="shared" si="1"/>
        <v>0</v>
      </c>
    </row>
    <row r="1353">
      <c r="A1353" s="10">
        <f>IFERROR(__xludf.DUMMYFUNCTION("""COMPUTED_VALUE"""),45332.0)</f>
        <v>45332</v>
      </c>
      <c r="B1353" s="3" t="str">
        <f>IFERROR(__xludf.DUMMYFUNCTION("""COMPUTED_VALUE"""),"Dan Russell")</f>
        <v>Dan Russell</v>
      </c>
      <c r="C1353" s="3">
        <f>IFERROR(__xludf.DUMMYFUNCTION("""COMPUTED_VALUE"""),2.0)</f>
        <v>2</v>
      </c>
      <c r="D1353" s="3">
        <f t="shared" si="1"/>
        <v>0</v>
      </c>
    </row>
    <row r="1354">
      <c r="A1354" s="10">
        <f>IFERROR(__xludf.DUMMYFUNCTION("""COMPUTED_VALUE"""),45332.0)</f>
        <v>45332</v>
      </c>
      <c r="B1354" s="3" t="str">
        <f>IFERROR(__xludf.DUMMYFUNCTION("""COMPUTED_VALUE"""),"Harold Kiyingi")</f>
        <v>Harold Kiyingi</v>
      </c>
      <c r="C1354" s="3">
        <f>IFERROR(__xludf.DUMMYFUNCTION("""COMPUTED_VALUE"""),2.0)</f>
        <v>2</v>
      </c>
      <c r="D1354" s="3">
        <f t="shared" si="1"/>
        <v>0</v>
      </c>
    </row>
    <row r="1355">
      <c r="A1355" s="10">
        <f>IFERROR(__xludf.DUMMYFUNCTION("""COMPUTED_VALUE"""),45332.0)</f>
        <v>45332</v>
      </c>
      <c r="B1355" s="3" t="str">
        <f>IFERROR(__xludf.DUMMYFUNCTION("""COMPUTED_VALUE"""),"Jason Nwakaeze")</f>
        <v>Jason Nwakaeze</v>
      </c>
      <c r="C1355" s="3">
        <f>IFERROR(__xludf.DUMMYFUNCTION("""COMPUTED_VALUE"""),2.0)</f>
        <v>2</v>
      </c>
      <c r="D1355" s="3">
        <f t="shared" si="1"/>
        <v>0</v>
      </c>
    </row>
    <row r="1356">
      <c r="A1356" s="10">
        <f>IFERROR(__xludf.DUMMYFUNCTION("""COMPUTED_VALUE"""),45332.0)</f>
        <v>45332</v>
      </c>
      <c r="B1356" s="3" t="str">
        <f>IFERROR(__xludf.DUMMYFUNCTION("""COMPUTED_VALUE"""),"Max Watson")</f>
        <v>Max Watson</v>
      </c>
      <c r="C1356" s="3">
        <f>IFERROR(__xludf.DUMMYFUNCTION("""COMPUTED_VALUE"""),6.0)</f>
        <v>6</v>
      </c>
      <c r="D1356" s="3">
        <f t="shared" si="1"/>
        <v>1</v>
      </c>
    </row>
    <row r="1357">
      <c r="A1357" s="10">
        <f>IFERROR(__xludf.DUMMYFUNCTION("""COMPUTED_VALUE"""),45332.0)</f>
        <v>45332</v>
      </c>
      <c r="B1357" s="3" t="str">
        <f>IFERROR(__xludf.DUMMYFUNCTION("""COMPUTED_VALUE"""),"Nick Chimonides")</f>
        <v>Nick Chimonides</v>
      </c>
      <c r="C1357" s="3">
        <f>IFERROR(__xludf.DUMMYFUNCTION("""COMPUTED_VALUE"""),1.0)</f>
        <v>1</v>
      </c>
      <c r="D1357" s="3">
        <f t="shared" si="1"/>
        <v>0</v>
      </c>
    </row>
    <row r="1358">
      <c r="A1358" s="10">
        <f>IFERROR(__xludf.DUMMYFUNCTION("""COMPUTED_VALUE"""),45332.0)</f>
        <v>45332</v>
      </c>
      <c r="B1358" s="3" t="str">
        <f>IFERROR(__xludf.DUMMYFUNCTION("""COMPUTED_VALUE"""),"Rich Lundie")</f>
        <v>Rich Lundie</v>
      </c>
      <c r="C1358" s="3">
        <f>IFERROR(__xludf.DUMMYFUNCTION("""COMPUTED_VALUE"""),2.0)</f>
        <v>2</v>
      </c>
      <c r="D1358" s="3">
        <f t="shared" si="1"/>
        <v>0</v>
      </c>
    </row>
    <row r="1359">
      <c r="A1359" s="10">
        <f>IFERROR(__xludf.DUMMYFUNCTION("""COMPUTED_VALUE"""),45332.0)</f>
        <v>45332</v>
      </c>
      <c r="B1359" s="3" t="str">
        <f>IFERROR(__xludf.DUMMYFUNCTION("""COMPUTED_VALUE"""),"Tam de Lacey")</f>
        <v>Tam de Lacey</v>
      </c>
      <c r="C1359" s="3">
        <f>IFERROR(__xludf.DUMMYFUNCTION("""COMPUTED_VALUE"""),1.0)</f>
        <v>1</v>
      </c>
      <c r="D1359" s="3">
        <f t="shared" si="1"/>
        <v>0</v>
      </c>
    </row>
    <row r="1360">
      <c r="A1360" s="10">
        <f>IFERROR(__xludf.DUMMYFUNCTION("""COMPUTED_VALUE"""),45332.0)</f>
        <v>45332</v>
      </c>
      <c r="B1360" s="3" t="str">
        <f>IFERROR(__xludf.DUMMYFUNCTION("""COMPUTED_VALUE"""),"Will French")</f>
        <v>Will French</v>
      </c>
      <c r="C1360" s="3">
        <f>IFERROR(__xludf.DUMMYFUNCTION("""COMPUTED_VALUE"""),2.0)</f>
        <v>2</v>
      </c>
      <c r="D1360" s="3">
        <f t="shared" si="1"/>
        <v>0</v>
      </c>
    </row>
    <row r="1361">
      <c r="A1361" s="10">
        <f>IFERROR(__xludf.DUMMYFUNCTION("""COMPUTED_VALUE"""),45332.0)</f>
        <v>45332</v>
      </c>
      <c r="B1361" s="3" t="str">
        <f>IFERROR(__xludf.DUMMYFUNCTION("""COMPUTED_VALUE"""),"Will Sollory")</f>
        <v>Will Sollory</v>
      </c>
      <c r="C1361" s="3">
        <f>IFERROR(__xludf.DUMMYFUNCTION("""COMPUTED_VALUE"""),1.0)</f>
        <v>1</v>
      </c>
      <c r="D1361" s="3">
        <f t="shared" si="1"/>
        <v>0</v>
      </c>
    </row>
    <row r="1362">
      <c r="A1362" s="10">
        <f>IFERROR(__xludf.DUMMYFUNCTION("""COMPUTED_VALUE"""),45339.0)</f>
        <v>45339</v>
      </c>
      <c r="B1362" s="3" t="str">
        <f>IFERROR(__xludf.DUMMYFUNCTION("""COMPUTED_VALUE"""),"Aaron Snelling")</f>
        <v>Aaron Snelling</v>
      </c>
      <c r="C1362" s="3">
        <f>IFERROR(__xludf.DUMMYFUNCTION("""COMPUTED_VALUE"""),2.0)</f>
        <v>2</v>
      </c>
      <c r="D1362" s="3">
        <f t="shared" si="1"/>
        <v>0</v>
      </c>
    </row>
    <row r="1363">
      <c r="A1363" s="10">
        <f>IFERROR(__xludf.DUMMYFUNCTION("""COMPUTED_VALUE"""),45339.0)</f>
        <v>45339</v>
      </c>
      <c r="B1363" s="3" t="str">
        <f>IFERROR(__xludf.DUMMYFUNCTION("""COMPUTED_VALUE"""),"Adam Platten")</f>
        <v>Adam Platten</v>
      </c>
      <c r="C1363" s="3">
        <f>IFERROR(__xludf.DUMMYFUNCTION("""COMPUTED_VALUE"""),2.0)</f>
        <v>2</v>
      </c>
      <c r="D1363" s="3">
        <f t="shared" si="1"/>
        <v>0</v>
      </c>
    </row>
    <row r="1364">
      <c r="A1364" s="10">
        <f>IFERROR(__xludf.DUMMYFUNCTION("""COMPUTED_VALUE"""),45339.0)</f>
        <v>45339</v>
      </c>
      <c r="B1364" s="3" t="str">
        <f>IFERROR(__xludf.DUMMYFUNCTION("""COMPUTED_VALUE"""),"Ade Lawal")</f>
        <v>Ade Lawal</v>
      </c>
      <c r="C1364" s="3">
        <f>IFERROR(__xludf.DUMMYFUNCTION("""COMPUTED_VALUE"""),13.0)</f>
        <v>13</v>
      </c>
      <c r="D1364" s="3">
        <f t="shared" si="1"/>
        <v>1</v>
      </c>
    </row>
    <row r="1365">
      <c r="A1365" s="10">
        <f>IFERROR(__xludf.DUMMYFUNCTION("""COMPUTED_VALUE"""),45339.0)</f>
        <v>45339</v>
      </c>
      <c r="B1365" s="3" t="str">
        <f>IFERROR(__xludf.DUMMYFUNCTION("""COMPUTED_VALUE"""),"Afnan Khan")</f>
        <v>Afnan Khan</v>
      </c>
      <c r="C1365" s="3">
        <f>IFERROR(__xludf.DUMMYFUNCTION("""COMPUTED_VALUE"""),2.0)</f>
        <v>2</v>
      </c>
      <c r="D1365" s="3">
        <f t="shared" si="1"/>
        <v>0</v>
      </c>
    </row>
    <row r="1366">
      <c r="A1366" s="10">
        <f>IFERROR(__xludf.DUMMYFUNCTION("""COMPUTED_VALUE"""),45339.0)</f>
        <v>45339</v>
      </c>
      <c r="B1366" s="3" t="str">
        <f>IFERROR(__xludf.DUMMYFUNCTION("""COMPUTED_VALUE"""),"Alex Dockerill")</f>
        <v>Alex Dockerill</v>
      </c>
      <c r="C1366" s="3">
        <f>IFERROR(__xludf.DUMMYFUNCTION("""COMPUTED_VALUE"""),2.0)</f>
        <v>2</v>
      </c>
      <c r="D1366" s="3">
        <f t="shared" si="1"/>
        <v>0</v>
      </c>
    </row>
    <row r="1367">
      <c r="A1367" s="10">
        <f>IFERROR(__xludf.DUMMYFUNCTION("""COMPUTED_VALUE"""),45339.0)</f>
        <v>45339</v>
      </c>
      <c r="B1367" s="3" t="str">
        <f>IFERROR(__xludf.DUMMYFUNCTION("""COMPUTED_VALUE"""),"Alex Scott-Ruddock")</f>
        <v>Alex Scott-Ruddock</v>
      </c>
      <c r="C1367" s="3">
        <f>IFERROR(__xludf.DUMMYFUNCTION("""COMPUTED_VALUE"""),8.0)</f>
        <v>8</v>
      </c>
      <c r="D1367" s="3">
        <f t="shared" si="1"/>
        <v>0</v>
      </c>
    </row>
    <row r="1368">
      <c r="A1368" s="10">
        <f>IFERROR(__xludf.DUMMYFUNCTION("""COMPUTED_VALUE"""),45339.0)</f>
        <v>45339</v>
      </c>
      <c r="B1368" s="3" t="str">
        <f>IFERROR(__xludf.DUMMYFUNCTION("""COMPUTED_VALUE"""),"Alex Stevens")</f>
        <v>Alex Stevens</v>
      </c>
      <c r="C1368" s="3">
        <f>IFERROR(__xludf.DUMMYFUNCTION("""COMPUTED_VALUE"""),2.0)</f>
        <v>2</v>
      </c>
      <c r="D1368" s="3">
        <f t="shared" si="1"/>
        <v>0</v>
      </c>
    </row>
    <row r="1369">
      <c r="A1369" s="10">
        <f>IFERROR(__xludf.DUMMYFUNCTION("""COMPUTED_VALUE"""),45339.0)</f>
        <v>45339</v>
      </c>
      <c r="B1369" s="3" t="str">
        <f>IFERROR(__xludf.DUMMYFUNCTION("""COMPUTED_VALUE"""),"Anish Philips")</f>
        <v>Anish Philips</v>
      </c>
      <c r="C1369" s="3">
        <f>IFERROR(__xludf.DUMMYFUNCTION("""COMPUTED_VALUE"""),2.0)</f>
        <v>2</v>
      </c>
      <c r="D1369" s="3">
        <f t="shared" si="1"/>
        <v>0</v>
      </c>
    </row>
    <row r="1370">
      <c r="A1370" s="10">
        <f>IFERROR(__xludf.DUMMYFUNCTION("""COMPUTED_VALUE"""),45339.0)</f>
        <v>45339</v>
      </c>
      <c r="B1370" s="3" t="str">
        <f>IFERROR(__xludf.DUMMYFUNCTION("""COMPUTED_VALUE"""),"Anthony Ball")</f>
        <v>Anthony Ball</v>
      </c>
      <c r="C1370" s="3">
        <f>IFERROR(__xludf.DUMMYFUNCTION("""COMPUTED_VALUE"""),8.0)</f>
        <v>8</v>
      </c>
      <c r="D1370" s="3">
        <f t="shared" si="1"/>
        <v>0</v>
      </c>
    </row>
    <row r="1371">
      <c r="A1371" s="10">
        <f>IFERROR(__xludf.DUMMYFUNCTION("""COMPUTED_VALUE"""),45339.0)</f>
        <v>45339</v>
      </c>
      <c r="B1371" s="3" t="str">
        <f>IFERROR(__xludf.DUMMYFUNCTION("""COMPUTED_VALUE"""),"Calum Bennett")</f>
        <v>Calum Bennett</v>
      </c>
      <c r="C1371" s="3">
        <f>IFERROR(__xludf.DUMMYFUNCTION("""COMPUTED_VALUE"""),2.0)</f>
        <v>2</v>
      </c>
      <c r="D1371" s="3">
        <f t="shared" si="1"/>
        <v>0</v>
      </c>
    </row>
    <row r="1372">
      <c r="A1372" s="10">
        <f>IFERROR(__xludf.DUMMYFUNCTION("""COMPUTED_VALUE"""),45339.0)</f>
        <v>45339</v>
      </c>
      <c r="B1372" s="3" t="str">
        <f>IFERROR(__xludf.DUMMYFUNCTION("""COMPUTED_VALUE"""),"Calum Edwards")</f>
        <v>Calum Edwards</v>
      </c>
      <c r="C1372" s="3">
        <f>IFERROR(__xludf.DUMMYFUNCTION("""COMPUTED_VALUE"""),0.0)</f>
        <v>0</v>
      </c>
      <c r="D1372" s="3">
        <f t="shared" si="1"/>
        <v>0</v>
      </c>
    </row>
    <row r="1373">
      <c r="A1373" s="10">
        <f>IFERROR(__xludf.DUMMYFUNCTION("""COMPUTED_VALUE"""),45339.0)</f>
        <v>45339</v>
      </c>
      <c r="B1373" s="3" t="str">
        <f>IFERROR(__xludf.DUMMYFUNCTION("""COMPUTED_VALUE"""),"Cameron Pashley")</f>
        <v>Cameron Pashley</v>
      </c>
      <c r="C1373" s="3">
        <f>IFERROR(__xludf.DUMMYFUNCTION("""COMPUTED_VALUE"""),10.0)</f>
        <v>10</v>
      </c>
      <c r="D1373" s="3">
        <f t="shared" si="1"/>
        <v>0</v>
      </c>
    </row>
    <row r="1374">
      <c r="A1374" s="10">
        <f>IFERROR(__xludf.DUMMYFUNCTION("""COMPUTED_VALUE"""),45339.0)</f>
        <v>45339</v>
      </c>
      <c r="B1374" s="3" t="str">
        <f>IFERROR(__xludf.DUMMYFUNCTION("""COMPUTED_VALUE"""),"Charlie Doe")</f>
        <v>Charlie Doe</v>
      </c>
      <c r="C1374" s="3">
        <f>IFERROR(__xludf.DUMMYFUNCTION("""COMPUTED_VALUE"""),1.0)</f>
        <v>1</v>
      </c>
      <c r="D1374" s="3">
        <f t="shared" si="1"/>
        <v>0</v>
      </c>
    </row>
    <row r="1375">
      <c r="A1375" s="10">
        <f>IFERROR(__xludf.DUMMYFUNCTION("""COMPUTED_VALUE"""),45339.0)</f>
        <v>45339</v>
      </c>
      <c r="B1375" s="3" t="str">
        <f>IFERROR(__xludf.DUMMYFUNCTION("""COMPUTED_VALUE"""),"Chris Claeys")</f>
        <v>Chris Claeys</v>
      </c>
      <c r="C1375" s="3">
        <f>IFERROR(__xludf.DUMMYFUNCTION("""COMPUTED_VALUE"""),5.0)</f>
        <v>5</v>
      </c>
      <c r="D1375" s="3">
        <f t="shared" si="1"/>
        <v>0</v>
      </c>
    </row>
    <row r="1376">
      <c r="A1376" s="10">
        <f>IFERROR(__xludf.DUMMYFUNCTION("""COMPUTED_VALUE"""),45339.0)</f>
        <v>45339</v>
      </c>
      <c r="B1376" s="3" t="str">
        <f>IFERROR(__xludf.DUMMYFUNCTION("""COMPUTED_VALUE"""),"Chris Lang")</f>
        <v>Chris Lang</v>
      </c>
      <c r="C1376" s="3">
        <f>IFERROR(__xludf.DUMMYFUNCTION("""COMPUTED_VALUE"""),2.0)</f>
        <v>2</v>
      </c>
      <c r="D1376" s="3">
        <f t="shared" si="1"/>
        <v>0</v>
      </c>
    </row>
    <row r="1377">
      <c r="A1377" s="10">
        <f>IFERROR(__xludf.DUMMYFUNCTION("""COMPUTED_VALUE"""),45339.0)</f>
        <v>45339</v>
      </c>
      <c r="B1377" s="3" t="str">
        <f>IFERROR(__xludf.DUMMYFUNCTION("""COMPUTED_VALUE"""),"Christian King")</f>
        <v>Christian King</v>
      </c>
      <c r="C1377" s="3">
        <f>IFERROR(__xludf.DUMMYFUNCTION("""COMPUTED_VALUE"""),4.0)</f>
        <v>4</v>
      </c>
      <c r="D1377" s="3">
        <f t="shared" si="1"/>
        <v>0</v>
      </c>
    </row>
    <row r="1378">
      <c r="A1378" s="10">
        <f>IFERROR(__xludf.DUMMYFUNCTION("""COMPUTED_VALUE"""),45339.0)</f>
        <v>45339</v>
      </c>
      <c r="B1378" s="3" t="str">
        <f>IFERROR(__xludf.DUMMYFUNCTION("""COMPUTED_VALUE"""),"Connor White")</f>
        <v>Connor White</v>
      </c>
      <c r="C1378" s="3">
        <f>IFERROR(__xludf.DUMMYFUNCTION("""COMPUTED_VALUE"""),2.0)</f>
        <v>2</v>
      </c>
      <c r="D1378" s="3">
        <f t="shared" si="1"/>
        <v>0</v>
      </c>
    </row>
    <row r="1379">
      <c r="A1379" s="10">
        <f>IFERROR(__xludf.DUMMYFUNCTION("""COMPUTED_VALUE"""),45339.0)</f>
        <v>45339</v>
      </c>
      <c r="B1379" s="3" t="str">
        <f>IFERROR(__xludf.DUMMYFUNCTION("""COMPUTED_VALUE"""),"Corey Cleave")</f>
        <v>Corey Cleave</v>
      </c>
      <c r="C1379" s="3">
        <f>IFERROR(__xludf.DUMMYFUNCTION("""COMPUTED_VALUE"""),2.0)</f>
        <v>2</v>
      </c>
      <c r="D1379" s="3">
        <f t="shared" si="1"/>
        <v>0</v>
      </c>
    </row>
    <row r="1380">
      <c r="A1380" s="10">
        <f>IFERROR(__xludf.DUMMYFUNCTION("""COMPUTED_VALUE"""),45339.0)</f>
        <v>45339</v>
      </c>
      <c r="B1380" s="3" t="str">
        <f>IFERROR(__xludf.DUMMYFUNCTION("""COMPUTED_VALUE"""),"Daniel Sheehan")</f>
        <v>Daniel Sheehan</v>
      </c>
      <c r="C1380" s="3">
        <f>IFERROR(__xludf.DUMMYFUNCTION("""COMPUTED_VALUE"""),6.0)</f>
        <v>6</v>
      </c>
      <c r="D1380" s="3">
        <f t="shared" si="1"/>
        <v>0</v>
      </c>
    </row>
    <row r="1381">
      <c r="A1381" s="10">
        <f>IFERROR(__xludf.DUMMYFUNCTION("""COMPUTED_VALUE"""),45339.0)</f>
        <v>45339</v>
      </c>
      <c r="B1381" s="3" t="str">
        <f>IFERROR(__xludf.DUMMYFUNCTION("""COMPUTED_VALUE"""),"David Holmes-White")</f>
        <v>David Holmes-White</v>
      </c>
      <c r="C1381" s="3">
        <f>IFERROR(__xludf.DUMMYFUNCTION("""COMPUTED_VALUE"""),4.0)</f>
        <v>4</v>
      </c>
      <c r="D1381" s="3">
        <f t="shared" si="1"/>
        <v>0</v>
      </c>
    </row>
    <row r="1382">
      <c r="A1382" s="10">
        <f>IFERROR(__xludf.DUMMYFUNCTION("""COMPUTED_VALUE"""),45339.0)</f>
        <v>45339</v>
      </c>
      <c r="B1382" s="3" t="str">
        <f>IFERROR(__xludf.DUMMYFUNCTION("""COMPUTED_VALUE"""),"Deji Ogunyemi")</f>
        <v>Deji Ogunyemi</v>
      </c>
      <c r="C1382" s="3">
        <f>IFERROR(__xludf.DUMMYFUNCTION("""COMPUTED_VALUE"""),2.0)</f>
        <v>2</v>
      </c>
      <c r="D1382" s="3">
        <f t="shared" si="1"/>
        <v>0</v>
      </c>
    </row>
    <row r="1383">
      <c r="A1383" s="10">
        <f>IFERROR(__xludf.DUMMYFUNCTION("""COMPUTED_VALUE"""),45339.0)</f>
        <v>45339</v>
      </c>
      <c r="B1383" s="3" t="str">
        <f>IFERROR(__xludf.DUMMYFUNCTION("""COMPUTED_VALUE"""),"Denver Lalonde")</f>
        <v>Denver Lalonde</v>
      </c>
      <c r="C1383" s="3">
        <f>IFERROR(__xludf.DUMMYFUNCTION("""COMPUTED_VALUE"""),2.0)</f>
        <v>2</v>
      </c>
      <c r="D1383" s="3">
        <f t="shared" si="1"/>
        <v>0</v>
      </c>
    </row>
    <row r="1384">
      <c r="A1384" s="10">
        <f>IFERROR(__xludf.DUMMYFUNCTION("""COMPUTED_VALUE"""),45339.0)</f>
        <v>45339</v>
      </c>
      <c r="B1384" s="3" t="str">
        <f>IFERROR(__xludf.DUMMYFUNCTION("""COMPUTED_VALUE"""),"Dom Robbins")</f>
        <v>Dom Robbins</v>
      </c>
      <c r="C1384" s="3">
        <f>IFERROR(__xludf.DUMMYFUNCTION("""COMPUTED_VALUE"""),2.0)</f>
        <v>2</v>
      </c>
      <c r="D1384" s="3">
        <f t="shared" si="1"/>
        <v>0</v>
      </c>
    </row>
    <row r="1385">
      <c r="A1385" s="10">
        <f>IFERROR(__xludf.DUMMYFUNCTION("""COMPUTED_VALUE"""),45339.0)</f>
        <v>45339</v>
      </c>
      <c r="B1385" s="3" t="str">
        <f>IFERROR(__xludf.DUMMYFUNCTION("""COMPUTED_VALUE"""),"Ellis Forrester")</f>
        <v>Ellis Forrester</v>
      </c>
      <c r="C1385" s="3">
        <f>IFERROR(__xludf.DUMMYFUNCTION("""COMPUTED_VALUE"""),2.0)</f>
        <v>2</v>
      </c>
      <c r="D1385" s="3">
        <f t="shared" si="1"/>
        <v>0</v>
      </c>
    </row>
    <row r="1386">
      <c r="A1386" s="10">
        <f>IFERROR(__xludf.DUMMYFUNCTION("""COMPUTED_VALUE"""),45339.0)</f>
        <v>45339</v>
      </c>
      <c r="B1386" s="3" t="str">
        <f>IFERROR(__xludf.DUMMYFUNCTION("""COMPUTED_VALUE"""),"Emi Muhadri")</f>
        <v>Emi Muhadri</v>
      </c>
      <c r="C1386" s="3">
        <f>IFERROR(__xludf.DUMMYFUNCTION("""COMPUTED_VALUE"""),2.0)</f>
        <v>2</v>
      </c>
      <c r="D1386" s="3">
        <f t="shared" si="1"/>
        <v>0</v>
      </c>
    </row>
    <row r="1387">
      <c r="A1387" s="10">
        <f>IFERROR(__xludf.DUMMYFUNCTION("""COMPUTED_VALUE"""),45339.0)</f>
        <v>45339</v>
      </c>
      <c r="B1387" s="3" t="str">
        <f>IFERROR(__xludf.DUMMYFUNCTION("""COMPUTED_VALUE"""),"Ewan Harris")</f>
        <v>Ewan Harris</v>
      </c>
      <c r="C1387" s="3">
        <f>IFERROR(__xludf.DUMMYFUNCTION("""COMPUTED_VALUE"""),7.0)</f>
        <v>7</v>
      </c>
      <c r="D1387" s="3">
        <f t="shared" si="1"/>
        <v>0</v>
      </c>
    </row>
    <row r="1388">
      <c r="A1388" s="10">
        <f>IFERROR(__xludf.DUMMYFUNCTION("""COMPUTED_VALUE"""),45339.0)</f>
        <v>45339</v>
      </c>
      <c r="B1388" s="3" t="str">
        <f>IFERROR(__xludf.DUMMYFUNCTION("""COMPUTED_VALUE"""),"George Connolly")</f>
        <v>George Connolly</v>
      </c>
      <c r="C1388" s="3">
        <f>IFERROR(__xludf.DUMMYFUNCTION("""COMPUTED_VALUE"""),5.0)</f>
        <v>5</v>
      </c>
      <c r="D1388" s="3">
        <f t="shared" si="1"/>
        <v>0</v>
      </c>
    </row>
    <row r="1389">
      <c r="A1389" s="10">
        <f>IFERROR(__xludf.DUMMYFUNCTION("""COMPUTED_VALUE"""),45339.0)</f>
        <v>45339</v>
      </c>
      <c r="B1389" s="3" t="str">
        <f>IFERROR(__xludf.DUMMYFUNCTION("""COMPUTED_VALUE"""),"George Havord")</f>
        <v>George Havord</v>
      </c>
      <c r="C1389" s="3">
        <f>IFERROR(__xludf.DUMMYFUNCTION("""COMPUTED_VALUE"""),2.0)</f>
        <v>2</v>
      </c>
      <c r="D1389" s="3">
        <f t="shared" si="1"/>
        <v>0</v>
      </c>
    </row>
    <row r="1390">
      <c r="A1390" s="10">
        <f>IFERROR(__xludf.DUMMYFUNCTION("""COMPUTED_VALUE"""),45339.0)</f>
        <v>45339</v>
      </c>
      <c r="B1390" s="3" t="str">
        <f>IFERROR(__xludf.DUMMYFUNCTION("""COMPUTED_VALUE"""),"Hallam Wye")</f>
        <v>Hallam Wye</v>
      </c>
      <c r="C1390" s="3">
        <f>IFERROR(__xludf.DUMMYFUNCTION("""COMPUTED_VALUE"""),2.0)</f>
        <v>2</v>
      </c>
      <c r="D1390" s="3">
        <f t="shared" si="1"/>
        <v>0</v>
      </c>
    </row>
    <row r="1391">
      <c r="A1391" s="10">
        <f>IFERROR(__xludf.DUMMYFUNCTION("""COMPUTED_VALUE"""),45339.0)</f>
        <v>45339</v>
      </c>
      <c r="B1391" s="3" t="str">
        <f>IFERROR(__xludf.DUMMYFUNCTION("""COMPUTED_VALUE"""),"Harrison Woolley")</f>
        <v>Harrison Woolley</v>
      </c>
      <c r="C1391" s="3">
        <f>IFERROR(__xludf.DUMMYFUNCTION("""COMPUTED_VALUE"""),2.0)</f>
        <v>2</v>
      </c>
      <c r="D1391" s="3">
        <f t="shared" si="1"/>
        <v>0</v>
      </c>
    </row>
    <row r="1392">
      <c r="A1392" s="10">
        <f>IFERROR(__xludf.DUMMYFUNCTION("""COMPUTED_VALUE"""),45339.0)</f>
        <v>45339</v>
      </c>
      <c r="B1392" s="3" t="str">
        <f>IFERROR(__xludf.DUMMYFUNCTION("""COMPUTED_VALUE"""),"Harry Calvesbert")</f>
        <v>Harry Calvesbert</v>
      </c>
      <c r="C1392" s="3">
        <f>IFERROR(__xludf.DUMMYFUNCTION("""COMPUTED_VALUE"""),2.0)</f>
        <v>2</v>
      </c>
      <c r="D1392" s="3">
        <f t="shared" si="1"/>
        <v>0</v>
      </c>
    </row>
    <row r="1393">
      <c r="A1393" s="10">
        <f>IFERROR(__xludf.DUMMYFUNCTION("""COMPUTED_VALUE"""),45339.0)</f>
        <v>45339</v>
      </c>
      <c r="B1393" s="3" t="str">
        <f>IFERROR(__xludf.DUMMYFUNCTION("""COMPUTED_VALUE"""),"Harry Fripp")</f>
        <v>Harry Fripp</v>
      </c>
      <c r="C1393" s="3">
        <f>IFERROR(__xludf.DUMMYFUNCTION("""COMPUTED_VALUE"""),4.0)</f>
        <v>4</v>
      </c>
      <c r="D1393" s="3">
        <f t="shared" si="1"/>
        <v>0</v>
      </c>
    </row>
    <row r="1394">
      <c r="A1394" s="10">
        <f>IFERROR(__xludf.DUMMYFUNCTION("""COMPUTED_VALUE"""),45339.0)</f>
        <v>45339</v>
      </c>
      <c r="B1394" s="3" t="str">
        <f>IFERROR(__xludf.DUMMYFUNCTION("""COMPUTED_VALUE"""),"Henry Pepperell")</f>
        <v>Henry Pepperell</v>
      </c>
      <c r="C1394" s="3">
        <f>IFERROR(__xludf.DUMMYFUNCTION("""COMPUTED_VALUE"""),2.0)</f>
        <v>2</v>
      </c>
      <c r="D1394" s="3">
        <f t="shared" si="1"/>
        <v>0</v>
      </c>
    </row>
    <row r="1395">
      <c r="A1395" s="10">
        <f>IFERROR(__xludf.DUMMYFUNCTION("""COMPUTED_VALUE"""),45339.0)</f>
        <v>45339</v>
      </c>
      <c r="B1395" s="3" t="str">
        <f>IFERROR(__xludf.DUMMYFUNCTION("""COMPUTED_VALUE"""),"Jabari Dixon")</f>
        <v>Jabari Dixon</v>
      </c>
      <c r="C1395" s="3">
        <f>IFERROR(__xludf.DUMMYFUNCTION("""COMPUTED_VALUE"""),2.0)</f>
        <v>2</v>
      </c>
      <c r="D1395" s="3">
        <f t="shared" si="1"/>
        <v>0</v>
      </c>
    </row>
    <row r="1396">
      <c r="A1396" s="10">
        <f>IFERROR(__xludf.DUMMYFUNCTION("""COMPUTED_VALUE"""),45339.0)</f>
        <v>45339</v>
      </c>
      <c r="B1396" s="3" t="str">
        <f>IFERROR(__xludf.DUMMYFUNCTION("""COMPUTED_VALUE"""),"Jack Harris")</f>
        <v>Jack Harris</v>
      </c>
      <c r="C1396" s="3">
        <f>IFERROR(__xludf.DUMMYFUNCTION("""COMPUTED_VALUE"""),8.0)</f>
        <v>8</v>
      </c>
      <c r="D1396" s="3">
        <f t="shared" si="1"/>
        <v>0</v>
      </c>
    </row>
    <row r="1397">
      <c r="A1397" s="10">
        <f>IFERROR(__xludf.DUMMYFUNCTION("""COMPUTED_VALUE"""),45339.0)</f>
        <v>45339</v>
      </c>
      <c r="B1397" s="3" t="str">
        <f>IFERROR(__xludf.DUMMYFUNCTION("""COMPUTED_VALUE"""),"James Rodriguez")</f>
        <v>James Rodriguez</v>
      </c>
      <c r="C1397" s="3">
        <f>IFERROR(__xludf.DUMMYFUNCTION("""COMPUTED_VALUE"""),2.0)</f>
        <v>2</v>
      </c>
      <c r="D1397" s="3">
        <f t="shared" si="1"/>
        <v>0</v>
      </c>
    </row>
    <row r="1398">
      <c r="A1398" s="10">
        <f>IFERROR(__xludf.DUMMYFUNCTION("""COMPUTED_VALUE"""),45339.0)</f>
        <v>45339</v>
      </c>
      <c r="B1398" s="3" t="str">
        <f>IFERROR(__xludf.DUMMYFUNCTION("""COMPUTED_VALUE"""),"James Timmins")</f>
        <v>James Timmins</v>
      </c>
      <c r="C1398" s="3">
        <f>IFERROR(__xludf.DUMMYFUNCTION("""COMPUTED_VALUE"""),7.0)</f>
        <v>7</v>
      </c>
      <c r="D1398" s="3">
        <f t="shared" si="1"/>
        <v>0</v>
      </c>
    </row>
    <row r="1399">
      <c r="A1399" s="10">
        <f>IFERROR(__xludf.DUMMYFUNCTION("""COMPUTED_VALUE"""),45339.0)</f>
        <v>45339</v>
      </c>
      <c r="B1399" s="3" t="str">
        <f>IFERROR(__xludf.DUMMYFUNCTION("""COMPUTED_VALUE"""),"Jamie Wood")</f>
        <v>Jamie Wood</v>
      </c>
      <c r="C1399" s="3">
        <f>IFERROR(__xludf.DUMMYFUNCTION("""COMPUTED_VALUE"""),2.0)</f>
        <v>2</v>
      </c>
      <c r="D1399" s="3">
        <f t="shared" si="1"/>
        <v>0</v>
      </c>
    </row>
    <row r="1400">
      <c r="A1400" s="10">
        <f>IFERROR(__xludf.DUMMYFUNCTION("""COMPUTED_VALUE"""),45339.0)</f>
        <v>45339</v>
      </c>
      <c r="B1400" s="3" t="str">
        <f>IFERROR(__xludf.DUMMYFUNCTION("""COMPUTED_VALUE"""),"Janam Satra")</f>
        <v>Janam Satra</v>
      </c>
      <c r="C1400" s="3">
        <f>IFERROR(__xludf.DUMMYFUNCTION("""COMPUTED_VALUE"""),2.0)</f>
        <v>2</v>
      </c>
      <c r="D1400" s="3">
        <f t="shared" si="1"/>
        <v>0</v>
      </c>
    </row>
    <row r="1401">
      <c r="A1401" s="10">
        <f>IFERROR(__xludf.DUMMYFUNCTION("""COMPUTED_VALUE"""),45339.0)</f>
        <v>45339</v>
      </c>
      <c r="B1401" s="3" t="str">
        <f>IFERROR(__xludf.DUMMYFUNCTION("""COMPUTED_VALUE"""),"Jarvis Cheek")</f>
        <v>Jarvis Cheek</v>
      </c>
      <c r="C1401" s="3">
        <f>IFERROR(__xludf.DUMMYFUNCTION("""COMPUTED_VALUE"""),2.0)</f>
        <v>2</v>
      </c>
      <c r="D1401" s="3">
        <f t="shared" si="1"/>
        <v>0</v>
      </c>
    </row>
    <row r="1402">
      <c r="A1402" s="10">
        <f>IFERROR(__xludf.DUMMYFUNCTION("""COMPUTED_VALUE"""),45339.0)</f>
        <v>45339</v>
      </c>
      <c r="B1402" s="3" t="str">
        <f>IFERROR(__xludf.DUMMYFUNCTION("""COMPUTED_VALUE"""),"Jason Heath")</f>
        <v>Jason Heath</v>
      </c>
      <c r="C1402" s="3">
        <f>IFERROR(__xludf.DUMMYFUNCTION("""COMPUTED_VALUE"""),2.0)</f>
        <v>2</v>
      </c>
      <c r="D1402" s="3">
        <f t="shared" si="1"/>
        <v>0</v>
      </c>
    </row>
    <row r="1403">
      <c r="A1403" s="10">
        <f>IFERROR(__xludf.DUMMYFUNCTION("""COMPUTED_VALUE"""),45339.0)</f>
        <v>45339</v>
      </c>
      <c r="B1403" s="3" t="str">
        <f>IFERROR(__xludf.DUMMYFUNCTION("""COMPUTED_VALUE"""),"Jay Mair")</f>
        <v>Jay Mair</v>
      </c>
      <c r="C1403" s="3">
        <f>IFERROR(__xludf.DUMMYFUNCTION("""COMPUTED_VALUE"""),2.0)</f>
        <v>2</v>
      </c>
      <c r="D1403" s="3">
        <f t="shared" si="1"/>
        <v>0</v>
      </c>
    </row>
    <row r="1404">
      <c r="A1404" s="10">
        <f>IFERROR(__xludf.DUMMYFUNCTION("""COMPUTED_VALUE"""),45339.0)</f>
        <v>45339</v>
      </c>
      <c r="B1404" s="3" t="str">
        <f>IFERROR(__xludf.DUMMYFUNCTION("""COMPUTED_VALUE"""),"Joe Vincent")</f>
        <v>Joe Vincent</v>
      </c>
      <c r="C1404" s="3">
        <f>IFERROR(__xludf.DUMMYFUNCTION("""COMPUTED_VALUE"""),2.0)</f>
        <v>2</v>
      </c>
      <c r="D1404" s="3">
        <f t="shared" si="1"/>
        <v>0</v>
      </c>
    </row>
    <row r="1405">
      <c r="A1405" s="10">
        <f>IFERROR(__xludf.DUMMYFUNCTION("""COMPUTED_VALUE"""),45339.0)</f>
        <v>45339</v>
      </c>
      <c r="B1405" s="3" t="str">
        <f>IFERROR(__xludf.DUMMYFUNCTION("""COMPUTED_VALUE"""),"John Harrison")</f>
        <v>John Harrison</v>
      </c>
      <c r="C1405" s="3">
        <f>IFERROR(__xludf.DUMMYFUNCTION("""COMPUTED_VALUE"""),7.0)</f>
        <v>7</v>
      </c>
      <c r="D1405" s="3">
        <f t="shared" si="1"/>
        <v>0</v>
      </c>
    </row>
    <row r="1406">
      <c r="A1406" s="10">
        <f>IFERROR(__xludf.DUMMYFUNCTION("""COMPUTED_VALUE"""),45339.0)</f>
        <v>45339</v>
      </c>
      <c r="B1406" s="3" t="str">
        <f>IFERROR(__xludf.DUMMYFUNCTION("""COMPUTED_VALUE"""),"Jonny Simmons")</f>
        <v>Jonny Simmons</v>
      </c>
      <c r="C1406" s="3">
        <f>IFERROR(__xludf.DUMMYFUNCTION("""COMPUTED_VALUE"""),2.0)</f>
        <v>2</v>
      </c>
      <c r="D1406" s="3">
        <f t="shared" si="1"/>
        <v>0</v>
      </c>
    </row>
    <row r="1407">
      <c r="A1407" s="10">
        <f>IFERROR(__xludf.DUMMYFUNCTION("""COMPUTED_VALUE"""),45339.0)</f>
        <v>45339</v>
      </c>
      <c r="B1407" s="3" t="str">
        <f>IFERROR(__xludf.DUMMYFUNCTION("""COMPUTED_VALUE"""),"Josh Sherriff-Jolly")</f>
        <v>Josh Sherriff-Jolly</v>
      </c>
      <c r="C1407" s="3">
        <f>IFERROR(__xludf.DUMMYFUNCTION("""COMPUTED_VALUE"""),2.0)</f>
        <v>2</v>
      </c>
      <c r="D1407" s="3">
        <f t="shared" si="1"/>
        <v>0</v>
      </c>
    </row>
    <row r="1408">
      <c r="A1408" s="10">
        <f>IFERROR(__xludf.DUMMYFUNCTION("""COMPUTED_VALUE"""),45339.0)</f>
        <v>45339</v>
      </c>
      <c r="B1408" s="3" t="str">
        <f>IFERROR(__xludf.DUMMYFUNCTION("""COMPUTED_VALUE"""),"Kai Clack")</f>
        <v>Kai Clack</v>
      </c>
      <c r="C1408" s="3">
        <f>IFERROR(__xludf.DUMMYFUNCTION("""COMPUTED_VALUE"""),8.0)</f>
        <v>8</v>
      </c>
      <c r="D1408" s="3">
        <f t="shared" si="1"/>
        <v>0</v>
      </c>
    </row>
    <row r="1409">
      <c r="A1409" s="10">
        <f>IFERROR(__xludf.DUMMYFUNCTION("""COMPUTED_VALUE"""),45339.0)</f>
        <v>45339</v>
      </c>
      <c r="B1409" s="3" t="str">
        <f>IFERROR(__xludf.DUMMYFUNCTION("""COMPUTED_VALUE"""),"Keaton Cohen")</f>
        <v>Keaton Cohen</v>
      </c>
      <c r="C1409" s="3">
        <f>IFERROR(__xludf.DUMMYFUNCTION("""COMPUTED_VALUE"""),7.0)</f>
        <v>7</v>
      </c>
      <c r="D1409" s="3">
        <f t="shared" si="1"/>
        <v>0</v>
      </c>
    </row>
    <row r="1410">
      <c r="A1410" s="10">
        <f>IFERROR(__xludf.DUMMYFUNCTION("""COMPUTED_VALUE"""),45339.0)</f>
        <v>45339</v>
      </c>
      <c r="B1410" s="3" t="str">
        <f>IFERROR(__xludf.DUMMYFUNCTION("""COMPUTED_VALUE"""),"Kevin Gonzalez")</f>
        <v>Kevin Gonzalez</v>
      </c>
      <c r="C1410" s="3">
        <f>IFERROR(__xludf.DUMMYFUNCTION("""COMPUTED_VALUE"""),1.0)</f>
        <v>1</v>
      </c>
      <c r="D1410" s="3">
        <f t="shared" si="1"/>
        <v>0</v>
      </c>
    </row>
    <row r="1411">
      <c r="A1411" s="10">
        <f>IFERROR(__xludf.DUMMYFUNCTION("""COMPUTED_VALUE"""),45339.0)</f>
        <v>45339</v>
      </c>
      <c r="B1411" s="3" t="str">
        <f>IFERROR(__xludf.DUMMYFUNCTION("""COMPUTED_VALUE"""),"Kim Jaeyoon")</f>
        <v>Kim Jaeyoon</v>
      </c>
      <c r="C1411" s="3">
        <f>IFERROR(__xludf.DUMMYFUNCTION("""COMPUTED_VALUE"""),2.0)</f>
        <v>2</v>
      </c>
      <c r="D1411" s="3">
        <f t="shared" si="1"/>
        <v>0</v>
      </c>
    </row>
    <row r="1412">
      <c r="A1412" s="10">
        <f>IFERROR(__xludf.DUMMYFUNCTION("""COMPUTED_VALUE"""),45339.0)</f>
        <v>45339</v>
      </c>
      <c r="B1412" s="3" t="str">
        <f>IFERROR(__xludf.DUMMYFUNCTION("""COMPUTED_VALUE"""),"Lee Clark")</f>
        <v>Lee Clark</v>
      </c>
      <c r="C1412" s="3">
        <f>IFERROR(__xludf.DUMMYFUNCTION("""COMPUTED_VALUE"""),8.0)</f>
        <v>8</v>
      </c>
      <c r="D1412" s="3">
        <f t="shared" si="1"/>
        <v>0</v>
      </c>
    </row>
    <row r="1413">
      <c r="A1413" s="10">
        <f>IFERROR(__xludf.DUMMYFUNCTION("""COMPUTED_VALUE"""),45339.0)</f>
        <v>45339</v>
      </c>
      <c r="B1413" s="3" t="str">
        <f>IFERROR(__xludf.DUMMYFUNCTION("""COMPUTED_VALUE"""),"Leuman Coronado")</f>
        <v>Leuman Coronado</v>
      </c>
      <c r="C1413" s="3">
        <f>IFERROR(__xludf.DUMMYFUNCTION("""COMPUTED_VALUE"""),2.0)</f>
        <v>2</v>
      </c>
      <c r="D1413" s="3">
        <f t="shared" si="1"/>
        <v>0</v>
      </c>
    </row>
    <row r="1414">
      <c r="A1414" s="10">
        <f>IFERROR(__xludf.DUMMYFUNCTION("""COMPUTED_VALUE"""),45339.0)</f>
        <v>45339</v>
      </c>
      <c r="B1414" s="3" t="str">
        <f>IFERROR(__xludf.DUMMYFUNCTION("""COMPUTED_VALUE"""),"Luke Dyges")</f>
        <v>Luke Dyges</v>
      </c>
      <c r="C1414" s="3">
        <f>IFERROR(__xludf.DUMMYFUNCTION("""COMPUTED_VALUE"""),2.0)</f>
        <v>2</v>
      </c>
      <c r="D1414" s="3">
        <f t="shared" si="1"/>
        <v>0</v>
      </c>
    </row>
    <row r="1415">
      <c r="A1415" s="10">
        <f>IFERROR(__xludf.DUMMYFUNCTION("""COMPUTED_VALUE"""),45339.0)</f>
        <v>45339</v>
      </c>
      <c r="B1415" s="3" t="str">
        <f>IFERROR(__xludf.DUMMYFUNCTION("""COMPUTED_VALUE"""),"Mark Roberts")</f>
        <v>Mark Roberts</v>
      </c>
      <c r="C1415" s="3">
        <f>IFERROR(__xludf.DUMMYFUNCTION("""COMPUTED_VALUE"""),2.0)</f>
        <v>2</v>
      </c>
      <c r="D1415" s="3">
        <f t="shared" si="1"/>
        <v>0</v>
      </c>
    </row>
    <row r="1416">
      <c r="A1416" s="10">
        <f>IFERROR(__xludf.DUMMYFUNCTION("""COMPUTED_VALUE"""),45339.0)</f>
        <v>45339</v>
      </c>
      <c r="B1416" s="3" t="str">
        <f>IFERROR(__xludf.DUMMYFUNCTION("""COMPUTED_VALUE"""),"Martin Goodson")</f>
        <v>Martin Goodson</v>
      </c>
      <c r="C1416" s="3">
        <f>IFERROR(__xludf.DUMMYFUNCTION("""COMPUTED_VALUE"""),2.0)</f>
        <v>2</v>
      </c>
      <c r="D1416" s="3">
        <f t="shared" si="1"/>
        <v>0</v>
      </c>
    </row>
    <row r="1417">
      <c r="A1417" s="10">
        <f>IFERROR(__xludf.DUMMYFUNCTION("""COMPUTED_VALUE"""),45339.0)</f>
        <v>45339</v>
      </c>
      <c r="B1417" s="3" t="str">
        <f>IFERROR(__xludf.DUMMYFUNCTION("""COMPUTED_VALUE"""),"Masood Hamidi")</f>
        <v>Masood Hamidi</v>
      </c>
      <c r="C1417" s="3">
        <f>IFERROR(__xludf.DUMMYFUNCTION("""COMPUTED_VALUE"""),6.0)</f>
        <v>6</v>
      </c>
      <c r="D1417" s="3">
        <f t="shared" si="1"/>
        <v>0</v>
      </c>
    </row>
    <row r="1418">
      <c r="A1418" s="10">
        <f>IFERROR(__xludf.DUMMYFUNCTION("""COMPUTED_VALUE"""),45339.0)</f>
        <v>45339</v>
      </c>
      <c r="B1418" s="3" t="str">
        <f>IFERROR(__xludf.DUMMYFUNCTION("""COMPUTED_VALUE"""),"Matt Crowe")</f>
        <v>Matt Crowe</v>
      </c>
      <c r="C1418" s="3">
        <f>IFERROR(__xludf.DUMMYFUNCTION("""COMPUTED_VALUE"""),2.0)</f>
        <v>2</v>
      </c>
      <c r="D1418" s="3">
        <f t="shared" si="1"/>
        <v>0</v>
      </c>
    </row>
    <row r="1419">
      <c r="A1419" s="10">
        <f>IFERROR(__xludf.DUMMYFUNCTION("""COMPUTED_VALUE"""),45339.0)</f>
        <v>45339</v>
      </c>
      <c r="B1419" s="3" t="str">
        <f>IFERROR(__xludf.DUMMYFUNCTION("""COMPUTED_VALUE"""),"Matt Powell")</f>
        <v>Matt Powell</v>
      </c>
      <c r="C1419" s="3">
        <f>IFERROR(__xludf.DUMMYFUNCTION("""COMPUTED_VALUE"""),2.0)</f>
        <v>2</v>
      </c>
      <c r="D1419" s="3">
        <f t="shared" si="1"/>
        <v>0</v>
      </c>
    </row>
    <row r="1420">
      <c r="A1420" s="10">
        <f>IFERROR(__xludf.DUMMYFUNCTION("""COMPUTED_VALUE"""),45339.0)</f>
        <v>45339</v>
      </c>
      <c r="B1420" s="3" t="str">
        <f>IFERROR(__xludf.DUMMYFUNCTION("""COMPUTED_VALUE"""),"Matthew Thomas")</f>
        <v>Matthew Thomas</v>
      </c>
      <c r="C1420" s="3">
        <f>IFERROR(__xludf.DUMMYFUNCTION("""COMPUTED_VALUE"""),2.0)</f>
        <v>2</v>
      </c>
      <c r="D1420" s="3">
        <f t="shared" si="1"/>
        <v>0</v>
      </c>
    </row>
    <row r="1421">
      <c r="A1421" s="10">
        <f>IFERROR(__xludf.DUMMYFUNCTION("""COMPUTED_VALUE"""),45339.0)</f>
        <v>45339</v>
      </c>
      <c r="B1421" s="3" t="str">
        <f>IFERROR(__xludf.DUMMYFUNCTION("""COMPUTED_VALUE"""),"Max Miles")</f>
        <v>Max Miles</v>
      </c>
      <c r="C1421" s="3">
        <f>IFERROR(__xludf.DUMMYFUNCTION("""COMPUTED_VALUE"""),7.0)</f>
        <v>7</v>
      </c>
      <c r="D1421" s="3">
        <f t="shared" si="1"/>
        <v>0</v>
      </c>
    </row>
    <row r="1422">
      <c r="A1422" s="10">
        <f>IFERROR(__xludf.DUMMYFUNCTION("""COMPUTED_VALUE"""),45339.0)</f>
        <v>45339</v>
      </c>
      <c r="B1422" s="3" t="str">
        <f>IFERROR(__xludf.DUMMYFUNCTION("""COMPUTED_VALUE"""),"Max Watson")</f>
        <v>Max Watson</v>
      </c>
      <c r="C1422" s="3">
        <f>IFERROR(__xludf.DUMMYFUNCTION("""COMPUTED_VALUE"""),5.0)</f>
        <v>5</v>
      </c>
      <c r="D1422" s="3">
        <f t="shared" si="1"/>
        <v>0</v>
      </c>
    </row>
    <row r="1423">
      <c r="A1423" s="10">
        <f>IFERROR(__xludf.DUMMYFUNCTION("""COMPUTED_VALUE"""),45339.0)</f>
        <v>45339</v>
      </c>
      <c r="B1423" s="3" t="str">
        <f>IFERROR(__xludf.DUMMYFUNCTION("""COMPUTED_VALUE"""),"Nathan Baverstock")</f>
        <v>Nathan Baverstock</v>
      </c>
      <c r="C1423" s="3">
        <f>IFERROR(__xludf.DUMMYFUNCTION("""COMPUTED_VALUE"""),4.0)</f>
        <v>4</v>
      </c>
      <c r="D1423" s="3">
        <f t="shared" si="1"/>
        <v>0</v>
      </c>
    </row>
    <row r="1424">
      <c r="A1424" s="10">
        <f>IFERROR(__xludf.DUMMYFUNCTION("""COMPUTED_VALUE"""),45339.0)</f>
        <v>45339</v>
      </c>
      <c r="B1424" s="3" t="str">
        <f>IFERROR(__xludf.DUMMYFUNCTION("""COMPUTED_VALUE"""),"Niall Wootten")</f>
        <v>Niall Wootten</v>
      </c>
      <c r="C1424" s="3">
        <f>IFERROR(__xludf.DUMMYFUNCTION("""COMPUTED_VALUE"""),8.0)</f>
        <v>8</v>
      </c>
      <c r="D1424" s="3">
        <f t="shared" si="1"/>
        <v>0</v>
      </c>
    </row>
    <row r="1425">
      <c r="A1425" s="10">
        <f>IFERROR(__xludf.DUMMYFUNCTION("""COMPUTED_VALUE"""),45339.0)</f>
        <v>45339</v>
      </c>
      <c r="B1425" s="3" t="str">
        <f>IFERROR(__xludf.DUMMYFUNCTION("""COMPUTED_VALUE"""),"Nick Chimonides")</f>
        <v>Nick Chimonides</v>
      </c>
      <c r="C1425" s="3">
        <f>IFERROR(__xludf.DUMMYFUNCTION("""COMPUTED_VALUE"""),2.0)</f>
        <v>2</v>
      </c>
      <c r="D1425" s="3">
        <f t="shared" si="1"/>
        <v>0</v>
      </c>
    </row>
    <row r="1426">
      <c r="A1426" s="10">
        <f>IFERROR(__xludf.DUMMYFUNCTION("""COMPUTED_VALUE"""),45339.0)</f>
        <v>45339</v>
      </c>
      <c r="B1426" s="3" t="str">
        <f>IFERROR(__xludf.DUMMYFUNCTION("""COMPUTED_VALUE"""),"Nima Naghdi")</f>
        <v>Nima Naghdi</v>
      </c>
      <c r="C1426" s="3">
        <f>IFERROR(__xludf.DUMMYFUNCTION("""COMPUTED_VALUE"""),1.0)</f>
        <v>1</v>
      </c>
      <c r="D1426" s="3">
        <f t="shared" si="1"/>
        <v>0</v>
      </c>
    </row>
    <row r="1427">
      <c r="A1427" s="10">
        <f>IFERROR(__xludf.DUMMYFUNCTION("""COMPUTED_VALUE"""),45339.0)</f>
        <v>45339</v>
      </c>
      <c r="B1427" s="3" t="str">
        <f>IFERROR(__xludf.DUMMYFUNCTION("""COMPUTED_VALUE"""),"Paul Ball")</f>
        <v>Paul Ball</v>
      </c>
      <c r="C1427" s="3">
        <f>IFERROR(__xludf.DUMMYFUNCTION("""COMPUTED_VALUE"""),2.0)</f>
        <v>2</v>
      </c>
      <c r="D1427" s="3">
        <f t="shared" si="1"/>
        <v>0</v>
      </c>
    </row>
    <row r="1428">
      <c r="A1428" s="10">
        <f>IFERROR(__xludf.DUMMYFUNCTION("""COMPUTED_VALUE"""),45339.0)</f>
        <v>45339</v>
      </c>
      <c r="B1428" s="3" t="str">
        <f>IFERROR(__xludf.DUMMYFUNCTION("""COMPUTED_VALUE"""),"Pierce Bennett")</f>
        <v>Pierce Bennett</v>
      </c>
      <c r="C1428" s="3">
        <f>IFERROR(__xludf.DUMMYFUNCTION("""COMPUTED_VALUE"""),2.0)</f>
        <v>2</v>
      </c>
      <c r="D1428" s="3">
        <f t="shared" si="1"/>
        <v>0</v>
      </c>
    </row>
    <row r="1429">
      <c r="A1429" s="10">
        <f>IFERROR(__xludf.DUMMYFUNCTION("""COMPUTED_VALUE"""),45339.0)</f>
        <v>45339</v>
      </c>
      <c r="B1429" s="3" t="str">
        <f>IFERROR(__xludf.DUMMYFUNCTION("""COMPUTED_VALUE"""),"Raj Ramful")</f>
        <v>Raj Ramful</v>
      </c>
      <c r="C1429" s="3">
        <f>IFERROR(__xludf.DUMMYFUNCTION("""COMPUTED_VALUE"""),2.0)</f>
        <v>2</v>
      </c>
      <c r="D1429" s="3">
        <f t="shared" si="1"/>
        <v>0</v>
      </c>
    </row>
    <row r="1430">
      <c r="A1430" s="10">
        <f>IFERROR(__xludf.DUMMYFUNCTION("""COMPUTED_VALUE"""),45339.0)</f>
        <v>45339</v>
      </c>
      <c r="B1430" s="3" t="str">
        <f>IFERROR(__xludf.DUMMYFUNCTION("""COMPUTED_VALUE"""),"Rich Lundie")</f>
        <v>Rich Lundie</v>
      </c>
      <c r="C1430" s="3">
        <f>IFERROR(__xludf.DUMMYFUNCTION("""COMPUTED_VALUE"""),5.0)</f>
        <v>5</v>
      </c>
      <c r="D1430" s="3">
        <f t="shared" si="1"/>
        <v>0</v>
      </c>
    </row>
    <row r="1431">
      <c r="A1431" s="10">
        <f>IFERROR(__xludf.DUMMYFUNCTION("""COMPUTED_VALUE"""),45339.0)</f>
        <v>45339</v>
      </c>
      <c r="B1431" s="3" t="str">
        <f>IFERROR(__xludf.DUMMYFUNCTION("""COMPUTED_VALUE"""),"Richard Jones")</f>
        <v>Richard Jones</v>
      </c>
      <c r="C1431" s="3">
        <f>IFERROR(__xludf.DUMMYFUNCTION("""COMPUTED_VALUE"""),13.0)</f>
        <v>13</v>
      </c>
      <c r="D1431" s="3">
        <f t="shared" si="1"/>
        <v>1</v>
      </c>
    </row>
    <row r="1432">
      <c r="A1432" s="10">
        <f>IFERROR(__xludf.DUMMYFUNCTION("""COMPUTED_VALUE"""),45339.0)</f>
        <v>45339</v>
      </c>
      <c r="B1432" s="3" t="str">
        <f>IFERROR(__xludf.DUMMYFUNCTION("""COMPUTED_VALUE"""),"Ryan Cochrane")</f>
        <v>Ryan Cochrane</v>
      </c>
      <c r="C1432" s="3">
        <f>IFERROR(__xludf.DUMMYFUNCTION("""COMPUTED_VALUE"""),2.0)</f>
        <v>2</v>
      </c>
      <c r="D1432" s="3">
        <f t="shared" si="1"/>
        <v>0</v>
      </c>
    </row>
    <row r="1433">
      <c r="A1433" s="10">
        <f>IFERROR(__xludf.DUMMYFUNCTION("""COMPUTED_VALUE"""),45339.0)</f>
        <v>45339</v>
      </c>
      <c r="B1433" s="3" t="str">
        <f>IFERROR(__xludf.DUMMYFUNCTION("""COMPUTED_VALUE"""),"Sam A'Court")</f>
        <v>Sam A'Court</v>
      </c>
      <c r="C1433" s="3">
        <f>IFERROR(__xludf.DUMMYFUNCTION("""COMPUTED_VALUE"""),2.0)</f>
        <v>2</v>
      </c>
      <c r="D1433" s="3">
        <f t="shared" si="1"/>
        <v>0</v>
      </c>
    </row>
    <row r="1434">
      <c r="A1434" s="10">
        <f>IFERROR(__xludf.DUMMYFUNCTION("""COMPUTED_VALUE"""),45339.0)</f>
        <v>45339</v>
      </c>
      <c r="B1434" s="3" t="str">
        <f>IFERROR(__xludf.DUMMYFUNCTION("""COMPUTED_VALUE"""),"Sean Rowlett")</f>
        <v>Sean Rowlett</v>
      </c>
      <c r="C1434" s="3">
        <f>IFERROR(__xludf.DUMMYFUNCTION("""COMPUTED_VALUE"""),1.0)</f>
        <v>1</v>
      </c>
      <c r="D1434" s="3">
        <f t="shared" si="1"/>
        <v>0</v>
      </c>
    </row>
    <row r="1435">
      <c r="A1435" s="10">
        <f>IFERROR(__xludf.DUMMYFUNCTION("""COMPUTED_VALUE"""),45339.0)</f>
        <v>45339</v>
      </c>
      <c r="B1435" s="3" t="str">
        <f>IFERROR(__xludf.DUMMYFUNCTION("""COMPUTED_VALUE"""),"Seb Curle")</f>
        <v>Seb Curle</v>
      </c>
      <c r="C1435" s="3">
        <f>IFERROR(__xludf.DUMMYFUNCTION("""COMPUTED_VALUE"""),2.0)</f>
        <v>2</v>
      </c>
      <c r="D1435" s="3">
        <f t="shared" si="1"/>
        <v>0</v>
      </c>
    </row>
    <row r="1436">
      <c r="A1436" s="10">
        <f>IFERROR(__xludf.DUMMYFUNCTION("""COMPUTED_VALUE"""),45339.0)</f>
        <v>45339</v>
      </c>
      <c r="B1436" s="3" t="str">
        <f>IFERROR(__xludf.DUMMYFUNCTION("""COMPUTED_VALUE"""),"Stanley Timms")</f>
        <v>Stanley Timms</v>
      </c>
      <c r="C1436" s="3">
        <f>IFERROR(__xludf.DUMMYFUNCTION("""COMPUTED_VALUE"""),2.0)</f>
        <v>2</v>
      </c>
      <c r="D1436" s="3">
        <f t="shared" si="1"/>
        <v>0</v>
      </c>
    </row>
    <row r="1437">
      <c r="A1437" s="10">
        <f>IFERROR(__xludf.DUMMYFUNCTION("""COMPUTED_VALUE"""),45339.0)</f>
        <v>45339</v>
      </c>
      <c r="B1437" s="3" t="str">
        <f>IFERROR(__xludf.DUMMYFUNCTION("""COMPUTED_VALUE"""),"Stu Jordan")</f>
        <v>Stu Jordan</v>
      </c>
      <c r="C1437" s="3">
        <f>IFERROR(__xludf.DUMMYFUNCTION("""COMPUTED_VALUE"""),8.0)</f>
        <v>8</v>
      </c>
      <c r="D1437" s="3">
        <f t="shared" si="1"/>
        <v>0</v>
      </c>
    </row>
    <row r="1438">
      <c r="A1438" s="10">
        <f>IFERROR(__xludf.DUMMYFUNCTION("""COMPUTED_VALUE"""),45339.0)</f>
        <v>45339</v>
      </c>
      <c r="B1438" s="3" t="str">
        <f>IFERROR(__xludf.DUMMYFUNCTION("""COMPUTED_VALUE"""),"Tam de Lacey")</f>
        <v>Tam de Lacey</v>
      </c>
      <c r="C1438" s="3">
        <f>IFERROR(__xludf.DUMMYFUNCTION("""COMPUTED_VALUE"""),2.0)</f>
        <v>2</v>
      </c>
      <c r="D1438" s="3">
        <f t="shared" si="1"/>
        <v>0</v>
      </c>
    </row>
    <row r="1439">
      <c r="A1439" s="10">
        <f>IFERROR(__xludf.DUMMYFUNCTION("""COMPUTED_VALUE"""),45339.0)</f>
        <v>45339</v>
      </c>
      <c r="B1439" s="3" t="str">
        <f>IFERROR(__xludf.DUMMYFUNCTION("""COMPUTED_VALUE"""),"Theo Horton")</f>
        <v>Theo Horton</v>
      </c>
      <c r="C1439" s="3">
        <f>IFERROR(__xludf.DUMMYFUNCTION("""COMPUTED_VALUE"""),2.0)</f>
        <v>2</v>
      </c>
      <c r="D1439" s="3">
        <f t="shared" si="1"/>
        <v>0</v>
      </c>
    </row>
    <row r="1440">
      <c r="A1440" s="10">
        <f>IFERROR(__xludf.DUMMYFUNCTION("""COMPUTED_VALUE"""),45339.0)</f>
        <v>45339</v>
      </c>
      <c r="B1440" s="3" t="str">
        <f>IFERROR(__xludf.DUMMYFUNCTION("""COMPUTED_VALUE"""),"Tom Davidson")</f>
        <v>Tom Davidson</v>
      </c>
      <c r="C1440" s="3">
        <f>IFERROR(__xludf.DUMMYFUNCTION("""COMPUTED_VALUE"""),2.0)</f>
        <v>2</v>
      </c>
      <c r="D1440" s="3">
        <f t="shared" si="1"/>
        <v>0</v>
      </c>
    </row>
    <row r="1441">
      <c r="A1441" s="10">
        <f>IFERROR(__xludf.DUMMYFUNCTION("""COMPUTED_VALUE"""),45339.0)</f>
        <v>45339</v>
      </c>
      <c r="B1441" s="3" t="str">
        <f>IFERROR(__xludf.DUMMYFUNCTION("""COMPUTED_VALUE"""),"Tom Riley")</f>
        <v>Tom Riley</v>
      </c>
      <c r="C1441" s="3">
        <f>IFERROR(__xludf.DUMMYFUNCTION("""COMPUTED_VALUE"""),2.0)</f>
        <v>2</v>
      </c>
      <c r="D1441" s="3">
        <f t="shared" si="1"/>
        <v>0</v>
      </c>
    </row>
    <row r="1442">
      <c r="A1442" s="10">
        <f>IFERROR(__xludf.DUMMYFUNCTION("""COMPUTED_VALUE"""),45339.0)</f>
        <v>45339</v>
      </c>
      <c r="B1442" s="3" t="str">
        <f>IFERROR(__xludf.DUMMYFUNCTION("""COMPUTED_VALUE"""),"Tom Taylor")</f>
        <v>Tom Taylor</v>
      </c>
      <c r="C1442" s="3">
        <f>IFERROR(__xludf.DUMMYFUNCTION("""COMPUTED_VALUE"""),2.0)</f>
        <v>2</v>
      </c>
      <c r="D1442" s="3">
        <f t="shared" si="1"/>
        <v>0</v>
      </c>
    </row>
    <row r="1443">
      <c r="A1443" s="10">
        <f>IFERROR(__xludf.DUMMYFUNCTION("""COMPUTED_VALUE"""),45339.0)</f>
        <v>45339</v>
      </c>
      <c r="B1443" s="3" t="str">
        <f>IFERROR(__xludf.DUMMYFUNCTION("""COMPUTED_VALUE"""),"Will French")</f>
        <v>Will French</v>
      </c>
      <c r="C1443" s="3">
        <f>IFERROR(__xludf.DUMMYFUNCTION("""COMPUTED_VALUE"""),2.0)</f>
        <v>2</v>
      </c>
      <c r="D1443" s="3">
        <f t="shared" si="1"/>
        <v>0</v>
      </c>
    </row>
    <row r="1444">
      <c r="A1444" s="10">
        <f>IFERROR(__xludf.DUMMYFUNCTION("""COMPUTED_VALUE"""),45339.0)</f>
        <v>45339</v>
      </c>
      <c r="B1444" s="3" t="str">
        <f>IFERROR(__xludf.DUMMYFUNCTION("""COMPUTED_VALUE"""),"Yemi Oviosu")</f>
        <v>Yemi Oviosu</v>
      </c>
      <c r="C1444" s="3">
        <f>IFERROR(__xludf.DUMMYFUNCTION("""COMPUTED_VALUE"""),2.0)</f>
        <v>2</v>
      </c>
      <c r="D1444" s="3">
        <f t="shared" si="1"/>
        <v>0</v>
      </c>
    </row>
    <row r="1445">
      <c r="A1445" s="10">
        <f>IFERROR(__xludf.DUMMYFUNCTION("""COMPUTED_VALUE"""),45360.0)</f>
        <v>45360</v>
      </c>
      <c r="B1445" s="3" t="str">
        <f>IFERROR(__xludf.DUMMYFUNCTION("""COMPUTED_VALUE"""),"Aaron Snelling")</f>
        <v>Aaron Snelling</v>
      </c>
      <c r="C1445" s="3">
        <f>IFERROR(__xludf.DUMMYFUNCTION("""COMPUTED_VALUE"""),2.0)</f>
        <v>2</v>
      </c>
      <c r="D1445" s="3">
        <f t="shared" si="1"/>
        <v>0</v>
      </c>
    </row>
    <row r="1446">
      <c r="A1446" s="10">
        <f>IFERROR(__xludf.DUMMYFUNCTION("""COMPUTED_VALUE"""),45360.0)</f>
        <v>45360</v>
      </c>
      <c r="B1446" s="3" t="str">
        <f>IFERROR(__xludf.DUMMYFUNCTION("""COMPUTED_VALUE"""),"Adam Platten")</f>
        <v>Adam Platten</v>
      </c>
      <c r="C1446" s="3">
        <f>IFERROR(__xludf.DUMMYFUNCTION("""COMPUTED_VALUE"""),18.0)</f>
        <v>18</v>
      </c>
      <c r="D1446" s="3">
        <f t="shared" si="1"/>
        <v>0</v>
      </c>
    </row>
    <row r="1447">
      <c r="A1447" s="10">
        <f>IFERROR(__xludf.DUMMYFUNCTION("""COMPUTED_VALUE"""),45360.0)</f>
        <v>45360</v>
      </c>
      <c r="B1447" s="3" t="str">
        <f>IFERROR(__xludf.DUMMYFUNCTION("""COMPUTED_VALUE"""),"Ade Lawal")</f>
        <v>Ade Lawal</v>
      </c>
      <c r="C1447" s="3">
        <f>IFERROR(__xludf.DUMMYFUNCTION("""COMPUTED_VALUE"""),2.0)</f>
        <v>2</v>
      </c>
      <c r="D1447" s="3">
        <f t="shared" si="1"/>
        <v>0</v>
      </c>
    </row>
    <row r="1448">
      <c r="A1448" s="10">
        <f>IFERROR(__xludf.DUMMYFUNCTION("""COMPUTED_VALUE"""),45360.0)</f>
        <v>45360</v>
      </c>
      <c r="B1448" s="3" t="str">
        <f>IFERROR(__xludf.DUMMYFUNCTION("""COMPUTED_VALUE"""),"Afnan Khan")</f>
        <v>Afnan Khan</v>
      </c>
      <c r="C1448" s="3">
        <f>IFERROR(__xludf.DUMMYFUNCTION("""COMPUTED_VALUE"""),2.0)</f>
        <v>2</v>
      </c>
      <c r="D1448" s="3">
        <f t="shared" si="1"/>
        <v>0</v>
      </c>
    </row>
    <row r="1449">
      <c r="A1449" s="10">
        <f>IFERROR(__xludf.DUMMYFUNCTION("""COMPUTED_VALUE"""),45360.0)</f>
        <v>45360</v>
      </c>
      <c r="B1449" s="3" t="str">
        <f>IFERROR(__xludf.DUMMYFUNCTION("""COMPUTED_VALUE"""),"Al Humphrey")</f>
        <v>Al Humphrey</v>
      </c>
      <c r="C1449" s="3">
        <f>IFERROR(__xludf.DUMMYFUNCTION("""COMPUTED_VALUE"""),5.0)</f>
        <v>5</v>
      </c>
      <c r="D1449" s="3">
        <f t="shared" si="1"/>
        <v>0</v>
      </c>
    </row>
    <row r="1450">
      <c r="A1450" s="10">
        <f>IFERROR(__xludf.DUMMYFUNCTION("""COMPUTED_VALUE"""),45360.0)</f>
        <v>45360</v>
      </c>
      <c r="B1450" s="3" t="str">
        <f>IFERROR(__xludf.DUMMYFUNCTION("""COMPUTED_VALUE"""),"Alex Dockerill")</f>
        <v>Alex Dockerill</v>
      </c>
      <c r="C1450" s="3">
        <f>IFERROR(__xludf.DUMMYFUNCTION("""COMPUTED_VALUE"""),2.0)</f>
        <v>2</v>
      </c>
      <c r="D1450" s="3">
        <f t="shared" si="1"/>
        <v>0</v>
      </c>
    </row>
    <row r="1451">
      <c r="A1451" s="10">
        <f>IFERROR(__xludf.DUMMYFUNCTION("""COMPUTED_VALUE"""),45360.0)</f>
        <v>45360</v>
      </c>
      <c r="B1451" s="3" t="str">
        <f>IFERROR(__xludf.DUMMYFUNCTION("""COMPUTED_VALUE"""),"Alex Mansfield")</f>
        <v>Alex Mansfield</v>
      </c>
      <c r="C1451" s="3">
        <f>IFERROR(__xludf.DUMMYFUNCTION("""COMPUTED_VALUE"""),7.0)</f>
        <v>7</v>
      </c>
      <c r="D1451" s="3">
        <f t="shared" si="1"/>
        <v>0</v>
      </c>
    </row>
    <row r="1452">
      <c r="A1452" s="10">
        <f>IFERROR(__xludf.DUMMYFUNCTION("""COMPUTED_VALUE"""),45360.0)</f>
        <v>45360</v>
      </c>
      <c r="B1452" s="3" t="str">
        <f>IFERROR(__xludf.DUMMYFUNCTION("""COMPUTED_VALUE"""),"Alex Stevens")</f>
        <v>Alex Stevens</v>
      </c>
      <c r="C1452" s="3">
        <f>IFERROR(__xludf.DUMMYFUNCTION("""COMPUTED_VALUE"""),2.0)</f>
        <v>2</v>
      </c>
      <c r="D1452" s="3">
        <f t="shared" si="1"/>
        <v>0</v>
      </c>
    </row>
    <row r="1453">
      <c r="A1453" s="10">
        <f>IFERROR(__xludf.DUMMYFUNCTION("""COMPUTED_VALUE"""),45360.0)</f>
        <v>45360</v>
      </c>
      <c r="B1453" s="3" t="str">
        <f>IFERROR(__xludf.DUMMYFUNCTION("""COMPUTED_VALUE"""),"Andrew Barclay")</f>
        <v>Andrew Barclay</v>
      </c>
      <c r="C1453" s="3">
        <f>IFERROR(__xludf.DUMMYFUNCTION("""COMPUTED_VALUE"""),1.0)</f>
        <v>1</v>
      </c>
      <c r="D1453" s="3">
        <f t="shared" si="1"/>
        <v>0</v>
      </c>
    </row>
    <row r="1454">
      <c r="A1454" s="10">
        <f>IFERROR(__xludf.DUMMYFUNCTION("""COMPUTED_VALUE"""),45360.0)</f>
        <v>45360</v>
      </c>
      <c r="B1454" s="3" t="str">
        <f>IFERROR(__xludf.DUMMYFUNCTION("""COMPUTED_VALUE"""),"Ash Mayers")</f>
        <v>Ash Mayers</v>
      </c>
      <c r="C1454" s="3">
        <f>IFERROR(__xludf.DUMMYFUNCTION("""COMPUTED_VALUE"""),1.0)</f>
        <v>1</v>
      </c>
      <c r="D1454" s="3">
        <f t="shared" si="1"/>
        <v>0</v>
      </c>
    </row>
    <row r="1455">
      <c r="A1455" s="10">
        <f>IFERROR(__xludf.DUMMYFUNCTION("""COMPUTED_VALUE"""),45360.0)</f>
        <v>45360</v>
      </c>
      <c r="B1455" s="3" t="str">
        <f>IFERROR(__xludf.DUMMYFUNCTION("""COMPUTED_VALUE"""),"Ben Dockerill")</f>
        <v>Ben Dockerill</v>
      </c>
      <c r="C1455" s="3">
        <f>IFERROR(__xludf.DUMMYFUNCTION("""COMPUTED_VALUE"""),2.0)</f>
        <v>2</v>
      </c>
      <c r="D1455" s="3">
        <f t="shared" si="1"/>
        <v>0</v>
      </c>
    </row>
    <row r="1456">
      <c r="A1456" s="10">
        <f>IFERROR(__xludf.DUMMYFUNCTION("""COMPUTED_VALUE"""),45360.0)</f>
        <v>45360</v>
      </c>
      <c r="B1456" s="3" t="str">
        <f>IFERROR(__xludf.DUMMYFUNCTION("""COMPUTED_VALUE"""),"Billy King")</f>
        <v>Billy King</v>
      </c>
      <c r="C1456" s="3">
        <f>IFERROR(__xludf.DUMMYFUNCTION("""COMPUTED_VALUE"""),2.0)</f>
        <v>2</v>
      </c>
      <c r="D1456" s="3">
        <f t="shared" si="1"/>
        <v>0</v>
      </c>
    </row>
    <row r="1457">
      <c r="A1457" s="10">
        <f>IFERROR(__xludf.DUMMYFUNCTION("""COMPUTED_VALUE"""),45360.0)</f>
        <v>45360</v>
      </c>
      <c r="B1457" s="3" t="str">
        <f>IFERROR(__xludf.DUMMYFUNCTION("""COMPUTED_VALUE"""),"Billy Mclean")</f>
        <v>Billy Mclean</v>
      </c>
      <c r="C1457" s="3">
        <f>IFERROR(__xludf.DUMMYFUNCTION("""COMPUTED_VALUE"""),2.0)</f>
        <v>2</v>
      </c>
      <c r="D1457" s="3">
        <f t="shared" si="1"/>
        <v>0</v>
      </c>
    </row>
    <row r="1458">
      <c r="A1458" s="10">
        <f>IFERROR(__xludf.DUMMYFUNCTION("""COMPUTED_VALUE"""),45360.0)</f>
        <v>45360</v>
      </c>
      <c r="B1458" s="3" t="str">
        <f>IFERROR(__xludf.DUMMYFUNCTION("""COMPUTED_VALUE"""),"Calum Bennett")</f>
        <v>Calum Bennett</v>
      </c>
      <c r="C1458" s="3">
        <f>IFERROR(__xludf.DUMMYFUNCTION("""COMPUTED_VALUE"""),2.0)</f>
        <v>2</v>
      </c>
      <c r="D1458" s="3">
        <f t="shared" si="1"/>
        <v>0</v>
      </c>
    </row>
    <row r="1459">
      <c r="A1459" s="10">
        <f>IFERROR(__xludf.DUMMYFUNCTION("""COMPUTED_VALUE"""),45360.0)</f>
        <v>45360</v>
      </c>
      <c r="B1459" s="3" t="str">
        <f>IFERROR(__xludf.DUMMYFUNCTION("""COMPUTED_VALUE"""),"Cameron Pashley")</f>
        <v>Cameron Pashley</v>
      </c>
      <c r="C1459" s="3">
        <f>IFERROR(__xludf.DUMMYFUNCTION("""COMPUTED_VALUE"""),7.0)</f>
        <v>7</v>
      </c>
      <c r="D1459" s="3">
        <f t="shared" si="1"/>
        <v>0</v>
      </c>
    </row>
    <row r="1460">
      <c r="A1460" s="10">
        <f>IFERROR(__xludf.DUMMYFUNCTION("""COMPUTED_VALUE"""),45360.0)</f>
        <v>45360</v>
      </c>
      <c r="B1460" s="3" t="str">
        <f>IFERROR(__xludf.DUMMYFUNCTION("""COMPUTED_VALUE"""),"Charlie Doe")</f>
        <v>Charlie Doe</v>
      </c>
      <c r="C1460" s="3">
        <f>IFERROR(__xludf.DUMMYFUNCTION("""COMPUTED_VALUE"""),1.0)</f>
        <v>1</v>
      </c>
      <c r="D1460" s="3">
        <f t="shared" si="1"/>
        <v>0</v>
      </c>
    </row>
    <row r="1461">
      <c r="A1461" s="10">
        <f>IFERROR(__xludf.DUMMYFUNCTION("""COMPUTED_VALUE"""),45360.0)</f>
        <v>45360</v>
      </c>
      <c r="B1461" s="3" t="str">
        <f>IFERROR(__xludf.DUMMYFUNCTION("""COMPUTED_VALUE"""),"Chris Claeys")</f>
        <v>Chris Claeys</v>
      </c>
      <c r="C1461" s="3">
        <f>IFERROR(__xludf.DUMMYFUNCTION("""COMPUTED_VALUE"""),2.0)</f>
        <v>2</v>
      </c>
      <c r="D1461" s="3">
        <f t="shared" si="1"/>
        <v>0</v>
      </c>
    </row>
    <row r="1462">
      <c r="A1462" s="10">
        <f>IFERROR(__xludf.DUMMYFUNCTION("""COMPUTED_VALUE"""),45360.0)</f>
        <v>45360</v>
      </c>
      <c r="B1462" s="3" t="str">
        <f>IFERROR(__xludf.DUMMYFUNCTION("""COMPUTED_VALUE"""),"Chris Lang")</f>
        <v>Chris Lang</v>
      </c>
      <c r="C1462" s="3">
        <f>IFERROR(__xludf.DUMMYFUNCTION("""COMPUTED_VALUE"""),1.0)</f>
        <v>1</v>
      </c>
      <c r="D1462" s="3">
        <f t="shared" si="1"/>
        <v>0</v>
      </c>
    </row>
    <row r="1463">
      <c r="A1463" s="10">
        <f>IFERROR(__xludf.DUMMYFUNCTION("""COMPUTED_VALUE"""),45360.0)</f>
        <v>45360</v>
      </c>
      <c r="B1463" s="3" t="str">
        <f>IFERROR(__xludf.DUMMYFUNCTION("""COMPUTED_VALUE"""),"Ciaran Curran")</f>
        <v>Ciaran Curran</v>
      </c>
      <c r="C1463" s="3">
        <f>IFERROR(__xludf.DUMMYFUNCTION("""COMPUTED_VALUE"""),2.0)</f>
        <v>2</v>
      </c>
      <c r="D1463" s="3">
        <f t="shared" si="1"/>
        <v>0</v>
      </c>
    </row>
    <row r="1464">
      <c r="A1464" s="10">
        <f>IFERROR(__xludf.DUMMYFUNCTION("""COMPUTED_VALUE"""),45360.0)</f>
        <v>45360</v>
      </c>
      <c r="B1464" s="3" t="str">
        <f>IFERROR(__xludf.DUMMYFUNCTION("""COMPUTED_VALUE"""),"Corey Cleave")</f>
        <v>Corey Cleave</v>
      </c>
      <c r="C1464" s="3">
        <f>IFERROR(__xludf.DUMMYFUNCTION("""COMPUTED_VALUE"""),19.0)</f>
        <v>19</v>
      </c>
      <c r="D1464" s="3">
        <f t="shared" si="1"/>
        <v>1</v>
      </c>
    </row>
    <row r="1465">
      <c r="A1465" s="10">
        <f>IFERROR(__xludf.DUMMYFUNCTION("""COMPUTED_VALUE"""),45360.0)</f>
        <v>45360</v>
      </c>
      <c r="B1465" s="3" t="str">
        <f>IFERROR(__xludf.DUMMYFUNCTION("""COMPUTED_VALUE"""),"Dan Russell")</f>
        <v>Dan Russell</v>
      </c>
      <c r="C1465" s="3">
        <f>IFERROR(__xludf.DUMMYFUNCTION("""COMPUTED_VALUE"""),5.0)</f>
        <v>5</v>
      </c>
      <c r="D1465" s="3">
        <f t="shared" si="1"/>
        <v>0</v>
      </c>
    </row>
    <row r="1466">
      <c r="A1466" s="10">
        <f>IFERROR(__xludf.DUMMYFUNCTION("""COMPUTED_VALUE"""),45360.0)</f>
        <v>45360</v>
      </c>
      <c r="B1466" s="3" t="str">
        <f>IFERROR(__xludf.DUMMYFUNCTION("""COMPUTED_VALUE"""),"Daniel Sheehan")</f>
        <v>Daniel Sheehan</v>
      </c>
      <c r="C1466" s="3">
        <f>IFERROR(__xludf.DUMMYFUNCTION("""COMPUTED_VALUE"""),2.0)</f>
        <v>2</v>
      </c>
      <c r="D1466" s="3">
        <f t="shared" si="1"/>
        <v>0</v>
      </c>
    </row>
    <row r="1467">
      <c r="A1467" s="10">
        <f>IFERROR(__xludf.DUMMYFUNCTION("""COMPUTED_VALUE"""),45360.0)</f>
        <v>45360</v>
      </c>
      <c r="B1467" s="3" t="str">
        <f>IFERROR(__xludf.DUMMYFUNCTION("""COMPUTED_VALUE"""),"David Holmes-White")</f>
        <v>David Holmes-White</v>
      </c>
      <c r="C1467" s="3">
        <f>IFERROR(__xludf.DUMMYFUNCTION("""COMPUTED_VALUE"""),2.0)</f>
        <v>2</v>
      </c>
      <c r="D1467" s="3">
        <f t="shared" si="1"/>
        <v>0</v>
      </c>
    </row>
    <row r="1468">
      <c r="A1468" s="10">
        <f>IFERROR(__xludf.DUMMYFUNCTION("""COMPUTED_VALUE"""),45360.0)</f>
        <v>45360</v>
      </c>
      <c r="B1468" s="3" t="str">
        <f>IFERROR(__xludf.DUMMYFUNCTION("""COMPUTED_VALUE"""),"Deji Ogunyemi")</f>
        <v>Deji Ogunyemi</v>
      </c>
      <c r="C1468" s="3">
        <f>IFERROR(__xludf.DUMMYFUNCTION("""COMPUTED_VALUE"""),7.0)</f>
        <v>7</v>
      </c>
      <c r="D1468" s="3">
        <f t="shared" si="1"/>
        <v>0</v>
      </c>
    </row>
    <row r="1469">
      <c r="A1469" s="10">
        <f>IFERROR(__xludf.DUMMYFUNCTION("""COMPUTED_VALUE"""),45360.0)</f>
        <v>45360</v>
      </c>
      <c r="B1469" s="3" t="str">
        <f>IFERROR(__xludf.DUMMYFUNCTION("""COMPUTED_VALUE"""),"Denver Lalonde")</f>
        <v>Denver Lalonde</v>
      </c>
      <c r="C1469" s="3">
        <f>IFERROR(__xludf.DUMMYFUNCTION("""COMPUTED_VALUE"""),2.0)</f>
        <v>2</v>
      </c>
      <c r="D1469" s="3">
        <f t="shared" si="1"/>
        <v>0</v>
      </c>
    </row>
    <row r="1470">
      <c r="A1470" s="10">
        <f>IFERROR(__xludf.DUMMYFUNCTION("""COMPUTED_VALUE"""),45360.0)</f>
        <v>45360</v>
      </c>
      <c r="B1470" s="3" t="str">
        <f>IFERROR(__xludf.DUMMYFUNCTION("""COMPUTED_VALUE"""),"Dom Robbins")</f>
        <v>Dom Robbins</v>
      </c>
      <c r="C1470" s="3">
        <f>IFERROR(__xludf.DUMMYFUNCTION("""COMPUTED_VALUE"""),2.0)</f>
        <v>2</v>
      </c>
      <c r="D1470" s="3">
        <f t="shared" si="1"/>
        <v>0</v>
      </c>
    </row>
    <row r="1471">
      <c r="A1471" s="10">
        <f>IFERROR(__xludf.DUMMYFUNCTION("""COMPUTED_VALUE"""),45360.0)</f>
        <v>45360</v>
      </c>
      <c r="B1471" s="3" t="str">
        <f>IFERROR(__xludf.DUMMYFUNCTION("""COMPUTED_VALUE"""),"Ed Wightman")</f>
        <v>Ed Wightman</v>
      </c>
      <c r="C1471" s="3">
        <f>IFERROR(__xludf.DUMMYFUNCTION("""COMPUTED_VALUE"""),6.0)</f>
        <v>6</v>
      </c>
      <c r="D1471" s="3">
        <f t="shared" si="1"/>
        <v>0</v>
      </c>
    </row>
    <row r="1472">
      <c r="A1472" s="10">
        <f>IFERROR(__xludf.DUMMYFUNCTION("""COMPUTED_VALUE"""),45360.0)</f>
        <v>45360</v>
      </c>
      <c r="B1472" s="3" t="str">
        <f>IFERROR(__xludf.DUMMYFUNCTION("""COMPUTED_VALUE"""),"Emi Muhadri")</f>
        <v>Emi Muhadri</v>
      </c>
      <c r="C1472" s="3">
        <f>IFERROR(__xludf.DUMMYFUNCTION("""COMPUTED_VALUE"""),2.0)</f>
        <v>2</v>
      </c>
      <c r="D1472" s="3">
        <f t="shared" si="1"/>
        <v>0</v>
      </c>
    </row>
    <row r="1473">
      <c r="A1473" s="10">
        <f>IFERROR(__xludf.DUMMYFUNCTION("""COMPUTED_VALUE"""),45360.0)</f>
        <v>45360</v>
      </c>
      <c r="B1473" s="3" t="str">
        <f>IFERROR(__xludf.DUMMYFUNCTION("""COMPUTED_VALUE"""),"Fabio Teixeira")</f>
        <v>Fabio Teixeira</v>
      </c>
      <c r="C1473" s="3">
        <f>IFERROR(__xludf.DUMMYFUNCTION("""COMPUTED_VALUE"""),2.0)</f>
        <v>2</v>
      </c>
      <c r="D1473" s="3">
        <f t="shared" si="1"/>
        <v>0</v>
      </c>
    </row>
    <row r="1474">
      <c r="A1474" s="10">
        <f>IFERROR(__xludf.DUMMYFUNCTION("""COMPUTED_VALUE"""),45360.0)</f>
        <v>45360</v>
      </c>
      <c r="B1474" s="3" t="str">
        <f>IFERROR(__xludf.DUMMYFUNCTION("""COMPUTED_VALUE"""),"Finn Coolen")</f>
        <v>Finn Coolen</v>
      </c>
      <c r="C1474" s="3">
        <f>IFERROR(__xludf.DUMMYFUNCTION("""COMPUTED_VALUE"""),2.0)</f>
        <v>2</v>
      </c>
      <c r="D1474" s="3">
        <f t="shared" si="1"/>
        <v>0</v>
      </c>
    </row>
    <row r="1475">
      <c r="A1475" s="10">
        <f>IFERROR(__xludf.DUMMYFUNCTION("""COMPUTED_VALUE"""),45360.0)</f>
        <v>45360</v>
      </c>
      <c r="B1475" s="3" t="str">
        <f>IFERROR(__xludf.DUMMYFUNCTION("""COMPUTED_VALUE"""),"George Havord")</f>
        <v>George Havord</v>
      </c>
      <c r="C1475" s="3">
        <f>IFERROR(__xludf.DUMMYFUNCTION("""COMPUTED_VALUE"""),1.0)</f>
        <v>1</v>
      </c>
      <c r="D1475" s="3">
        <f t="shared" si="1"/>
        <v>0</v>
      </c>
    </row>
    <row r="1476">
      <c r="A1476" s="10">
        <f>IFERROR(__xludf.DUMMYFUNCTION("""COMPUTED_VALUE"""),45360.0)</f>
        <v>45360</v>
      </c>
      <c r="B1476" s="3" t="str">
        <f>IFERROR(__xludf.DUMMYFUNCTION("""COMPUTED_VALUE"""),"Hallam Wye")</f>
        <v>Hallam Wye</v>
      </c>
      <c r="C1476" s="3">
        <f>IFERROR(__xludf.DUMMYFUNCTION("""COMPUTED_VALUE"""),2.0)</f>
        <v>2</v>
      </c>
      <c r="D1476" s="3">
        <f t="shared" si="1"/>
        <v>0</v>
      </c>
    </row>
    <row r="1477">
      <c r="A1477" s="10">
        <f>IFERROR(__xludf.DUMMYFUNCTION("""COMPUTED_VALUE"""),45360.0)</f>
        <v>45360</v>
      </c>
      <c r="B1477" s="3" t="str">
        <f>IFERROR(__xludf.DUMMYFUNCTION("""COMPUTED_VALUE"""),"Harry Fripp")</f>
        <v>Harry Fripp</v>
      </c>
      <c r="C1477" s="3">
        <f>IFERROR(__xludf.DUMMYFUNCTION("""COMPUTED_VALUE"""),7.0)</f>
        <v>7</v>
      </c>
      <c r="D1477" s="3">
        <f t="shared" si="1"/>
        <v>0</v>
      </c>
    </row>
    <row r="1478">
      <c r="A1478" s="10">
        <f>IFERROR(__xludf.DUMMYFUNCTION("""COMPUTED_VALUE"""),45360.0)</f>
        <v>45360</v>
      </c>
      <c r="B1478" s="3" t="str">
        <f>IFERROR(__xludf.DUMMYFUNCTION("""COMPUTED_VALUE"""),"Henry Pepperell")</f>
        <v>Henry Pepperell</v>
      </c>
      <c r="C1478" s="3">
        <f>IFERROR(__xludf.DUMMYFUNCTION("""COMPUTED_VALUE"""),2.0)</f>
        <v>2</v>
      </c>
      <c r="D1478" s="3">
        <f t="shared" si="1"/>
        <v>0</v>
      </c>
    </row>
    <row r="1479">
      <c r="A1479" s="10">
        <f>IFERROR(__xludf.DUMMYFUNCTION("""COMPUTED_VALUE"""),45360.0)</f>
        <v>45360</v>
      </c>
      <c r="B1479" s="3" t="str">
        <f>IFERROR(__xludf.DUMMYFUNCTION("""COMPUTED_VALUE"""),"James Rodriguez")</f>
        <v>James Rodriguez</v>
      </c>
      <c r="C1479" s="3">
        <f>IFERROR(__xludf.DUMMYFUNCTION("""COMPUTED_VALUE"""),2.0)</f>
        <v>2</v>
      </c>
      <c r="D1479" s="3">
        <f t="shared" si="1"/>
        <v>0</v>
      </c>
    </row>
    <row r="1480">
      <c r="A1480" s="10">
        <f>IFERROR(__xludf.DUMMYFUNCTION("""COMPUTED_VALUE"""),45360.0)</f>
        <v>45360</v>
      </c>
      <c r="B1480" s="3" t="str">
        <f>IFERROR(__xludf.DUMMYFUNCTION("""COMPUTED_VALUE"""),"James Timmins")</f>
        <v>James Timmins</v>
      </c>
      <c r="C1480" s="3">
        <f>IFERROR(__xludf.DUMMYFUNCTION("""COMPUTED_VALUE"""),2.0)</f>
        <v>2</v>
      </c>
      <c r="D1480" s="3">
        <f t="shared" si="1"/>
        <v>0</v>
      </c>
    </row>
    <row r="1481">
      <c r="A1481" s="10">
        <f>IFERROR(__xludf.DUMMYFUNCTION("""COMPUTED_VALUE"""),45360.0)</f>
        <v>45360</v>
      </c>
      <c r="B1481" s="3" t="str">
        <f>IFERROR(__xludf.DUMMYFUNCTION("""COMPUTED_VALUE"""),"Jamie Wood")</f>
        <v>Jamie Wood</v>
      </c>
      <c r="C1481" s="3">
        <f>IFERROR(__xludf.DUMMYFUNCTION("""COMPUTED_VALUE"""),2.0)</f>
        <v>2</v>
      </c>
      <c r="D1481" s="3">
        <f t="shared" si="1"/>
        <v>0</v>
      </c>
    </row>
    <row r="1482">
      <c r="A1482" s="10">
        <f>IFERROR(__xludf.DUMMYFUNCTION("""COMPUTED_VALUE"""),45360.0)</f>
        <v>45360</v>
      </c>
      <c r="B1482" s="3" t="str">
        <f>IFERROR(__xludf.DUMMYFUNCTION("""COMPUTED_VALUE"""),"Jarvis Cheek")</f>
        <v>Jarvis Cheek</v>
      </c>
      <c r="C1482" s="3">
        <f>IFERROR(__xludf.DUMMYFUNCTION("""COMPUTED_VALUE"""),6.0)</f>
        <v>6</v>
      </c>
      <c r="D1482" s="3">
        <f t="shared" si="1"/>
        <v>0</v>
      </c>
    </row>
    <row r="1483">
      <c r="A1483" s="10">
        <f>IFERROR(__xludf.DUMMYFUNCTION("""COMPUTED_VALUE"""),45360.0)</f>
        <v>45360</v>
      </c>
      <c r="B1483" s="3" t="str">
        <f>IFERROR(__xludf.DUMMYFUNCTION("""COMPUTED_VALUE"""),"Jason Heath")</f>
        <v>Jason Heath</v>
      </c>
      <c r="C1483" s="3">
        <f>IFERROR(__xludf.DUMMYFUNCTION("""COMPUTED_VALUE"""),2.0)</f>
        <v>2</v>
      </c>
      <c r="D1483" s="3">
        <f t="shared" si="1"/>
        <v>0</v>
      </c>
    </row>
    <row r="1484">
      <c r="A1484" s="10">
        <f>IFERROR(__xludf.DUMMYFUNCTION("""COMPUTED_VALUE"""),45360.0)</f>
        <v>45360</v>
      </c>
      <c r="B1484" s="3" t="str">
        <f>IFERROR(__xludf.DUMMYFUNCTION("""COMPUTED_VALUE"""),"Joe Vincent")</f>
        <v>Joe Vincent</v>
      </c>
      <c r="C1484" s="3">
        <f>IFERROR(__xludf.DUMMYFUNCTION("""COMPUTED_VALUE"""),2.0)</f>
        <v>2</v>
      </c>
      <c r="D1484" s="3">
        <f t="shared" si="1"/>
        <v>0</v>
      </c>
    </row>
    <row r="1485">
      <c r="A1485" s="10">
        <f>IFERROR(__xludf.DUMMYFUNCTION("""COMPUTED_VALUE"""),45360.0)</f>
        <v>45360</v>
      </c>
      <c r="B1485" s="3" t="str">
        <f>IFERROR(__xludf.DUMMYFUNCTION("""COMPUTED_VALUE"""),"John Harrison")</f>
        <v>John Harrison</v>
      </c>
      <c r="C1485" s="3">
        <f>IFERROR(__xludf.DUMMYFUNCTION("""COMPUTED_VALUE"""),7.0)</f>
        <v>7</v>
      </c>
      <c r="D1485" s="3">
        <f t="shared" si="1"/>
        <v>0</v>
      </c>
    </row>
    <row r="1486">
      <c r="A1486" s="10">
        <f>IFERROR(__xludf.DUMMYFUNCTION("""COMPUTED_VALUE"""),45360.0)</f>
        <v>45360</v>
      </c>
      <c r="B1486" s="3" t="str">
        <f>IFERROR(__xludf.DUMMYFUNCTION("""COMPUTED_VALUE"""),"Josh Billings")</f>
        <v>Josh Billings</v>
      </c>
      <c r="C1486" s="3">
        <f>IFERROR(__xludf.DUMMYFUNCTION("""COMPUTED_VALUE"""),2.0)</f>
        <v>2</v>
      </c>
      <c r="D1486" s="3">
        <f t="shared" si="1"/>
        <v>0</v>
      </c>
    </row>
    <row r="1487">
      <c r="A1487" s="10">
        <f>IFERROR(__xludf.DUMMYFUNCTION("""COMPUTED_VALUE"""),45360.0)</f>
        <v>45360</v>
      </c>
      <c r="B1487" s="3" t="str">
        <f>IFERROR(__xludf.DUMMYFUNCTION("""COMPUTED_VALUE"""),"Josh Sherriff-Jolly")</f>
        <v>Josh Sherriff-Jolly</v>
      </c>
      <c r="C1487" s="3">
        <f>IFERROR(__xludf.DUMMYFUNCTION("""COMPUTED_VALUE"""),8.0)</f>
        <v>8</v>
      </c>
      <c r="D1487" s="3">
        <f t="shared" si="1"/>
        <v>0</v>
      </c>
    </row>
    <row r="1488">
      <c r="A1488" s="10">
        <f>IFERROR(__xludf.DUMMYFUNCTION("""COMPUTED_VALUE"""),45360.0)</f>
        <v>45360</v>
      </c>
      <c r="B1488" s="3" t="str">
        <f>IFERROR(__xludf.DUMMYFUNCTION("""COMPUTED_VALUE"""),"Kai Clack")</f>
        <v>Kai Clack</v>
      </c>
      <c r="C1488" s="3">
        <f>IFERROR(__xludf.DUMMYFUNCTION("""COMPUTED_VALUE"""),2.0)</f>
        <v>2</v>
      </c>
      <c r="D1488" s="3">
        <f t="shared" si="1"/>
        <v>0</v>
      </c>
    </row>
    <row r="1489">
      <c r="A1489" s="10">
        <f>IFERROR(__xludf.DUMMYFUNCTION("""COMPUTED_VALUE"""),45360.0)</f>
        <v>45360</v>
      </c>
      <c r="B1489" s="3" t="str">
        <f>IFERROR(__xludf.DUMMYFUNCTION("""COMPUTED_VALUE"""),"Keaton Cohen")</f>
        <v>Keaton Cohen</v>
      </c>
      <c r="C1489" s="3">
        <f>IFERROR(__xludf.DUMMYFUNCTION("""COMPUTED_VALUE"""),2.0)</f>
        <v>2</v>
      </c>
      <c r="D1489" s="3">
        <f t="shared" si="1"/>
        <v>0</v>
      </c>
    </row>
    <row r="1490">
      <c r="A1490" s="10">
        <f>IFERROR(__xludf.DUMMYFUNCTION("""COMPUTED_VALUE"""),45360.0)</f>
        <v>45360</v>
      </c>
      <c r="B1490" s="3" t="str">
        <f>IFERROR(__xludf.DUMMYFUNCTION("""COMPUTED_VALUE"""),"Kevin Gonzalez")</f>
        <v>Kevin Gonzalez</v>
      </c>
      <c r="C1490" s="3">
        <f>IFERROR(__xludf.DUMMYFUNCTION("""COMPUTED_VALUE"""),1.0)</f>
        <v>1</v>
      </c>
      <c r="D1490" s="3">
        <f t="shared" si="1"/>
        <v>0</v>
      </c>
    </row>
    <row r="1491">
      <c r="A1491" s="10">
        <f>IFERROR(__xludf.DUMMYFUNCTION("""COMPUTED_VALUE"""),45360.0)</f>
        <v>45360</v>
      </c>
      <c r="B1491" s="3" t="str">
        <f>IFERROR(__xludf.DUMMYFUNCTION("""COMPUTED_VALUE"""),"Luke Dyges")</f>
        <v>Luke Dyges</v>
      </c>
      <c r="C1491" s="3">
        <f>IFERROR(__xludf.DUMMYFUNCTION("""COMPUTED_VALUE"""),2.0)</f>
        <v>2</v>
      </c>
      <c r="D1491" s="3">
        <f t="shared" si="1"/>
        <v>0</v>
      </c>
    </row>
    <row r="1492">
      <c r="A1492" s="10">
        <f>IFERROR(__xludf.DUMMYFUNCTION("""COMPUTED_VALUE"""),45360.0)</f>
        <v>45360</v>
      </c>
      <c r="B1492" s="3" t="str">
        <f>IFERROR(__xludf.DUMMYFUNCTION("""COMPUTED_VALUE"""),"Mark Rowntree")</f>
        <v>Mark Rowntree</v>
      </c>
      <c r="C1492" s="3">
        <f>IFERROR(__xludf.DUMMYFUNCTION("""COMPUTED_VALUE"""),2.0)</f>
        <v>2</v>
      </c>
      <c r="D1492" s="3">
        <f t="shared" si="1"/>
        <v>0</v>
      </c>
    </row>
    <row r="1493">
      <c r="A1493" s="10">
        <f>IFERROR(__xludf.DUMMYFUNCTION("""COMPUTED_VALUE"""),45360.0)</f>
        <v>45360</v>
      </c>
      <c r="B1493" s="3" t="str">
        <f>IFERROR(__xludf.DUMMYFUNCTION("""COMPUTED_VALUE"""),"Martin Goodson")</f>
        <v>Martin Goodson</v>
      </c>
      <c r="C1493" s="3">
        <f>IFERROR(__xludf.DUMMYFUNCTION("""COMPUTED_VALUE"""),2.0)</f>
        <v>2</v>
      </c>
      <c r="D1493" s="3">
        <f t="shared" si="1"/>
        <v>0</v>
      </c>
    </row>
    <row r="1494">
      <c r="A1494" s="10">
        <f>IFERROR(__xludf.DUMMYFUNCTION("""COMPUTED_VALUE"""),45360.0)</f>
        <v>45360</v>
      </c>
      <c r="B1494" s="3" t="str">
        <f>IFERROR(__xludf.DUMMYFUNCTION("""COMPUTED_VALUE"""),"Masood Hamidi")</f>
        <v>Masood Hamidi</v>
      </c>
      <c r="C1494" s="3">
        <f>IFERROR(__xludf.DUMMYFUNCTION("""COMPUTED_VALUE"""),17.0)</f>
        <v>17</v>
      </c>
      <c r="D1494" s="3">
        <f t="shared" si="1"/>
        <v>0</v>
      </c>
    </row>
    <row r="1495">
      <c r="A1495" s="10">
        <f>IFERROR(__xludf.DUMMYFUNCTION("""COMPUTED_VALUE"""),45360.0)</f>
        <v>45360</v>
      </c>
      <c r="B1495" s="3" t="str">
        <f>IFERROR(__xludf.DUMMYFUNCTION("""COMPUTED_VALUE"""),"Matt Crowe")</f>
        <v>Matt Crowe</v>
      </c>
      <c r="C1495" s="3">
        <f>IFERROR(__xludf.DUMMYFUNCTION("""COMPUTED_VALUE"""),1.0)</f>
        <v>1</v>
      </c>
      <c r="D1495" s="3">
        <f t="shared" si="1"/>
        <v>0</v>
      </c>
    </row>
    <row r="1496">
      <c r="A1496" s="10">
        <f>IFERROR(__xludf.DUMMYFUNCTION("""COMPUTED_VALUE"""),45360.0)</f>
        <v>45360</v>
      </c>
      <c r="B1496" s="3" t="str">
        <f>IFERROR(__xludf.DUMMYFUNCTION("""COMPUTED_VALUE"""),"Matt Powell")</f>
        <v>Matt Powell</v>
      </c>
      <c r="C1496" s="3">
        <f>IFERROR(__xludf.DUMMYFUNCTION("""COMPUTED_VALUE"""),1.0)</f>
        <v>1</v>
      </c>
      <c r="D1496" s="3">
        <f t="shared" si="1"/>
        <v>0</v>
      </c>
    </row>
    <row r="1497">
      <c r="A1497" s="10">
        <f>IFERROR(__xludf.DUMMYFUNCTION("""COMPUTED_VALUE"""),45360.0)</f>
        <v>45360</v>
      </c>
      <c r="B1497" s="3" t="str">
        <f>IFERROR(__xludf.DUMMYFUNCTION("""COMPUTED_VALUE"""),"Matthew Thomas")</f>
        <v>Matthew Thomas</v>
      </c>
      <c r="C1497" s="3">
        <f>IFERROR(__xludf.DUMMYFUNCTION("""COMPUTED_VALUE"""),5.0)</f>
        <v>5</v>
      </c>
      <c r="D1497" s="3">
        <f t="shared" si="1"/>
        <v>0</v>
      </c>
    </row>
    <row r="1498">
      <c r="A1498" s="10">
        <f>IFERROR(__xludf.DUMMYFUNCTION("""COMPUTED_VALUE"""),45360.0)</f>
        <v>45360</v>
      </c>
      <c r="B1498" s="3" t="str">
        <f>IFERROR(__xludf.DUMMYFUNCTION("""COMPUTED_VALUE"""),"Max Watson")</f>
        <v>Max Watson</v>
      </c>
      <c r="C1498" s="3">
        <f>IFERROR(__xludf.DUMMYFUNCTION("""COMPUTED_VALUE"""),2.0)</f>
        <v>2</v>
      </c>
      <c r="D1498" s="3">
        <f t="shared" si="1"/>
        <v>0</v>
      </c>
    </row>
    <row r="1499">
      <c r="A1499" s="10">
        <f>IFERROR(__xludf.DUMMYFUNCTION("""COMPUTED_VALUE"""),45360.0)</f>
        <v>45360</v>
      </c>
      <c r="B1499" s="3" t="str">
        <f>IFERROR(__xludf.DUMMYFUNCTION("""COMPUTED_VALUE"""),"Micah Pinnock")</f>
        <v>Micah Pinnock</v>
      </c>
      <c r="C1499" s="3">
        <f>IFERROR(__xludf.DUMMYFUNCTION("""COMPUTED_VALUE"""),8.0)</f>
        <v>8</v>
      </c>
      <c r="D1499" s="3">
        <f t="shared" si="1"/>
        <v>0</v>
      </c>
    </row>
    <row r="1500">
      <c r="A1500" s="10">
        <f>IFERROR(__xludf.DUMMYFUNCTION("""COMPUTED_VALUE"""),45360.0)</f>
        <v>45360</v>
      </c>
      <c r="B1500" s="3" t="str">
        <f>IFERROR(__xludf.DUMMYFUNCTION("""COMPUTED_VALUE"""),"Nathan Nzau")</f>
        <v>Nathan Nzau</v>
      </c>
      <c r="C1500" s="3">
        <f>IFERROR(__xludf.DUMMYFUNCTION("""COMPUTED_VALUE"""),2.0)</f>
        <v>2</v>
      </c>
      <c r="D1500" s="3">
        <f t="shared" si="1"/>
        <v>0</v>
      </c>
    </row>
    <row r="1501">
      <c r="A1501" s="10">
        <f>IFERROR(__xludf.DUMMYFUNCTION("""COMPUTED_VALUE"""),45360.0)</f>
        <v>45360</v>
      </c>
      <c r="B1501" s="3" t="str">
        <f>IFERROR(__xludf.DUMMYFUNCTION("""COMPUTED_VALUE"""),"Nick Chimonides")</f>
        <v>Nick Chimonides</v>
      </c>
      <c r="C1501" s="3">
        <f>IFERROR(__xludf.DUMMYFUNCTION("""COMPUTED_VALUE"""),2.0)</f>
        <v>2</v>
      </c>
      <c r="D1501" s="3">
        <f t="shared" si="1"/>
        <v>0</v>
      </c>
    </row>
    <row r="1502">
      <c r="A1502" s="10">
        <f>IFERROR(__xludf.DUMMYFUNCTION("""COMPUTED_VALUE"""),45360.0)</f>
        <v>45360</v>
      </c>
      <c r="B1502" s="3" t="str">
        <f>IFERROR(__xludf.DUMMYFUNCTION("""COMPUTED_VALUE"""),"Nima Naghdi")</f>
        <v>Nima Naghdi</v>
      </c>
      <c r="C1502" s="3">
        <f>IFERROR(__xludf.DUMMYFUNCTION("""COMPUTED_VALUE"""),1.0)</f>
        <v>1</v>
      </c>
      <c r="D1502" s="3">
        <f t="shared" si="1"/>
        <v>0</v>
      </c>
    </row>
    <row r="1503">
      <c r="A1503" s="10">
        <f>IFERROR(__xludf.DUMMYFUNCTION("""COMPUTED_VALUE"""),45360.0)</f>
        <v>45360</v>
      </c>
      <c r="B1503" s="3" t="str">
        <f>IFERROR(__xludf.DUMMYFUNCTION("""COMPUTED_VALUE"""),"Oli Barton")</f>
        <v>Oli Barton</v>
      </c>
      <c r="C1503" s="3">
        <f>IFERROR(__xludf.DUMMYFUNCTION("""COMPUTED_VALUE"""),2.0)</f>
        <v>2</v>
      </c>
      <c r="D1503" s="3">
        <f t="shared" si="1"/>
        <v>0</v>
      </c>
    </row>
    <row r="1504">
      <c r="A1504" s="10">
        <f>IFERROR(__xludf.DUMMYFUNCTION("""COMPUTED_VALUE"""),45360.0)</f>
        <v>45360</v>
      </c>
      <c r="B1504" s="3" t="str">
        <f>IFERROR(__xludf.DUMMYFUNCTION("""COMPUTED_VALUE"""),"Ollie Sewell")</f>
        <v>Ollie Sewell</v>
      </c>
      <c r="C1504" s="3">
        <f>IFERROR(__xludf.DUMMYFUNCTION("""COMPUTED_VALUE"""),2.0)</f>
        <v>2</v>
      </c>
      <c r="D1504" s="3">
        <f t="shared" si="1"/>
        <v>0</v>
      </c>
    </row>
    <row r="1505">
      <c r="A1505" s="10">
        <f>IFERROR(__xludf.DUMMYFUNCTION("""COMPUTED_VALUE"""),45360.0)</f>
        <v>45360</v>
      </c>
      <c r="B1505" s="3" t="str">
        <f>IFERROR(__xludf.DUMMYFUNCTION("""COMPUTED_VALUE"""),"Paddy Troy")</f>
        <v>Paddy Troy</v>
      </c>
      <c r="C1505" s="3">
        <f>IFERROR(__xludf.DUMMYFUNCTION("""COMPUTED_VALUE"""),5.0)</f>
        <v>5</v>
      </c>
      <c r="D1505" s="3">
        <f t="shared" si="1"/>
        <v>0</v>
      </c>
    </row>
    <row r="1506">
      <c r="A1506" s="10">
        <f>IFERROR(__xludf.DUMMYFUNCTION("""COMPUTED_VALUE"""),45360.0)</f>
        <v>45360</v>
      </c>
      <c r="B1506" s="3" t="str">
        <f>IFERROR(__xludf.DUMMYFUNCTION("""COMPUTED_VALUE"""),"Paul Ball")</f>
        <v>Paul Ball</v>
      </c>
      <c r="C1506" s="3">
        <f>IFERROR(__xludf.DUMMYFUNCTION("""COMPUTED_VALUE"""),5.0)</f>
        <v>5</v>
      </c>
      <c r="D1506" s="3">
        <f t="shared" si="1"/>
        <v>0</v>
      </c>
    </row>
    <row r="1507">
      <c r="A1507" s="10">
        <f>IFERROR(__xludf.DUMMYFUNCTION("""COMPUTED_VALUE"""),45360.0)</f>
        <v>45360</v>
      </c>
      <c r="B1507" s="3" t="str">
        <f>IFERROR(__xludf.DUMMYFUNCTION("""COMPUTED_VALUE"""),"Paul Jalil")</f>
        <v>Paul Jalil</v>
      </c>
      <c r="C1507" s="3">
        <f>IFERROR(__xludf.DUMMYFUNCTION("""COMPUTED_VALUE"""),1.0)</f>
        <v>1</v>
      </c>
      <c r="D1507" s="3">
        <f t="shared" si="1"/>
        <v>0</v>
      </c>
    </row>
    <row r="1508">
      <c r="A1508" s="10">
        <f>IFERROR(__xludf.DUMMYFUNCTION("""COMPUTED_VALUE"""),45360.0)</f>
        <v>45360</v>
      </c>
      <c r="B1508" s="3" t="str">
        <f>IFERROR(__xludf.DUMMYFUNCTION("""COMPUTED_VALUE"""),"Peter Green")</f>
        <v>Peter Green</v>
      </c>
      <c r="C1508" s="3">
        <f>IFERROR(__xludf.DUMMYFUNCTION("""COMPUTED_VALUE"""),2.0)</f>
        <v>2</v>
      </c>
      <c r="D1508" s="3">
        <f t="shared" si="1"/>
        <v>0</v>
      </c>
    </row>
    <row r="1509">
      <c r="A1509" s="10">
        <f>IFERROR(__xludf.DUMMYFUNCTION("""COMPUTED_VALUE"""),45360.0)</f>
        <v>45360</v>
      </c>
      <c r="B1509" s="3" t="str">
        <f>IFERROR(__xludf.DUMMYFUNCTION("""COMPUTED_VALUE"""),"Phil Boden")</f>
        <v>Phil Boden</v>
      </c>
      <c r="C1509" s="3">
        <f>IFERROR(__xludf.DUMMYFUNCTION("""COMPUTED_VALUE"""),2.0)</f>
        <v>2</v>
      </c>
      <c r="D1509" s="3">
        <f t="shared" si="1"/>
        <v>0</v>
      </c>
    </row>
    <row r="1510">
      <c r="A1510" s="10">
        <f>IFERROR(__xludf.DUMMYFUNCTION("""COMPUTED_VALUE"""),45360.0)</f>
        <v>45360</v>
      </c>
      <c r="B1510" s="3" t="str">
        <f>IFERROR(__xludf.DUMMYFUNCTION("""COMPUTED_VALUE"""),"Raj Ramful")</f>
        <v>Raj Ramful</v>
      </c>
      <c r="C1510" s="3">
        <f>IFERROR(__xludf.DUMMYFUNCTION("""COMPUTED_VALUE"""),2.0)</f>
        <v>2</v>
      </c>
      <c r="D1510" s="3">
        <f t="shared" si="1"/>
        <v>0</v>
      </c>
    </row>
    <row r="1511">
      <c r="A1511" s="10">
        <f>IFERROR(__xludf.DUMMYFUNCTION("""COMPUTED_VALUE"""),45360.0)</f>
        <v>45360</v>
      </c>
      <c r="B1511" s="3" t="str">
        <f>IFERROR(__xludf.DUMMYFUNCTION("""COMPUTED_VALUE"""),"Remi Sellers")</f>
        <v>Remi Sellers</v>
      </c>
      <c r="C1511" s="3">
        <f>IFERROR(__xludf.DUMMYFUNCTION("""COMPUTED_VALUE"""),10.0)</f>
        <v>10</v>
      </c>
      <c r="D1511" s="3">
        <f t="shared" si="1"/>
        <v>0</v>
      </c>
    </row>
    <row r="1512">
      <c r="A1512" s="10">
        <f>IFERROR(__xludf.DUMMYFUNCTION("""COMPUTED_VALUE"""),45360.0)</f>
        <v>45360</v>
      </c>
      <c r="B1512" s="3" t="str">
        <f>IFERROR(__xludf.DUMMYFUNCTION("""COMPUTED_VALUE"""),"Rich Lundie")</f>
        <v>Rich Lundie</v>
      </c>
      <c r="C1512" s="3">
        <f>IFERROR(__xludf.DUMMYFUNCTION("""COMPUTED_VALUE"""),10.0)</f>
        <v>10</v>
      </c>
      <c r="D1512" s="3">
        <f t="shared" si="1"/>
        <v>0</v>
      </c>
    </row>
    <row r="1513">
      <c r="A1513" s="10">
        <f>IFERROR(__xludf.DUMMYFUNCTION("""COMPUTED_VALUE"""),45360.0)</f>
        <v>45360</v>
      </c>
      <c r="B1513" s="3" t="str">
        <f>IFERROR(__xludf.DUMMYFUNCTION("""COMPUTED_VALUE"""),"Rich Robinson")</f>
        <v>Rich Robinson</v>
      </c>
      <c r="C1513" s="3">
        <f>IFERROR(__xludf.DUMMYFUNCTION("""COMPUTED_VALUE"""),2.0)</f>
        <v>2</v>
      </c>
      <c r="D1513" s="3">
        <f t="shared" si="1"/>
        <v>0</v>
      </c>
    </row>
    <row r="1514">
      <c r="A1514" s="10">
        <f>IFERROR(__xludf.DUMMYFUNCTION("""COMPUTED_VALUE"""),45360.0)</f>
        <v>45360</v>
      </c>
      <c r="B1514" s="3" t="str">
        <f>IFERROR(__xludf.DUMMYFUNCTION("""COMPUTED_VALUE"""),"Richard Jones")</f>
        <v>Richard Jones</v>
      </c>
      <c r="C1514" s="3">
        <f>IFERROR(__xludf.DUMMYFUNCTION("""COMPUTED_VALUE"""),2.0)</f>
        <v>2</v>
      </c>
      <c r="D1514" s="3">
        <f t="shared" si="1"/>
        <v>0</v>
      </c>
    </row>
    <row r="1515">
      <c r="A1515" s="10">
        <f>IFERROR(__xludf.DUMMYFUNCTION("""COMPUTED_VALUE"""),45360.0)</f>
        <v>45360</v>
      </c>
      <c r="B1515" s="3" t="str">
        <f>IFERROR(__xludf.DUMMYFUNCTION("""COMPUTED_VALUE"""),"Rob Edmonds")</f>
        <v>Rob Edmonds</v>
      </c>
      <c r="C1515" s="3">
        <f>IFERROR(__xludf.DUMMYFUNCTION("""COMPUTED_VALUE"""),6.0)</f>
        <v>6</v>
      </c>
      <c r="D1515" s="3">
        <f t="shared" si="1"/>
        <v>0</v>
      </c>
    </row>
    <row r="1516">
      <c r="A1516" s="10">
        <f>IFERROR(__xludf.DUMMYFUNCTION("""COMPUTED_VALUE"""),45360.0)</f>
        <v>45360</v>
      </c>
      <c r="B1516" s="3" t="str">
        <f>IFERROR(__xludf.DUMMYFUNCTION("""COMPUTED_VALUE"""),"Sean Rowlett")</f>
        <v>Sean Rowlett</v>
      </c>
      <c r="C1516" s="3">
        <f>IFERROR(__xludf.DUMMYFUNCTION("""COMPUTED_VALUE"""),7.0)</f>
        <v>7</v>
      </c>
      <c r="D1516" s="3">
        <f t="shared" si="1"/>
        <v>0</v>
      </c>
    </row>
    <row r="1517">
      <c r="A1517" s="10">
        <f>IFERROR(__xludf.DUMMYFUNCTION("""COMPUTED_VALUE"""),45360.0)</f>
        <v>45360</v>
      </c>
      <c r="B1517" s="3" t="str">
        <f>IFERROR(__xludf.DUMMYFUNCTION("""COMPUTED_VALUE"""),"Seb Curle")</f>
        <v>Seb Curle</v>
      </c>
      <c r="C1517" s="3">
        <f>IFERROR(__xludf.DUMMYFUNCTION("""COMPUTED_VALUE"""),2.0)</f>
        <v>2</v>
      </c>
      <c r="D1517" s="3">
        <f t="shared" si="1"/>
        <v>0</v>
      </c>
    </row>
    <row r="1518">
      <c r="A1518" s="10">
        <f>IFERROR(__xludf.DUMMYFUNCTION("""COMPUTED_VALUE"""),45360.0)</f>
        <v>45360</v>
      </c>
      <c r="B1518" s="3" t="str">
        <f>IFERROR(__xludf.DUMMYFUNCTION("""COMPUTED_VALUE"""),"Sonny Kombo")</f>
        <v>Sonny Kombo</v>
      </c>
      <c r="C1518" s="3">
        <f>IFERROR(__xludf.DUMMYFUNCTION("""COMPUTED_VALUE"""),1.0)</f>
        <v>1</v>
      </c>
      <c r="D1518" s="3">
        <f t="shared" si="1"/>
        <v>0</v>
      </c>
    </row>
    <row r="1519">
      <c r="A1519" s="10">
        <f>IFERROR(__xludf.DUMMYFUNCTION("""COMPUTED_VALUE"""),45360.0)</f>
        <v>45360</v>
      </c>
      <c r="B1519" s="3" t="str">
        <f>IFERROR(__xludf.DUMMYFUNCTION("""COMPUTED_VALUE"""),"Stanley Timms")</f>
        <v>Stanley Timms</v>
      </c>
      <c r="C1519" s="3">
        <f>IFERROR(__xludf.DUMMYFUNCTION("""COMPUTED_VALUE"""),2.0)</f>
        <v>2</v>
      </c>
      <c r="D1519" s="3">
        <f t="shared" si="1"/>
        <v>0</v>
      </c>
    </row>
    <row r="1520">
      <c r="A1520" s="10">
        <f>IFERROR(__xludf.DUMMYFUNCTION("""COMPUTED_VALUE"""),45360.0)</f>
        <v>45360</v>
      </c>
      <c r="B1520" s="3" t="str">
        <f>IFERROR(__xludf.DUMMYFUNCTION("""COMPUTED_VALUE"""),"Ste Calder")</f>
        <v>Ste Calder</v>
      </c>
      <c r="C1520" s="3">
        <f>IFERROR(__xludf.DUMMYFUNCTION("""COMPUTED_VALUE"""),2.0)</f>
        <v>2</v>
      </c>
      <c r="D1520" s="3">
        <f t="shared" si="1"/>
        <v>0</v>
      </c>
    </row>
    <row r="1521">
      <c r="A1521" s="10">
        <f>IFERROR(__xludf.DUMMYFUNCTION("""COMPUTED_VALUE"""),45360.0)</f>
        <v>45360</v>
      </c>
      <c r="B1521" s="3" t="str">
        <f>IFERROR(__xludf.DUMMYFUNCTION("""COMPUTED_VALUE"""),"Steve Francis")</f>
        <v>Steve Francis</v>
      </c>
      <c r="C1521" s="3">
        <f>IFERROR(__xludf.DUMMYFUNCTION("""COMPUTED_VALUE"""),10.0)</f>
        <v>10</v>
      </c>
      <c r="D1521" s="3">
        <f t="shared" si="1"/>
        <v>0</v>
      </c>
    </row>
    <row r="1522">
      <c r="A1522" s="10">
        <f>IFERROR(__xludf.DUMMYFUNCTION("""COMPUTED_VALUE"""),45360.0)</f>
        <v>45360</v>
      </c>
      <c r="B1522" s="3" t="str">
        <f>IFERROR(__xludf.DUMMYFUNCTION("""COMPUTED_VALUE"""),"Stu Jordan")</f>
        <v>Stu Jordan</v>
      </c>
      <c r="C1522" s="3">
        <f>IFERROR(__xludf.DUMMYFUNCTION("""COMPUTED_VALUE"""),2.0)</f>
        <v>2</v>
      </c>
      <c r="D1522" s="3">
        <f t="shared" si="1"/>
        <v>0</v>
      </c>
    </row>
    <row r="1523">
      <c r="A1523" s="10">
        <f>IFERROR(__xludf.DUMMYFUNCTION("""COMPUTED_VALUE"""),45360.0)</f>
        <v>45360</v>
      </c>
      <c r="B1523" s="3" t="str">
        <f>IFERROR(__xludf.DUMMYFUNCTION("""COMPUTED_VALUE"""),"Tam de Lacey")</f>
        <v>Tam de Lacey</v>
      </c>
      <c r="C1523" s="3">
        <f>IFERROR(__xludf.DUMMYFUNCTION("""COMPUTED_VALUE"""),2.0)</f>
        <v>2</v>
      </c>
      <c r="D1523" s="3">
        <f t="shared" si="1"/>
        <v>0</v>
      </c>
    </row>
    <row r="1524">
      <c r="A1524" s="10">
        <f>IFERROR(__xludf.DUMMYFUNCTION("""COMPUTED_VALUE"""),45360.0)</f>
        <v>45360</v>
      </c>
      <c r="B1524" s="3" t="str">
        <f>IFERROR(__xludf.DUMMYFUNCTION("""COMPUTED_VALUE"""),"Tom Taylor")</f>
        <v>Tom Taylor</v>
      </c>
      <c r="C1524" s="3">
        <f>IFERROR(__xludf.DUMMYFUNCTION("""COMPUTED_VALUE"""),7.0)</f>
        <v>7</v>
      </c>
      <c r="D1524" s="3">
        <f t="shared" si="1"/>
        <v>0</v>
      </c>
    </row>
    <row r="1525">
      <c r="A1525" s="10">
        <f>IFERROR(__xludf.DUMMYFUNCTION("""COMPUTED_VALUE"""),45360.0)</f>
        <v>45360</v>
      </c>
      <c r="B1525" s="3" t="str">
        <f>IFERROR(__xludf.DUMMYFUNCTION("""COMPUTED_VALUE"""),"Wayne Ebanks")</f>
        <v>Wayne Ebanks</v>
      </c>
      <c r="C1525" s="3">
        <f>IFERROR(__xludf.DUMMYFUNCTION("""COMPUTED_VALUE"""),2.0)</f>
        <v>2</v>
      </c>
      <c r="D1525" s="3">
        <f t="shared" si="1"/>
        <v>0</v>
      </c>
    </row>
    <row r="1526">
      <c r="A1526" s="10">
        <f>IFERROR(__xludf.DUMMYFUNCTION("""COMPUTED_VALUE"""),45360.0)</f>
        <v>45360</v>
      </c>
      <c r="B1526" s="3" t="str">
        <f>IFERROR(__xludf.DUMMYFUNCTION("""COMPUTED_VALUE"""),"Will French")</f>
        <v>Will French</v>
      </c>
      <c r="C1526" s="3">
        <f>IFERROR(__xludf.DUMMYFUNCTION("""COMPUTED_VALUE"""),7.0)</f>
        <v>7</v>
      </c>
      <c r="D1526" s="3">
        <f t="shared" si="1"/>
        <v>0</v>
      </c>
    </row>
    <row r="1527">
      <c r="A1527" s="10">
        <f>IFERROR(__xludf.DUMMYFUNCTION("""COMPUTED_VALUE"""),45360.0)</f>
        <v>45360</v>
      </c>
      <c r="B1527" s="3" t="str">
        <f>IFERROR(__xludf.DUMMYFUNCTION("""COMPUTED_VALUE"""),"Yemi Oviosu")</f>
        <v>Yemi Oviosu</v>
      </c>
      <c r="C1527" s="3">
        <f>IFERROR(__xludf.DUMMYFUNCTION("""COMPUTED_VALUE"""),2.0)</f>
        <v>2</v>
      </c>
      <c r="D1527" s="3">
        <f t="shared" si="1"/>
        <v>0</v>
      </c>
    </row>
    <row r="1528">
      <c r="A1528" s="10">
        <f>IFERROR(__xludf.DUMMYFUNCTION("""COMPUTED_VALUE"""),45367.0)</f>
        <v>45367</v>
      </c>
      <c r="B1528" s="3" t="str">
        <f>IFERROR(__xludf.DUMMYFUNCTION("""COMPUTED_VALUE"""),"Adam Platten")</f>
        <v>Adam Platten</v>
      </c>
      <c r="C1528" s="3">
        <f>IFERROR(__xludf.DUMMYFUNCTION("""COMPUTED_VALUE"""),2.0)</f>
        <v>2</v>
      </c>
      <c r="D1528" s="3">
        <f t="shared" si="1"/>
        <v>0</v>
      </c>
    </row>
    <row r="1529">
      <c r="A1529" s="10">
        <f>IFERROR(__xludf.DUMMYFUNCTION("""COMPUTED_VALUE"""),45367.0)</f>
        <v>45367</v>
      </c>
      <c r="B1529" s="3" t="str">
        <f>IFERROR(__xludf.DUMMYFUNCTION("""COMPUTED_VALUE"""),"Alex Dockerill")</f>
        <v>Alex Dockerill</v>
      </c>
      <c r="C1529" s="3">
        <f>IFERROR(__xludf.DUMMYFUNCTION("""COMPUTED_VALUE"""),2.0)</f>
        <v>2</v>
      </c>
      <c r="D1529" s="3">
        <f t="shared" si="1"/>
        <v>0</v>
      </c>
    </row>
    <row r="1530">
      <c r="A1530" s="10">
        <f>IFERROR(__xludf.DUMMYFUNCTION("""COMPUTED_VALUE"""),45367.0)</f>
        <v>45367</v>
      </c>
      <c r="B1530" s="3" t="str">
        <f>IFERROR(__xludf.DUMMYFUNCTION("""COMPUTED_VALUE"""),"Alex Mansfield")</f>
        <v>Alex Mansfield</v>
      </c>
      <c r="C1530" s="3">
        <f>IFERROR(__xludf.DUMMYFUNCTION("""COMPUTED_VALUE"""),4.0)</f>
        <v>4</v>
      </c>
      <c r="D1530" s="3">
        <f t="shared" si="1"/>
        <v>0</v>
      </c>
    </row>
    <row r="1531">
      <c r="A1531" s="10">
        <f>IFERROR(__xludf.DUMMYFUNCTION("""COMPUTED_VALUE"""),45367.0)</f>
        <v>45367</v>
      </c>
      <c r="B1531" s="3" t="str">
        <f>IFERROR(__xludf.DUMMYFUNCTION("""COMPUTED_VALUE"""),"Alex Stevens")</f>
        <v>Alex Stevens</v>
      </c>
      <c r="C1531" s="3">
        <f>IFERROR(__xludf.DUMMYFUNCTION("""COMPUTED_VALUE"""),10.0)</f>
        <v>10</v>
      </c>
      <c r="D1531" s="3">
        <f t="shared" si="1"/>
        <v>0</v>
      </c>
    </row>
    <row r="1532">
      <c r="A1532" s="10">
        <f>IFERROR(__xludf.DUMMYFUNCTION("""COMPUTED_VALUE"""),45367.0)</f>
        <v>45367</v>
      </c>
      <c r="B1532" s="3" t="str">
        <f>IFERROR(__xludf.DUMMYFUNCTION("""COMPUTED_VALUE"""),"Ben Dockerill")</f>
        <v>Ben Dockerill</v>
      </c>
      <c r="C1532" s="3">
        <f>IFERROR(__xludf.DUMMYFUNCTION("""COMPUTED_VALUE"""),5.0)</f>
        <v>5</v>
      </c>
      <c r="D1532" s="3">
        <f t="shared" si="1"/>
        <v>0</v>
      </c>
    </row>
    <row r="1533">
      <c r="A1533" s="10">
        <f>IFERROR(__xludf.DUMMYFUNCTION("""COMPUTED_VALUE"""),45367.0)</f>
        <v>45367</v>
      </c>
      <c r="B1533" s="3" t="str">
        <f>IFERROR(__xludf.DUMMYFUNCTION("""COMPUTED_VALUE"""),"Billy King")</f>
        <v>Billy King</v>
      </c>
      <c r="C1533" s="3">
        <f>IFERROR(__xludf.DUMMYFUNCTION("""COMPUTED_VALUE"""),5.0)</f>
        <v>5</v>
      </c>
      <c r="D1533" s="3">
        <f t="shared" si="1"/>
        <v>0</v>
      </c>
    </row>
    <row r="1534">
      <c r="A1534" s="10">
        <f>IFERROR(__xludf.DUMMYFUNCTION("""COMPUTED_VALUE"""),45367.0)</f>
        <v>45367</v>
      </c>
      <c r="B1534" s="3" t="str">
        <f>IFERROR(__xludf.DUMMYFUNCTION("""COMPUTED_VALUE"""),"Billy Mclean")</f>
        <v>Billy Mclean</v>
      </c>
      <c r="C1534" s="3">
        <f>IFERROR(__xludf.DUMMYFUNCTION("""COMPUTED_VALUE"""),5.0)</f>
        <v>5</v>
      </c>
      <c r="D1534" s="3">
        <f t="shared" si="1"/>
        <v>0</v>
      </c>
    </row>
    <row r="1535">
      <c r="A1535" s="10">
        <f>IFERROR(__xludf.DUMMYFUNCTION("""COMPUTED_VALUE"""),45367.0)</f>
        <v>45367</v>
      </c>
      <c r="B1535" s="3" t="str">
        <f>IFERROR(__xludf.DUMMYFUNCTION("""COMPUTED_VALUE"""),"Calum Edwards")</f>
        <v>Calum Edwards</v>
      </c>
      <c r="C1535" s="3">
        <f>IFERROR(__xludf.DUMMYFUNCTION("""COMPUTED_VALUE"""),2.0)</f>
        <v>2</v>
      </c>
      <c r="D1535" s="3">
        <f t="shared" si="1"/>
        <v>0</v>
      </c>
    </row>
    <row r="1536">
      <c r="A1536" s="10">
        <f>IFERROR(__xludf.DUMMYFUNCTION("""COMPUTED_VALUE"""),45367.0)</f>
        <v>45367</v>
      </c>
      <c r="B1536" s="3" t="str">
        <f>IFERROR(__xludf.DUMMYFUNCTION("""COMPUTED_VALUE"""),"Cameron Pashley")</f>
        <v>Cameron Pashley</v>
      </c>
      <c r="C1536" s="3">
        <f>IFERROR(__xludf.DUMMYFUNCTION("""COMPUTED_VALUE"""),4.0)</f>
        <v>4</v>
      </c>
      <c r="D1536" s="3">
        <f t="shared" si="1"/>
        <v>0</v>
      </c>
    </row>
    <row r="1537">
      <c r="A1537" s="10">
        <f>IFERROR(__xludf.DUMMYFUNCTION("""COMPUTED_VALUE"""),45367.0)</f>
        <v>45367</v>
      </c>
      <c r="B1537" s="3" t="str">
        <f>IFERROR(__xludf.DUMMYFUNCTION("""COMPUTED_VALUE"""),"Charlie Doe")</f>
        <v>Charlie Doe</v>
      </c>
      <c r="C1537" s="3">
        <f>IFERROR(__xludf.DUMMYFUNCTION("""COMPUTED_VALUE"""),5.0)</f>
        <v>5</v>
      </c>
      <c r="D1537" s="3">
        <f t="shared" si="1"/>
        <v>0</v>
      </c>
    </row>
    <row r="1538">
      <c r="A1538" s="10">
        <f>IFERROR(__xludf.DUMMYFUNCTION("""COMPUTED_VALUE"""),45367.0)</f>
        <v>45367</v>
      </c>
      <c r="B1538" s="3" t="str">
        <f>IFERROR(__xludf.DUMMYFUNCTION("""COMPUTED_VALUE"""),"Chris Claeys")</f>
        <v>Chris Claeys</v>
      </c>
      <c r="C1538" s="3">
        <f>IFERROR(__xludf.DUMMYFUNCTION("""COMPUTED_VALUE"""),6.0)</f>
        <v>6</v>
      </c>
      <c r="D1538" s="3">
        <f t="shared" si="1"/>
        <v>0</v>
      </c>
    </row>
    <row r="1539">
      <c r="A1539" s="10">
        <f>IFERROR(__xludf.DUMMYFUNCTION("""COMPUTED_VALUE"""),45367.0)</f>
        <v>45367</v>
      </c>
      <c r="B1539" s="3" t="str">
        <f>IFERROR(__xludf.DUMMYFUNCTION("""COMPUTED_VALUE"""),"Chris Douthwaite")</f>
        <v>Chris Douthwaite</v>
      </c>
      <c r="C1539" s="3">
        <f>IFERROR(__xludf.DUMMYFUNCTION("""COMPUTED_VALUE"""),13.0)</f>
        <v>13</v>
      </c>
      <c r="D1539" s="3">
        <f t="shared" si="1"/>
        <v>0</v>
      </c>
    </row>
    <row r="1540">
      <c r="A1540" s="10">
        <f>IFERROR(__xludf.DUMMYFUNCTION("""COMPUTED_VALUE"""),45367.0)</f>
        <v>45367</v>
      </c>
      <c r="B1540" s="3" t="str">
        <f>IFERROR(__xludf.DUMMYFUNCTION("""COMPUTED_VALUE"""),"Christian King")</f>
        <v>Christian King</v>
      </c>
      <c r="C1540" s="3">
        <f>IFERROR(__xludf.DUMMYFUNCTION("""COMPUTED_VALUE"""),2.0)</f>
        <v>2</v>
      </c>
      <c r="D1540" s="3">
        <f t="shared" si="1"/>
        <v>0</v>
      </c>
    </row>
    <row r="1541">
      <c r="A1541" s="10">
        <f>IFERROR(__xludf.DUMMYFUNCTION("""COMPUTED_VALUE"""),45367.0)</f>
        <v>45367</v>
      </c>
      <c r="B1541" s="3" t="str">
        <f>IFERROR(__xludf.DUMMYFUNCTION("""COMPUTED_VALUE"""),"Corey Cleave")</f>
        <v>Corey Cleave</v>
      </c>
      <c r="C1541" s="3">
        <f>IFERROR(__xludf.DUMMYFUNCTION("""COMPUTED_VALUE"""),2.0)</f>
        <v>2</v>
      </c>
      <c r="D1541" s="3">
        <f t="shared" si="1"/>
        <v>0</v>
      </c>
    </row>
    <row r="1542">
      <c r="A1542" s="10">
        <f>IFERROR(__xludf.DUMMYFUNCTION("""COMPUTED_VALUE"""),45367.0)</f>
        <v>45367</v>
      </c>
      <c r="B1542" s="3" t="str">
        <f>IFERROR(__xludf.DUMMYFUNCTION("""COMPUTED_VALUE"""),"Dan Klin")</f>
        <v>Dan Klin</v>
      </c>
      <c r="C1542" s="3">
        <f>IFERROR(__xludf.DUMMYFUNCTION("""COMPUTED_VALUE"""),6.0)</f>
        <v>6</v>
      </c>
      <c r="D1542" s="3">
        <f t="shared" si="1"/>
        <v>0</v>
      </c>
    </row>
    <row r="1543">
      <c r="A1543" s="10">
        <f>IFERROR(__xludf.DUMMYFUNCTION("""COMPUTED_VALUE"""),45367.0)</f>
        <v>45367</v>
      </c>
      <c r="B1543" s="3" t="str">
        <f>IFERROR(__xludf.DUMMYFUNCTION("""COMPUTED_VALUE"""),"Dan Russell")</f>
        <v>Dan Russell</v>
      </c>
      <c r="C1543" s="3">
        <f>IFERROR(__xludf.DUMMYFUNCTION("""COMPUTED_VALUE"""),4.0)</f>
        <v>4</v>
      </c>
      <c r="D1543" s="3">
        <f t="shared" si="1"/>
        <v>0</v>
      </c>
    </row>
    <row r="1544">
      <c r="A1544" s="10">
        <f>IFERROR(__xludf.DUMMYFUNCTION("""COMPUTED_VALUE"""),45367.0)</f>
        <v>45367</v>
      </c>
      <c r="B1544" s="3" t="str">
        <f>IFERROR(__xludf.DUMMYFUNCTION("""COMPUTED_VALUE"""),"Denver Lalonde")</f>
        <v>Denver Lalonde</v>
      </c>
      <c r="C1544" s="3">
        <f>IFERROR(__xludf.DUMMYFUNCTION("""COMPUTED_VALUE"""),2.0)</f>
        <v>2</v>
      </c>
      <c r="D1544" s="3">
        <f t="shared" si="1"/>
        <v>0</v>
      </c>
    </row>
    <row r="1545">
      <c r="A1545" s="10">
        <f>IFERROR(__xludf.DUMMYFUNCTION("""COMPUTED_VALUE"""),45367.0)</f>
        <v>45367</v>
      </c>
      <c r="B1545" s="3" t="str">
        <f>IFERROR(__xludf.DUMMYFUNCTION("""COMPUTED_VALUE"""),"Dom Robbins")</f>
        <v>Dom Robbins</v>
      </c>
      <c r="C1545" s="3">
        <f>IFERROR(__xludf.DUMMYFUNCTION("""COMPUTED_VALUE"""),2.0)</f>
        <v>2</v>
      </c>
      <c r="D1545" s="3">
        <f t="shared" si="1"/>
        <v>0</v>
      </c>
    </row>
    <row r="1546">
      <c r="A1546" s="10">
        <f>IFERROR(__xludf.DUMMYFUNCTION("""COMPUTED_VALUE"""),45367.0)</f>
        <v>45367</v>
      </c>
      <c r="B1546" s="3" t="str">
        <f>IFERROR(__xludf.DUMMYFUNCTION("""COMPUTED_VALUE"""),"Emi Muhadri")</f>
        <v>Emi Muhadri</v>
      </c>
      <c r="C1546" s="3">
        <f>IFERROR(__xludf.DUMMYFUNCTION("""COMPUTED_VALUE"""),2.0)</f>
        <v>2</v>
      </c>
      <c r="D1546" s="3">
        <f t="shared" si="1"/>
        <v>0</v>
      </c>
    </row>
    <row r="1547">
      <c r="A1547" s="10">
        <f>IFERROR(__xludf.DUMMYFUNCTION("""COMPUTED_VALUE"""),45367.0)</f>
        <v>45367</v>
      </c>
      <c r="B1547" s="3" t="str">
        <f>IFERROR(__xludf.DUMMYFUNCTION("""COMPUTED_VALUE"""),"Gaz Wheldale")</f>
        <v>Gaz Wheldale</v>
      </c>
      <c r="C1547" s="3">
        <f>IFERROR(__xludf.DUMMYFUNCTION("""COMPUTED_VALUE"""),8.0)</f>
        <v>8</v>
      </c>
      <c r="D1547" s="3">
        <f t="shared" si="1"/>
        <v>0</v>
      </c>
    </row>
    <row r="1548">
      <c r="A1548" s="10">
        <f>IFERROR(__xludf.DUMMYFUNCTION("""COMPUTED_VALUE"""),45367.0)</f>
        <v>45367</v>
      </c>
      <c r="B1548" s="3" t="str">
        <f>IFERROR(__xludf.DUMMYFUNCTION("""COMPUTED_VALUE"""),"George Connolly")</f>
        <v>George Connolly</v>
      </c>
      <c r="C1548" s="3">
        <f>IFERROR(__xludf.DUMMYFUNCTION("""COMPUTED_VALUE"""),2.0)</f>
        <v>2</v>
      </c>
      <c r="D1548" s="3">
        <f t="shared" si="1"/>
        <v>0</v>
      </c>
    </row>
    <row r="1549">
      <c r="A1549" s="10">
        <f>IFERROR(__xludf.DUMMYFUNCTION("""COMPUTED_VALUE"""),45367.0)</f>
        <v>45367</v>
      </c>
      <c r="B1549" s="3" t="str">
        <f>IFERROR(__xludf.DUMMYFUNCTION("""COMPUTED_VALUE"""),"Harry Fripp")</f>
        <v>Harry Fripp</v>
      </c>
      <c r="C1549" s="3">
        <f>IFERROR(__xludf.DUMMYFUNCTION("""COMPUTED_VALUE"""),2.0)</f>
        <v>2</v>
      </c>
      <c r="D1549" s="3">
        <f t="shared" si="1"/>
        <v>0</v>
      </c>
    </row>
    <row r="1550">
      <c r="A1550" s="10">
        <f>IFERROR(__xludf.DUMMYFUNCTION("""COMPUTED_VALUE"""),45367.0)</f>
        <v>45367</v>
      </c>
      <c r="B1550" s="3" t="str">
        <f>IFERROR(__xludf.DUMMYFUNCTION("""COMPUTED_VALUE"""),"Jack Hind")</f>
        <v>Jack Hind</v>
      </c>
      <c r="C1550" s="3">
        <f>IFERROR(__xludf.DUMMYFUNCTION("""COMPUTED_VALUE"""),2.0)</f>
        <v>2</v>
      </c>
      <c r="D1550" s="3">
        <f t="shared" si="1"/>
        <v>0</v>
      </c>
    </row>
    <row r="1551">
      <c r="A1551" s="10">
        <f>IFERROR(__xludf.DUMMYFUNCTION("""COMPUTED_VALUE"""),45367.0)</f>
        <v>45367</v>
      </c>
      <c r="B1551" s="3" t="str">
        <f>IFERROR(__xludf.DUMMYFUNCTION("""COMPUTED_VALUE"""),"James Rodriguez")</f>
        <v>James Rodriguez</v>
      </c>
      <c r="C1551" s="3">
        <f>IFERROR(__xludf.DUMMYFUNCTION("""COMPUTED_VALUE"""),2.0)</f>
        <v>2</v>
      </c>
      <c r="D1551" s="3">
        <f t="shared" si="1"/>
        <v>0</v>
      </c>
    </row>
    <row r="1552">
      <c r="A1552" s="10">
        <f>IFERROR(__xludf.DUMMYFUNCTION("""COMPUTED_VALUE"""),45367.0)</f>
        <v>45367</v>
      </c>
      <c r="B1552" s="3" t="str">
        <f>IFERROR(__xludf.DUMMYFUNCTION("""COMPUTED_VALUE"""),"James Timmins")</f>
        <v>James Timmins</v>
      </c>
      <c r="C1552" s="3">
        <f>IFERROR(__xludf.DUMMYFUNCTION("""COMPUTED_VALUE"""),2.0)</f>
        <v>2</v>
      </c>
      <c r="D1552" s="3">
        <f t="shared" si="1"/>
        <v>0</v>
      </c>
    </row>
    <row r="1553">
      <c r="A1553" s="10">
        <f>IFERROR(__xludf.DUMMYFUNCTION("""COMPUTED_VALUE"""),45367.0)</f>
        <v>45367</v>
      </c>
      <c r="B1553" s="3" t="str">
        <f>IFERROR(__xludf.DUMMYFUNCTION("""COMPUTED_VALUE"""),"Janam Satra")</f>
        <v>Janam Satra</v>
      </c>
      <c r="C1553" s="3">
        <f>IFERROR(__xludf.DUMMYFUNCTION("""COMPUTED_VALUE"""),5.0)</f>
        <v>5</v>
      </c>
      <c r="D1553" s="3">
        <f t="shared" si="1"/>
        <v>0</v>
      </c>
    </row>
    <row r="1554">
      <c r="A1554" s="10">
        <f>IFERROR(__xludf.DUMMYFUNCTION("""COMPUTED_VALUE"""),45367.0)</f>
        <v>45367</v>
      </c>
      <c r="B1554" s="3" t="str">
        <f>IFERROR(__xludf.DUMMYFUNCTION("""COMPUTED_VALUE"""),"Jarvis Cheek")</f>
        <v>Jarvis Cheek</v>
      </c>
      <c r="C1554" s="3">
        <f>IFERROR(__xludf.DUMMYFUNCTION("""COMPUTED_VALUE"""),6.0)</f>
        <v>6</v>
      </c>
      <c r="D1554" s="3">
        <f t="shared" si="1"/>
        <v>0</v>
      </c>
    </row>
    <row r="1555">
      <c r="A1555" s="10">
        <f>IFERROR(__xludf.DUMMYFUNCTION("""COMPUTED_VALUE"""),45367.0)</f>
        <v>45367</v>
      </c>
      <c r="B1555" s="3" t="str">
        <f>IFERROR(__xludf.DUMMYFUNCTION("""COMPUTED_VALUE"""),"Jason Heath")</f>
        <v>Jason Heath</v>
      </c>
      <c r="C1555" s="3">
        <f>IFERROR(__xludf.DUMMYFUNCTION("""COMPUTED_VALUE"""),2.0)</f>
        <v>2</v>
      </c>
      <c r="D1555" s="3">
        <f t="shared" si="1"/>
        <v>0</v>
      </c>
    </row>
    <row r="1556">
      <c r="A1556" s="10">
        <f>IFERROR(__xludf.DUMMYFUNCTION("""COMPUTED_VALUE"""),45367.0)</f>
        <v>45367</v>
      </c>
      <c r="B1556" s="3" t="str">
        <f>IFERROR(__xludf.DUMMYFUNCTION("""COMPUTED_VALUE"""),"Joe Vincent")</f>
        <v>Joe Vincent</v>
      </c>
      <c r="C1556" s="3">
        <f>IFERROR(__xludf.DUMMYFUNCTION("""COMPUTED_VALUE"""),8.0)</f>
        <v>8</v>
      </c>
      <c r="D1556" s="3">
        <f t="shared" si="1"/>
        <v>0</v>
      </c>
    </row>
    <row r="1557">
      <c r="A1557" s="10">
        <f>IFERROR(__xludf.DUMMYFUNCTION("""COMPUTED_VALUE"""),45367.0)</f>
        <v>45367</v>
      </c>
      <c r="B1557" s="3" t="str">
        <f>IFERROR(__xludf.DUMMYFUNCTION("""COMPUTED_VALUE"""),"Joel Wright")</f>
        <v>Joel Wright</v>
      </c>
      <c r="C1557" s="3">
        <f>IFERROR(__xludf.DUMMYFUNCTION("""COMPUTED_VALUE"""),2.0)</f>
        <v>2</v>
      </c>
      <c r="D1557" s="3">
        <f t="shared" si="1"/>
        <v>0</v>
      </c>
    </row>
    <row r="1558">
      <c r="A1558" s="10">
        <f>IFERROR(__xludf.DUMMYFUNCTION("""COMPUTED_VALUE"""),45367.0)</f>
        <v>45367</v>
      </c>
      <c r="B1558" s="3" t="str">
        <f>IFERROR(__xludf.DUMMYFUNCTION("""COMPUTED_VALUE"""),"John Harrison")</f>
        <v>John Harrison</v>
      </c>
      <c r="C1558" s="3">
        <f>IFERROR(__xludf.DUMMYFUNCTION("""COMPUTED_VALUE"""),2.0)</f>
        <v>2</v>
      </c>
      <c r="D1558" s="3">
        <f t="shared" si="1"/>
        <v>0</v>
      </c>
    </row>
    <row r="1559">
      <c r="A1559" s="10">
        <f>IFERROR(__xludf.DUMMYFUNCTION("""COMPUTED_VALUE"""),45367.0)</f>
        <v>45367</v>
      </c>
      <c r="B1559" s="3" t="str">
        <f>IFERROR(__xludf.DUMMYFUNCTION("""COMPUTED_VALUE"""),"Jonny Simmons")</f>
        <v>Jonny Simmons</v>
      </c>
      <c r="C1559" s="3">
        <f>IFERROR(__xludf.DUMMYFUNCTION("""COMPUTED_VALUE"""),8.0)</f>
        <v>8</v>
      </c>
      <c r="D1559" s="3">
        <f t="shared" si="1"/>
        <v>0</v>
      </c>
    </row>
    <row r="1560">
      <c r="A1560" s="10">
        <f>IFERROR(__xludf.DUMMYFUNCTION("""COMPUTED_VALUE"""),45367.0)</f>
        <v>45367</v>
      </c>
      <c r="B1560" s="3" t="str">
        <f>IFERROR(__xludf.DUMMYFUNCTION("""COMPUTED_VALUE"""),"Josh Sherriff-Jolly")</f>
        <v>Josh Sherriff-Jolly</v>
      </c>
      <c r="C1560" s="3">
        <f>IFERROR(__xludf.DUMMYFUNCTION("""COMPUTED_VALUE"""),2.0)</f>
        <v>2</v>
      </c>
      <c r="D1560" s="3">
        <f t="shared" si="1"/>
        <v>0</v>
      </c>
    </row>
    <row r="1561">
      <c r="A1561" s="10">
        <f>IFERROR(__xludf.DUMMYFUNCTION("""COMPUTED_VALUE"""),45367.0)</f>
        <v>45367</v>
      </c>
      <c r="B1561" s="3" t="str">
        <f>IFERROR(__xludf.DUMMYFUNCTION("""COMPUTED_VALUE"""),"Keaton Cohen")</f>
        <v>Keaton Cohen</v>
      </c>
      <c r="C1561" s="3">
        <f>IFERROR(__xludf.DUMMYFUNCTION("""COMPUTED_VALUE"""),2.0)</f>
        <v>2</v>
      </c>
      <c r="D1561" s="3">
        <f t="shared" si="1"/>
        <v>0</v>
      </c>
    </row>
    <row r="1562">
      <c r="A1562" s="10">
        <f>IFERROR(__xludf.DUMMYFUNCTION("""COMPUTED_VALUE"""),45367.0)</f>
        <v>45367</v>
      </c>
      <c r="B1562" s="3" t="str">
        <f>IFERROR(__xludf.DUMMYFUNCTION("""COMPUTED_VALUE"""),"Kevin Gonzalez")</f>
        <v>Kevin Gonzalez</v>
      </c>
      <c r="C1562" s="3">
        <f>IFERROR(__xludf.DUMMYFUNCTION("""COMPUTED_VALUE"""),2.0)</f>
        <v>2</v>
      </c>
      <c r="D1562" s="3">
        <f t="shared" si="1"/>
        <v>0</v>
      </c>
    </row>
    <row r="1563">
      <c r="A1563" s="10">
        <f>IFERROR(__xludf.DUMMYFUNCTION("""COMPUTED_VALUE"""),45367.0)</f>
        <v>45367</v>
      </c>
      <c r="B1563" s="3" t="str">
        <f>IFERROR(__xludf.DUMMYFUNCTION("""COMPUTED_VALUE"""),"Kim Jaeyoon")</f>
        <v>Kim Jaeyoon</v>
      </c>
      <c r="C1563" s="3">
        <f>IFERROR(__xludf.DUMMYFUNCTION("""COMPUTED_VALUE"""),2.0)</f>
        <v>2</v>
      </c>
      <c r="D1563" s="3">
        <f t="shared" si="1"/>
        <v>0</v>
      </c>
    </row>
    <row r="1564">
      <c r="A1564" s="10">
        <f>IFERROR(__xludf.DUMMYFUNCTION("""COMPUTED_VALUE"""),45367.0)</f>
        <v>45367</v>
      </c>
      <c r="B1564" s="3" t="str">
        <f>IFERROR(__xludf.DUMMYFUNCTION("""COMPUTED_VALUE"""),"Luke Dyges")</f>
        <v>Luke Dyges</v>
      </c>
      <c r="C1564" s="3">
        <f>IFERROR(__xludf.DUMMYFUNCTION("""COMPUTED_VALUE"""),2.0)</f>
        <v>2</v>
      </c>
      <c r="D1564" s="3">
        <f t="shared" si="1"/>
        <v>0</v>
      </c>
    </row>
    <row r="1565">
      <c r="A1565" s="10">
        <f>IFERROR(__xludf.DUMMYFUNCTION("""COMPUTED_VALUE"""),45367.0)</f>
        <v>45367</v>
      </c>
      <c r="B1565" s="3" t="str">
        <f>IFERROR(__xludf.DUMMYFUNCTION("""COMPUTED_VALUE"""),"Mark Roberts")</f>
        <v>Mark Roberts</v>
      </c>
      <c r="C1565" s="3">
        <f>IFERROR(__xludf.DUMMYFUNCTION("""COMPUTED_VALUE"""),2.0)</f>
        <v>2</v>
      </c>
      <c r="D1565" s="3">
        <f t="shared" si="1"/>
        <v>0</v>
      </c>
    </row>
    <row r="1566">
      <c r="A1566" s="10">
        <f>IFERROR(__xludf.DUMMYFUNCTION("""COMPUTED_VALUE"""),45367.0)</f>
        <v>45367</v>
      </c>
      <c r="B1566" s="3" t="str">
        <f>IFERROR(__xludf.DUMMYFUNCTION("""COMPUTED_VALUE"""),"Martin Goodson")</f>
        <v>Martin Goodson</v>
      </c>
      <c r="C1566" s="3">
        <f>IFERROR(__xludf.DUMMYFUNCTION("""COMPUTED_VALUE"""),7.0)</f>
        <v>7</v>
      </c>
      <c r="D1566" s="3">
        <f t="shared" si="1"/>
        <v>0</v>
      </c>
    </row>
    <row r="1567">
      <c r="A1567" s="10">
        <f>IFERROR(__xludf.DUMMYFUNCTION("""COMPUTED_VALUE"""),45367.0)</f>
        <v>45367</v>
      </c>
      <c r="B1567" s="3" t="str">
        <f>IFERROR(__xludf.DUMMYFUNCTION("""COMPUTED_VALUE"""),"Masood Hamidi")</f>
        <v>Masood Hamidi</v>
      </c>
      <c r="C1567" s="3">
        <f>IFERROR(__xludf.DUMMYFUNCTION("""COMPUTED_VALUE"""),14.0)</f>
        <v>14</v>
      </c>
      <c r="D1567" s="3">
        <f t="shared" si="1"/>
        <v>1</v>
      </c>
    </row>
    <row r="1568">
      <c r="A1568" s="10">
        <f>IFERROR(__xludf.DUMMYFUNCTION("""COMPUTED_VALUE"""),45367.0)</f>
        <v>45367</v>
      </c>
      <c r="B1568" s="3" t="str">
        <f>IFERROR(__xludf.DUMMYFUNCTION("""COMPUTED_VALUE"""),"Matt Crowe")</f>
        <v>Matt Crowe</v>
      </c>
      <c r="C1568" s="3">
        <f>IFERROR(__xludf.DUMMYFUNCTION("""COMPUTED_VALUE"""),7.0)</f>
        <v>7</v>
      </c>
      <c r="D1568" s="3">
        <f t="shared" si="1"/>
        <v>0</v>
      </c>
    </row>
    <row r="1569">
      <c r="A1569" s="10">
        <f>IFERROR(__xludf.DUMMYFUNCTION("""COMPUTED_VALUE"""),45367.0)</f>
        <v>45367</v>
      </c>
      <c r="B1569" s="3" t="str">
        <f>IFERROR(__xludf.DUMMYFUNCTION("""COMPUTED_VALUE"""),"Matt Powell")</f>
        <v>Matt Powell</v>
      </c>
      <c r="C1569" s="3">
        <f>IFERROR(__xludf.DUMMYFUNCTION("""COMPUTED_VALUE"""),2.0)</f>
        <v>2</v>
      </c>
      <c r="D1569" s="3">
        <f t="shared" si="1"/>
        <v>0</v>
      </c>
    </row>
    <row r="1570">
      <c r="A1570" s="10">
        <f>IFERROR(__xludf.DUMMYFUNCTION("""COMPUTED_VALUE"""),45367.0)</f>
        <v>45367</v>
      </c>
      <c r="B1570" s="3" t="str">
        <f>IFERROR(__xludf.DUMMYFUNCTION("""COMPUTED_VALUE"""),"Matthew Thomas")</f>
        <v>Matthew Thomas</v>
      </c>
      <c r="C1570" s="3">
        <f>IFERROR(__xludf.DUMMYFUNCTION("""COMPUTED_VALUE"""),2.0)</f>
        <v>2</v>
      </c>
      <c r="D1570" s="3">
        <f t="shared" si="1"/>
        <v>0</v>
      </c>
    </row>
    <row r="1571">
      <c r="A1571" s="10">
        <f>IFERROR(__xludf.DUMMYFUNCTION("""COMPUTED_VALUE"""),45367.0)</f>
        <v>45367</v>
      </c>
      <c r="B1571" s="3" t="str">
        <f>IFERROR(__xludf.DUMMYFUNCTION("""COMPUTED_VALUE"""),"Max Miles")</f>
        <v>Max Miles</v>
      </c>
      <c r="C1571" s="3">
        <f>IFERROR(__xludf.DUMMYFUNCTION("""COMPUTED_VALUE"""),2.0)</f>
        <v>2</v>
      </c>
      <c r="D1571" s="3">
        <f t="shared" si="1"/>
        <v>0</v>
      </c>
    </row>
    <row r="1572">
      <c r="A1572" s="10">
        <f>IFERROR(__xludf.DUMMYFUNCTION("""COMPUTED_VALUE"""),45367.0)</f>
        <v>45367</v>
      </c>
      <c r="B1572" s="3" t="str">
        <f>IFERROR(__xludf.DUMMYFUNCTION("""COMPUTED_VALUE"""),"Nick Chimonides")</f>
        <v>Nick Chimonides</v>
      </c>
      <c r="C1572" s="3">
        <f>IFERROR(__xludf.DUMMYFUNCTION("""COMPUTED_VALUE"""),8.0)</f>
        <v>8</v>
      </c>
      <c r="D1572" s="3">
        <f t="shared" si="1"/>
        <v>0</v>
      </c>
    </row>
    <row r="1573">
      <c r="A1573" s="10">
        <f>IFERROR(__xludf.DUMMYFUNCTION("""COMPUTED_VALUE"""),45367.0)</f>
        <v>45367</v>
      </c>
      <c r="B1573" s="3" t="str">
        <f>IFERROR(__xludf.DUMMYFUNCTION("""COMPUTED_VALUE"""),"Nima Naghdi")</f>
        <v>Nima Naghdi</v>
      </c>
      <c r="C1573" s="3">
        <f>IFERROR(__xludf.DUMMYFUNCTION("""COMPUTED_VALUE"""),2.0)</f>
        <v>2</v>
      </c>
      <c r="D1573" s="3">
        <f t="shared" si="1"/>
        <v>0</v>
      </c>
    </row>
    <row r="1574">
      <c r="A1574" s="10">
        <f>IFERROR(__xludf.DUMMYFUNCTION("""COMPUTED_VALUE"""),45367.0)</f>
        <v>45367</v>
      </c>
      <c r="B1574" s="3" t="str">
        <f>IFERROR(__xludf.DUMMYFUNCTION("""COMPUTED_VALUE"""),"Pearl Bakengela")</f>
        <v>Pearl Bakengela</v>
      </c>
      <c r="C1574" s="3">
        <f>IFERROR(__xludf.DUMMYFUNCTION("""COMPUTED_VALUE"""),6.0)</f>
        <v>6</v>
      </c>
      <c r="D1574" s="3">
        <f t="shared" si="1"/>
        <v>0</v>
      </c>
    </row>
    <row r="1575">
      <c r="A1575" s="10">
        <f>IFERROR(__xludf.DUMMYFUNCTION("""COMPUTED_VALUE"""),45367.0)</f>
        <v>45367</v>
      </c>
      <c r="B1575" s="3" t="str">
        <f>IFERROR(__xludf.DUMMYFUNCTION("""COMPUTED_VALUE"""),"Rob Edmonds")</f>
        <v>Rob Edmonds</v>
      </c>
      <c r="C1575" s="3">
        <f>IFERROR(__xludf.DUMMYFUNCTION("""COMPUTED_VALUE"""),5.0)</f>
        <v>5</v>
      </c>
      <c r="D1575" s="3">
        <f t="shared" si="1"/>
        <v>0</v>
      </c>
    </row>
    <row r="1576">
      <c r="A1576" s="10">
        <f>IFERROR(__xludf.DUMMYFUNCTION("""COMPUTED_VALUE"""),45367.0)</f>
        <v>45367</v>
      </c>
      <c r="B1576" s="3" t="str">
        <f>IFERROR(__xludf.DUMMYFUNCTION("""COMPUTED_VALUE"""),"Sean Rowlett")</f>
        <v>Sean Rowlett</v>
      </c>
      <c r="C1576" s="3">
        <f>IFERROR(__xludf.DUMMYFUNCTION("""COMPUTED_VALUE"""),7.0)</f>
        <v>7</v>
      </c>
      <c r="D1576" s="3">
        <f t="shared" si="1"/>
        <v>0</v>
      </c>
    </row>
    <row r="1577">
      <c r="A1577" s="10">
        <f>IFERROR(__xludf.DUMMYFUNCTION("""COMPUTED_VALUE"""),45367.0)</f>
        <v>45367</v>
      </c>
      <c r="B1577" s="3" t="str">
        <f>IFERROR(__xludf.DUMMYFUNCTION("""COMPUTED_VALUE"""),"Tam de Lacey")</f>
        <v>Tam de Lacey</v>
      </c>
      <c r="C1577" s="3">
        <f>IFERROR(__xludf.DUMMYFUNCTION("""COMPUTED_VALUE"""),8.0)</f>
        <v>8</v>
      </c>
      <c r="D1577" s="3">
        <f t="shared" si="1"/>
        <v>0</v>
      </c>
    </row>
    <row r="1578">
      <c r="A1578" s="10">
        <f>IFERROR(__xludf.DUMMYFUNCTION("""COMPUTED_VALUE"""),45367.0)</f>
        <v>45367</v>
      </c>
      <c r="B1578" s="3" t="str">
        <f>IFERROR(__xludf.DUMMYFUNCTION("""COMPUTED_VALUE"""),"Theo Horton")</f>
        <v>Theo Horton</v>
      </c>
      <c r="C1578" s="3">
        <f>IFERROR(__xludf.DUMMYFUNCTION("""COMPUTED_VALUE"""),2.0)</f>
        <v>2</v>
      </c>
      <c r="D1578" s="3">
        <f t="shared" si="1"/>
        <v>0</v>
      </c>
    </row>
    <row r="1579">
      <c r="A1579" s="10">
        <f>IFERROR(__xludf.DUMMYFUNCTION("""COMPUTED_VALUE"""),45367.0)</f>
        <v>45367</v>
      </c>
      <c r="B1579" s="3" t="str">
        <f>IFERROR(__xludf.DUMMYFUNCTION("""COMPUTED_VALUE"""),"Tom Taylor")</f>
        <v>Tom Taylor</v>
      </c>
      <c r="C1579" s="3">
        <f>IFERROR(__xludf.DUMMYFUNCTION("""COMPUTED_VALUE"""),2.0)</f>
        <v>2</v>
      </c>
      <c r="D1579" s="3">
        <f t="shared" si="1"/>
        <v>0</v>
      </c>
    </row>
    <row r="1580">
      <c r="A1580" s="10">
        <f>IFERROR(__xludf.DUMMYFUNCTION("""COMPUTED_VALUE"""),45367.0)</f>
        <v>45367</v>
      </c>
      <c r="B1580" s="3" t="str">
        <f>IFERROR(__xludf.DUMMYFUNCTION("""COMPUTED_VALUE"""),"Will French")</f>
        <v>Will French</v>
      </c>
      <c r="C1580" s="3">
        <f>IFERROR(__xludf.DUMMYFUNCTION("""COMPUTED_VALUE"""),4.0)</f>
        <v>4</v>
      </c>
      <c r="D1580" s="3">
        <f t="shared" si="1"/>
        <v>0</v>
      </c>
    </row>
    <row r="1581">
      <c r="A1581" s="10">
        <f>IFERROR(__xludf.DUMMYFUNCTION("""COMPUTED_VALUE"""),45367.0)</f>
        <v>45367</v>
      </c>
      <c r="B1581" s="3" t="str">
        <f>IFERROR(__xludf.DUMMYFUNCTION("""COMPUTED_VALUE"""),"Yemi Oviosu")</f>
        <v>Yemi Oviosu</v>
      </c>
      <c r="C1581" s="3">
        <f>IFERROR(__xludf.DUMMYFUNCTION("""COMPUTED_VALUE"""),7.0)</f>
        <v>7</v>
      </c>
      <c r="D1581" s="3">
        <f t="shared" si="1"/>
        <v>0</v>
      </c>
    </row>
    <row r="1582">
      <c r="A1582" s="10">
        <f>IFERROR(__xludf.DUMMYFUNCTION("""COMPUTED_VALUE"""),45374.0)</f>
        <v>45374</v>
      </c>
      <c r="B1582" s="3" t="str">
        <f>IFERROR(__xludf.DUMMYFUNCTION("""COMPUTED_VALUE"""),"Aaron Snelling")</f>
        <v>Aaron Snelling</v>
      </c>
      <c r="C1582" s="3">
        <f>IFERROR(__xludf.DUMMYFUNCTION("""COMPUTED_VALUE"""),1.0)</f>
        <v>1</v>
      </c>
      <c r="D1582" s="3">
        <f t="shared" si="1"/>
        <v>0</v>
      </c>
    </row>
    <row r="1583">
      <c r="A1583" s="10">
        <f>IFERROR(__xludf.DUMMYFUNCTION("""COMPUTED_VALUE"""),45374.0)</f>
        <v>45374</v>
      </c>
      <c r="B1583" s="3" t="str">
        <f>IFERROR(__xludf.DUMMYFUNCTION("""COMPUTED_VALUE"""),"Adam Platten")</f>
        <v>Adam Platten</v>
      </c>
      <c r="C1583" s="3">
        <f>IFERROR(__xludf.DUMMYFUNCTION("""COMPUTED_VALUE"""),2.0)</f>
        <v>2</v>
      </c>
      <c r="D1583" s="3">
        <f t="shared" si="1"/>
        <v>0</v>
      </c>
    </row>
    <row r="1584">
      <c r="A1584" s="10">
        <f>IFERROR(__xludf.DUMMYFUNCTION("""COMPUTED_VALUE"""),45374.0)</f>
        <v>45374</v>
      </c>
      <c r="B1584" s="3" t="str">
        <f>IFERROR(__xludf.DUMMYFUNCTION("""COMPUTED_VALUE"""),"Ade Lawal")</f>
        <v>Ade Lawal</v>
      </c>
      <c r="C1584" s="3">
        <f>IFERROR(__xludf.DUMMYFUNCTION("""COMPUTED_VALUE"""),2.0)</f>
        <v>2</v>
      </c>
      <c r="D1584" s="3">
        <f t="shared" si="1"/>
        <v>0</v>
      </c>
    </row>
    <row r="1585">
      <c r="A1585" s="10">
        <f>IFERROR(__xludf.DUMMYFUNCTION("""COMPUTED_VALUE"""),45374.0)</f>
        <v>45374</v>
      </c>
      <c r="B1585" s="3" t="str">
        <f>IFERROR(__xludf.DUMMYFUNCTION("""COMPUTED_VALUE"""),"Alex Scott-Ruddock")</f>
        <v>Alex Scott-Ruddock</v>
      </c>
      <c r="C1585" s="3">
        <f>IFERROR(__xludf.DUMMYFUNCTION("""COMPUTED_VALUE"""),2.0)</f>
        <v>2</v>
      </c>
      <c r="D1585" s="3">
        <f t="shared" si="1"/>
        <v>0</v>
      </c>
    </row>
    <row r="1586">
      <c r="A1586" s="10">
        <f>IFERROR(__xludf.DUMMYFUNCTION("""COMPUTED_VALUE"""),45374.0)</f>
        <v>45374</v>
      </c>
      <c r="B1586" s="3" t="str">
        <f>IFERROR(__xludf.DUMMYFUNCTION("""COMPUTED_VALUE"""),"Alex Stevens")</f>
        <v>Alex Stevens</v>
      </c>
      <c r="C1586" s="3">
        <f>IFERROR(__xludf.DUMMYFUNCTION("""COMPUTED_VALUE"""),2.0)</f>
        <v>2</v>
      </c>
      <c r="D1586" s="3">
        <f t="shared" si="1"/>
        <v>0</v>
      </c>
    </row>
    <row r="1587">
      <c r="A1587" s="10">
        <f>IFERROR(__xludf.DUMMYFUNCTION("""COMPUTED_VALUE"""),45374.0)</f>
        <v>45374</v>
      </c>
      <c r="B1587" s="3" t="str">
        <f>IFERROR(__xludf.DUMMYFUNCTION("""COMPUTED_VALUE"""),"Ben Dockerill")</f>
        <v>Ben Dockerill</v>
      </c>
      <c r="C1587" s="3">
        <f>IFERROR(__xludf.DUMMYFUNCTION("""COMPUTED_VALUE"""),5.0)</f>
        <v>5</v>
      </c>
      <c r="D1587" s="3">
        <f t="shared" si="1"/>
        <v>0</v>
      </c>
    </row>
    <row r="1588">
      <c r="A1588" s="10">
        <f>IFERROR(__xludf.DUMMYFUNCTION("""COMPUTED_VALUE"""),45374.0)</f>
        <v>45374</v>
      </c>
      <c r="B1588" s="3" t="str">
        <f>IFERROR(__xludf.DUMMYFUNCTION("""COMPUTED_VALUE"""),"Billy King")</f>
        <v>Billy King</v>
      </c>
      <c r="C1588" s="3">
        <f>IFERROR(__xludf.DUMMYFUNCTION("""COMPUTED_VALUE"""),4.0)</f>
        <v>4</v>
      </c>
      <c r="D1588" s="3">
        <f t="shared" si="1"/>
        <v>0</v>
      </c>
    </row>
    <row r="1589">
      <c r="A1589" s="10">
        <f>IFERROR(__xludf.DUMMYFUNCTION("""COMPUTED_VALUE"""),45374.0)</f>
        <v>45374</v>
      </c>
      <c r="B1589" s="3" t="str">
        <f>IFERROR(__xludf.DUMMYFUNCTION("""COMPUTED_VALUE"""),"Billy Mclean")</f>
        <v>Billy Mclean</v>
      </c>
      <c r="C1589" s="3">
        <f>IFERROR(__xludf.DUMMYFUNCTION("""COMPUTED_VALUE"""),2.0)</f>
        <v>2</v>
      </c>
      <c r="D1589" s="3">
        <f t="shared" si="1"/>
        <v>0</v>
      </c>
    </row>
    <row r="1590">
      <c r="A1590" s="10">
        <f>IFERROR(__xludf.DUMMYFUNCTION("""COMPUTED_VALUE"""),45374.0)</f>
        <v>45374</v>
      </c>
      <c r="B1590" s="3" t="str">
        <f>IFERROR(__xludf.DUMMYFUNCTION("""COMPUTED_VALUE"""),"Calum Edwards")</f>
        <v>Calum Edwards</v>
      </c>
      <c r="C1590" s="3">
        <f>IFERROR(__xludf.DUMMYFUNCTION("""COMPUTED_VALUE"""),2.0)</f>
        <v>2</v>
      </c>
      <c r="D1590" s="3">
        <f t="shared" si="1"/>
        <v>0</v>
      </c>
    </row>
    <row r="1591">
      <c r="A1591" s="10">
        <f>IFERROR(__xludf.DUMMYFUNCTION("""COMPUTED_VALUE"""),45374.0)</f>
        <v>45374</v>
      </c>
      <c r="B1591" s="3" t="str">
        <f>IFERROR(__xludf.DUMMYFUNCTION("""COMPUTED_VALUE"""),"Cameron Pashley")</f>
        <v>Cameron Pashley</v>
      </c>
      <c r="C1591" s="3">
        <f>IFERROR(__xludf.DUMMYFUNCTION("""COMPUTED_VALUE"""),2.0)</f>
        <v>2</v>
      </c>
      <c r="D1591" s="3">
        <f t="shared" si="1"/>
        <v>0</v>
      </c>
    </row>
    <row r="1592">
      <c r="A1592" s="10">
        <f>IFERROR(__xludf.DUMMYFUNCTION("""COMPUTED_VALUE"""),45374.0)</f>
        <v>45374</v>
      </c>
      <c r="B1592" s="3" t="str">
        <f>IFERROR(__xludf.DUMMYFUNCTION("""COMPUTED_VALUE"""),"Charlie Doe")</f>
        <v>Charlie Doe</v>
      </c>
      <c r="C1592" s="3">
        <f>IFERROR(__xludf.DUMMYFUNCTION("""COMPUTED_VALUE"""),1.0)</f>
        <v>1</v>
      </c>
      <c r="D1592" s="3">
        <f t="shared" si="1"/>
        <v>0</v>
      </c>
    </row>
    <row r="1593">
      <c r="A1593" s="10">
        <f>IFERROR(__xludf.DUMMYFUNCTION("""COMPUTED_VALUE"""),45374.0)</f>
        <v>45374</v>
      </c>
      <c r="B1593" s="3" t="str">
        <f>IFERROR(__xludf.DUMMYFUNCTION("""COMPUTED_VALUE"""),"Chris Douthwaite")</f>
        <v>Chris Douthwaite</v>
      </c>
      <c r="C1593" s="3">
        <f>IFERROR(__xludf.DUMMYFUNCTION("""COMPUTED_VALUE"""),2.0)</f>
        <v>2</v>
      </c>
      <c r="D1593" s="3">
        <f t="shared" si="1"/>
        <v>0</v>
      </c>
    </row>
    <row r="1594">
      <c r="A1594" s="10">
        <f>IFERROR(__xludf.DUMMYFUNCTION("""COMPUTED_VALUE"""),45374.0)</f>
        <v>45374</v>
      </c>
      <c r="B1594" s="3" t="str">
        <f>IFERROR(__xludf.DUMMYFUNCTION("""COMPUTED_VALUE"""),"Dan Russell")</f>
        <v>Dan Russell</v>
      </c>
      <c r="C1594" s="3">
        <f>IFERROR(__xludf.DUMMYFUNCTION("""COMPUTED_VALUE"""),2.0)</f>
        <v>2</v>
      </c>
      <c r="D1594" s="3">
        <f t="shared" si="1"/>
        <v>0</v>
      </c>
    </row>
    <row r="1595">
      <c r="A1595" s="10">
        <f>IFERROR(__xludf.DUMMYFUNCTION("""COMPUTED_VALUE"""),45374.0)</f>
        <v>45374</v>
      </c>
      <c r="B1595" s="3" t="str">
        <f>IFERROR(__xludf.DUMMYFUNCTION("""COMPUTED_VALUE"""),"Dave Webster")</f>
        <v>Dave Webster</v>
      </c>
      <c r="C1595" s="3">
        <f>IFERROR(__xludf.DUMMYFUNCTION("""COMPUTED_VALUE"""),5.0)</f>
        <v>5</v>
      </c>
      <c r="D1595" s="3">
        <f t="shared" si="1"/>
        <v>0</v>
      </c>
    </row>
    <row r="1596">
      <c r="A1596" s="10">
        <f>IFERROR(__xludf.DUMMYFUNCTION("""COMPUTED_VALUE"""),45374.0)</f>
        <v>45374</v>
      </c>
      <c r="B1596" s="3" t="str">
        <f>IFERROR(__xludf.DUMMYFUNCTION("""COMPUTED_VALUE"""),"Dean Wright")</f>
        <v>Dean Wright</v>
      </c>
      <c r="C1596" s="3">
        <f>IFERROR(__xludf.DUMMYFUNCTION("""COMPUTED_VALUE"""),0.0)</f>
        <v>0</v>
      </c>
      <c r="D1596" s="3">
        <f t="shared" si="1"/>
        <v>0</v>
      </c>
    </row>
    <row r="1597">
      <c r="A1597" s="10">
        <f>IFERROR(__xludf.DUMMYFUNCTION("""COMPUTED_VALUE"""),45374.0)</f>
        <v>45374</v>
      </c>
      <c r="B1597" s="3" t="str">
        <f>IFERROR(__xludf.DUMMYFUNCTION("""COMPUTED_VALUE"""),"Denver Lalonde")</f>
        <v>Denver Lalonde</v>
      </c>
      <c r="C1597" s="3">
        <f>IFERROR(__xludf.DUMMYFUNCTION("""COMPUTED_VALUE"""),7.0)</f>
        <v>7</v>
      </c>
      <c r="D1597" s="3">
        <f t="shared" si="1"/>
        <v>0</v>
      </c>
    </row>
    <row r="1598">
      <c r="A1598" s="10">
        <f>IFERROR(__xludf.DUMMYFUNCTION("""COMPUTED_VALUE"""),45374.0)</f>
        <v>45374</v>
      </c>
      <c r="B1598" s="3" t="str">
        <f>IFERROR(__xludf.DUMMYFUNCTION("""COMPUTED_VALUE"""),"Dom Robbins")</f>
        <v>Dom Robbins</v>
      </c>
      <c r="C1598" s="3">
        <f>IFERROR(__xludf.DUMMYFUNCTION("""COMPUTED_VALUE"""),5.0)</f>
        <v>5</v>
      </c>
      <c r="D1598" s="3">
        <f t="shared" si="1"/>
        <v>0</v>
      </c>
    </row>
    <row r="1599">
      <c r="A1599" s="10">
        <f>IFERROR(__xludf.DUMMYFUNCTION("""COMPUTED_VALUE"""),45374.0)</f>
        <v>45374</v>
      </c>
      <c r="B1599" s="3" t="str">
        <f>IFERROR(__xludf.DUMMYFUNCTION("""COMPUTED_VALUE"""),"Ed Wightman")</f>
        <v>Ed Wightman</v>
      </c>
      <c r="C1599" s="3">
        <f>IFERROR(__xludf.DUMMYFUNCTION("""COMPUTED_VALUE"""),6.0)</f>
        <v>6</v>
      </c>
      <c r="D1599" s="3">
        <f t="shared" si="1"/>
        <v>0</v>
      </c>
    </row>
    <row r="1600">
      <c r="A1600" s="10">
        <f>IFERROR(__xludf.DUMMYFUNCTION("""COMPUTED_VALUE"""),45374.0)</f>
        <v>45374</v>
      </c>
      <c r="B1600" s="3" t="str">
        <f>IFERROR(__xludf.DUMMYFUNCTION("""COMPUTED_VALUE"""),"Ellis Forrester")</f>
        <v>Ellis Forrester</v>
      </c>
      <c r="C1600" s="3">
        <f>IFERROR(__xludf.DUMMYFUNCTION("""COMPUTED_VALUE"""),2.0)</f>
        <v>2</v>
      </c>
      <c r="D1600" s="3">
        <f t="shared" si="1"/>
        <v>0</v>
      </c>
    </row>
    <row r="1601">
      <c r="A1601" s="10">
        <f>IFERROR(__xludf.DUMMYFUNCTION("""COMPUTED_VALUE"""),45374.0)</f>
        <v>45374</v>
      </c>
      <c r="B1601" s="3" t="str">
        <f>IFERROR(__xludf.DUMMYFUNCTION("""COMPUTED_VALUE"""),"Emi Muhadri")</f>
        <v>Emi Muhadri</v>
      </c>
      <c r="C1601" s="3">
        <f>IFERROR(__xludf.DUMMYFUNCTION("""COMPUTED_VALUE"""),2.0)</f>
        <v>2</v>
      </c>
      <c r="D1601" s="3">
        <f t="shared" si="1"/>
        <v>0</v>
      </c>
    </row>
    <row r="1602">
      <c r="A1602" s="10">
        <f>IFERROR(__xludf.DUMMYFUNCTION("""COMPUTED_VALUE"""),45374.0)</f>
        <v>45374</v>
      </c>
      <c r="B1602" s="3" t="str">
        <f>IFERROR(__xludf.DUMMYFUNCTION("""COMPUTED_VALUE"""),"Ewan Harris")</f>
        <v>Ewan Harris</v>
      </c>
      <c r="C1602" s="3">
        <f>IFERROR(__xludf.DUMMYFUNCTION("""COMPUTED_VALUE"""),5.0)</f>
        <v>5</v>
      </c>
      <c r="D1602" s="3">
        <f t="shared" si="1"/>
        <v>0</v>
      </c>
    </row>
    <row r="1603">
      <c r="A1603" s="10">
        <f>IFERROR(__xludf.DUMMYFUNCTION("""COMPUTED_VALUE"""),45374.0)</f>
        <v>45374</v>
      </c>
      <c r="B1603" s="3" t="str">
        <f>IFERROR(__xludf.DUMMYFUNCTION("""COMPUTED_VALUE"""),"Fabio Teixeira")</f>
        <v>Fabio Teixeira</v>
      </c>
      <c r="C1603" s="3">
        <f>IFERROR(__xludf.DUMMYFUNCTION("""COMPUTED_VALUE"""),2.0)</f>
        <v>2</v>
      </c>
      <c r="D1603" s="3">
        <f t="shared" si="1"/>
        <v>0</v>
      </c>
    </row>
    <row r="1604">
      <c r="A1604" s="10">
        <f>IFERROR(__xludf.DUMMYFUNCTION("""COMPUTED_VALUE"""),45374.0)</f>
        <v>45374</v>
      </c>
      <c r="B1604" s="3" t="str">
        <f>IFERROR(__xludf.DUMMYFUNCTION("""COMPUTED_VALUE"""),"George Connolly")</f>
        <v>George Connolly</v>
      </c>
      <c r="C1604" s="3">
        <f>IFERROR(__xludf.DUMMYFUNCTION("""COMPUTED_VALUE"""),19.0)</f>
        <v>19</v>
      </c>
      <c r="D1604" s="3">
        <f t="shared" si="1"/>
        <v>1</v>
      </c>
    </row>
    <row r="1605">
      <c r="A1605" s="10">
        <f>IFERROR(__xludf.DUMMYFUNCTION("""COMPUTED_VALUE"""),45374.0)</f>
        <v>45374</v>
      </c>
      <c r="B1605" s="3" t="str">
        <f>IFERROR(__xludf.DUMMYFUNCTION("""COMPUTED_VALUE"""),"Harry Fripp")</f>
        <v>Harry Fripp</v>
      </c>
      <c r="C1605" s="3">
        <f>IFERROR(__xludf.DUMMYFUNCTION("""COMPUTED_VALUE"""),7.0)</f>
        <v>7</v>
      </c>
      <c r="D1605" s="3">
        <f t="shared" si="1"/>
        <v>0</v>
      </c>
    </row>
    <row r="1606">
      <c r="A1606" s="10">
        <f>IFERROR(__xludf.DUMMYFUNCTION("""COMPUTED_VALUE"""),45374.0)</f>
        <v>45374</v>
      </c>
      <c r="B1606" s="3" t="str">
        <f>IFERROR(__xludf.DUMMYFUNCTION("""COMPUTED_VALUE"""),"Jack Hind")</f>
        <v>Jack Hind</v>
      </c>
      <c r="C1606" s="3">
        <f>IFERROR(__xludf.DUMMYFUNCTION("""COMPUTED_VALUE"""),1.0)</f>
        <v>1</v>
      </c>
      <c r="D1606" s="3">
        <f t="shared" si="1"/>
        <v>0</v>
      </c>
    </row>
    <row r="1607">
      <c r="A1607" s="10">
        <f>IFERROR(__xludf.DUMMYFUNCTION("""COMPUTED_VALUE"""),45374.0)</f>
        <v>45374</v>
      </c>
      <c r="B1607" s="3" t="str">
        <f>IFERROR(__xludf.DUMMYFUNCTION("""COMPUTED_VALUE"""),"Jamie Wood")</f>
        <v>Jamie Wood</v>
      </c>
      <c r="C1607" s="3">
        <f>IFERROR(__xludf.DUMMYFUNCTION("""COMPUTED_VALUE"""),2.0)</f>
        <v>2</v>
      </c>
      <c r="D1607" s="3">
        <f t="shared" si="1"/>
        <v>0</v>
      </c>
    </row>
    <row r="1608">
      <c r="A1608" s="10">
        <f>IFERROR(__xludf.DUMMYFUNCTION("""COMPUTED_VALUE"""),45374.0)</f>
        <v>45374</v>
      </c>
      <c r="B1608" s="3" t="str">
        <f>IFERROR(__xludf.DUMMYFUNCTION("""COMPUTED_VALUE"""),"Jarvis Cheek")</f>
        <v>Jarvis Cheek</v>
      </c>
      <c r="C1608" s="3">
        <f>IFERROR(__xludf.DUMMYFUNCTION("""COMPUTED_VALUE"""),2.0)</f>
        <v>2</v>
      </c>
      <c r="D1608" s="3">
        <f t="shared" si="1"/>
        <v>0</v>
      </c>
    </row>
    <row r="1609">
      <c r="A1609" s="10">
        <f>IFERROR(__xludf.DUMMYFUNCTION("""COMPUTED_VALUE"""),45374.0)</f>
        <v>45374</v>
      </c>
      <c r="B1609" s="3" t="str">
        <f>IFERROR(__xludf.DUMMYFUNCTION("""COMPUTED_VALUE"""),"Jason Heath")</f>
        <v>Jason Heath</v>
      </c>
      <c r="C1609" s="3">
        <f>IFERROR(__xludf.DUMMYFUNCTION("""COMPUTED_VALUE"""),5.0)</f>
        <v>5</v>
      </c>
      <c r="D1609" s="3">
        <f t="shared" si="1"/>
        <v>0</v>
      </c>
    </row>
    <row r="1610">
      <c r="A1610" s="10">
        <f>IFERROR(__xludf.DUMMYFUNCTION("""COMPUTED_VALUE"""),45374.0)</f>
        <v>45374</v>
      </c>
      <c r="B1610" s="3" t="str">
        <f>IFERROR(__xludf.DUMMYFUNCTION("""COMPUTED_VALUE"""),"Jay Mair")</f>
        <v>Jay Mair</v>
      </c>
      <c r="C1610" s="3">
        <f>IFERROR(__xludf.DUMMYFUNCTION("""COMPUTED_VALUE"""),2.0)</f>
        <v>2</v>
      </c>
      <c r="D1610" s="3">
        <f t="shared" si="1"/>
        <v>0</v>
      </c>
    </row>
    <row r="1611">
      <c r="A1611" s="10">
        <f>IFERROR(__xludf.DUMMYFUNCTION("""COMPUTED_VALUE"""),45374.0)</f>
        <v>45374</v>
      </c>
      <c r="B1611" s="3" t="str">
        <f>IFERROR(__xludf.DUMMYFUNCTION("""COMPUTED_VALUE"""),"Joel Wright")</f>
        <v>Joel Wright</v>
      </c>
      <c r="C1611" s="3">
        <f>IFERROR(__xludf.DUMMYFUNCTION("""COMPUTED_VALUE"""),2.0)</f>
        <v>2</v>
      </c>
      <c r="D1611" s="3">
        <f t="shared" si="1"/>
        <v>0</v>
      </c>
    </row>
    <row r="1612">
      <c r="A1612" s="10">
        <f>IFERROR(__xludf.DUMMYFUNCTION("""COMPUTED_VALUE"""),45374.0)</f>
        <v>45374</v>
      </c>
      <c r="B1612" s="3" t="str">
        <f>IFERROR(__xludf.DUMMYFUNCTION("""COMPUTED_VALUE"""),"John Harrison")</f>
        <v>John Harrison</v>
      </c>
      <c r="C1612" s="3">
        <f>IFERROR(__xludf.DUMMYFUNCTION("""COMPUTED_VALUE"""),2.0)</f>
        <v>2</v>
      </c>
      <c r="D1612" s="3">
        <f t="shared" si="1"/>
        <v>0</v>
      </c>
    </row>
    <row r="1613">
      <c r="A1613" s="10">
        <f>IFERROR(__xludf.DUMMYFUNCTION("""COMPUTED_VALUE"""),45374.0)</f>
        <v>45374</v>
      </c>
      <c r="B1613" s="3" t="str">
        <f>IFERROR(__xludf.DUMMYFUNCTION("""COMPUTED_VALUE"""),"Jonny Simmons")</f>
        <v>Jonny Simmons</v>
      </c>
      <c r="C1613" s="3">
        <f>IFERROR(__xludf.DUMMYFUNCTION("""COMPUTED_VALUE"""),2.0)</f>
        <v>2</v>
      </c>
      <c r="D1613" s="3">
        <f t="shared" si="1"/>
        <v>0</v>
      </c>
    </row>
    <row r="1614">
      <c r="A1614" s="10">
        <f>IFERROR(__xludf.DUMMYFUNCTION("""COMPUTED_VALUE"""),45374.0)</f>
        <v>45374</v>
      </c>
      <c r="B1614" s="3" t="str">
        <f>IFERROR(__xludf.DUMMYFUNCTION("""COMPUTED_VALUE"""),"Josh Billings")</f>
        <v>Josh Billings</v>
      </c>
      <c r="C1614" s="3">
        <f>IFERROR(__xludf.DUMMYFUNCTION("""COMPUTED_VALUE"""),2.0)</f>
        <v>2</v>
      </c>
      <c r="D1614" s="3">
        <f t="shared" si="1"/>
        <v>0</v>
      </c>
    </row>
    <row r="1615">
      <c r="A1615" s="10">
        <f>IFERROR(__xludf.DUMMYFUNCTION("""COMPUTED_VALUE"""),45374.0)</f>
        <v>45374</v>
      </c>
      <c r="B1615" s="3" t="str">
        <f>IFERROR(__xludf.DUMMYFUNCTION("""COMPUTED_VALUE"""),"Josh Sherriff-Jolly")</f>
        <v>Josh Sherriff-Jolly</v>
      </c>
      <c r="C1615" s="3">
        <f>IFERROR(__xludf.DUMMYFUNCTION("""COMPUTED_VALUE"""),12.0)</f>
        <v>12</v>
      </c>
      <c r="D1615" s="3">
        <f t="shared" si="1"/>
        <v>0</v>
      </c>
    </row>
    <row r="1616">
      <c r="A1616" s="10">
        <f>IFERROR(__xludf.DUMMYFUNCTION("""COMPUTED_VALUE"""),45374.0)</f>
        <v>45374</v>
      </c>
      <c r="B1616" s="3" t="str">
        <f>IFERROR(__xludf.DUMMYFUNCTION("""COMPUTED_VALUE"""),"Kevin Gonzalez")</f>
        <v>Kevin Gonzalez</v>
      </c>
      <c r="C1616" s="3">
        <f>IFERROR(__xludf.DUMMYFUNCTION("""COMPUTED_VALUE"""),1.0)</f>
        <v>1</v>
      </c>
      <c r="D1616" s="3">
        <f t="shared" si="1"/>
        <v>0</v>
      </c>
    </row>
    <row r="1617">
      <c r="A1617" s="10">
        <f>IFERROR(__xludf.DUMMYFUNCTION("""COMPUTED_VALUE"""),45374.0)</f>
        <v>45374</v>
      </c>
      <c r="B1617" s="3" t="str">
        <f>IFERROR(__xludf.DUMMYFUNCTION("""COMPUTED_VALUE"""),"Kim Jaeyoon")</f>
        <v>Kim Jaeyoon</v>
      </c>
      <c r="C1617" s="3">
        <f>IFERROR(__xludf.DUMMYFUNCTION("""COMPUTED_VALUE"""),2.0)</f>
        <v>2</v>
      </c>
      <c r="D1617" s="3">
        <f t="shared" si="1"/>
        <v>0</v>
      </c>
    </row>
    <row r="1618">
      <c r="A1618" s="10">
        <f>IFERROR(__xludf.DUMMYFUNCTION("""COMPUTED_VALUE"""),45374.0)</f>
        <v>45374</v>
      </c>
      <c r="B1618" s="3" t="str">
        <f>IFERROR(__xludf.DUMMYFUNCTION("""COMPUTED_VALUE"""),"Luke Dyges")</f>
        <v>Luke Dyges</v>
      </c>
      <c r="C1618" s="3">
        <f>IFERROR(__xludf.DUMMYFUNCTION("""COMPUTED_VALUE"""),2.0)</f>
        <v>2</v>
      </c>
      <c r="D1618" s="3">
        <f t="shared" si="1"/>
        <v>0</v>
      </c>
    </row>
    <row r="1619">
      <c r="A1619" s="10">
        <f>IFERROR(__xludf.DUMMYFUNCTION("""COMPUTED_VALUE"""),45374.0)</f>
        <v>45374</v>
      </c>
      <c r="B1619" s="3" t="str">
        <f>IFERROR(__xludf.DUMMYFUNCTION("""COMPUTED_VALUE"""),"Mark Roberts")</f>
        <v>Mark Roberts</v>
      </c>
      <c r="C1619" s="3">
        <f>IFERROR(__xludf.DUMMYFUNCTION("""COMPUTED_VALUE"""),7.0)</f>
        <v>7</v>
      </c>
      <c r="D1619" s="3">
        <f t="shared" si="1"/>
        <v>0</v>
      </c>
    </row>
    <row r="1620">
      <c r="A1620" s="10">
        <f>IFERROR(__xludf.DUMMYFUNCTION("""COMPUTED_VALUE"""),45374.0)</f>
        <v>45374</v>
      </c>
      <c r="B1620" s="3" t="str">
        <f>IFERROR(__xludf.DUMMYFUNCTION("""COMPUTED_VALUE"""),"Martin Goodson")</f>
        <v>Martin Goodson</v>
      </c>
      <c r="C1620" s="3">
        <f>IFERROR(__xludf.DUMMYFUNCTION("""COMPUTED_VALUE"""),2.0)</f>
        <v>2</v>
      </c>
      <c r="D1620" s="3">
        <f t="shared" si="1"/>
        <v>0</v>
      </c>
    </row>
    <row r="1621">
      <c r="A1621" s="10">
        <f>IFERROR(__xludf.DUMMYFUNCTION("""COMPUTED_VALUE"""),45374.0)</f>
        <v>45374</v>
      </c>
      <c r="B1621" s="3" t="str">
        <f>IFERROR(__xludf.DUMMYFUNCTION("""COMPUTED_VALUE"""),"Masood Hamidi")</f>
        <v>Masood Hamidi</v>
      </c>
      <c r="C1621" s="3">
        <f>IFERROR(__xludf.DUMMYFUNCTION("""COMPUTED_VALUE"""),2.0)</f>
        <v>2</v>
      </c>
      <c r="D1621" s="3">
        <f t="shared" si="1"/>
        <v>0</v>
      </c>
    </row>
    <row r="1622">
      <c r="A1622" s="10">
        <f>IFERROR(__xludf.DUMMYFUNCTION("""COMPUTED_VALUE"""),45374.0)</f>
        <v>45374</v>
      </c>
      <c r="B1622" s="3" t="str">
        <f>IFERROR(__xludf.DUMMYFUNCTION("""COMPUTED_VALUE"""),"Matt Crowe")</f>
        <v>Matt Crowe</v>
      </c>
      <c r="C1622" s="3">
        <f>IFERROR(__xludf.DUMMYFUNCTION("""COMPUTED_VALUE"""),2.0)</f>
        <v>2</v>
      </c>
      <c r="D1622" s="3">
        <f t="shared" si="1"/>
        <v>0</v>
      </c>
    </row>
    <row r="1623">
      <c r="A1623" s="10">
        <f>IFERROR(__xludf.DUMMYFUNCTION("""COMPUTED_VALUE"""),45374.0)</f>
        <v>45374</v>
      </c>
      <c r="B1623" s="3" t="str">
        <f>IFERROR(__xludf.DUMMYFUNCTION("""COMPUTED_VALUE"""),"Matthew Thomas")</f>
        <v>Matthew Thomas</v>
      </c>
      <c r="C1623" s="3">
        <f>IFERROR(__xludf.DUMMYFUNCTION("""COMPUTED_VALUE"""),2.0)</f>
        <v>2</v>
      </c>
      <c r="D1623" s="3">
        <f t="shared" si="1"/>
        <v>0</v>
      </c>
    </row>
    <row r="1624">
      <c r="A1624" s="10">
        <f>IFERROR(__xludf.DUMMYFUNCTION("""COMPUTED_VALUE"""),45374.0)</f>
        <v>45374</v>
      </c>
      <c r="B1624" s="3" t="str">
        <f>IFERROR(__xludf.DUMMYFUNCTION("""COMPUTED_VALUE"""),"Max Watson")</f>
        <v>Max Watson</v>
      </c>
      <c r="C1624" s="3">
        <f>IFERROR(__xludf.DUMMYFUNCTION("""COMPUTED_VALUE"""),2.0)</f>
        <v>2</v>
      </c>
      <c r="D1624" s="3">
        <f t="shared" si="1"/>
        <v>0</v>
      </c>
    </row>
    <row r="1625">
      <c r="A1625" s="10">
        <f>IFERROR(__xludf.DUMMYFUNCTION("""COMPUTED_VALUE"""),45374.0)</f>
        <v>45374</v>
      </c>
      <c r="B1625" s="3" t="str">
        <f>IFERROR(__xludf.DUMMYFUNCTION("""COMPUTED_VALUE"""),"Nima Naghdi")</f>
        <v>Nima Naghdi</v>
      </c>
      <c r="C1625" s="3">
        <f>IFERROR(__xludf.DUMMYFUNCTION("""COMPUTED_VALUE"""),2.0)</f>
        <v>2</v>
      </c>
      <c r="D1625" s="3">
        <f t="shared" si="1"/>
        <v>0</v>
      </c>
    </row>
    <row r="1626">
      <c r="A1626" s="10">
        <f>IFERROR(__xludf.DUMMYFUNCTION("""COMPUTED_VALUE"""),45374.0)</f>
        <v>45374</v>
      </c>
      <c r="B1626" s="3" t="str">
        <f>IFERROR(__xludf.DUMMYFUNCTION("""COMPUTED_VALUE"""),"Ollie Sewell")</f>
        <v>Ollie Sewell</v>
      </c>
      <c r="C1626" s="3">
        <f>IFERROR(__xludf.DUMMYFUNCTION("""COMPUTED_VALUE"""),1.0)</f>
        <v>1</v>
      </c>
      <c r="D1626" s="3">
        <f t="shared" si="1"/>
        <v>0</v>
      </c>
    </row>
    <row r="1627">
      <c r="A1627" s="10">
        <f>IFERROR(__xludf.DUMMYFUNCTION("""COMPUTED_VALUE"""),45374.0)</f>
        <v>45374</v>
      </c>
      <c r="B1627" s="3" t="str">
        <f>IFERROR(__xludf.DUMMYFUNCTION("""COMPUTED_VALUE"""),"Pierce Bennett")</f>
        <v>Pierce Bennett</v>
      </c>
      <c r="C1627" s="3">
        <f>IFERROR(__xludf.DUMMYFUNCTION("""COMPUTED_VALUE"""),2.0)</f>
        <v>2</v>
      </c>
      <c r="D1627" s="3">
        <f t="shared" si="1"/>
        <v>0</v>
      </c>
    </row>
    <row r="1628">
      <c r="A1628" s="10">
        <f>IFERROR(__xludf.DUMMYFUNCTION("""COMPUTED_VALUE"""),45374.0)</f>
        <v>45374</v>
      </c>
      <c r="B1628" s="3" t="str">
        <f>IFERROR(__xludf.DUMMYFUNCTION("""COMPUTED_VALUE"""),"Rich Lundie")</f>
        <v>Rich Lundie</v>
      </c>
      <c r="C1628" s="3">
        <f>IFERROR(__xludf.DUMMYFUNCTION("""COMPUTED_VALUE"""),2.0)</f>
        <v>2</v>
      </c>
      <c r="D1628" s="3">
        <f t="shared" si="1"/>
        <v>0</v>
      </c>
    </row>
    <row r="1629">
      <c r="A1629" s="10">
        <f>IFERROR(__xludf.DUMMYFUNCTION("""COMPUTED_VALUE"""),45374.0)</f>
        <v>45374</v>
      </c>
      <c r="B1629" s="3" t="str">
        <f>IFERROR(__xludf.DUMMYFUNCTION("""COMPUTED_VALUE"""),"Richard Jones")</f>
        <v>Richard Jones</v>
      </c>
      <c r="C1629" s="3">
        <f>IFERROR(__xludf.DUMMYFUNCTION("""COMPUTED_VALUE"""),2.0)</f>
        <v>2</v>
      </c>
      <c r="D1629" s="3">
        <f t="shared" si="1"/>
        <v>0</v>
      </c>
    </row>
    <row r="1630">
      <c r="A1630" s="10">
        <f>IFERROR(__xludf.DUMMYFUNCTION("""COMPUTED_VALUE"""),45374.0)</f>
        <v>45374</v>
      </c>
      <c r="B1630" s="3" t="str">
        <f>IFERROR(__xludf.DUMMYFUNCTION("""COMPUTED_VALUE"""),"Sean Rowlett")</f>
        <v>Sean Rowlett</v>
      </c>
      <c r="C1630" s="3">
        <f>IFERROR(__xludf.DUMMYFUNCTION("""COMPUTED_VALUE"""),7.0)</f>
        <v>7</v>
      </c>
      <c r="D1630" s="3">
        <f t="shared" si="1"/>
        <v>0</v>
      </c>
    </row>
    <row r="1631">
      <c r="A1631" s="10">
        <f>IFERROR(__xludf.DUMMYFUNCTION("""COMPUTED_VALUE"""),45374.0)</f>
        <v>45374</v>
      </c>
      <c r="B1631" s="3" t="str">
        <f>IFERROR(__xludf.DUMMYFUNCTION("""COMPUTED_VALUE"""),"Tam de Lacey")</f>
        <v>Tam de Lacey</v>
      </c>
      <c r="C1631" s="3">
        <f>IFERROR(__xludf.DUMMYFUNCTION("""COMPUTED_VALUE"""),2.0)</f>
        <v>2</v>
      </c>
      <c r="D1631" s="3">
        <f t="shared" si="1"/>
        <v>0</v>
      </c>
    </row>
    <row r="1632">
      <c r="A1632" s="10">
        <f>IFERROR(__xludf.DUMMYFUNCTION("""COMPUTED_VALUE"""),45374.0)</f>
        <v>45374</v>
      </c>
      <c r="B1632" s="3" t="str">
        <f>IFERROR(__xludf.DUMMYFUNCTION("""COMPUTED_VALUE"""),"Theo Horton")</f>
        <v>Theo Horton</v>
      </c>
      <c r="C1632" s="3">
        <f>IFERROR(__xludf.DUMMYFUNCTION("""COMPUTED_VALUE"""),2.0)</f>
        <v>2</v>
      </c>
      <c r="D1632" s="3">
        <f t="shared" si="1"/>
        <v>0</v>
      </c>
    </row>
    <row r="1633">
      <c r="A1633" s="10">
        <f>IFERROR(__xludf.DUMMYFUNCTION("""COMPUTED_VALUE"""),45374.0)</f>
        <v>45374</v>
      </c>
      <c r="B1633" s="3" t="str">
        <f>IFERROR(__xludf.DUMMYFUNCTION("""COMPUTED_VALUE"""),"Tom Love")</f>
        <v>Tom Love</v>
      </c>
      <c r="C1633" s="3">
        <f>IFERROR(__xludf.DUMMYFUNCTION("""COMPUTED_VALUE"""),4.0)</f>
        <v>4</v>
      </c>
      <c r="D1633" s="3">
        <f t="shared" si="1"/>
        <v>0</v>
      </c>
    </row>
    <row r="1634">
      <c r="A1634" s="10">
        <f>IFERROR(__xludf.DUMMYFUNCTION("""COMPUTED_VALUE"""),45374.0)</f>
        <v>45374</v>
      </c>
      <c r="B1634" s="3" t="str">
        <f>IFERROR(__xludf.DUMMYFUNCTION("""COMPUTED_VALUE"""),"Tom Taylor")</f>
        <v>Tom Taylor</v>
      </c>
      <c r="C1634" s="3">
        <f>IFERROR(__xludf.DUMMYFUNCTION("""COMPUTED_VALUE"""),1.0)</f>
        <v>1</v>
      </c>
      <c r="D1634" s="3">
        <f t="shared" si="1"/>
        <v>0</v>
      </c>
    </row>
    <row r="1635">
      <c r="A1635" s="10">
        <f>IFERROR(__xludf.DUMMYFUNCTION("""COMPUTED_VALUE"""),45374.0)</f>
        <v>45374</v>
      </c>
      <c r="B1635" s="3" t="str">
        <f>IFERROR(__xludf.DUMMYFUNCTION("""COMPUTED_VALUE"""),"Will French")</f>
        <v>Will French</v>
      </c>
      <c r="C1635" s="3">
        <f>IFERROR(__xludf.DUMMYFUNCTION("""COMPUTED_VALUE"""),2.0)</f>
        <v>2</v>
      </c>
      <c r="D1635" s="3">
        <f t="shared" si="1"/>
        <v>0</v>
      </c>
    </row>
    <row r="1636">
      <c r="A1636" s="10">
        <f>IFERROR(__xludf.DUMMYFUNCTION("""COMPUTED_VALUE"""),45374.0)</f>
        <v>45374</v>
      </c>
      <c r="B1636" s="3" t="str">
        <f>IFERROR(__xludf.DUMMYFUNCTION("""COMPUTED_VALUE"""),"Yemi Oviosu")</f>
        <v>Yemi Oviosu</v>
      </c>
      <c r="C1636" s="3">
        <f>IFERROR(__xludf.DUMMYFUNCTION("""COMPUTED_VALUE"""),2.0)</f>
        <v>2</v>
      </c>
      <c r="D1636" s="3">
        <f t="shared" si="1"/>
        <v>0</v>
      </c>
    </row>
    <row r="1637">
      <c r="A1637" s="10">
        <f>IFERROR(__xludf.DUMMYFUNCTION("""COMPUTED_VALUE"""),45388.0)</f>
        <v>45388</v>
      </c>
      <c r="B1637" s="3" t="str">
        <f>IFERROR(__xludf.DUMMYFUNCTION("""COMPUTED_VALUE"""),"Aaron Snelling")</f>
        <v>Aaron Snelling</v>
      </c>
      <c r="C1637" s="3">
        <f>IFERROR(__xludf.DUMMYFUNCTION("""COMPUTED_VALUE"""),2.0)</f>
        <v>2</v>
      </c>
      <c r="D1637" s="3">
        <f t="shared" si="1"/>
        <v>0</v>
      </c>
    </row>
    <row r="1638">
      <c r="A1638" s="10">
        <f>IFERROR(__xludf.DUMMYFUNCTION("""COMPUTED_VALUE"""),45388.0)</f>
        <v>45388</v>
      </c>
      <c r="B1638" s="3" t="str">
        <f>IFERROR(__xludf.DUMMYFUNCTION("""COMPUTED_VALUE"""),"Adam Platten")</f>
        <v>Adam Platten</v>
      </c>
      <c r="C1638" s="3">
        <f>IFERROR(__xludf.DUMMYFUNCTION("""COMPUTED_VALUE"""),2.0)</f>
        <v>2</v>
      </c>
      <c r="D1638" s="3">
        <f t="shared" si="1"/>
        <v>0</v>
      </c>
    </row>
    <row r="1639">
      <c r="A1639" s="10">
        <f>IFERROR(__xludf.DUMMYFUNCTION("""COMPUTED_VALUE"""),45388.0)</f>
        <v>45388</v>
      </c>
      <c r="B1639" s="3" t="str">
        <f>IFERROR(__xludf.DUMMYFUNCTION("""COMPUTED_VALUE"""),"Alex Dockerill")</f>
        <v>Alex Dockerill</v>
      </c>
      <c r="C1639" s="3">
        <f>IFERROR(__xludf.DUMMYFUNCTION("""COMPUTED_VALUE"""),6.0)</f>
        <v>6</v>
      </c>
      <c r="D1639" s="3">
        <f t="shared" si="1"/>
        <v>0</v>
      </c>
    </row>
    <row r="1640">
      <c r="A1640" s="10">
        <f>IFERROR(__xludf.DUMMYFUNCTION("""COMPUTED_VALUE"""),45388.0)</f>
        <v>45388</v>
      </c>
      <c r="B1640" s="3" t="str">
        <f>IFERROR(__xludf.DUMMYFUNCTION("""COMPUTED_VALUE"""),"Alex Mansfield")</f>
        <v>Alex Mansfield</v>
      </c>
      <c r="C1640" s="3">
        <f>IFERROR(__xludf.DUMMYFUNCTION("""COMPUTED_VALUE"""),2.0)</f>
        <v>2</v>
      </c>
      <c r="D1640" s="3">
        <f t="shared" si="1"/>
        <v>0</v>
      </c>
    </row>
    <row r="1641">
      <c r="A1641" s="10">
        <f>IFERROR(__xludf.DUMMYFUNCTION("""COMPUTED_VALUE"""),45388.0)</f>
        <v>45388</v>
      </c>
      <c r="B1641" s="3" t="str">
        <f>IFERROR(__xludf.DUMMYFUNCTION("""COMPUTED_VALUE"""),"Alex Scott-Ruddock")</f>
        <v>Alex Scott-Ruddock</v>
      </c>
      <c r="C1641" s="3">
        <f>IFERROR(__xludf.DUMMYFUNCTION("""COMPUTED_VALUE"""),2.0)</f>
        <v>2</v>
      </c>
      <c r="D1641" s="3">
        <f t="shared" si="1"/>
        <v>0</v>
      </c>
    </row>
    <row r="1642">
      <c r="A1642" s="10">
        <f>IFERROR(__xludf.DUMMYFUNCTION("""COMPUTED_VALUE"""),45388.0)</f>
        <v>45388</v>
      </c>
      <c r="B1642" s="3" t="str">
        <f>IFERROR(__xludf.DUMMYFUNCTION("""COMPUTED_VALUE"""),"Alex Stevens")</f>
        <v>Alex Stevens</v>
      </c>
      <c r="C1642" s="3">
        <f>IFERROR(__xludf.DUMMYFUNCTION("""COMPUTED_VALUE"""),2.0)</f>
        <v>2</v>
      </c>
      <c r="D1642" s="3">
        <f t="shared" si="1"/>
        <v>0</v>
      </c>
    </row>
    <row r="1643">
      <c r="A1643" s="10">
        <f>IFERROR(__xludf.DUMMYFUNCTION("""COMPUTED_VALUE"""),45388.0)</f>
        <v>45388</v>
      </c>
      <c r="B1643" s="3" t="str">
        <f>IFERROR(__xludf.DUMMYFUNCTION("""COMPUTED_VALUE"""),"Anthony Ball")</f>
        <v>Anthony Ball</v>
      </c>
      <c r="C1643" s="3">
        <f>IFERROR(__xludf.DUMMYFUNCTION("""COMPUTED_VALUE"""),2.0)</f>
        <v>2</v>
      </c>
      <c r="D1643" s="3">
        <f t="shared" si="1"/>
        <v>0</v>
      </c>
    </row>
    <row r="1644">
      <c r="A1644" s="10">
        <f>IFERROR(__xludf.DUMMYFUNCTION("""COMPUTED_VALUE"""),45388.0)</f>
        <v>45388</v>
      </c>
      <c r="B1644" s="3" t="str">
        <f>IFERROR(__xludf.DUMMYFUNCTION("""COMPUTED_VALUE"""),"Ben Dockerill")</f>
        <v>Ben Dockerill</v>
      </c>
      <c r="C1644" s="3">
        <f>IFERROR(__xludf.DUMMYFUNCTION("""COMPUTED_VALUE"""),2.0)</f>
        <v>2</v>
      </c>
      <c r="D1644" s="3">
        <f t="shared" si="1"/>
        <v>0</v>
      </c>
    </row>
    <row r="1645">
      <c r="A1645" s="10">
        <f>IFERROR(__xludf.DUMMYFUNCTION("""COMPUTED_VALUE"""),45388.0)</f>
        <v>45388</v>
      </c>
      <c r="B1645" s="3" t="str">
        <f>IFERROR(__xludf.DUMMYFUNCTION("""COMPUTED_VALUE"""),"Billy King")</f>
        <v>Billy King</v>
      </c>
      <c r="C1645" s="3">
        <f>IFERROR(__xludf.DUMMYFUNCTION("""COMPUTED_VALUE"""),2.0)</f>
        <v>2</v>
      </c>
      <c r="D1645" s="3">
        <f t="shared" si="1"/>
        <v>0</v>
      </c>
    </row>
    <row r="1646">
      <c r="A1646" s="10">
        <f>IFERROR(__xludf.DUMMYFUNCTION("""COMPUTED_VALUE"""),45388.0)</f>
        <v>45388</v>
      </c>
      <c r="B1646" s="3" t="str">
        <f>IFERROR(__xludf.DUMMYFUNCTION("""COMPUTED_VALUE"""),"Calum Bennett")</f>
        <v>Calum Bennett</v>
      </c>
      <c r="C1646" s="3">
        <f>IFERROR(__xludf.DUMMYFUNCTION("""COMPUTED_VALUE"""),2.0)</f>
        <v>2</v>
      </c>
      <c r="D1646" s="3">
        <f t="shared" si="1"/>
        <v>0</v>
      </c>
    </row>
    <row r="1647">
      <c r="A1647" s="10">
        <f>IFERROR(__xludf.DUMMYFUNCTION("""COMPUTED_VALUE"""),45388.0)</f>
        <v>45388</v>
      </c>
      <c r="B1647" s="3" t="str">
        <f>IFERROR(__xludf.DUMMYFUNCTION("""COMPUTED_VALUE"""),"Calum Edwards")</f>
        <v>Calum Edwards</v>
      </c>
      <c r="C1647" s="3">
        <f>IFERROR(__xludf.DUMMYFUNCTION("""COMPUTED_VALUE"""),1.0)</f>
        <v>1</v>
      </c>
      <c r="D1647" s="3">
        <f t="shared" si="1"/>
        <v>0</v>
      </c>
    </row>
    <row r="1648">
      <c r="A1648" s="10">
        <f>IFERROR(__xludf.DUMMYFUNCTION("""COMPUTED_VALUE"""),45388.0)</f>
        <v>45388</v>
      </c>
      <c r="B1648" s="3" t="str">
        <f>IFERROR(__xludf.DUMMYFUNCTION("""COMPUTED_VALUE"""),"Charlie Doe")</f>
        <v>Charlie Doe</v>
      </c>
      <c r="C1648" s="3">
        <f>IFERROR(__xludf.DUMMYFUNCTION("""COMPUTED_VALUE"""),2.0)</f>
        <v>2</v>
      </c>
      <c r="D1648" s="3">
        <f t="shared" si="1"/>
        <v>0</v>
      </c>
    </row>
    <row r="1649">
      <c r="A1649" s="10">
        <f>IFERROR(__xludf.DUMMYFUNCTION("""COMPUTED_VALUE"""),45388.0)</f>
        <v>45388</v>
      </c>
      <c r="B1649" s="3" t="str">
        <f>IFERROR(__xludf.DUMMYFUNCTION("""COMPUTED_VALUE"""),"Chris Claeys")</f>
        <v>Chris Claeys</v>
      </c>
      <c r="C1649" s="3">
        <f>IFERROR(__xludf.DUMMYFUNCTION("""COMPUTED_VALUE"""),2.0)</f>
        <v>2</v>
      </c>
      <c r="D1649" s="3">
        <f t="shared" si="1"/>
        <v>0</v>
      </c>
    </row>
    <row r="1650">
      <c r="A1650" s="10">
        <f>IFERROR(__xludf.DUMMYFUNCTION("""COMPUTED_VALUE"""),45388.0)</f>
        <v>45388</v>
      </c>
      <c r="B1650" s="3" t="str">
        <f>IFERROR(__xludf.DUMMYFUNCTION("""COMPUTED_VALUE"""),"Chris Douthwaite")</f>
        <v>Chris Douthwaite</v>
      </c>
      <c r="C1650" s="3">
        <f>IFERROR(__xludf.DUMMYFUNCTION("""COMPUTED_VALUE"""),2.0)</f>
        <v>2</v>
      </c>
      <c r="D1650" s="3">
        <f t="shared" si="1"/>
        <v>0</v>
      </c>
    </row>
    <row r="1651">
      <c r="A1651" s="10">
        <f>IFERROR(__xludf.DUMMYFUNCTION("""COMPUTED_VALUE"""),45388.0)</f>
        <v>45388</v>
      </c>
      <c r="B1651" s="3" t="str">
        <f>IFERROR(__xludf.DUMMYFUNCTION("""COMPUTED_VALUE"""),"Christian King")</f>
        <v>Christian King</v>
      </c>
      <c r="C1651" s="3">
        <f>IFERROR(__xludf.DUMMYFUNCTION("""COMPUTED_VALUE"""),2.0)</f>
        <v>2</v>
      </c>
      <c r="D1651" s="3">
        <f t="shared" si="1"/>
        <v>0</v>
      </c>
    </row>
    <row r="1652">
      <c r="A1652" s="10">
        <f>IFERROR(__xludf.DUMMYFUNCTION("""COMPUTED_VALUE"""),45388.0)</f>
        <v>45388</v>
      </c>
      <c r="B1652" s="3" t="str">
        <f>IFERROR(__xludf.DUMMYFUNCTION("""COMPUTED_VALUE"""),"Ciaran Curran")</f>
        <v>Ciaran Curran</v>
      </c>
      <c r="C1652" s="3">
        <f>IFERROR(__xludf.DUMMYFUNCTION("""COMPUTED_VALUE"""),13.0)</f>
        <v>13</v>
      </c>
      <c r="D1652" s="3">
        <f t="shared" si="1"/>
        <v>0</v>
      </c>
    </row>
    <row r="1653">
      <c r="A1653" s="10">
        <f>IFERROR(__xludf.DUMMYFUNCTION("""COMPUTED_VALUE"""),45388.0)</f>
        <v>45388</v>
      </c>
      <c r="B1653" s="3" t="str">
        <f>IFERROR(__xludf.DUMMYFUNCTION("""COMPUTED_VALUE"""),"Claudien Mwalimu")</f>
        <v>Claudien Mwalimu</v>
      </c>
      <c r="C1653" s="3">
        <f>IFERROR(__xludf.DUMMYFUNCTION("""COMPUTED_VALUE"""),2.0)</f>
        <v>2</v>
      </c>
      <c r="D1653" s="3">
        <f t="shared" si="1"/>
        <v>0</v>
      </c>
    </row>
    <row r="1654">
      <c r="A1654" s="10">
        <f>IFERROR(__xludf.DUMMYFUNCTION("""COMPUTED_VALUE"""),45388.0)</f>
        <v>45388</v>
      </c>
      <c r="B1654" s="3" t="str">
        <f>IFERROR(__xludf.DUMMYFUNCTION("""COMPUTED_VALUE"""),"Corey Cleave")</f>
        <v>Corey Cleave</v>
      </c>
      <c r="C1654" s="3">
        <f>IFERROR(__xludf.DUMMYFUNCTION("""COMPUTED_VALUE"""),2.0)</f>
        <v>2</v>
      </c>
      <c r="D1654" s="3">
        <f t="shared" si="1"/>
        <v>0</v>
      </c>
    </row>
    <row r="1655">
      <c r="A1655" s="10">
        <f>IFERROR(__xludf.DUMMYFUNCTION("""COMPUTED_VALUE"""),45388.0)</f>
        <v>45388</v>
      </c>
      <c r="B1655" s="3" t="str">
        <f>IFERROR(__xludf.DUMMYFUNCTION("""COMPUTED_VALUE"""),"Dan Klin")</f>
        <v>Dan Klin</v>
      </c>
      <c r="C1655" s="3">
        <f>IFERROR(__xludf.DUMMYFUNCTION("""COMPUTED_VALUE"""),6.0)</f>
        <v>6</v>
      </c>
      <c r="D1655" s="3">
        <f t="shared" si="1"/>
        <v>0</v>
      </c>
    </row>
    <row r="1656">
      <c r="A1656" s="10">
        <f>IFERROR(__xludf.DUMMYFUNCTION("""COMPUTED_VALUE"""),45388.0)</f>
        <v>45388</v>
      </c>
      <c r="B1656" s="3" t="str">
        <f>IFERROR(__xludf.DUMMYFUNCTION("""COMPUTED_VALUE"""),"Dan Russell")</f>
        <v>Dan Russell</v>
      </c>
      <c r="C1656" s="3">
        <f>IFERROR(__xludf.DUMMYFUNCTION("""COMPUTED_VALUE"""),9.0)</f>
        <v>9</v>
      </c>
      <c r="D1656" s="3">
        <f t="shared" si="1"/>
        <v>0</v>
      </c>
    </row>
    <row r="1657">
      <c r="A1657" s="10">
        <f>IFERROR(__xludf.DUMMYFUNCTION("""COMPUTED_VALUE"""),45388.0)</f>
        <v>45388</v>
      </c>
      <c r="B1657" s="3" t="str">
        <f>IFERROR(__xludf.DUMMYFUNCTION("""COMPUTED_VALUE"""),"Daniel Sheehan")</f>
        <v>Daniel Sheehan</v>
      </c>
      <c r="C1657" s="3">
        <f>IFERROR(__xludf.DUMMYFUNCTION("""COMPUTED_VALUE"""),6.0)</f>
        <v>6</v>
      </c>
      <c r="D1657" s="3">
        <f t="shared" si="1"/>
        <v>0</v>
      </c>
    </row>
    <row r="1658">
      <c r="A1658" s="10">
        <f>IFERROR(__xludf.DUMMYFUNCTION("""COMPUTED_VALUE"""),45388.0)</f>
        <v>45388</v>
      </c>
      <c r="B1658" s="3" t="str">
        <f>IFERROR(__xludf.DUMMYFUNCTION("""COMPUTED_VALUE"""),"David Holmes-White")</f>
        <v>David Holmes-White</v>
      </c>
      <c r="C1658" s="3">
        <f>IFERROR(__xludf.DUMMYFUNCTION("""COMPUTED_VALUE"""),2.0)</f>
        <v>2</v>
      </c>
      <c r="D1658" s="3">
        <f t="shared" si="1"/>
        <v>0</v>
      </c>
    </row>
    <row r="1659">
      <c r="A1659" s="10">
        <f>IFERROR(__xludf.DUMMYFUNCTION("""COMPUTED_VALUE"""),45388.0)</f>
        <v>45388</v>
      </c>
      <c r="B1659" s="3" t="str">
        <f>IFERROR(__xludf.DUMMYFUNCTION("""COMPUTED_VALUE"""),"Deji Ogunyemi")</f>
        <v>Deji Ogunyemi</v>
      </c>
      <c r="C1659" s="3">
        <f>IFERROR(__xludf.DUMMYFUNCTION("""COMPUTED_VALUE"""),5.0)</f>
        <v>5</v>
      </c>
      <c r="D1659" s="3">
        <f t="shared" si="1"/>
        <v>0</v>
      </c>
    </row>
    <row r="1660">
      <c r="A1660" s="10">
        <f>IFERROR(__xludf.DUMMYFUNCTION("""COMPUTED_VALUE"""),45388.0)</f>
        <v>45388</v>
      </c>
      <c r="B1660" s="3" t="str">
        <f>IFERROR(__xludf.DUMMYFUNCTION("""COMPUTED_VALUE"""),"Denver Lalonde")</f>
        <v>Denver Lalonde</v>
      </c>
      <c r="C1660" s="3">
        <f>IFERROR(__xludf.DUMMYFUNCTION("""COMPUTED_VALUE"""),2.0)</f>
        <v>2</v>
      </c>
      <c r="D1660" s="3">
        <f t="shared" si="1"/>
        <v>0</v>
      </c>
    </row>
    <row r="1661">
      <c r="A1661" s="10">
        <f>IFERROR(__xludf.DUMMYFUNCTION("""COMPUTED_VALUE"""),45388.0)</f>
        <v>45388</v>
      </c>
      <c r="B1661" s="3" t="str">
        <f>IFERROR(__xludf.DUMMYFUNCTION("""COMPUTED_VALUE"""),"Dom Robbins")</f>
        <v>Dom Robbins</v>
      </c>
      <c r="C1661" s="3">
        <f>IFERROR(__xludf.DUMMYFUNCTION("""COMPUTED_VALUE"""),2.0)</f>
        <v>2</v>
      </c>
      <c r="D1661" s="3">
        <f t="shared" si="1"/>
        <v>0</v>
      </c>
    </row>
    <row r="1662">
      <c r="A1662" s="10">
        <f>IFERROR(__xludf.DUMMYFUNCTION("""COMPUTED_VALUE"""),45388.0)</f>
        <v>45388</v>
      </c>
      <c r="B1662" s="3" t="str">
        <f>IFERROR(__xludf.DUMMYFUNCTION("""COMPUTED_VALUE"""),"Ed Wightman")</f>
        <v>Ed Wightman</v>
      </c>
      <c r="C1662" s="3">
        <f>IFERROR(__xludf.DUMMYFUNCTION("""COMPUTED_VALUE"""),2.0)</f>
        <v>2</v>
      </c>
      <c r="D1662" s="3">
        <f t="shared" si="1"/>
        <v>0</v>
      </c>
    </row>
    <row r="1663">
      <c r="A1663" s="10">
        <f>IFERROR(__xludf.DUMMYFUNCTION("""COMPUTED_VALUE"""),45388.0)</f>
        <v>45388</v>
      </c>
      <c r="B1663" s="3" t="str">
        <f>IFERROR(__xludf.DUMMYFUNCTION("""COMPUTED_VALUE"""),"Ellis Forrester")</f>
        <v>Ellis Forrester</v>
      </c>
      <c r="C1663" s="3">
        <f>IFERROR(__xludf.DUMMYFUNCTION("""COMPUTED_VALUE"""),1.0)</f>
        <v>1</v>
      </c>
      <c r="D1663" s="3">
        <f t="shared" si="1"/>
        <v>0</v>
      </c>
    </row>
    <row r="1664">
      <c r="A1664" s="10">
        <f>IFERROR(__xludf.DUMMYFUNCTION("""COMPUTED_VALUE"""),45388.0)</f>
        <v>45388</v>
      </c>
      <c r="B1664" s="3" t="str">
        <f>IFERROR(__xludf.DUMMYFUNCTION("""COMPUTED_VALUE"""),"Emi Muhadri")</f>
        <v>Emi Muhadri</v>
      </c>
      <c r="C1664" s="3">
        <f>IFERROR(__xludf.DUMMYFUNCTION("""COMPUTED_VALUE"""),2.0)</f>
        <v>2</v>
      </c>
      <c r="D1664" s="3">
        <f t="shared" si="1"/>
        <v>0</v>
      </c>
    </row>
    <row r="1665">
      <c r="A1665" s="10">
        <f>IFERROR(__xludf.DUMMYFUNCTION("""COMPUTED_VALUE"""),45388.0)</f>
        <v>45388</v>
      </c>
      <c r="B1665" s="3" t="str">
        <f>IFERROR(__xludf.DUMMYFUNCTION("""COMPUTED_VALUE"""),"Ewan Harris")</f>
        <v>Ewan Harris</v>
      </c>
      <c r="C1665" s="3">
        <f>IFERROR(__xludf.DUMMYFUNCTION("""COMPUTED_VALUE"""),2.0)</f>
        <v>2</v>
      </c>
      <c r="D1665" s="3">
        <f t="shared" si="1"/>
        <v>0</v>
      </c>
    </row>
    <row r="1666">
      <c r="A1666" s="10">
        <f>IFERROR(__xludf.DUMMYFUNCTION("""COMPUTED_VALUE"""),45388.0)</f>
        <v>45388</v>
      </c>
      <c r="B1666" s="3" t="str">
        <f>IFERROR(__xludf.DUMMYFUNCTION("""COMPUTED_VALUE"""),"George Connolly")</f>
        <v>George Connolly</v>
      </c>
      <c r="C1666" s="3">
        <f>IFERROR(__xludf.DUMMYFUNCTION("""COMPUTED_VALUE"""),2.0)</f>
        <v>2</v>
      </c>
      <c r="D1666" s="3">
        <f t="shared" si="1"/>
        <v>0</v>
      </c>
    </row>
    <row r="1667">
      <c r="A1667" s="10">
        <f>IFERROR(__xludf.DUMMYFUNCTION("""COMPUTED_VALUE"""),45388.0)</f>
        <v>45388</v>
      </c>
      <c r="B1667" s="3" t="str">
        <f>IFERROR(__xludf.DUMMYFUNCTION("""COMPUTED_VALUE"""),"George Havord")</f>
        <v>George Havord</v>
      </c>
      <c r="C1667" s="3">
        <f>IFERROR(__xludf.DUMMYFUNCTION("""COMPUTED_VALUE"""),2.0)</f>
        <v>2</v>
      </c>
      <c r="D1667" s="3">
        <f t="shared" si="1"/>
        <v>0</v>
      </c>
    </row>
    <row r="1668">
      <c r="A1668" s="10">
        <f>IFERROR(__xludf.DUMMYFUNCTION("""COMPUTED_VALUE"""),45388.0)</f>
        <v>45388</v>
      </c>
      <c r="B1668" s="3" t="str">
        <f>IFERROR(__xludf.DUMMYFUNCTION("""COMPUTED_VALUE"""),"Hallam Wye")</f>
        <v>Hallam Wye</v>
      </c>
      <c r="C1668" s="3">
        <f>IFERROR(__xludf.DUMMYFUNCTION("""COMPUTED_VALUE"""),2.0)</f>
        <v>2</v>
      </c>
      <c r="D1668" s="3">
        <f t="shared" si="1"/>
        <v>0</v>
      </c>
    </row>
    <row r="1669">
      <c r="A1669" s="10">
        <f>IFERROR(__xludf.DUMMYFUNCTION("""COMPUTED_VALUE"""),45388.0)</f>
        <v>45388</v>
      </c>
      <c r="B1669" s="3" t="str">
        <f>IFERROR(__xludf.DUMMYFUNCTION("""COMPUTED_VALUE"""),"Harold Kiyingi")</f>
        <v>Harold Kiyingi</v>
      </c>
      <c r="C1669" s="3">
        <f>IFERROR(__xludf.DUMMYFUNCTION("""COMPUTED_VALUE"""),2.0)</f>
        <v>2</v>
      </c>
      <c r="D1669" s="3">
        <f t="shared" si="1"/>
        <v>0</v>
      </c>
    </row>
    <row r="1670">
      <c r="A1670" s="10">
        <f>IFERROR(__xludf.DUMMYFUNCTION("""COMPUTED_VALUE"""),45388.0)</f>
        <v>45388</v>
      </c>
      <c r="B1670" s="3" t="str">
        <f>IFERROR(__xludf.DUMMYFUNCTION("""COMPUTED_VALUE"""),"Harry Fripp")</f>
        <v>Harry Fripp</v>
      </c>
      <c r="C1670" s="3">
        <f>IFERROR(__xludf.DUMMYFUNCTION("""COMPUTED_VALUE"""),6.0)</f>
        <v>6</v>
      </c>
      <c r="D1670" s="3">
        <f t="shared" si="1"/>
        <v>0</v>
      </c>
    </row>
    <row r="1671">
      <c r="A1671" s="10">
        <f>IFERROR(__xludf.DUMMYFUNCTION("""COMPUTED_VALUE"""),45388.0)</f>
        <v>45388</v>
      </c>
      <c r="B1671" s="3" t="str">
        <f>IFERROR(__xludf.DUMMYFUNCTION("""COMPUTED_VALUE"""),"Ismail Wall")</f>
        <v>Ismail Wall</v>
      </c>
      <c r="C1671" s="3">
        <f>IFERROR(__xludf.DUMMYFUNCTION("""COMPUTED_VALUE"""),2.0)</f>
        <v>2</v>
      </c>
      <c r="D1671" s="3">
        <f t="shared" si="1"/>
        <v>0</v>
      </c>
    </row>
    <row r="1672">
      <c r="A1672" s="10">
        <f>IFERROR(__xludf.DUMMYFUNCTION("""COMPUTED_VALUE"""),45388.0)</f>
        <v>45388</v>
      </c>
      <c r="B1672" s="3" t="str">
        <f>IFERROR(__xludf.DUMMYFUNCTION("""COMPUTED_VALUE"""),"James Rodriguez")</f>
        <v>James Rodriguez</v>
      </c>
      <c r="C1672" s="3">
        <f>IFERROR(__xludf.DUMMYFUNCTION("""COMPUTED_VALUE"""),2.0)</f>
        <v>2</v>
      </c>
      <c r="D1672" s="3">
        <f t="shared" si="1"/>
        <v>0</v>
      </c>
    </row>
    <row r="1673">
      <c r="A1673" s="10">
        <f>IFERROR(__xludf.DUMMYFUNCTION("""COMPUTED_VALUE"""),45388.0)</f>
        <v>45388</v>
      </c>
      <c r="B1673" s="3" t="str">
        <f>IFERROR(__xludf.DUMMYFUNCTION("""COMPUTED_VALUE"""),"James Timmins")</f>
        <v>James Timmins</v>
      </c>
      <c r="C1673" s="3">
        <f>IFERROR(__xludf.DUMMYFUNCTION("""COMPUTED_VALUE"""),2.0)</f>
        <v>2</v>
      </c>
      <c r="D1673" s="3">
        <f t="shared" si="1"/>
        <v>0</v>
      </c>
    </row>
    <row r="1674">
      <c r="A1674" s="10">
        <f>IFERROR(__xludf.DUMMYFUNCTION("""COMPUTED_VALUE"""),45388.0)</f>
        <v>45388</v>
      </c>
      <c r="B1674" s="3" t="str">
        <f>IFERROR(__xludf.DUMMYFUNCTION("""COMPUTED_VALUE"""),"Jamie Dedman")</f>
        <v>Jamie Dedman</v>
      </c>
      <c r="C1674" s="3">
        <f>IFERROR(__xludf.DUMMYFUNCTION("""COMPUTED_VALUE"""),1.0)</f>
        <v>1</v>
      </c>
      <c r="D1674" s="3">
        <f t="shared" si="1"/>
        <v>0</v>
      </c>
    </row>
    <row r="1675">
      <c r="A1675" s="10">
        <f>IFERROR(__xludf.DUMMYFUNCTION("""COMPUTED_VALUE"""),45388.0)</f>
        <v>45388</v>
      </c>
      <c r="B1675" s="3" t="str">
        <f>IFERROR(__xludf.DUMMYFUNCTION("""COMPUTED_VALUE"""),"Jamie Wood")</f>
        <v>Jamie Wood</v>
      </c>
      <c r="C1675" s="3">
        <f>IFERROR(__xludf.DUMMYFUNCTION("""COMPUTED_VALUE"""),2.0)</f>
        <v>2</v>
      </c>
      <c r="D1675" s="3">
        <f t="shared" si="1"/>
        <v>0</v>
      </c>
    </row>
    <row r="1676">
      <c r="A1676" s="10">
        <f>IFERROR(__xludf.DUMMYFUNCTION("""COMPUTED_VALUE"""),45388.0)</f>
        <v>45388</v>
      </c>
      <c r="B1676" s="3" t="str">
        <f>IFERROR(__xludf.DUMMYFUNCTION("""COMPUTED_VALUE"""),"Janam Satra")</f>
        <v>Janam Satra</v>
      </c>
      <c r="C1676" s="3">
        <f>IFERROR(__xludf.DUMMYFUNCTION("""COMPUTED_VALUE"""),1.0)</f>
        <v>1</v>
      </c>
      <c r="D1676" s="3">
        <f t="shared" si="1"/>
        <v>0</v>
      </c>
    </row>
    <row r="1677">
      <c r="A1677" s="10">
        <f>IFERROR(__xludf.DUMMYFUNCTION("""COMPUTED_VALUE"""),45388.0)</f>
        <v>45388</v>
      </c>
      <c r="B1677" s="3" t="str">
        <f>IFERROR(__xludf.DUMMYFUNCTION("""COMPUTED_VALUE"""),"Jarvis Cheek")</f>
        <v>Jarvis Cheek</v>
      </c>
      <c r="C1677" s="3">
        <f>IFERROR(__xludf.DUMMYFUNCTION("""COMPUTED_VALUE"""),26.0)</f>
        <v>26</v>
      </c>
      <c r="D1677" s="3">
        <f t="shared" si="1"/>
        <v>1</v>
      </c>
    </row>
    <row r="1678">
      <c r="A1678" s="10">
        <f>IFERROR(__xludf.DUMMYFUNCTION("""COMPUTED_VALUE"""),45388.0)</f>
        <v>45388</v>
      </c>
      <c r="B1678" s="3" t="str">
        <f>IFERROR(__xludf.DUMMYFUNCTION("""COMPUTED_VALUE"""),"Jason Heath")</f>
        <v>Jason Heath</v>
      </c>
      <c r="C1678" s="3">
        <f>IFERROR(__xludf.DUMMYFUNCTION("""COMPUTED_VALUE"""),2.0)</f>
        <v>2</v>
      </c>
      <c r="D1678" s="3">
        <f t="shared" si="1"/>
        <v>0</v>
      </c>
    </row>
    <row r="1679">
      <c r="A1679" s="10">
        <f>IFERROR(__xludf.DUMMYFUNCTION("""COMPUTED_VALUE"""),45388.0)</f>
        <v>45388</v>
      </c>
      <c r="B1679" s="3" t="str">
        <f>IFERROR(__xludf.DUMMYFUNCTION("""COMPUTED_VALUE"""),"Jerome Goncalves")</f>
        <v>Jerome Goncalves</v>
      </c>
      <c r="C1679" s="3">
        <f>IFERROR(__xludf.DUMMYFUNCTION("""COMPUTED_VALUE"""),2.0)</f>
        <v>2</v>
      </c>
      <c r="D1679" s="3">
        <f t="shared" si="1"/>
        <v>0</v>
      </c>
    </row>
    <row r="1680">
      <c r="A1680" s="10">
        <f>IFERROR(__xludf.DUMMYFUNCTION("""COMPUTED_VALUE"""),45388.0)</f>
        <v>45388</v>
      </c>
      <c r="B1680" s="3" t="str">
        <f>IFERROR(__xludf.DUMMYFUNCTION("""COMPUTED_VALUE"""),"Joe Vincent")</f>
        <v>Joe Vincent</v>
      </c>
      <c r="C1680" s="3">
        <f>IFERROR(__xludf.DUMMYFUNCTION("""COMPUTED_VALUE"""),1.0)</f>
        <v>1</v>
      </c>
      <c r="D1680" s="3">
        <f t="shared" si="1"/>
        <v>0</v>
      </c>
    </row>
    <row r="1681">
      <c r="A1681" s="10">
        <f>IFERROR(__xludf.DUMMYFUNCTION("""COMPUTED_VALUE"""),45388.0)</f>
        <v>45388</v>
      </c>
      <c r="B1681" s="3" t="str">
        <f>IFERROR(__xludf.DUMMYFUNCTION("""COMPUTED_VALUE"""),"Joel Wright")</f>
        <v>Joel Wright</v>
      </c>
      <c r="C1681" s="3">
        <f>IFERROR(__xludf.DUMMYFUNCTION("""COMPUTED_VALUE"""),2.0)</f>
        <v>2</v>
      </c>
      <c r="D1681" s="3">
        <f t="shared" si="1"/>
        <v>0</v>
      </c>
    </row>
    <row r="1682">
      <c r="A1682" s="10">
        <f>IFERROR(__xludf.DUMMYFUNCTION("""COMPUTED_VALUE"""),45388.0)</f>
        <v>45388</v>
      </c>
      <c r="B1682" s="3" t="str">
        <f>IFERROR(__xludf.DUMMYFUNCTION("""COMPUTED_VALUE"""),"John Harrison")</f>
        <v>John Harrison</v>
      </c>
      <c r="C1682" s="3">
        <f>IFERROR(__xludf.DUMMYFUNCTION("""COMPUTED_VALUE"""),2.0)</f>
        <v>2</v>
      </c>
      <c r="D1682" s="3">
        <f t="shared" si="1"/>
        <v>0</v>
      </c>
    </row>
    <row r="1683">
      <c r="A1683" s="10">
        <f>IFERROR(__xludf.DUMMYFUNCTION("""COMPUTED_VALUE"""),45388.0)</f>
        <v>45388</v>
      </c>
      <c r="B1683" s="3" t="str">
        <f>IFERROR(__xludf.DUMMYFUNCTION("""COMPUTED_VALUE"""),"Josh Billings")</f>
        <v>Josh Billings</v>
      </c>
      <c r="C1683" s="3">
        <f>IFERROR(__xludf.DUMMYFUNCTION("""COMPUTED_VALUE"""),2.0)</f>
        <v>2</v>
      </c>
      <c r="D1683" s="3">
        <f t="shared" si="1"/>
        <v>0</v>
      </c>
    </row>
    <row r="1684">
      <c r="A1684" s="10">
        <f>IFERROR(__xludf.DUMMYFUNCTION("""COMPUTED_VALUE"""),45388.0)</f>
        <v>45388</v>
      </c>
      <c r="B1684" s="3" t="str">
        <f>IFERROR(__xludf.DUMMYFUNCTION("""COMPUTED_VALUE"""),"Josh Sherriff-Jolly")</f>
        <v>Josh Sherriff-Jolly</v>
      </c>
      <c r="C1684" s="3">
        <f>IFERROR(__xludf.DUMMYFUNCTION("""COMPUTED_VALUE"""),2.0)</f>
        <v>2</v>
      </c>
      <c r="D1684" s="3">
        <f t="shared" si="1"/>
        <v>0</v>
      </c>
    </row>
    <row r="1685">
      <c r="A1685" s="10">
        <f>IFERROR(__xludf.DUMMYFUNCTION("""COMPUTED_VALUE"""),45388.0)</f>
        <v>45388</v>
      </c>
      <c r="B1685" s="3" t="str">
        <f>IFERROR(__xludf.DUMMYFUNCTION("""COMPUTED_VALUE"""),"Kai Clack")</f>
        <v>Kai Clack</v>
      </c>
      <c r="C1685" s="3">
        <f>IFERROR(__xludf.DUMMYFUNCTION("""COMPUTED_VALUE"""),2.0)</f>
        <v>2</v>
      </c>
      <c r="D1685" s="3">
        <f t="shared" si="1"/>
        <v>0</v>
      </c>
    </row>
    <row r="1686">
      <c r="A1686" s="10">
        <f>IFERROR(__xludf.DUMMYFUNCTION("""COMPUTED_VALUE"""),45388.0)</f>
        <v>45388</v>
      </c>
      <c r="B1686" s="3" t="str">
        <f>IFERROR(__xludf.DUMMYFUNCTION("""COMPUTED_VALUE"""),"Kevin Gonzalez")</f>
        <v>Kevin Gonzalez</v>
      </c>
      <c r="C1686" s="3">
        <f>IFERROR(__xludf.DUMMYFUNCTION("""COMPUTED_VALUE"""),2.0)</f>
        <v>2</v>
      </c>
      <c r="D1686" s="3">
        <f t="shared" si="1"/>
        <v>0</v>
      </c>
    </row>
    <row r="1687">
      <c r="A1687" s="10">
        <f>IFERROR(__xludf.DUMMYFUNCTION("""COMPUTED_VALUE"""),45388.0)</f>
        <v>45388</v>
      </c>
      <c r="B1687" s="3" t="str">
        <f>IFERROR(__xludf.DUMMYFUNCTION("""COMPUTED_VALUE"""),"Kim Jaeyoon")</f>
        <v>Kim Jaeyoon</v>
      </c>
      <c r="C1687" s="3">
        <f>IFERROR(__xludf.DUMMYFUNCTION("""COMPUTED_VALUE"""),9.0)</f>
        <v>9</v>
      </c>
      <c r="D1687" s="3">
        <f t="shared" si="1"/>
        <v>0</v>
      </c>
    </row>
    <row r="1688">
      <c r="A1688" s="10">
        <f>IFERROR(__xludf.DUMMYFUNCTION("""COMPUTED_VALUE"""),45388.0)</f>
        <v>45388</v>
      </c>
      <c r="B1688" s="3" t="str">
        <f>IFERROR(__xludf.DUMMYFUNCTION("""COMPUTED_VALUE"""),"Luke Dyges")</f>
        <v>Luke Dyges</v>
      </c>
      <c r="C1688" s="3">
        <f>IFERROR(__xludf.DUMMYFUNCTION("""COMPUTED_VALUE"""),2.0)</f>
        <v>2</v>
      </c>
      <c r="D1688" s="3">
        <f t="shared" si="1"/>
        <v>0</v>
      </c>
    </row>
    <row r="1689">
      <c r="A1689" s="10">
        <f>IFERROR(__xludf.DUMMYFUNCTION("""COMPUTED_VALUE"""),45388.0)</f>
        <v>45388</v>
      </c>
      <c r="B1689" s="3" t="str">
        <f>IFERROR(__xludf.DUMMYFUNCTION("""COMPUTED_VALUE"""),"Mark Roberts")</f>
        <v>Mark Roberts</v>
      </c>
      <c r="C1689" s="3">
        <f>IFERROR(__xludf.DUMMYFUNCTION("""COMPUTED_VALUE"""),1.0)</f>
        <v>1</v>
      </c>
      <c r="D1689" s="3">
        <f t="shared" si="1"/>
        <v>0</v>
      </c>
    </row>
    <row r="1690">
      <c r="A1690" s="10">
        <f>IFERROR(__xludf.DUMMYFUNCTION("""COMPUTED_VALUE"""),45388.0)</f>
        <v>45388</v>
      </c>
      <c r="B1690" s="3" t="str">
        <f>IFERROR(__xludf.DUMMYFUNCTION("""COMPUTED_VALUE"""),"Martin Goodson")</f>
        <v>Martin Goodson</v>
      </c>
      <c r="C1690" s="3">
        <f>IFERROR(__xludf.DUMMYFUNCTION("""COMPUTED_VALUE"""),1.0)</f>
        <v>1</v>
      </c>
      <c r="D1690" s="3">
        <f t="shared" si="1"/>
        <v>0</v>
      </c>
    </row>
    <row r="1691">
      <c r="A1691" s="10">
        <f>IFERROR(__xludf.DUMMYFUNCTION("""COMPUTED_VALUE"""),45388.0)</f>
        <v>45388</v>
      </c>
      <c r="B1691" s="3" t="str">
        <f>IFERROR(__xludf.DUMMYFUNCTION("""COMPUTED_VALUE"""),"Masood Hamidi")</f>
        <v>Masood Hamidi</v>
      </c>
      <c r="C1691" s="3">
        <f>IFERROR(__xludf.DUMMYFUNCTION("""COMPUTED_VALUE"""),2.0)</f>
        <v>2</v>
      </c>
      <c r="D1691" s="3">
        <f t="shared" si="1"/>
        <v>0</v>
      </c>
    </row>
    <row r="1692">
      <c r="A1692" s="10">
        <f>IFERROR(__xludf.DUMMYFUNCTION("""COMPUTED_VALUE"""),45388.0)</f>
        <v>45388</v>
      </c>
      <c r="B1692" s="3" t="str">
        <f>IFERROR(__xludf.DUMMYFUNCTION("""COMPUTED_VALUE"""),"Matt Crowe")</f>
        <v>Matt Crowe</v>
      </c>
      <c r="C1692" s="3">
        <f>IFERROR(__xludf.DUMMYFUNCTION("""COMPUTED_VALUE"""),2.0)</f>
        <v>2</v>
      </c>
      <c r="D1692" s="3">
        <f t="shared" si="1"/>
        <v>0</v>
      </c>
    </row>
    <row r="1693">
      <c r="A1693" s="10">
        <f>IFERROR(__xludf.DUMMYFUNCTION("""COMPUTED_VALUE"""),45388.0)</f>
        <v>45388</v>
      </c>
      <c r="B1693" s="3" t="str">
        <f>IFERROR(__xludf.DUMMYFUNCTION("""COMPUTED_VALUE"""),"Matthew Thomas")</f>
        <v>Matthew Thomas</v>
      </c>
      <c r="C1693" s="3">
        <f>IFERROR(__xludf.DUMMYFUNCTION("""COMPUTED_VALUE"""),2.0)</f>
        <v>2</v>
      </c>
      <c r="D1693" s="3">
        <f t="shared" si="1"/>
        <v>0</v>
      </c>
    </row>
    <row r="1694">
      <c r="A1694" s="10">
        <f>IFERROR(__xludf.DUMMYFUNCTION("""COMPUTED_VALUE"""),45388.0)</f>
        <v>45388</v>
      </c>
      <c r="B1694" s="3" t="str">
        <f>IFERROR(__xludf.DUMMYFUNCTION("""COMPUTED_VALUE"""),"Max Miles")</f>
        <v>Max Miles</v>
      </c>
      <c r="C1694" s="3">
        <f>IFERROR(__xludf.DUMMYFUNCTION("""COMPUTED_VALUE"""),7.0)</f>
        <v>7</v>
      </c>
      <c r="D1694" s="3">
        <f t="shared" si="1"/>
        <v>0</v>
      </c>
    </row>
    <row r="1695">
      <c r="A1695" s="10">
        <f>IFERROR(__xludf.DUMMYFUNCTION("""COMPUTED_VALUE"""),45388.0)</f>
        <v>45388</v>
      </c>
      <c r="B1695" s="3" t="str">
        <f>IFERROR(__xludf.DUMMYFUNCTION("""COMPUTED_VALUE"""),"Max Watson")</f>
        <v>Max Watson</v>
      </c>
      <c r="C1695" s="3">
        <f>IFERROR(__xludf.DUMMYFUNCTION("""COMPUTED_VALUE"""),7.0)</f>
        <v>7</v>
      </c>
      <c r="D1695" s="3">
        <f t="shared" si="1"/>
        <v>0</v>
      </c>
    </row>
    <row r="1696">
      <c r="A1696" s="10">
        <f>IFERROR(__xludf.DUMMYFUNCTION("""COMPUTED_VALUE"""),45388.0)</f>
        <v>45388</v>
      </c>
      <c r="B1696" s="3" t="str">
        <f>IFERROR(__xludf.DUMMYFUNCTION("""COMPUTED_VALUE"""),"Nathan Baverstock")</f>
        <v>Nathan Baverstock</v>
      </c>
      <c r="C1696" s="3">
        <f>IFERROR(__xludf.DUMMYFUNCTION("""COMPUTED_VALUE"""),1.0)</f>
        <v>1</v>
      </c>
      <c r="D1696" s="3">
        <f t="shared" si="1"/>
        <v>0</v>
      </c>
    </row>
    <row r="1697">
      <c r="A1697" s="10">
        <f>IFERROR(__xludf.DUMMYFUNCTION("""COMPUTED_VALUE"""),45388.0)</f>
        <v>45388</v>
      </c>
      <c r="B1697" s="3" t="str">
        <f>IFERROR(__xludf.DUMMYFUNCTION("""COMPUTED_VALUE"""),"Niall Wootten")</f>
        <v>Niall Wootten</v>
      </c>
      <c r="C1697" s="3">
        <f>IFERROR(__xludf.DUMMYFUNCTION("""COMPUTED_VALUE"""),2.0)</f>
        <v>2</v>
      </c>
      <c r="D1697" s="3">
        <f t="shared" si="1"/>
        <v>0</v>
      </c>
    </row>
    <row r="1698">
      <c r="A1698" s="10">
        <f>IFERROR(__xludf.DUMMYFUNCTION("""COMPUTED_VALUE"""),45388.0)</f>
        <v>45388</v>
      </c>
      <c r="B1698" s="3" t="str">
        <f>IFERROR(__xludf.DUMMYFUNCTION("""COMPUTED_VALUE"""),"Nick Chimonides")</f>
        <v>Nick Chimonides</v>
      </c>
      <c r="C1698" s="3">
        <f>IFERROR(__xludf.DUMMYFUNCTION("""COMPUTED_VALUE"""),2.0)</f>
        <v>2</v>
      </c>
      <c r="D1698" s="3">
        <f t="shared" si="1"/>
        <v>0</v>
      </c>
    </row>
    <row r="1699">
      <c r="A1699" s="10">
        <f>IFERROR(__xludf.DUMMYFUNCTION("""COMPUTED_VALUE"""),45388.0)</f>
        <v>45388</v>
      </c>
      <c r="B1699" s="3" t="str">
        <f>IFERROR(__xludf.DUMMYFUNCTION("""COMPUTED_VALUE"""),"Nima Naghdi")</f>
        <v>Nima Naghdi</v>
      </c>
      <c r="C1699" s="3">
        <f>IFERROR(__xludf.DUMMYFUNCTION("""COMPUTED_VALUE"""),2.0)</f>
        <v>2</v>
      </c>
      <c r="D1699" s="3">
        <f t="shared" si="1"/>
        <v>0</v>
      </c>
    </row>
    <row r="1700">
      <c r="A1700" s="10">
        <f>IFERROR(__xludf.DUMMYFUNCTION("""COMPUTED_VALUE"""),45388.0)</f>
        <v>45388</v>
      </c>
      <c r="B1700" s="3" t="str">
        <f>IFERROR(__xludf.DUMMYFUNCTION("""COMPUTED_VALUE"""),"Ollie Sewell")</f>
        <v>Ollie Sewell</v>
      </c>
      <c r="C1700" s="3">
        <f>IFERROR(__xludf.DUMMYFUNCTION("""COMPUTED_VALUE"""),11.0)</f>
        <v>11</v>
      </c>
      <c r="D1700" s="3">
        <f t="shared" si="1"/>
        <v>0</v>
      </c>
    </row>
    <row r="1701">
      <c r="A1701" s="10">
        <f>IFERROR(__xludf.DUMMYFUNCTION("""COMPUTED_VALUE"""),45388.0)</f>
        <v>45388</v>
      </c>
      <c r="B1701" s="3" t="str">
        <f>IFERROR(__xludf.DUMMYFUNCTION("""COMPUTED_VALUE"""),"Paddy Troy")</f>
        <v>Paddy Troy</v>
      </c>
      <c r="C1701" s="3">
        <f>IFERROR(__xludf.DUMMYFUNCTION("""COMPUTED_VALUE"""),11.0)</f>
        <v>11</v>
      </c>
      <c r="D1701" s="3">
        <f t="shared" si="1"/>
        <v>0</v>
      </c>
    </row>
    <row r="1702">
      <c r="A1702" s="10">
        <f>IFERROR(__xludf.DUMMYFUNCTION("""COMPUTED_VALUE"""),45388.0)</f>
        <v>45388</v>
      </c>
      <c r="B1702" s="3" t="str">
        <f>IFERROR(__xludf.DUMMYFUNCTION("""COMPUTED_VALUE"""),"Parimal Patel")</f>
        <v>Parimal Patel</v>
      </c>
      <c r="C1702" s="3">
        <f>IFERROR(__xludf.DUMMYFUNCTION("""COMPUTED_VALUE"""),2.0)</f>
        <v>2</v>
      </c>
      <c r="D1702" s="3">
        <f t="shared" si="1"/>
        <v>0</v>
      </c>
    </row>
    <row r="1703">
      <c r="A1703" s="10">
        <f>IFERROR(__xludf.DUMMYFUNCTION("""COMPUTED_VALUE"""),45388.0)</f>
        <v>45388</v>
      </c>
      <c r="B1703" s="3" t="str">
        <f>IFERROR(__xludf.DUMMYFUNCTION("""COMPUTED_VALUE"""),"Paul Ball")</f>
        <v>Paul Ball</v>
      </c>
      <c r="C1703" s="3">
        <f>IFERROR(__xludf.DUMMYFUNCTION("""COMPUTED_VALUE"""),2.0)</f>
        <v>2</v>
      </c>
      <c r="D1703" s="3">
        <f t="shared" si="1"/>
        <v>0</v>
      </c>
    </row>
    <row r="1704">
      <c r="A1704" s="10">
        <f>IFERROR(__xludf.DUMMYFUNCTION("""COMPUTED_VALUE"""),45388.0)</f>
        <v>45388</v>
      </c>
      <c r="B1704" s="3" t="str">
        <f>IFERROR(__xludf.DUMMYFUNCTION("""COMPUTED_VALUE"""),"Richard Jones")</f>
        <v>Richard Jones</v>
      </c>
      <c r="C1704" s="3">
        <f>IFERROR(__xludf.DUMMYFUNCTION("""COMPUTED_VALUE"""),9.0)</f>
        <v>9</v>
      </c>
      <c r="D1704" s="3">
        <f t="shared" si="1"/>
        <v>0</v>
      </c>
    </row>
    <row r="1705">
      <c r="A1705" s="10">
        <f>IFERROR(__xludf.DUMMYFUNCTION("""COMPUTED_VALUE"""),45388.0)</f>
        <v>45388</v>
      </c>
      <c r="B1705" s="3" t="str">
        <f>IFERROR(__xludf.DUMMYFUNCTION("""COMPUTED_VALUE"""),"Sam A'Court")</f>
        <v>Sam A'Court</v>
      </c>
      <c r="C1705" s="3">
        <f>IFERROR(__xludf.DUMMYFUNCTION("""COMPUTED_VALUE"""),2.0)</f>
        <v>2</v>
      </c>
      <c r="D1705" s="3">
        <f t="shared" si="1"/>
        <v>0</v>
      </c>
    </row>
    <row r="1706">
      <c r="A1706" s="10">
        <f>IFERROR(__xludf.DUMMYFUNCTION("""COMPUTED_VALUE"""),45388.0)</f>
        <v>45388</v>
      </c>
      <c r="B1706" s="3" t="str">
        <f>IFERROR(__xludf.DUMMYFUNCTION("""COMPUTED_VALUE"""),"Sean Rowlett")</f>
        <v>Sean Rowlett</v>
      </c>
      <c r="C1706" s="3">
        <f>IFERROR(__xludf.DUMMYFUNCTION("""COMPUTED_VALUE"""),2.0)</f>
        <v>2</v>
      </c>
      <c r="D1706" s="3">
        <f t="shared" si="1"/>
        <v>0</v>
      </c>
    </row>
    <row r="1707">
      <c r="A1707" s="10">
        <f>IFERROR(__xludf.DUMMYFUNCTION("""COMPUTED_VALUE"""),45388.0)</f>
        <v>45388</v>
      </c>
      <c r="B1707" s="3" t="str">
        <f>IFERROR(__xludf.DUMMYFUNCTION("""COMPUTED_VALUE"""),"Seb Curle")</f>
        <v>Seb Curle</v>
      </c>
      <c r="C1707" s="3">
        <f>IFERROR(__xludf.DUMMYFUNCTION("""COMPUTED_VALUE"""),2.0)</f>
        <v>2</v>
      </c>
      <c r="D1707" s="3">
        <f t="shared" si="1"/>
        <v>0</v>
      </c>
    </row>
    <row r="1708">
      <c r="A1708" s="10">
        <f>IFERROR(__xludf.DUMMYFUNCTION("""COMPUTED_VALUE"""),45388.0)</f>
        <v>45388</v>
      </c>
      <c r="B1708" s="3" t="str">
        <f>IFERROR(__xludf.DUMMYFUNCTION("""COMPUTED_VALUE"""),"Sidney Hopper-Kelly")</f>
        <v>Sidney Hopper-Kelly</v>
      </c>
      <c r="C1708" s="3">
        <f>IFERROR(__xludf.DUMMYFUNCTION("""COMPUTED_VALUE"""),2.0)</f>
        <v>2</v>
      </c>
      <c r="D1708" s="3">
        <f t="shared" si="1"/>
        <v>0</v>
      </c>
    </row>
    <row r="1709">
      <c r="A1709" s="10">
        <f>IFERROR(__xludf.DUMMYFUNCTION("""COMPUTED_VALUE"""),45388.0)</f>
        <v>45388</v>
      </c>
      <c r="B1709" s="3" t="str">
        <f>IFERROR(__xludf.DUMMYFUNCTION("""COMPUTED_VALUE"""),"Stanley Timms")</f>
        <v>Stanley Timms</v>
      </c>
      <c r="C1709" s="3">
        <f>IFERROR(__xludf.DUMMYFUNCTION("""COMPUTED_VALUE"""),2.0)</f>
        <v>2</v>
      </c>
      <c r="D1709" s="3">
        <f t="shared" si="1"/>
        <v>0</v>
      </c>
    </row>
    <row r="1710">
      <c r="A1710" s="10">
        <f>IFERROR(__xludf.DUMMYFUNCTION("""COMPUTED_VALUE"""),45388.0)</f>
        <v>45388</v>
      </c>
      <c r="B1710" s="3" t="str">
        <f>IFERROR(__xludf.DUMMYFUNCTION("""COMPUTED_VALUE"""),"Stu Jordan")</f>
        <v>Stu Jordan</v>
      </c>
      <c r="C1710" s="3">
        <f>IFERROR(__xludf.DUMMYFUNCTION("""COMPUTED_VALUE"""),2.0)</f>
        <v>2</v>
      </c>
    </row>
    <row r="1711">
      <c r="A1711" s="10">
        <f>IFERROR(__xludf.DUMMYFUNCTION("""COMPUTED_VALUE"""),45388.0)</f>
        <v>45388</v>
      </c>
      <c r="B1711" s="3" t="str">
        <f>IFERROR(__xludf.DUMMYFUNCTION("""COMPUTED_VALUE"""),"Tali Kiwanuka")</f>
        <v>Tali Kiwanuka</v>
      </c>
      <c r="C1711" s="3">
        <f>IFERROR(__xludf.DUMMYFUNCTION("""COMPUTED_VALUE"""),4.0)</f>
        <v>4</v>
      </c>
    </row>
    <row r="1712">
      <c r="A1712" s="10">
        <f>IFERROR(__xludf.DUMMYFUNCTION("""COMPUTED_VALUE"""),45388.0)</f>
        <v>45388</v>
      </c>
      <c r="B1712" s="3" t="str">
        <f>IFERROR(__xludf.DUMMYFUNCTION("""COMPUTED_VALUE"""),"Tam de Lacey")</f>
        <v>Tam de Lacey</v>
      </c>
      <c r="C1712" s="3">
        <f>IFERROR(__xludf.DUMMYFUNCTION("""COMPUTED_VALUE"""),2.0)</f>
        <v>2</v>
      </c>
    </row>
    <row r="1713">
      <c r="A1713" s="10">
        <f>IFERROR(__xludf.DUMMYFUNCTION("""COMPUTED_VALUE"""),45388.0)</f>
        <v>45388</v>
      </c>
      <c r="B1713" s="3" t="str">
        <f>IFERROR(__xludf.DUMMYFUNCTION("""COMPUTED_VALUE"""),"Theo Horton")</f>
        <v>Theo Horton</v>
      </c>
      <c r="C1713" s="3">
        <f>IFERROR(__xludf.DUMMYFUNCTION("""COMPUTED_VALUE"""),1.0)</f>
        <v>1</v>
      </c>
    </row>
    <row r="1714">
      <c r="A1714" s="10">
        <f>IFERROR(__xludf.DUMMYFUNCTION("""COMPUTED_VALUE"""),45388.0)</f>
        <v>45388</v>
      </c>
      <c r="B1714" s="3" t="str">
        <f>IFERROR(__xludf.DUMMYFUNCTION("""COMPUTED_VALUE"""),"Tom Love")</f>
        <v>Tom Love</v>
      </c>
      <c r="C1714" s="3">
        <f>IFERROR(__xludf.DUMMYFUNCTION("""COMPUTED_VALUE"""),2.0)</f>
        <v>2</v>
      </c>
    </row>
    <row r="1715">
      <c r="A1715" s="10">
        <f>IFERROR(__xludf.DUMMYFUNCTION("""COMPUTED_VALUE"""),45388.0)</f>
        <v>45388</v>
      </c>
      <c r="B1715" s="3" t="str">
        <f>IFERROR(__xludf.DUMMYFUNCTION("""COMPUTED_VALUE"""),"Tom Riley")</f>
        <v>Tom Riley</v>
      </c>
      <c r="C1715" s="3">
        <f>IFERROR(__xludf.DUMMYFUNCTION("""COMPUTED_VALUE"""),2.0)</f>
        <v>2</v>
      </c>
    </row>
    <row r="1716">
      <c r="A1716" s="10">
        <f>IFERROR(__xludf.DUMMYFUNCTION("""COMPUTED_VALUE"""),45388.0)</f>
        <v>45388</v>
      </c>
      <c r="B1716" s="3" t="str">
        <f>IFERROR(__xludf.DUMMYFUNCTION("""COMPUTED_VALUE"""),"Tom Taylor")</f>
        <v>Tom Taylor</v>
      </c>
      <c r="C1716" s="3">
        <f>IFERROR(__xludf.DUMMYFUNCTION("""COMPUTED_VALUE"""),2.0)</f>
        <v>2</v>
      </c>
    </row>
    <row r="1717">
      <c r="A1717" s="10">
        <f>IFERROR(__xludf.DUMMYFUNCTION("""COMPUTED_VALUE"""),45388.0)</f>
        <v>45388</v>
      </c>
      <c r="B1717" s="3" t="str">
        <f>IFERROR(__xludf.DUMMYFUNCTION("""COMPUTED_VALUE"""),"Will French")</f>
        <v>Will French</v>
      </c>
      <c r="C1717" s="3">
        <f>IFERROR(__xludf.DUMMYFUNCTION("""COMPUTED_VALUE"""),2.0)</f>
        <v>2</v>
      </c>
    </row>
    <row r="1718">
      <c r="A1718" s="10">
        <f>IFERROR(__xludf.DUMMYFUNCTION("""COMPUTED_VALUE"""),45388.0)</f>
        <v>45388</v>
      </c>
      <c r="B1718" s="3" t="str">
        <f>IFERROR(__xludf.DUMMYFUNCTION("""COMPUTED_VALUE"""),"Yemi Oviosu")</f>
        <v>Yemi Oviosu</v>
      </c>
      <c r="C1718" s="3">
        <f>IFERROR(__xludf.DUMMYFUNCTION("""COMPUTED_VALUE"""),10.0)</f>
        <v>10</v>
      </c>
    </row>
  </sheetData>
  <drawing r:id="rId1"/>
</worksheet>
</file>